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https://d.docs.live.net/f1ba1ff74b1971d4/Desktop/"/>
    </mc:Choice>
  </mc:AlternateContent>
  <xr:revisionPtr revIDLastSave="0" documentId="14_{B590CC06-FE72-4211-B7BE-FDE94C321646}" xr6:coauthVersionLast="47" xr6:coauthVersionMax="47" xr10:uidLastSave="{00000000-0000-0000-0000-000000000000}"/>
  <bookViews>
    <workbookView minimized="1" xWindow="14160" yWindow="2970" windowWidth="6330" windowHeight="7875" xr2:uid="{00000000-000D-0000-FFFF-FFFF00000000}"/>
  </bookViews>
  <sheets>
    <sheet name="Feuil2" sheetId="2" r:id="rId1"/>
    <sheet name="Références" sheetId="1" r:id="rId2"/>
  </sheets>
  <definedNames>
    <definedName name="Loxo" localSheetId="1">Références!$A$101:$A$102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G4" i="2" l="1"/>
  <c r="H5" i="2"/>
  <c r="I5" i="2"/>
  <c r="J5" i="2"/>
  <c r="K5" i="2"/>
  <c r="L5" i="2"/>
  <c r="M5" i="2"/>
  <c r="H6" i="2"/>
  <c r="X5" i="2" s="1"/>
  <c r="I6" i="2"/>
  <c r="O5" i="2" s="1"/>
  <c r="J6" i="2"/>
  <c r="K6" i="2"/>
  <c r="L6" i="2"/>
  <c r="M6" i="2"/>
  <c r="N5" i="2" s="1" a="1"/>
  <c r="N5" i="2" s="1"/>
  <c r="H7" i="2"/>
  <c r="X6" i="2" s="1"/>
  <c r="I7" i="2"/>
  <c r="O6" i="2" s="1"/>
  <c r="J7" i="2"/>
  <c r="K7" i="2"/>
  <c r="L7" i="2"/>
  <c r="M7" i="2"/>
  <c r="N6" i="2" s="1" a="1"/>
  <c r="N6" i="2" s="1"/>
  <c r="H8" i="2"/>
  <c r="X7" i="2" s="1"/>
  <c r="I8" i="2"/>
  <c r="O7" i="2" s="1"/>
  <c r="J8" i="2"/>
  <c r="K8" i="2"/>
  <c r="L8" i="2"/>
  <c r="M8" i="2"/>
  <c r="N7" i="2" s="1" a="1"/>
  <c r="N7" i="2" s="1"/>
  <c r="H9" i="2"/>
  <c r="X8" i="2" s="1"/>
  <c r="I9" i="2"/>
  <c r="O8" i="2" s="1"/>
  <c r="J9" i="2"/>
  <c r="K9" i="2"/>
  <c r="L9" i="2"/>
  <c r="M9" i="2"/>
  <c r="N8" i="2" s="1" a="1"/>
  <c r="N8" i="2" s="1"/>
  <c r="H10" i="2"/>
  <c r="X9" i="2" s="1"/>
  <c r="I10" i="2"/>
  <c r="O9" i="2" s="1"/>
  <c r="J10" i="2"/>
  <c r="K10" i="2"/>
  <c r="L10" i="2"/>
  <c r="M10" i="2"/>
  <c r="N9" i="2" s="1" a="1"/>
  <c r="N9" i="2" s="1"/>
  <c r="H11" i="2"/>
  <c r="X10" i="2" s="1"/>
  <c r="I11" i="2"/>
  <c r="O10" i="2" s="1"/>
  <c r="J11" i="2"/>
  <c r="K11" i="2"/>
  <c r="L11" i="2"/>
  <c r="M11" i="2"/>
  <c r="N10" i="2" s="1" a="1"/>
  <c r="N10" i="2" s="1"/>
  <c r="H12" i="2"/>
  <c r="X11" i="2" s="1"/>
  <c r="I12" i="2"/>
  <c r="O11" i="2" s="1"/>
  <c r="J12" i="2"/>
  <c r="K12" i="2"/>
  <c r="L12" i="2"/>
  <c r="M12" i="2"/>
  <c r="N11" i="2" s="1" a="1"/>
  <c r="N11" i="2" s="1"/>
  <c r="H13" i="2"/>
  <c r="X12" i="2" s="1"/>
  <c r="I13" i="2"/>
  <c r="O12" i="2" s="1"/>
  <c r="J13" i="2"/>
  <c r="K13" i="2"/>
  <c r="L13" i="2"/>
  <c r="M13" i="2"/>
  <c r="N12" i="2" s="1" a="1"/>
  <c r="N12" i="2" s="1"/>
  <c r="H14" i="2"/>
  <c r="X13" i="2" s="1"/>
  <c r="I14" i="2"/>
  <c r="O13" i="2" s="1"/>
  <c r="J14" i="2"/>
  <c r="K14" i="2"/>
  <c r="L14" i="2"/>
  <c r="M14" i="2"/>
  <c r="N13" i="2" s="1" a="1"/>
  <c r="N13" i="2" s="1"/>
  <c r="H15" i="2"/>
  <c r="X14" i="2" s="1"/>
  <c r="I15" i="2"/>
  <c r="O14" i="2" s="1"/>
  <c r="J15" i="2"/>
  <c r="K15" i="2"/>
  <c r="L15" i="2"/>
  <c r="M15" i="2"/>
  <c r="N14" i="2" s="1" a="1"/>
  <c r="N14" i="2" s="1"/>
  <c r="H16" i="2"/>
  <c r="X15" i="2" s="1"/>
  <c r="I16" i="2"/>
  <c r="O15" i="2" s="1"/>
  <c r="J16" i="2"/>
  <c r="K16" i="2"/>
  <c r="L16" i="2"/>
  <c r="M16" i="2"/>
  <c r="N15" i="2" s="1" a="1"/>
  <c r="N15" i="2" s="1"/>
  <c r="H17" i="2"/>
  <c r="X16" i="2" s="1"/>
  <c r="I17" i="2"/>
  <c r="O16" i="2" s="1"/>
  <c r="J17" i="2"/>
  <c r="K17" i="2"/>
  <c r="L17" i="2"/>
  <c r="M17" i="2"/>
  <c r="N16" i="2" s="1" a="1"/>
  <c r="N16" i="2" s="1"/>
  <c r="H18" i="2"/>
  <c r="X17" i="2" s="1"/>
  <c r="I18" i="2"/>
  <c r="O17" i="2" s="1"/>
  <c r="J18" i="2"/>
  <c r="K18" i="2"/>
  <c r="L18" i="2"/>
  <c r="M18" i="2"/>
  <c r="N17" i="2" s="1" a="1"/>
  <c r="N17" i="2" s="1"/>
  <c r="H19" i="2"/>
  <c r="X18" i="2" s="1"/>
  <c r="I19" i="2"/>
  <c r="O18" i="2" s="1"/>
  <c r="J19" i="2"/>
  <c r="K19" i="2"/>
  <c r="L19" i="2"/>
  <c r="M19" i="2"/>
  <c r="N18" i="2" s="1" a="1"/>
  <c r="N18" i="2" s="1"/>
  <c r="H20" i="2"/>
  <c r="X19" i="2" s="1"/>
  <c r="I20" i="2"/>
  <c r="O19" i="2" s="1"/>
  <c r="J20" i="2"/>
  <c r="K20" i="2"/>
  <c r="L20" i="2"/>
  <c r="M20" i="2"/>
  <c r="N19" i="2" s="1" a="1"/>
  <c r="N19" i="2" s="1"/>
  <c r="H21" i="2"/>
  <c r="I21" i="2"/>
  <c r="J21" i="2"/>
  <c r="K21" i="2"/>
  <c r="L21" i="2"/>
  <c r="M21" i="2"/>
  <c r="H22" i="2"/>
  <c r="X21" i="2" s="1"/>
  <c r="I22" i="2"/>
  <c r="O21" i="2" s="1"/>
  <c r="J22" i="2"/>
  <c r="K22" i="2"/>
  <c r="L22" i="2"/>
  <c r="M22" i="2"/>
  <c r="N21" i="2" s="1" a="1"/>
  <c r="N21" i="2" s="1"/>
  <c r="H23" i="2"/>
  <c r="X22" i="2" s="1"/>
  <c r="I23" i="2"/>
  <c r="O22" i="2" s="1"/>
  <c r="J23" i="2"/>
  <c r="K23" i="2"/>
  <c r="L23" i="2"/>
  <c r="M23" i="2"/>
  <c r="N22" i="2" s="1" a="1"/>
  <c r="N22" i="2" s="1"/>
  <c r="H24" i="2"/>
  <c r="X23" i="2" s="1"/>
  <c r="I24" i="2"/>
  <c r="O23" i="2" s="1"/>
  <c r="J24" i="2"/>
  <c r="K24" i="2"/>
  <c r="L24" i="2"/>
  <c r="M24" i="2"/>
  <c r="N23" i="2" s="1" a="1"/>
  <c r="N23" i="2" s="1"/>
  <c r="H25" i="2"/>
  <c r="X24" i="2" s="1"/>
  <c r="I25" i="2"/>
  <c r="O24" i="2" s="1"/>
  <c r="J25" i="2"/>
  <c r="K25" i="2"/>
  <c r="L25" i="2"/>
  <c r="M25" i="2"/>
  <c r="N24" i="2" s="1" a="1"/>
  <c r="N24" i="2" s="1"/>
  <c r="H26" i="2"/>
  <c r="X25" i="2" s="1"/>
  <c r="I26" i="2"/>
  <c r="O25" i="2" s="1"/>
  <c r="J26" i="2"/>
  <c r="K26" i="2"/>
  <c r="L26" i="2"/>
  <c r="M26" i="2"/>
  <c r="N25" i="2" s="1" a="1"/>
  <c r="N25" i="2" s="1"/>
  <c r="H27" i="2"/>
  <c r="X26" i="2" s="1"/>
  <c r="I27" i="2"/>
  <c r="O26" i="2" s="1"/>
  <c r="J27" i="2"/>
  <c r="K27" i="2"/>
  <c r="L27" i="2"/>
  <c r="M27" i="2"/>
  <c r="N26" i="2" s="1" a="1"/>
  <c r="N26" i="2" s="1"/>
  <c r="H28" i="2"/>
  <c r="X27" i="2" s="1"/>
  <c r="I28" i="2"/>
  <c r="O27" i="2" s="1"/>
  <c r="J28" i="2"/>
  <c r="K28" i="2"/>
  <c r="L28" i="2"/>
  <c r="M28" i="2"/>
  <c r="N27" i="2" s="1" a="1"/>
  <c r="N27" i="2" s="1"/>
  <c r="H29" i="2"/>
  <c r="X28" i="2" s="1"/>
  <c r="I29" i="2"/>
  <c r="O28" i="2" s="1"/>
  <c r="J29" i="2"/>
  <c r="K29" i="2"/>
  <c r="L29" i="2"/>
  <c r="M29" i="2"/>
  <c r="N28" i="2" s="1" a="1"/>
  <c r="N28" i="2" s="1"/>
  <c r="H30" i="2"/>
  <c r="X29" i="2" s="1"/>
  <c r="I30" i="2"/>
  <c r="O29" i="2" s="1"/>
  <c r="J30" i="2"/>
  <c r="K30" i="2"/>
  <c r="L30" i="2"/>
  <c r="M30" i="2"/>
  <c r="N29" i="2" s="1" a="1"/>
  <c r="N29" i="2" s="1"/>
  <c r="H31" i="2"/>
  <c r="X30" i="2" s="1"/>
  <c r="I31" i="2"/>
  <c r="O30" i="2" s="1"/>
  <c r="J31" i="2"/>
  <c r="K31" i="2"/>
  <c r="L31" i="2"/>
  <c r="M31" i="2"/>
  <c r="N30" i="2" s="1" a="1"/>
  <c r="N30" i="2" s="1"/>
  <c r="H32" i="2"/>
  <c r="X31" i="2" s="1"/>
  <c r="I32" i="2"/>
  <c r="O31" i="2" s="1"/>
  <c r="J32" i="2"/>
  <c r="K32" i="2"/>
  <c r="L32" i="2"/>
  <c r="M32" i="2"/>
  <c r="N31" i="2" s="1" a="1"/>
  <c r="N31" i="2" s="1"/>
  <c r="H33" i="2"/>
  <c r="X32" i="2" s="1"/>
  <c r="I33" i="2"/>
  <c r="O32" i="2" s="1"/>
  <c r="J33" i="2"/>
  <c r="K33" i="2"/>
  <c r="L33" i="2"/>
  <c r="M33" i="2"/>
  <c r="N32" i="2" s="1" a="1"/>
  <c r="N32" i="2" s="1"/>
  <c r="H34" i="2"/>
  <c r="X33" i="2" s="1"/>
  <c r="I34" i="2"/>
  <c r="O33" i="2" s="1"/>
  <c r="J34" i="2"/>
  <c r="K34" i="2"/>
  <c r="L34" i="2"/>
  <c r="M34" i="2"/>
  <c r="N33" i="2" s="1" a="1"/>
  <c r="N33" i="2" s="1"/>
  <c r="H35" i="2"/>
  <c r="X34" i="2" s="1"/>
  <c r="I35" i="2"/>
  <c r="O34" i="2" s="1"/>
  <c r="J35" i="2"/>
  <c r="K35" i="2"/>
  <c r="L35" i="2"/>
  <c r="M35" i="2"/>
  <c r="N34" i="2" s="1" a="1"/>
  <c r="N34" i="2" s="1"/>
  <c r="H36" i="2"/>
  <c r="X35" i="2" s="1"/>
  <c r="I36" i="2"/>
  <c r="O35" i="2" s="1"/>
  <c r="J36" i="2"/>
  <c r="K36" i="2"/>
  <c r="L36" i="2"/>
  <c r="M36" i="2"/>
  <c r="N35" i="2" s="1" a="1"/>
  <c r="N35" i="2" s="1"/>
  <c r="N36" i="2" a="1"/>
  <c r="N36" i="2"/>
  <c r="O36" i="2"/>
  <c r="P36" i="2"/>
  <c r="Q36" i="2"/>
  <c r="R36" i="2" a="1"/>
  <c r="R36" i="2"/>
  <c r="S36" i="2"/>
  <c r="T36" i="2"/>
  <c r="U36" i="2"/>
  <c r="V36" i="2"/>
  <c r="W36" i="2"/>
  <c r="X36" i="2"/>
  <c r="Y36" i="2"/>
  <c r="Z36" i="2"/>
  <c r="AA36" i="2"/>
  <c r="AB36" i="2"/>
  <c r="AE36" i="2"/>
  <c r="AC36" i="2" s="1"/>
  <c r="AD36" i="2" s="1"/>
  <c r="AH36" i="2"/>
  <c r="AG36" i="2" s="1" a="1"/>
  <c r="AG36" i="2" s="1"/>
  <c r="AI36" i="2"/>
  <c r="AJ36" i="2"/>
  <c r="AK36" i="2"/>
  <c r="AN36" i="2"/>
  <c r="AO36" i="2"/>
  <c r="AP36" i="2"/>
  <c r="AR36" i="2"/>
  <c r="AT36" i="2"/>
  <c r="BL5" i="2"/>
  <c r="BM5" i="2"/>
  <c r="BL6" i="2"/>
  <c r="BM6" i="2"/>
  <c r="BL7" i="2"/>
  <c r="BM7" i="2"/>
  <c r="BL8" i="2"/>
  <c r="BM8" i="2"/>
  <c r="BL9" i="2"/>
  <c r="BM9" i="2"/>
  <c r="BL10" i="2"/>
  <c r="BM10" i="2"/>
  <c r="BL11" i="2"/>
  <c r="BM11" i="2"/>
  <c r="BL12" i="2"/>
  <c r="BM12" i="2"/>
  <c r="BL13" i="2"/>
  <c r="BM13" i="2"/>
  <c r="BL14" i="2"/>
  <c r="BM14" i="2"/>
  <c r="BL15" i="2"/>
  <c r="BM15" i="2"/>
  <c r="BL16" i="2"/>
  <c r="BM16" i="2"/>
  <c r="BL17" i="2"/>
  <c r="BM17" i="2"/>
  <c r="BL18" i="2"/>
  <c r="BM18" i="2"/>
  <c r="BL19" i="2"/>
  <c r="BM19" i="2"/>
  <c r="BL20" i="2"/>
  <c r="BM20" i="2"/>
  <c r="BL21" i="2"/>
  <c r="BM21" i="2"/>
  <c r="BL22" i="2"/>
  <c r="BM22" i="2"/>
  <c r="BL23" i="2"/>
  <c r="BM23" i="2"/>
  <c r="BL24" i="2"/>
  <c r="BM24" i="2"/>
  <c r="BL25" i="2"/>
  <c r="BM25" i="2"/>
  <c r="BL26" i="2"/>
  <c r="BM26" i="2"/>
  <c r="BL27" i="2"/>
  <c r="BM27" i="2"/>
  <c r="BL28" i="2"/>
  <c r="BM28" i="2"/>
  <c r="BL29" i="2"/>
  <c r="BM29" i="2"/>
  <c r="BL30" i="2"/>
  <c r="BM30" i="2"/>
  <c r="BL31" i="2"/>
  <c r="BM31" i="2"/>
  <c r="BL32" i="2"/>
  <c r="BM32" i="2"/>
  <c r="BL33" i="2"/>
  <c r="BM33" i="2"/>
  <c r="BL34" i="2"/>
  <c r="BM34" i="2"/>
  <c r="BL35" i="2"/>
  <c r="BM35" i="2"/>
  <c r="BL36" i="2"/>
  <c r="BM36" i="2"/>
  <c r="N20" i="2" l="1" a="1"/>
  <c r="N20" i="2" s="1"/>
  <c r="O20" i="2"/>
  <c r="X20" i="2"/>
  <c r="Q35" i="2"/>
  <c r="T35" i="2" s="1"/>
  <c r="R35" i="2" a="1"/>
  <c r="R35" i="2" s="1"/>
  <c r="AE35" i="2"/>
  <c r="AC35" i="2" s="1"/>
  <c r="P35" i="2"/>
  <c r="S35" i="2"/>
  <c r="Q34" i="2"/>
  <c r="T34" i="2" s="1"/>
  <c r="R34" i="2" a="1"/>
  <c r="R34" i="2" s="1"/>
  <c r="AE34" i="2"/>
  <c r="AC34" i="2" s="1"/>
  <c r="P34" i="2"/>
  <c r="S34" i="2"/>
  <c r="Q33" i="2"/>
  <c r="T33" i="2" s="1"/>
  <c r="R33" i="2" a="1"/>
  <c r="R33" i="2" s="1"/>
  <c r="AE33" i="2"/>
  <c r="AC33" i="2" s="1"/>
  <c r="P33" i="2"/>
  <c r="S33" i="2"/>
  <c r="Q32" i="2"/>
  <c r="T32" i="2" s="1"/>
  <c r="R32" i="2" a="1"/>
  <c r="R32" i="2" s="1"/>
  <c r="AE32" i="2"/>
  <c r="AC32" i="2" s="1"/>
  <c r="P32" i="2"/>
  <c r="S32" i="2"/>
  <c r="Q31" i="2"/>
  <c r="T31" i="2" s="1"/>
  <c r="R31" i="2" a="1"/>
  <c r="R31" i="2" s="1"/>
  <c r="AE31" i="2"/>
  <c r="AC31" i="2" s="1"/>
  <c r="P31" i="2"/>
  <c r="S31" i="2"/>
  <c r="Q30" i="2"/>
  <c r="T30" i="2" s="1"/>
  <c r="R30" i="2" a="1"/>
  <c r="R30" i="2" s="1"/>
  <c r="AE30" i="2"/>
  <c r="AC30" i="2" s="1"/>
  <c r="P30" i="2"/>
  <c r="S30" i="2"/>
  <c r="Q29" i="2"/>
  <c r="T29" i="2" s="1"/>
  <c r="R29" i="2" a="1"/>
  <c r="R29" i="2" s="1"/>
  <c r="AE29" i="2"/>
  <c r="AC29" i="2" s="1"/>
  <c r="P29" i="2"/>
  <c r="S29" i="2"/>
  <c r="Q28" i="2"/>
  <c r="T28" i="2" s="1"/>
  <c r="R28" i="2" a="1"/>
  <c r="R28" i="2" s="1"/>
  <c r="AE28" i="2"/>
  <c r="AC28" i="2" s="1"/>
  <c r="P28" i="2"/>
  <c r="S28" i="2"/>
  <c r="Q27" i="2"/>
  <c r="T27" i="2" s="1"/>
  <c r="R27" i="2" a="1"/>
  <c r="R27" i="2" s="1"/>
  <c r="AE27" i="2"/>
  <c r="AC27" i="2" s="1"/>
  <c r="P27" i="2"/>
  <c r="S27" i="2"/>
  <c r="Q26" i="2"/>
  <c r="T26" i="2" s="1"/>
  <c r="R26" i="2" a="1"/>
  <c r="R26" i="2" s="1"/>
  <c r="AE26" i="2"/>
  <c r="AC26" i="2" s="1"/>
  <c r="P26" i="2"/>
  <c r="S26" i="2"/>
  <c r="Q25" i="2"/>
  <c r="T25" i="2" s="1"/>
  <c r="R25" i="2" a="1"/>
  <c r="R25" i="2" s="1"/>
  <c r="AE25" i="2"/>
  <c r="AC25" i="2" s="1"/>
  <c r="P25" i="2"/>
  <c r="S25" i="2"/>
  <c r="Q24" i="2"/>
  <c r="T24" i="2" s="1"/>
  <c r="R24" i="2" a="1"/>
  <c r="R24" i="2" s="1"/>
  <c r="AE24" i="2"/>
  <c r="AC24" i="2" s="1"/>
  <c r="P24" i="2"/>
  <c r="S24" i="2"/>
  <c r="Q23" i="2"/>
  <c r="T23" i="2" s="1"/>
  <c r="R23" i="2" a="1"/>
  <c r="R23" i="2" s="1"/>
  <c r="AE23" i="2"/>
  <c r="AC23" i="2" s="1"/>
  <c r="P23" i="2"/>
  <c r="S23" i="2"/>
  <c r="Q22" i="2"/>
  <c r="T22" i="2" s="1"/>
  <c r="R22" i="2" a="1"/>
  <c r="R22" i="2" s="1"/>
  <c r="AE22" i="2"/>
  <c r="AC22" i="2" s="1"/>
  <c r="P22" i="2"/>
  <c r="S22" i="2"/>
  <c r="Q21" i="2"/>
  <c r="T21" i="2" s="1"/>
  <c r="R21" i="2" a="1"/>
  <c r="R21" i="2" s="1"/>
  <c r="AE21" i="2"/>
  <c r="AC21" i="2" s="1"/>
  <c r="P21" i="2"/>
  <c r="S21" i="2"/>
  <c r="Q20" i="2"/>
  <c r="T20" i="2" s="1"/>
  <c r="R20" i="2" a="1"/>
  <c r="R20" i="2" s="1"/>
  <c r="AE20" i="2"/>
  <c r="AC20" i="2" s="1"/>
  <c r="P20" i="2"/>
  <c r="S20" i="2"/>
  <c r="Q19" i="2"/>
  <c r="T19" i="2" s="1"/>
  <c r="R19" i="2" a="1"/>
  <c r="R19" i="2" s="1"/>
  <c r="AE19" i="2"/>
  <c r="AC19" i="2" s="1"/>
  <c r="P19" i="2"/>
  <c r="S19" i="2"/>
  <c r="Q18" i="2"/>
  <c r="T18" i="2" s="1"/>
  <c r="R18" i="2" a="1"/>
  <c r="R18" i="2" s="1"/>
  <c r="AE18" i="2"/>
  <c r="AC18" i="2" s="1"/>
  <c r="P18" i="2"/>
  <c r="S18" i="2"/>
  <c r="Q17" i="2"/>
  <c r="T17" i="2" s="1"/>
  <c r="R17" i="2" a="1"/>
  <c r="R17" i="2" s="1"/>
  <c r="AE17" i="2"/>
  <c r="AC17" i="2" s="1"/>
  <c r="P17" i="2"/>
  <c r="S17" i="2"/>
  <c r="Q16" i="2"/>
  <c r="T16" i="2" s="1"/>
  <c r="R16" i="2" a="1"/>
  <c r="R16" i="2" s="1"/>
  <c r="AE16" i="2"/>
  <c r="AC16" i="2" s="1"/>
  <c r="P16" i="2"/>
  <c r="S16" i="2"/>
  <c r="Q15" i="2"/>
  <c r="T15" i="2" s="1"/>
  <c r="R15" i="2" a="1"/>
  <c r="R15" i="2" s="1"/>
  <c r="AE15" i="2"/>
  <c r="AC15" i="2" s="1"/>
  <c r="P15" i="2"/>
  <c r="S15" i="2"/>
  <c r="Q14" i="2"/>
  <c r="T14" i="2" s="1"/>
  <c r="R14" i="2" a="1"/>
  <c r="R14" i="2" s="1"/>
  <c r="AE14" i="2"/>
  <c r="AC14" i="2" s="1"/>
  <c r="P14" i="2"/>
  <c r="S14" i="2"/>
  <c r="Q13" i="2"/>
  <c r="T13" i="2" s="1"/>
  <c r="R13" i="2" a="1"/>
  <c r="R13" i="2" s="1"/>
  <c r="AE13" i="2"/>
  <c r="AC13" i="2" s="1"/>
  <c r="P13" i="2"/>
  <c r="S13" i="2"/>
  <c r="Q12" i="2"/>
  <c r="T12" i="2" s="1"/>
  <c r="R12" i="2" a="1"/>
  <c r="R12" i="2" s="1"/>
  <c r="AE12" i="2"/>
  <c r="AC12" i="2" s="1"/>
  <c r="P12" i="2"/>
  <c r="S12" i="2"/>
  <c r="Q11" i="2"/>
  <c r="T11" i="2" s="1"/>
  <c r="R11" i="2" a="1"/>
  <c r="R11" i="2" s="1"/>
  <c r="AE11" i="2"/>
  <c r="AC11" i="2" s="1"/>
  <c r="P11" i="2"/>
  <c r="S11" i="2"/>
  <c r="Q10" i="2"/>
  <c r="T10" i="2" s="1"/>
  <c r="R10" i="2" a="1"/>
  <c r="R10" i="2" s="1"/>
  <c r="AE10" i="2"/>
  <c r="AC10" i="2" s="1"/>
  <c r="P10" i="2"/>
  <c r="S10" i="2"/>
  <c r="Q9" i="2"/>
  <c r="T9" i="2" s="1"/>
  <c r="R9" i="2" a="1"/>
  <c r="R9" i="2" s="1"/>
  <c r="AE9" i="2"/>
  <c r="AC9" i="2" s="1"/>
  <c r="P9" i="2"/>
  <c r="S9" i="2"/>
  <c r="Q8" i="2"/>
  <c r="T8" i="2" s="1"/>
  <c r="R8" i="2" a="1"/>
  <c r="R8" i="2" s="1"/>
  <c r="AE8" i="2"/>
  <c r="AC8" i="2" s="1"/>
  <c r="P8" i="2"/>
  <c r="S8" i="2"/>
  <c r="Q7" i="2"/>
  <c r="T7" i="2" s="1"/>
  <c r="R7" i="2" a="1"/>
  <c r="R7" i="2" s="1"/>
  <c r="AE7" i="2"/>
  <c r="AC7" i="2" s="1"/>
  <c r="P7" i="2"/>
  <c r="S7" i="2"/>
  <c r="Q6" i="2"/>
  <c r="T6" i="2" s="1"/>
  <c r="R6" i="2" a="1"/>
  <c r="R6" i="2" s="1"/>
  <c r="AE6" i="2"/>
  <c r="AC6" i="2" s="1"/>
  <c r="P6" i="2"/>
  <c r="S6" i="2"/>
  <c r="Q5" i="2"/>
  <c r="T5" i="2" s="1"/>
  <c r="R5" i="2" a="1"/>
  <c r="R5" i="2" s="1"/>
  <c r="AE5" i="2"/>
  <c r="AC5" i="2" s="1"/>
  <c r="P5" i="2"/>
  <c r="S5" i="2"/>
  <c r="AD5" i="2" l="1"/>
  <c r="U5" i="2"/>
  <c r="Y5" i="2"/>
  <c r="Z5" i="2" s="1"/>
  <c r="AD6" i="2"/>
  <c r="U6" i="2"/>
  <c r="Y6" i="2"/>
  <c r="Z6" i="2" s="1"/>
  <c r="AD7" i="2"/>
  <c r="U7" i="2"/>
  <c r="Y7" i="2"/>
  <c r="Z7" i="2" s="1"/>
  <c r="AD8" i="2"/>
  <c r="U8" i="2"/>
  <c r="Y8" i="2"/>
  <c r="Z8" i="2" s="1"/>
  <c r="AD9" i="2"/>
  <c r="U9" i="2"/>
  <c r="Y9" i="2"/>
  <c r="Z9" i="2" s="1"/>
  <c r="AD10" i="2"/>
  <c r="U10" i="2"/>
  <c r="Y10" i="2"/>
  <c r="Z10" i="2" s="1"/>
  <c r="AD11" i="2"/>
  <c r="U11" i="2"/>
  <c r="Y11" i="2"/>
  <c r="Z11" i="2" s="1"/>
  <c r="AD12" i="2"/>
  <c r="U12" i="2"/>
  <c r="Y12" i="2"/>
  <c r="Z12" i="2" s="1"/>
  <c r="AD13" i="2"/>
  <c r="U13" i="2"/>
  <c r="Y13" i="2"/>
  <c r="Z13" i="2" s="1"/>
  <c r="AD14" i="2"/>
  <c r="U14" i="2"/>
  <c r="Y14" i="2"/>
  <c r="Z14" i="2" s="1"/>
  <c r="AD15" i="2"/>
  <c r="U15" i="2"/>
  <c r="Y15" i="2"/>
  <c r="Z15" i="2" s="1"/>
  <c r="AD16" i="2"/>
  <c r="U16" i="2"/>
  <c r="Y16" i="2"/>
  <c r="Z16" i="2" s="1"/>
  <c r="AD17" i="2"/>
  <c r="U17" i="2"/>
  <c r="Y17" i="2"/>
  <c r="Z17" i="2" s="1"/>
  <c r="AD18" i="2"/>
  <c r="U18" i="2"/>
  <c r="Y18" i="2"/>
  <c r="Z18" i="2" s="1"/>
  <c r="AD19" i="2"/>
  <c r="U19" i="2"/>
  <c r="Y19" i="2"/>
  <c r="Z19" i="2" s="1"/>
  <c r="AD20" i="2"/>
  <c r="U20" i="2"/>
  <c r="Y20" i="2"/>
  <c r="Z20" i="2" s="1"/>
  <c r="AD21" i="2"/>
  <c r="U21" i="2"/>
  <c r="Y21" i="2"/>
  <c r="Z21" i="2" s="1"/>
  <c r="AD22" i="2"/>
  <c r="U22" i="2"/>
  <c r="Y22" i="2"/>
  <c r="Z22" i="2" s="1"/>
  <c r="AD23" i="2"/>
  <c r="U23" i="2"/>
  <c r="Y23" i="2"/>
  <c r="Z23" i="2" s="1"/>
  <c r="AD24" i="2"/>
  <c r="U24" i="2"/>
  <c r="Y24" i="2"/>
  <c r="Z24" i="2" s="1"/>
  <c r="AD25" i="2"/>
  <c r="U25" i="2"/>
  <c r="Y25" i="2"/>
  <c r="Z25" i="2" s="1"/>
  <c r="AD26" i="2"/>
  <c r="U26" i="2"/>
  <c r="Y26" i="2"/>
  <c r="Z26" i="2" s="1"/>
  <c r="AD27" i="2"/>
  <c r="U27" i="2"/>
  <c r="Y27" i="2"/>
  <c r="Z27" i="2" s="1"/>
  <c r="AD28" i="2"/>
  <c r="U28" i="2"/>
  <c r="Y28" i="2"/>
  <c r="Z28" i="2" s="1"/>
  <c r="AD29" i="2"/>
  <c r="U29" i="2"/>
  <c r="Y29" i="2"/>
  <c r="Z29" i="2" s="1"/>
  <c r="AD30" i="2"/>
  <c r="U30" i="2"/>
  <c r="Y30" i="2"/>
  <c r="Z30" i="2" s="1"/>
  <c r="AD31" i="2"/>
  <c r="U31" i="2"/>
  <c r="Y31" i="2"/>
  <c r="Z31" i="2" s="1"/>
  <c r="AD32" i="2"/>
  <c r="U32" i="2"/>
  <c r="Y32" i="2"/>
  <c r="Z32" i="2" s="1"/>
  <c r="AD33" i="2"/>
  <c r="U33" i="2"/>
  <c r="Y33" i="2"/>
  <c r="Z33" i="2" s="1"/>
  <c r="AD34" i="2"/>
  <c r="U34" i="2"/>
  <c r="Y34" i="2"/>
  <c r="Z34" i="2" s="1"/>
  <c r="AD35" i="2"/>
  <c r="U35" i="2"/>
  <c r="Y35" i="2"/>
  <c r="Z35" i="2" s="1"/>
  <c r="AB35" i="2" l="1"/>
  <c r="AA35" i="2"/>
  <c r="W35" i="2"/>
  <c r="V35" i="2"/>
  <c r="AB34" i="2"/>
  <c r="AA34" i="2"/>
  <c r="W34" i="2"/>
  <c r="V34" i="2"/>
  <c r="AB33" i="2"/>
  <c r="AA33" i="2"/>
  <c r="W33" i="2"/>
  <c r="V33" i="2"/>
  <c r="AB32" i="2"/>
  <c r="AA32" i="2"/>
  <c r="W32" i="2"/>
  <c r="V32" i="2"/>
  <c r="AB31" i="2"/>
  <c r="AA31" i="2"/>
  <c r="W31" i="2"/>
  <c r="V31" i="2"/>
  <c r="AB30" i="2"/>
  <c r="AA30" i="2"/>
  <c r="W30" i="2"/>
  <c r="V30" i="2"/>
  <c r="AB29" i="2"/>
  <c r="AA29" i="2"/>
  <c r="W29" i="2"/>
  <c r="V29" i="2"/>
  <c r="AB28" i="2"/>
  <c r="AA28" i="2"/>
  <c r="W28" i="2"/>
  <c r="V28" i="2"/>
  <c r="AB27" i="2"/>
  <c r="AA27" i="2"/>
  <c r="W27" i="2"/>
  <c r="V27" i="2"/>
  <c r="AB26" i="2"/>
  <c r="AA26" i="2"/>
  <c r="W26" i="2"/>
  <c r="V26" i="2"/>
  <c r="AB25" i="2"/>
  <c r="AA25" i="2"/>
  <c r="W25" i="2"/>
  <c r="V25" i="2"/>
  <c r="AB24" i="2"/>
  <c r="AA24" i="2"/>
  <c r="W24" i="2"/>
  <c r="V24" i="2"/>
  <c r="AB23" i="2"/>
  <c r="AA23" i="2"/>
  <c r="W23" i="2"/>
  <c r="V23" i="2"/>
  <c r="AB22" i="2"/>
  <c r="AA22" i="2"/>
  <c r="W22" i="2"/>
  <c r="V22" i="2"/>
  <c r="AB21" i="2"/>
  <c r="AA21" i="2"/>
  <c r="W21" i="2"/>
  <c r="V21" i="2"/>
  <c r="AB20" i="2"/>
  <c r="AA20" i="2"/>
  <c r="W20" i="2"/>
  <c r="V20" i="2"/>
  <c r="AB19" i="2"/>
  <c r="AA19" i="2"/>
  <c r="W19" i="2"/>
  <c r="V19" i="2"/>
  <c r="AB18" i="2"/>
  <c r="AA18" i="2"/>
  <c r="W18" i="2"/>
  <c r="V18" i="2"/>
  <c r="AB17" i="2"/>
  <c r="AA17" i="2"/>
  <c r="W17" i="2"/>
  <c r="V17" i="2"/>
  <c r="AB16" i="2"/>
  <c r="AA16" i="2"/>
  <c r="W16" i="2"/>
  <c r="V16" i="2"/>
  <c r="AB15" i="2"/>
  <c r="AA15" i="2"/>
  <c r="W15" i="2"/>
  <c r="V15" i="2"/>
  <c r="AB14" i="2"/>
  <c r="AA14" i="2"/>
  <c r="W14" i="2"/>
  <c r="V14" i="2"/>
  <c r="AB13" i="2"/>
  <c r="AA13" i="2"/>
  <c r="W13" i="2"/>
  <c r="V13" i="2"/>
  <c r="AB12" i="2"/>
  <c r="AA12" i="2"/>
  <c r="W12" i="2"/>
  <c r="V12" i="2"/>
  <c r="AB11" i="2"/>
  <c r="AA11" i="2"/>
  <c r="W11" i="2"/>
  <c r="V11" i="2"/>
  <c r="AB10" i="2"/>
  <c r="AA10" i="2"/>
  <c r="W10" i="2"/>
  <c r="V10" i="2"/>
  <c r="AB9" i="2"/>
  <c r="AA9" i="2"/>
  <c r="W9" i="2"/>
  <c r="V9" i="2"/>
  <c r="AB8" i="2"/>
  <c r="AA8" i="2"/>
  <c r="W8" i="2"/>
  <c r="V8" i="2"/>
  <c r="AB7" i="2"/>
  <c r="AA7" i="2"/>
  <c r="W7" i="2"/>
  <c r="V7" i="2"/>
  <c r="AB6" i="2"/>
  <c r="AA6" i="2"/>
  <c r="W6" i="2"/>
  <c r="V6" i="2"/>
  <c r="AB5" i="2"/>
  <c r="AA5" i="2"/>
  <c r="W5" i="2"/>
  <c r="V5" i="2"/>
  <c r="AH5" i="2" l="1"/>
  <c r="AG5" i="2" s="1" a="1"/>
  <c r="AG5" i="2" s="1"/>
  <c r="AI5" i="2"/>
  <c r="AJ5" i="2" s="1"/>
  <c r="AP5" i="2"/>
  <c r="AH6" i="2"/>
  <c r="AG6" i="2" s="1" a="1"/>
  <c r="AG6" i="2" s="1"/>
  <c r="AI6" i="2"/>
  <c r="AJ6" i="2" s="1"/>
  <c r="AP6" i="2"/>
  <c r="AH7" i="2"/>
  <c r="AG7" i="2" s="1" a="1"/>
  <c r="AG7" i="2" s="1"/>
  <c r="AI7" i="2"/>
  <c r="AJ7" i="2" s="1"/>
  <c r="AP7" i="2"/>
  <c r="AH8" i="2"/>
  <c r="AG8" i="2" s="1" a="1"/>
  <c r="AG8" i="2" s="1"/>
  <c r="AI8" i="2"/>
  <c r="AJ8" i="2" s="1"/>
  <c r="AP8" i="2"/>
  <c r="AH9" i="2"/>
  <c r="AG9" i="2" s="1" a="1"/>
  <c r="AG9" i="2" s="1"/>
  <c r="AI9" i="2"/>
  <c r="AJ9" i="2" s="1"/>
  <c r="AP9" i="2"/>
  <c r="AH10" i="2"/>
  <c r="AG10" i="2" s="1" a="1"/>
  <c r="AG10" i="2" s="1"/>
  <c r="AI10" i="2"/>
  <c r="AJ10" i="2" s="1"/>
  <c r="AP10" i="2"/>
  <c r="AH11" i="2"/>
  <c r="AG11" i="2" s="1" a="1"/>
  <c r="AG11" i="2" s="1"/>
  <c r="AI11" i="2"/>
  <c r="AJ11" i="2" s="1"/>
  <c r="AP11" i="2"/>
  <c r="AH12" i="2"/>
  <c r="AG12" i="2" s="1" a="1"/>
  <c r="AG12" i="2" s="1"/>
  <c r="AI12" i="2"/>
  <c r="AJ12" i="2" s="1"/>
  <c r="AP12" i="2"/>
  <c r="AH13" i="2"/>
  <c r="AG13" i="2" s="1" a="1"/>
  <c r="AG13" i="2" s="1"/>
  <c r="AI13" i="2"/>
  <c r="AJ13" i="2" s="1"/>
  <c r="AP13" i="2"/>
  <c r="AH14" i="2"/>
  <c r="AG14" i="2" s="1" a="1"/>
  <c r="AG14" i="2" s="1"/>
  <c r="AI14" i="2"/>
  <c r="AJ14" i="2" s="1"/>
  <c r="AP14" i="2"/>
  <c r="AH15" i="2"/>
  <c r="AG15" i="2" s="1" a="1"/>
  <c r="AG15" i="2" s="1"/>
  <c r="AI15" i="2"/>
  <c r="AJ15" i="2" s="1"/>
  <c r="AP15" i="2"/>
  <c r="AH16" i="2"/>
  <c r="AG16" i="2" s="1" a="1"/>
  <c r="AG16" i="2" s="1"/>
  <c r="AI16" i="2"/>
  <c r="AJ16" i="2" s="1"/>
  <c r="AP16" i="2"/>
  <c r="AH17" i="2"/>
  <c r="AG17" i="2" s="1" a="1"/>
  <c r="AG17" i="2" s="1"/>
  <c r="AI17" i="2"/>
  <c r="AJ17" i="2" s="1"/>
  <c r="AP17" i="2"/>
  <c r="AH18" i="2"/>
  <c r="AG18" i="2" s="1" a="1"/>
  <c r="AG18" i="2" s="1"/>
  <c r="AI18" i="2"/>
  <c r="AJ18" i="2" s="1"/>
  <c r="AP18" i="2"/>
  <c r="AH19" i="2"/>
  <c r="AG19" i="2" s="1" a="1"/>
  <c r="AG19" i="2" s="1"/>
  <c r="AI19" i="2"/>
  <c r="AJ19" i="2" s="1"/>
  <c r="AP19" i="2"/>
  <c r="AH20" i="2"/>
  <c r="AG20" i="2" s="1" a="1"/>
  <c r="AG20" i="2" s="1"/>
  <c r="AI20" i="2"/>
  <c r="AJ20" i="2" s="1"/>
  <c r="AP20" i="2"/>
  <c r="AH21" i="2"/>
  <c r="AG21" i="2" s="1" a="1"/>
  <c r="AG21" i="2" s="1"/>
  <c r="AI21" i="2"/>
  <c r="AJ21" i="2" s="1"/>
  <c r="AP21" i="2"/>
  <c r="AH22" i="2"/>
  <c r="AG22" i="2" s="1" a="1"/>
  <c r="AG22" i="2" s="1"/>
  <c r="AI22" i="2"/>
  <c r="AJ22" i="2" s="1"/>
  <c r="AP22" i="2"/>
  <c r="AH23" i="2"/>
  <c r="AG23" i="2" s="1" a="1"/>
  <c r="AG23" i="2" s="1"/>
  <c r="AI23" i="2"/>
  <c r="AJ23" i="2" s="1"/>
  <c r="AP23" i="2"/>
  <c r="AH24" i="2"/>
  <c r="AG24" i="2" s="1" a="1"/>
  <c r="AG24" i="2" s="1"/>
  <c r="AI24" i="2"/>
  <c r="AJ24" i="2" s="1"/>
  <c r="AP24" i="2"/>
  <c r="AH25" i="2"/>
  <c r="AG25" i="2" s="1" a="1"/>
  <c r="AG25" i="2" s="1"/>
  <c r="AI25" i="2"/>
  <c r="AJ25" i="2" s="1"/>
  <c r="AP25" i="2"/>
  <c r="AH26" i="2"/>
  <c r="AG26" i="2" s="1" a="1"/>
  <c r="AG26" i="2" s="1"/>
  <c r="AI26" i="2"/>
  <c r="AJ26" i="2" s="1"/>
  <c r="AP26" i="2"/>
  <c r="AH27" i="2"/>
  <c r="AG27" i="2" s="1" a="1"/>
  <c r="AG27" i="2" s="1"/>
  <c r="AI27" i="2"/>
  <c r="AJ27" i="2" s="1"/>
  <c r="AP27" i="2"/>
  <c r="AH28" i="2"/>
  <c r="AG28" i="2" s="1" a="1"/>
  <c r="AG28" i="2" s="1"/>
  <c r="AI28" i="2"/>
  <c r="AJ28" i="2" s="1"/>
  <c r="AP28" i="2"/>
  <c r="AH29" i="2"/>
  <c r="AG29" i="2" s="1" a="1"/>
  <c r="AG29" i="2" s="1"/>
  <c r="AI29" i="2"/>
  <c r="AJ29" i="2" s="1"/>
  <c r="AP29" i="2"/>
  <c r="AH30" i="2"/>
  <c r="AG30" i="2" s="1" a="1"/>
  <c r="AG30" i="2" s="1"/>
  <c r="AI30" i="2"/>
  <c r="AJ30" i="2" s="1"/>
  <c r="AP30" i="2"/>
  <c r="AH31" i="2"/>
  <c r="AG31" i="2" s="1" a="1"/>
  <c r="AG31" i="2" s="1"/>
  <c r="AI31" i="2"/>
  <c r="AJ31" i="2" s="1"/>
  <c r="AP31" i="2"/>
  <c r="AH32" i="2"/>
  <c r="AG32" i="2" s="1" a="1"/>
  <c r="AG32" i="2" s="1"/>
  <c r="AI32" i="2"/>
  <c r="AJ32" i="2" s="1"/>
  <c r="AP32" i="2"/>
  <c r="AH33" i="2"/>
  <c r="AG33" i="2" s="1" a="1"/>
  <c r="AG33" i="2" s="1"/>
  <c r="AI33" i="2"/>
  <c r="AJ33" i="2" s="1"/>
  <c r="AP33" i="2"/>
  <c r="AH34" i="2"/>
  <c r="AG34" i="2" s="1" a="1"/>
  <c r="AG34" i="2" s="1"/>
  <c r="AI34" i="2"/>
  <c r="AJ34" i="2" s="1"/>
  <c r="AP34" i="2"/>
  <c r="AH35" i="2"/>
  <c r="AG35" i="2" s="1" a="1"/>
  <c r="AG35" i="2" s="1"/>
  <c r="AI35" i="2"/>
  <c r="AJ35" i="2" s="1"/>
  <c r="AP35" i="2"/>
  <c r="AK35" i="2" l="1"/>
  <c r="AK34" i="2"/>
  <c r="AK33" i="2"/>
  <c r="AK32" i="2"/>
  <c r="AK31" i="2"/>
  <c r="AK30" i="2"/>
  <c r="AK29" i="2"/>
  <c r="AK28" i="2"/>
  <c r="AK27" i="2"/>
  <c r="AK26" i="2"/>
  <c r="AK25" i="2"/>
  <c r="AK24" i="2"/>
  <c r="AK23" i="2"/>
  <c r="AK22" i="2"/>
  <c r="AK21" i="2"/>
  <c r="AK20" i="2"/>
  <c r="AK19" i="2"/>
  <c r="AK18" i="2"/>
  <c r="AK17" i="2"/>
  <c r="AK16" i="2"/>
  <c r="AK15" i="2"/>
  <c r="AK14" i="2"/>
  <c r="AK13" i="2"/>
  <c r="AK12" i="2"/>
  <c r="AK11" i="2"/>
  <c r="AK10" i="2"/>
  <c r="AK9" i="2"/>
  <c r="AK8" i="2"/>
  <c r="AK7" i="2"/>
  <c r="AK6" i="2"/>
  <c r="AK5" i="2"/>
  <c r="AN5" i="2" l="1"/>
  <c r="AR5" i="2" s="1"/>
  <c r="AO5" i="2"/>
  <c r="AT5" i="2" s="1"/>
  <c r="AN6" i="2"/>
  <c r="AR6" i="2" s="1"/>
  <c r="AO6" i="2"/>
  <c r="AT6" i="2" s="1"/>
  <c r="AN7" i="2"/>
  <c r="AR7" i="2" s="1"/>
  <c r="AO7" i="2"/>
  <c r="AT7" i="2" s="1"/>
  <c r="AN8" i="2"/>
  <c r="AR8" i="2" s="1"/>
  <c r="AO8" i="2"/>
  <c r="AT8" i="2" s="1"/>
  <c r="AN9" i="2"/>
  <c r="AR9" i="2" s="1"/>
  <c r="AO9" i="2"/>
  <c r="AT9" i="2" s="1"/>
  <c r="AN10" i="2"/>
  <c r="AR10" i="2" s="1"/>
  <c r="AO10" i="2"/>
  <c r="AT10" i="2" s="1"/>
  <c r="AN11" i="2"/>
  <c r="AR11" i="2" s="1"/>
  <c r="AO11" i="2"/>
  <c r="AT11" i="2" s="1"/>
  <c r="AN12" i="2"/>
  <c r="AR12" i="2" s="1"/>
  <c r="AO12" i="2"/>
  <c r="AT12" i="2" s="1"/>
  <c r="AN13" i="2"/>
  <c r="AR13" i="2" s="1"/>
  <c r="AO13" i="2"/>
  <c r="AT13" i="2" s="1"/>
  <c r="AN14" i="2"/>
  <c r="AR14" i="2" s="1"/>
  <c r="AO14" i="2"/>
  <c r="AT14" i="2" s="1"/>
  <c r="AN15" i="2"/>
  <c r="AR15" i="2" s="1"/>
  <c r="AO15" i="2"/>
  <c r="AT15" i="2" s="1"/>
  <c r="AN16" i="2"/>
  <c r="AR16" i="2" s="1"/>
  <c r="AO16" i="2"/>
  <c r="AT16" i="2" s="1"/>
  <c r="AN17" i="2"/>
  <c r="AR17" i="2" s="1"/>
  <c r="AO17" i="2"/>
  <c r="AT17" i="2" s="1"/>
  <c r="AN18" i="2"/>
  <c r="AR18" i="2" s="1"/>
  <c r="AO18" i="2"/>
  <c r="AT18" i="2" s="1"/>
  <c r="AN19" i="2"/>
  <c r="AR19" i="2" s="1"/>
  <c r="AO19" i="2"/>
  <c r="AT19" i="2" s="1"/>
  <c r="AN20" i="2"/>
  <c r="AR20" i="2" s="1"/>
  <c r="AO20" i="2"/>
  <c r="AT20" i="2" s="1"/>
  <c r="AN21" i="2"/>
  <c r="AR21" i="2" s="1"/>
  <c r="AO21" i="2"/>
  <c r="AT21" i="2" s="1"/>
  <c r="AN22" i="2"/>
  <c r="AR22" i="2" s="1"/>
  <c r="AO22" i="2"/>
  <c r="AT22" i="2" s="1"/>
  <c r="AN23" i="2"/>
  <c r="AR23" i="2" s="1"/>
  <c r="AO23" i="2"/>
  <c r="AT23" i="2" s="1"/>
  <c r="AN24" i="2"/>
  <c r="AR24" i="2" s="1"/>
  <c r="AO24" i="2"/>
  <c r="AT24" i="2" s="1"/>
  <c r="AN25" i="2"/>
  <c r="AR25" i="2" s="1"/>
  <c r="AO25" i="2"/>
  <c r="AT25" i="2" s="1"/>
  <c r="AN26" i="2"/>
  <c r="AR26" i="2" s="1"/>
  <c r="AO26" i="2"/>
  <c r="AT26" i="2" s="1"/>
  <c r="AN27" i="2"/>
  <c r="AR27" i="2" s="1"/>
  <c r="AO27" i="2"/>
  <c r="AT27" i="2" s="1"/>
  <c r="AN28" i="2"/>
  <c r="AR28" i="2" s="1"/>
  <c r="AO28" i="2"/>
  <c r="AT28" i="2" s="1"/>
  <c r="AN29" i="2"/>
  <c r="AR29" i="2" s="1"/>
  <c r="AO29" i="2"/>
  <c r="AT29" i="2" s="1"/>
  <c r="AN30" i="2"/>
  <c r="AR30" i="2" s="1"/>
  <c r="AO30" i="2"/>
  <c r="AT30" i="2" s="1"/>
  <c r="AN31" i="2"/>
  <c r="AR31" i="2" s="1"/>
  <c r="AO31" i="2"/>
  <c r="AT31" i="2" s="1"/>
  <c r="AN32" i="2"/>
  <c r="AR32" i="2" s="1"/>
  <c r="AO32" i="2"/>
  <c r="AT32" i="2" s="1"/>
  <c r="AN33" i="2"/>
  <c r="AR33" i="2" s="1"/>
  <c r="AO33" i="2"/>
  <c r="AT33" i="2" s="1"/>
  <c r="AN34" i="2"/>
  <c r="AR34" i="2" s="1"/>
  <c r="AO34" i="2"/>
  <c r="AT34" i="2" s="1"/>
  <c r="AN35" i="2"/>
  <c r="AR35" i="2" s="1"/>
  <c r="AO35" i="2"/>
  <c r="AT35" i="2" s="1"/>
  <c r="BO4" i="2" l="1"/>
  <c r="BA5" i="2"/>
  <c r="BC5" i="2" s="1" a="1"/>
  <c r="BC5" i="2" s="1"/>
  <c r="BA6" i="2"/>
  <c r="BC6" i="2" s="1" a="1"/>
  <c r="BC6" i="2" s="1"/>
  <c r="BA7" i="2"/>
  <c r="BC7" i="2" s="1" a="1"/>
  <c r="BC7" i="2" s="1"/>
  <c r="BA8" i="2"/>
  <c r="BC8" i="2" s="1" a="1"/>
  <c r="BC8" i="2" s="1"/>
  <c r="BA9" i="2"/>
  <c r="BC9" i="2" s="1" a="1"/>
  <c r="BC9" i="2" s="1"/>
  <c r="BA10" i="2"/>
  <c r="BC10" i="2" s="1" a="1"/>
  <c r="BC10" i="2" s="1"/>
  <c r="BA11" i="2"/>
  <c r="BC11" i="2" s="1" a="1"/>
  <c r="BC11" i="2" s="1"/>
  <c r="BA12" i="2"/>
  <c r="BC12" i="2" s="1" a="1"/>
  <c r="BC12" i="2" s="1"/>
  <c r="BA13" i="2"/>
  <c r="BC13" i="2" s="1" a="1"/>
  <c r="BC13" i="2" s="1"/>
  <c r="BA14" i="2"/>
  <c r="BC14" i="2" s="1" a="1"/>
  <c r="BC14" i="2" s="1"/>
  <c r="BA15" i="2"/>
  <c r="BC15" i="2" s="1" a="1"/>
  <c r="BC15" i="2" s="1"/>
  <c r="BA16" i="2"/>
  <c r="BC16" i="2" s="1" a="1"/>
  <c r="BC16" i="2" s="1"/>
  <c r="BA17" i="2"/>
  <c r="BC17" i="2" s="1" a="1"/>
  <c r="BC17" i="2" s="1"/>
  <c r="BA18" i="2"/>
  <c r="BC18" i="2" s="1" a="1"/>
  <c r="BC18" i="2" s="1"/>
  <c r="BA19" i="2"/>
  <c r="BC19" i="2" s="1" a="1"/>
  <c r="BC19" i="2" s="1"/>
  <c r="BA20" i="2"/>
  <c r="BC20" i="2" s="1" a="1"/>
  <c r="BC20" i="2" s="1"/>
  <c r="BA21" i="2"/>
  <c r="BC21" i="2" s="1" a="1"/>
  <c r="BC21" i="2" s="1"/>
  <c r="BA22" i="2"/>
  <c r="BC22" i="2" s="1" a="1"/>
  <c r="BC22" i="2" s="1"/>
  <c r="BA23" i="2"/>
  <c r="BC23" i="2" s="1" a="1"/>
  <c r="BC23" i="2" s="1"/>
  <c r="BA24" i="2"/>
  <c r="BC24" i="2" s="1" a="1"/>
  <c r="BC24" i="2" s="1"/>
  <c r="BA25" i="2"/>
  <c r="BC25" i="2" s="1" a="1"/>
  <c r="BC25" i="2" s="1"/>
  <c r="BA26" i="2"/>
  <c r="BC26" i="2" s="1" a="1"/>
  <c r="BC26" i="2" s="1"/>
  <c r="BA27" i="2"/>
  <c r="BC27" i="2" s="1" a="1"/>
  <c r="BC27" i="2" s="1"/>
  <c r="BA28" i="2"/>
  <c r="BC28" i="2" s="1" a="1"/>
  <c r="BC28" i="2" s="1"/>
  <c r="BA29" i="2"/>
  <c r="BC29" i="2" s="1" a="1"/>
  <c r="BC29" i="2" s="1"/>
  <c r="BA30" i="2"/>
  <c r="BC30" i="2" s="1" a="1"/>
  <c r="BC30" i="2" s="1"/>
  <c r="BA31" i="2"/>
  <c r="BC31" i="2" s="1" a="1"/>
  <c r="BC31" i="2" s="1"/>
  <c r="BA32" i="2"/>
  <c r="BC32" i="2" s="1" a="1"/>
  <c r="BC32" i="2" s="1"/>
  <c r="BA33" i="2"/>
  <c r="BC33" i="2" s="1" a="1"/>
  <c r="BC33" i="2" s="1"/>
  <c r="BA34" i="2"/>
  <c r="BC34" i="2" s="1" a="1"/>
  <c r="BC34" i="2" s="1"/>
  <c r="BA35" i="2"/>
  <c r="BC35" i="2" s="1" a="1"/>
  <c r="BC35" i="2" s="1"/>
  <c r="BA36" i="2"/>
  <c r="BC36" i="2" s="1" a="1"/>
  <c r="BC36" i="2" s="1"/>
  <c r="K4" i="2"/>
  <c r="BL4" i="2"/>
  <c r="A95" i="1"/>
  <c r="BA4" i="2"/>
  <c r="BC4" i="2" a="1"/>
  <c r="BC4" i="2" s="1"/>
  <c r="D41" i="2"/>
  <c r="F41" i="2" a="1"/>
  <c r="F41" i="2"/>
  <c r="AL36" i="2" l="1"/>
  <c r="AS36" i="2" s="1"/>
  <c r="AV36" i="2" s="1"/>
  <c r="AM36" i="2"/>
  <c r="AQ36" i="2" s="1"/>
  <c r="AU36" i="2" s="1"/>
  <c r="BG36" i="2" s="1"/>
  <c r="BK36" i="2" s="1"/>
  <c r="BN36" i="2" s="1"/>
  <c r="AL35" i="2"/>
  <c r="AS35" i="2" s="1"/>
  <c r="AV35" i="2" s="1"/>
  <c r="AM35" i="2"/>
  <c r="AQ35" i="2" s="1"/>
  <c r="AU35" i="2" s="1"/>
  <c r="BG35" i="2" s="1"/>
  <c r="BK35" i="2" s="1"/>
  <c r="BN35" i="2" s="1"/>
  <c r="AL34" i="2"/>
  <c r="AS34" i="2" s="1"/>
  <c r="AV34" i="2" s="1"/>
  <c r="AM34" i="2"/>
  <c r="AQ34" i="2" s="1"/>
  <c r="AU34" i="2" s="1"/>
  <c r="BG34" i="2" s="1"/>
  <c r="BK34" i="2" s="1"/>
  <c r="BN34" i="2" s="1"/>
  <c r="AL33" i="2"/>
  <c r="AS33" i="2" s="1"/>
  <c r="AV33" i="2" s="1"/>
  <c r="AM33" i="2"/>
  <c r="AQ33" i="2" s="1"/>
  <c r="AU33" i="2" s="1"/>
  <c r="BG33" i="2" s="1"/>
  <c r="BK33" i="2" s="1"/>
  <c r="BN33" i="2" s="1"/>
  <c r="AL32" i="2"/>
  <c r="AS32" i="2" s="1"/>
  <c r="AV32" i="2" s="1"/>
  <c r="AM32" i="2"/>
  <c r="AQ32" i="2" s="1"/>
  <c r="AU32" i="2" s="1"/>
  <c r="BG32" i="2" s="1"/>
  <c r="BK32" i="2" s="1"/>
  <c r="BN32" i="2" s="1"/>
  <c r="AL31" i="2"/>
  <c r="AS31" i="2" s="1"/>
  <c r="AV31" i="2" s="1"/>
  <c r="AM31" i="2"/>
  <c r="AQ31" i="2" s="1"/>
  <c r="AU31" i="2" s="1"/>
  <c r="BG31" i="2" s="1"/>
  <c r="BK31" i="2" s="1"/>
  <c r="BN31" i="2" s="1"/>
  <c r="AL30" i="2"/>
  <c r="AS30" i="2" s="1"/>
  <c r="AV30" i="2" s="1"/>
  <c r="AM30" i="2"/>
  <c r="AQ30" i="2" s="1"/>
  <c r="AU30" i="2" s="1"/>
  <c r="BG30" i="2" s="1"/>
  <c r="BK30" i="2" s="1"/>
  <c r="BN30" i="2" s="1"/>
  <c r="AL29" i="2"/>
  <c r="AS29" i="2" s="1"/>
  <c r="AV29" i="2" s="1"/>
  <c r="AM29" i="2"/>
  <c r="AQ29" i="2" s="1"/>
  <c r="AU29" i="2" s="1"/>
  <c r="BG29" i="2" s="1"/>
  <c r="BK29" i="2" s="1"/>
  <c r="BN29" i="2" s="1"/>
  <c r="AL28" i="2"/>
  <c r="AS28" i="2" s="1"/>
  <c r="AV28" i="2" s="1"/>
  <c r="AM28" i="2"/>
  <c r="AQ28" i="2" s="1"/>
  <c r="AU28" i="2" s="1"/>
  <c r="BG28" i="2" s="1"/>
  <c r="BK28" i="2" s="1"/>
  <c r="BN28" i="2" s="1"/>
  <c r="AL27" i="2"/>
  <c r="AS27" i="2" s="1"/>
  <c r="AV27" i="2" s="1"/>
  <c r="AM27" i="2"/>
  <c r="AQ27" i="2" s="1"/>
  <c r="AU27" i="2" s="1"/>
  <c r="BG27" i="2" s="1"/>
  <c r="BK27" i="2" s="1"/>
  <c r="BN27" i="2" s="1"/>
  <c r="AL26" i="2"/>
  <c r="AS26" i="2" s="1"/>
  <c r="AV26" i="2" s="1"/>
  <c r="AM26" i="2"/>
  <c r="AQ26" i="2" s="1"/>
  <c r="AU26" i="2" s="1"/>
  <c r="BG26" i="2" s="1"/>
  <c r="BK26" i="2" s="1"/>
  <c r="BN26" i="2" s="1"/>
  <c r="AL25" i="2"/>
  <c r="AS25" i="2" s="1"/>
  <c r="AV25" i="2" s="1"/>
  <c r="AM25" i="2"/>
  <c r="AQ25" i="2" s="1"/>
  <c r="AU25" i="2" s="1"/>
  <c r="BG25" i="2" s="1"/>
  <c r="BK25" i="2" s="1"/>
  <c r="BN25" i="2" s="1"/>
  <c r="AL24" i="2"/>
  <c r="AS24" i="2" s="1"/>
  <c r="AV24" i="2" s="1"/>
  <c r="AM24" i="2"/>
  <c r="AQ24" i="2" s="1"/>
  <c r="AU24" i="2" s="1"/>
  <c r="BG24" i="2" s="1"/>
  <c r="BK24" i="2" s="1"/>
  <c r="BN24" i="2" s="1"/>
  <c r="AL23" i="2"/>
  <c r="AS23" i="2" s="1"/>
  <c r="AV23" i="2" s="1"/>
  <c r="AM23" i="2"/>
  <c r="AQ23" i="2" s="1"/>
  <c r="AU23" i="2" s="1"/>
  <c r="BG23" i="2" s="1"/>
  <c r="BK23" i="2" s="1"/>
  <c r="BN23" i="2" s="1"/>
  <c r="AL22" i="2"/>
  <c r="AS22" i="2" s="1"/>
  <c r="AV22" i="2" s="1"/>
  <c r="AM22" i="2"/>
  <c r="AQ22" i="2" s="1"/>
  <c r="AU22" i="2" s="1"/>
  <c r="BG22" i="2" s="1"/>
  <c r="BK22" i="2" s="1"/>
  <c r="BN22" i="2" s="1"/>
  <c r="AL21" i="2"/>
  <c r="AS21" i="2" s="1"/>
  <c r="AV21" i="2" s="1"/>
  <c r="AM21" i="2"/>
  <c r="AQ21" i="2" s="1"/>
  <c r="AU21" i="2" s="1"/>
  <c r="BG21" i="2" s="1"/>
  <c r="BK21" i="2" s="1"/>
  <c r="BN21" i="2" s="1"/>
  <c r="AL20" i="2"/>
  <c r="AS20" i="2" s="1"/>
  <c r="AV20" i="2" s="1"/>
  <c r="AM20" i="2"/>
  <c r="AQ20" i="2" s="1"/>
  <c r="AU20" i="2" s="1"/>
  <c r="BG20" i="2" s="1"/>
  <c r="BK20" i="2" s="1"/>
  <c r="BN20" i="2" s="1"/>
  <c r="AL19" i="2"/>
  <c r="AS19" i="2" s="1"/>
  <c r="AV19" i="2" s="1"/>
  <c r="AM19" i="2"/>
  <c r="AQ19" i="2" s="1"/>
  <c r="AU19" i="2" s="1"/>
  <c r="BG19" i="2" s="1"/>
  <c r="BK19" i="2" s="1"/>
  <c r="BN19" i="2" s="1"/>
  <c r="AL18" i="2"/>
  <c r="AS18" i="2" s="1"/>
  <c r="AV18" i="2" s="1"/>
  <c r="AM18" i="2"/>
  <c r="AQ18" i="2" s="1"/>
  <c r="AU18" i="2" s="1"/>
  <c r="BG18" i="2" s="1"/>
  <c r="BK18" i="2" s="1"/>
  <c r="BN18" i="2" s="1"/>
  <c r="AL17" i="2"/>
  <c r="AS17" i="2" s="1"/>
  <c r="AV17" i="2" s="1"/>
  <c r="AM17" i="2"/>
  <c r="AQ17" i="2" s="1"/>
  <c r="AU17" i="2" s="1"/>
  <c r="BG17" i="2" s="1"/>
  <c r="BK17" i="2" s="1"/>
  <c r="BN17" i="2" s="1"/>
  <c r="AL16" i="2"/>
  <c r="AS16" i="2" s="1"/>
  <c r="AV16" i="2" s="1"/>
  <c r="AM16" i="2"/>
  <c r="AQ16" i="2" s="1"/>
  <c r="AU16" i="2" s="1"/>
  <c r="BG16" i="2" s="1"/>
  <c r="BK16" i="2" s="1"/>
  <c r="BN16" i="2" s="1"/>
  <c r="AL15" i="2"/>
  <c r="AS15" i="2" s="1"/>
  <c r="AV15" i="2" s="1"/>
  <c r="AM15" i="2"/>
  <c r="AQ15" i="2" s="1"/>
  <c r="AU15" i="2" s="1"/>
  <c r="BG15" i="2" s="1"/>
  <c r="BK15" i="2" s="1"/>
  <c r="BN15" i="2" s="1"/>
  <c r="AL14" i="2"/>
  <c r="AS14" i="2" s="1"/>
  <c r="AV14" i="2" s="1"/>
  <c r="AM14" i="2"/>
  <c r="AQ14" i="2" s="1"/>
  <c r="AU14" i="2" s="1"/>
  <c r="BG14" i="2" s="1"/>
  <c r="BK14" i="2" s="1"/>
  <c r="BN14" i="2" s="1"/>
  <c r="AL13" i="2"/>
  <c r="AS13" i="2" s="1"/>
  <c r="AV13" i="2" s="1"/>
  <c r="AM13" i="2"/>
  <c r="AQ13" i="2" s="1"/>
  <c r="AU13" i="2" s="1"/>
  <c r="BG13" i="2" s="1"/>
  <c r="BK13" i="2" s="1"/>
  <c r="BN13" i="2" s="1"/>
  <c r="AL12" i="2"/>
  <c r="AS12" i="2" s="1"/>
  <c r="AV12" i="2" s="1"/>
  <c r="AM12" i="2"/>
  <c r="AQ12" i="2" s="1"/>
  <c r="AU12" i="2" s="1"/>
  <c r="BG12" i="2" s="1"/>
  <c r="BK12" i="2" s="1"/>
  <c r="BN12" i="2" s="1"/>
  <c r="AL11" i="2"/>
  <c r="AS11" i="2" s="1"/>
  <c r="AV11" i="2" s="1"/>
  <c r="AM11" i="2"/>
  <c r="AQ11" i="2" s="1"/>
  <c r="AU11" i="2" s="1"/>
  <c r="BG11" i="2" s="1"/>
  <c r="BK11" i="2" s="1"/>
  <c r="BN11" i="2" s="1"/>
  <c r="AL10" i="2"/>
  <c r="AS10" i="2" s="1"/>
  <c r="AV10" i="2" s="1"/>
  <c r="AM10" i="2"/>
  <c r="AQ10" i="2" s="1"/>
  <c r="AU10" i="2" s="1"/>
  <c r="BG10" i="2" s="1"/>
  <c r="BK10" i="2" s="1"/>
  <c r="BN10" i="2" s="1"/>
  <c r="AL9" i="2"/>
  <c r="AS9" i="2" s="1"/>
  <c r="AV9" i="2" s="1"/>
  <c r="AM9" i="2"/>
  <c r="AQ9" i="2" s="1"/>
  <c r="AU9" i="2" s="1"/>
  <c r="BG9" i="2" s="1"/>
  <c r="BK9" i="2" s="1"/>
  <c r="BN9" i="2" s="1"/>
  <c r="AL8" i="2"/>
  <c r="AS8" i="2" s="1"/>
  <c r="AV8" i="2" s="1"/>
  <c r="AM8" i="2"/>
  <c r="AQ8" i="2" s="1"/>
  <c r="AU8" i="2" s="1"/>
  <c r="BG8" i="2" s="1"/>
  <c r="BK8" i="2" s="1"/>
  <c r="BN8" i="2" s="1"/>
  <c r="AL7" i="2"/>
  <c r="AS7" i="2" s="1"/>
  <c r="AV7" i="2" s="1"/>
  <c r="AM7" i="2"/>
  <c r="AQ7" i="2" s="1"/>
  <c r="AU7" i="2" s="1"/>
  <c r="BG7" i="2" s="1"/>
  <c r="BK7" i="2" s="1"/>
  <c r="BN7" i="2" s="1"/>
  <c r="AL6" i="2"/>
  <c r="AS6" i="2" s="1"/>
  <c r="AV6" i="2" s="1"/>
  <c r="AM6" i="2"/>
  <c r="AQ6" i="2" s="1"/>
  <c r="AU6" i="2" s="1"/>
  <c r="BG6" i="2" s="1"/>
  <c r="BK6" i="2" s="1"/>
  <c r="BN6" i="2" s="1"/>
  <c r="AL5" i="2"/>
  <c r="AS5" i="2" s="1"/>
  <c r="AV5" i="2" s="1"/>
  <c r="AM5" i="2"/>
  <c r="AQ5" i="2" s="1"/>
  <c r="AU5" i="2" s="1"/>
  <c r="BG5" i="2" s="1"/>
  <c r="BK5" i="2" s="1"/>
  <c r="BN5" i="2" s="1"/>
  <c r="BM4" i="2"/>
  <c r="BP4" i="2" s="1"/>
  <c r="F46" i="2"/>
  <c r="B74" i="1"/>
  <c r="A74" i="1"/>
  <c r="F74" i="1" s="1"/>
  <c r="F68" i="1"/>
  <c r="AW5" i="2" l="1"/>
  <c r="AX5" i="2"/>
  <c r="BH5" i="2"/>
  <c r="AY5" i="2" s="1"/>
  <c r="AW6" i="2"/>
  <c r="AX6" i="2"/>
  <c r="BH6" i="2"/>
  <c r="AY6" i="2" s="1"/>
  <c r="AW7" i="2"/>
  <c r="AX7" i="2"/>
  <c r="BH7" i="2"/>
  <c r="AY7" i="2" s="1"/>
  <c r="AW8" i="2"/>
  <c r="AX8" i="2"/>
  <c r="BH8" i="2"/>
  <c r="AY8" i="2" s="1"/>
  <c r="AW9" i="2"/>
  <c r="AX9" i="2"/>
  <c r="BH9" i="2"/>
  <c r="AY9" i="2" s="1"/>
  <c r="AW10" i="2"/>
  <c r="AX10" i="2"/>
  <c r="BH10" i="2"/>
  <c r="AY10" i="2" s="1"/>
  <c r="AW11" i="2"/>
  <c r="AX11" i="2"/>
  <c r="BH11" i="2"/>
  <c r="AY11" i="2" s="1"/>
  <c r="AW12" i="2"/>
  <c r="AX12" i="2"/>
  <c r="BH12" i="2"/>
  <c r="AY12" i="2" s="1"/>
  <c r="AW13" i="2"/>
  <c r="AX13" i="2"/>
  <c r="BH13" i="2"/>
  <c r="AY13" i="2" s="1"/>
  <c r="AW14" i="2"/>
  <c r="AX14" i="2"/>
  <c r="BH14" i="2"/>
  <c r="AY14" i="2" s="1"/>
  <c r="AW15" i="2"/>
  <c r="AX15" i="2"/>
  <c r="BH15" i="2"/>
  <c r="AY15" i="2" s="1"/>
  <c r="AW16" i="2"/>
  <c r="AX16" i="2"/>
  <c r="BH16" i="2"/>
  <c r="AY16" i="2" s="1"/>
  <c r="AW17" i="2"/>
  <c r="AX17" i="2"/>
  <c r="BH17" i="2"/>
  <c r="AY17" i="2" s="1"/>
  <c r="AW18" i="2"/>
  <c r="AX18" i="2"/>
  <c r="BH18" i="2"/>
  <c r="AY18" i="2" s="1"/>
  <c r="AW19" i="2"/>
  <c r="AX19" i="2"/>
  <c r="BH19" i="2"/>
  <c r="AY19" i="2" s="1"/>
  <c r="AW20" i="2"/>
  <c r="AX20" i="2"/>
  <c r="BH20" i="2"/>
  <c r="AY20" i="2" s="1"/>
  <c r="AW21" i="2"/>
  <c r="AX21" i="2"/>
  <c r="BH21" i="2"/>
  <c r="AY21" i="2" s="1"/>
  <c r="AW22" i="2"/>
  <c r="AX22" i="2"/>
  <c r="BH22" i="2"/>
  <c r="AY22" i="2" s="1"/>
  <c r="AW23" i="2"/>
  <c r="AX23" i="2"/>
  <c r="BH23" i="2"/>
  <c r="AY23" i="2" s="1"/>
  <c r="AW24" i="2"/>
  <c r="AX24" i="2"/>
  <c r="BH24" i="2"/>
  <c r="AY24" i="2" s="1"/>
  <c r="AW25" i="2"/>
  <c r="AX25" i="2"/>
  <c r="BH25" i="2"/>
  <c r="AY25" i="2" s="1"/>
  <c r="AW26" i="2"/>
  <c r="AX26" i="2"/>
  <c r="BH26" i="2"/>
  <c r="AY26" i="2" s="1"/>
  <c r="AW27" i="2"/>
  <c r="AX27" i="2"/>
  <c r="BH27" i="2"/>
  <c r="AY27" i="2" s="1"/>
  <c r="AW28" i="2"/>
  <c r="AX28" i="2"/>
  <c r="BH28" i="2"/>
  <c r="AY28" i="2" s="1"/>
  <c r="AW29" i="2"/>
  <c r="AX29" i="2"/>
  <c r="BH29" i="2"/>
  <c r="AY29" i="2" s="1"/>
  <c r="AW30" i="2"/>
  <c r="AX30" i="2"/>
  <c r="BH30" i="2"/>
  <c r="AY30" i="2" s="1"/>
  <c r="AW31" i="2"/>
  <c r="AX31" i="2"/>
  <c r="BH31" i="2"/>
  <c r="AY31" i="2" s="1"/>
  <c r="AW32" i="2"/>
  <c r="AX32" i="2"/>
  <c r="BH32" i="2"/>
  <c r="AY32" i="2" s="1"/>
  <c r="AW33" i="2"/>
  <c r="AX33" i="2"/>
  <c r="BH33" i="2"/>
  <c r="AY33" i="2" s="1"/>
  <c r="AW34" i="2"/>
  <c r="AX34" i="2"/>
  <c r="BH34" i="2"/>
  <c r="AY34" i="2" s="1"/>
  <c r="AW35" i="2"/>
  <c r="AX35" i="2"/>
  <c r="BH35" i="2"/>
  <c r="AY35" i="2" s="1"/>
  <c r="AW36" i="2"/>
  <c r="AX36" i="2"/>
  <c r="BH36" i="2"/>
  <c r="AY36" i="2" s="1"/>
  <c r="F61" i="1"/>
  <c r="F64" i="1" s="1"/>
  <c r="D54" i="1"/>
  <c r="D53" i="1"/>
  <c r="G53" i="1"/>
  <c r="F55" i="1" a="1"/>
  <c r="F55" i="1"/>
  <c r="F54" i="1"/>
  <c r="A55" i="1"/>
  <c r="D55" i="1" s="1"/>
  <c r="A56" i="1"/>
  <c r="D56" i="1" s="1"/>
  <c r="F53" i="1"/>
  <c r="F56" i="1" l="1" a="1"/>
  <c r="F56" i="1" s="1"/>
  <c r="G56" i="1" s="1"/>
  <c r="B49" i="1"/>
  <c r="D49" i="1" s="1"/>
  <c r="L4" i="2"/>
  <c r="H4" i="2"/>
  <c r="I4" i="2" s="1"/>
  <c r="J4" i="2" s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Q4" i="2" l="1"/>
  <c r="R4" i="2" s="1" a="1"/>
  <c r="R4" i="2" s="1"/>
  <c r="X4" i="2"/>
  <c r="T4" i="2"/>
  <c r="AE4" i="2" s="1"/>
  <c r="AC4" i="2" s="1"/>
  <c r="O4" i="2" l="1"/>
  <c r="P4" i="2" s="1"/>
  <c r="Y4" i="2"/>
  <c r="M4" i="2"/>
  <c r="AD4" i="2" l="1"/>
  <c r="N4" i="2" a="1"/>
  <c r="N4" i="2" s="1"/>
  <c r="U4" i="2" s="1"/>
  <c r="V4" i="2" s="1"/>
  <c r="S4" i="2"/>
  <c r="BI35" i="2" l="1"/>
  <c r="BI34" i="2"/>
  <c r="BI33" i="2"/>
  <c r="BI32" i="2"/>
  <c r="BI31" i="2"/>
  <c r="BI30" i="2"/>
  <c r="BI29" i="2"/>
  <c r="BI28" i="2"/>
  <c r="BI27" i="2"/>
  <c r="BI26" i="2"/>
  <c r="BI25" i="2"/>
  <c r="BI24" i="2"/>
  <c r="BI23" i="2"/>
  <c r="BI22" i="2"/>
  <c r="BI21" i="2"/>
  <c r="BI20" i="2"/>
  <c r="BI19" i="2"/>
  <c r="BI18" i="2"/>
  <c r="BI17" i="2"/>
  <c r="BI16" i="2"/>
  <c r="BI15" i="2"/>
  <c r="BI14" i="2"/>
  <c r="BI13" i="2"/>
  <c r="BI12" i="2"/>
  <c r="BI11" i="2"/>
  <c r="BI10" i="2"/>
  <c r="BI9" i="2"/>
  <c r="BI8" i="2"/>
  <c r="BI7" i="2"/>
  <c r="BI6" i="2"/>
  <c r="BI5" i="2"/>
  <c r="W4" i="2"/>
  <c r="Z4" i="2"/>
  <c r="AA4" i="2" s="1"/>
  <c r="AL4" i="2" l="1"/>
  <c r="AI4" i="2"/>
  <c r="AM4" i="2"/>
  <c r="AB4" i="2"/>
  <c r="AH4" i="2" s="1"/>
  <c r="BI36" i="2" l="1"/>
  <c r="AH39" i="2"/>
  <c r="AG4" i="2" a="1"/>
  <c r="AG4" i="2" s="1"/>
  <c r="AP4" i="2"/>
  <c r="AJ4" i="2"/>
  <c r="AS4" i="2" l="1"/>
  <c r="AQ4" i="2"/>
  <c r="AK4" i="2"/>
  <c r="AO4" i="2" l="1"/>
  <c r="AN4" i="2"/>
  <c r="AR4" i="2"/>
  <c r="AU4" i="2" s="1"/>
  <c r="AT4" i="2"/>
  <c r="AV4" i="2" s="1"/>
  <c r="BK4" i="2" l="1"/>
  <c r="AX4" i="2"/>
  <c r="AW4" i="2"/>
  <c r="BN4" i="2" l="1"/>
  <c r="BN39" i="2"/>
  <c r="BH4" i="2"/>
  <c r="AY4" i="2" s="1"/>
  <c r="BI4" i="2" s="1"/>
  <c r="BO5" i="2" l="1"/>
  <c r="BP5" i="2"/>
  <c r="BP6" i="2" s="1"/>
  <c r="BP7" i="2" s="1"/>
  <c r="BP8" i="2" s="1"/>
  <c r="BP9" i="2" s="1"/>
  <c r="BP10" i="2" s="1"/>
  <c r="BP11" i="2" s="1"/>
  <c r="BP12" i="2" s="1"/>
  <c r="BP13" i="2" s="1"/>
  <c r="BP14" i="2" s="1"/>
  <c r="BP15" i="2" s="1"/>
  <c r="BP16" i="2" s="1"/>
  <c r="BP17" i="2" s="1"/>
  <c r="BP18" i="2" s="1"/>
  <c r="BP19" i="2" s="1"/>
  <c r="BP20" i="2" s="1"/>
  <c r="BP21" i="2" l="1"/>
  <c r="BP22" i="2" s="1"/>
  <c r="BP23" i="2" s="1"/>
  <c r="BP24" i="2" s="1"/>
  <c r="BP25" i="2" s="1"/>
  <c r="BP26" i="2" s="1"/>
  <c r="BP27" i="2" s="1"/>
  <c r="BP28" i="2" s="1"/>
  <c r="BP29" i="2" s="1"/>
  <c r="BP30" i="2" s="1"/>
  <c r="BP31" i="2" s="1"/>
  <c r="BP32" i="2" s="1"/>
  <c r="BP33" i="2" s="1"/>
  <c r="BP34" i="2" s="1"/>
  <c r="BP35" i="2" s="1"/>
  <c r="BP36" i="2" s="1"/>
  <c r="C57" i="2" s="1" a="1"/>
  <c r="C57" i="2" s="1"/>
  <c r="BO6" i="2"/>
  <c r="BO7" i="2" l="1"/>
  <c r="BO8" i="2" l="1"/>
  <c r="BO9" i="2" l="1"/>
  <c r="BO10" i="2" l="1"/>
  <c r="BO11" i="2" l="1"/>
  <c r="BO12" i="2" l="1"/>
  <c r="BO13" i="2" l="1"/>
  <c r="BO14" i="2" l="1"/>
  <c r="BO15" i="2" l="1"/>
  <c r="BO16" i="2" l="1"/>
  <c r="BO17" i="2" l="1"/>
  <c r="BO18" i="2" l="1"/>
  <c r="BO19" i="2" l="1"/>
  <c r="BO20" i="2" l="1"/>
  <c r="BO21" i="2" l="1"/>
  <c r="BO22" i="2" l="1"/>
  <c r="BO23" i="2" l="1"/>
  <c r="BO24" i="2" l="1"/>
  <c r="BO25" i="2" l="1"/>
  <c r="BO26" i="2" l="1"/>
  <c r="BO27" i="2" l="1"/>
  <c r="BO28" i="2" l="1"/>
  <c r="BO29" i="2" l="1"/>
  <c r="BO30" i="2" l="1"/>
  <c r="BO31" i="2" l="1"/>
  <c r="BO32" i="2" l="1"/>
  <c r="BO33" i="2" l="1"/>
  <c r="BO34" i="2" l="1"/>
  <c r="BO35" i="2" l="1"/>
  <c r="BO36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<sst xmlns="http://schemas.openxmlformats.org/spreadsheetml/2006/main" count="346" uniqueCount="201">
  <si>
    <t>Wave FT</t>
  </si>
  <si>
    <t>following kts</t>
  </si>
  <si>
    <t>wave FT</t>
  </si>
  <si>
    <t>Beam kts</t>
  </si>
  <si>
    <t xml:space="preserve">Wave FT </t>
  </si>
  <si>
    <t>Head kts</t>
  </si>
  <si>
    <t>Test</t>
  </si>
  <si>
    <t>Formule final</t>
  </si>
  <si>
    <t>= 0,000652681*X^3-0,0356523*X^2+0,29714*X+15,2038</t>
  </si>
  <si>
    <t xml:space="preserve">Test </t>
  </si>
  <si>
    <t>= -0,0000000868778*X^5-0,0000459619*X^4+0,00347366*X^3-0,0884721*X^2+0,510463*X+14,9932</t>
  </si>
  <si>
    <t>=-0,00000154449*X^5+0,0000797696*X^4+0,000148965*X^3-0,0570448*X^2+0,244115*X+15,0029</t>
  </si>
  <si>
    <t>N/S</t>
  </si>
  <si>
    <t>Degrés</t>
  </si>
  <si>
    <t>Minutes</t>
  </si>
  <si>
    <t>W/E</t>
  </si>
  <si>
    <t>S</t>
  </si>
  <si>
    <t>No.</t>
  </si>
  <si>
    <t>W</t>
  </si>
  <si>
    <t>MP</t>
  </si>
  <si>
    <t>=7915,704468*LOG((TAN((RADIANS(45)+(X/2)))))-23,268932*SIN(X)-0,0525*(SIN(X)^3)*(SIN(X)^5)</t>
  </si>
  <si>
    <t xml:space="preserve"> Lat. Deg.</t>
  </si>
  <si>
    <t xml:space="preserve"> Lat. Valeurs radiants </t>
  </si>
  <si>
    <t>Lg Deg.</t>
  </si>
  <si>
    <t xml:space="preserve">Lg Valeurs radiant </t>
  </si>
  <si>
    <t>Latitude</t>
  </si>
  <si>
    <t>Longitude</t>
  </si>
  <si>
    <t>D.Lat</t>
  </si>
  <si>
    <t>D.Long</t>
  </si>
  <si>
    <t>E</t>
  </si>
  <si>
    <t>=SI.CONDITIONS(B53=B54;D54-D53;(D53+D54)&gt;(RADIANS(180));RADIANS(360)-(D53+D54);B53&lt;&gt;B54;D53+D54)</t>
  </si>
  <si>
    <t>D.Long (min)</t>
  </si>
  <si>
    <t>=DEGRES(SI.CONDITIONS(B53=B54;D54-D53;(D53+D54)&gt;(RADIANS(180));RADIANS(360)-(D53+D54);B53&lt;&gt;B54;D53+D54))*60</t>
  </si>
  <si>
    <t>D.Lat (min)</t>
  </si>
  <si>
    <t>DMP</t>
  </si>
  <si>
    <t>dg</t>
  </si>
  <si>
    <t>dmp</t>
  </si>
  <si>
    <t>=DEGRES(ATAN(A61/B61))</t>
  </si>
  <si>
    <t>dl</t>
  </si>
  <si>
    <t>'=(C61/(COS(RADIANS(F61))))</t>
  </si>
  <si>
    <t>Mo</t>
  </si>
  <si>
    <t>DEP</t>
  </si>
  <si>
    <t>Lat moy. (deg.)</t>
  </si>
  <si>
    <t>R (plane)</t>
  </si>
  <si>
    <t>R (Mercator)</t>
  </si>
  <si>
    <t>M (Mercator)</t>
  </si>
  <si>
    <t>Dep</t>
  </si>
  <si>
    <t>diff lat</t>
  </si>
  <si>
    <t>R Merc. Cap.</t>
  </si>
  <si>
    <t>R plane Cap.</t>
  </si>
  <si>
    <t xml:space="preserve">M Plane </t>
  </si>
  <si>
    <t>Mercator</t>
  </si>
  <si>
    <t>Plane</t>
  </si>
  <si>
    <t>lat 1</t>
  </si>
  <si>
    <t>Lat 2</t>
  </si>
  <si>
    <t>Dg</t>
  </si>
  <si>
    <t>N</t>
  </si>
  <si>
    <t>Ortho</t>
  </si>
  <si>
    <t>Ro</t>
  </si>
  <si>
    <t>Ro Cap</t>
  </si>
  <si>
    <t xml:space="preserve">Distance </t>
  </si>
  <si>
    <t>Type of sailing</t>
  </si>
  <si>
    <t>dist. Finale:</t>
  </si>
  <si>
    <t>Échelle de Beaufort</t>
  </si>
  <si>
    <t>coefficient</t>
  </si>
  <si>
    <t>height ft.</t>
  </si>
  <si>
    <t>BEAUFORT</t>
  </si>
  <si>
    <t>DIRECTION</t>
  </si>
  <si>
    <t>head</t>
  </si>
  <si>
    <t>Beam</t>
  </si>
  <si>
    <t>Following</t>
  </si>
  <si>
    <t>330-210/30-150</t>
  </si>
  <si>
    <t>210-150</t>
  </si>
  <si>
    <t xml:space="preserve">330-30 </t>
  </si>
  <si>
    <t>Ft</t>
  </si>
  <si>
    <t>speed kn</t>
  </si>
  <si>
    <t>wind effect on speed</t>
  </si>
  <si>
    <t>R Plane</t>
  </si>
  <si>
    <t>Angles courants</t>
  </si>
  <si>
    <t>directions vent</t>
  </si>
  <si>
    <t xml:space="preserve">speed </t>
  </si>
  <si>
    <t xml:space="preserve">Current effect </t>
  </si>
  <si>
    <t>Vitesse fond</t>
  </si>
  <si>
    <t>angle</t>
  </si>
  <si>
    <t>y'' Route eau</t>
  </si>
  <si>
    <t>y' derive</t>
  </si>
  <si>
    <t>x'' route eau</t>
  </si>
  <si>
    <t>x' derive</t>
  </si>
  <si>
    <t>y total</t>
  </si>
  <si>
    <t>x total</t>
  </si>
  <si>
    <t>route fond</t>
  </si>
  <si>
    <t>angle vecteur</t>
  </si>
  <si>
    <t>y eau og</t>
  </si>
  <si>
    <t>x eau og.</t>
  </si>
  <si>
    <t>x derive og</t>
  </si>
  <si>
    <t>y derive og</t>
  </si>
  <si>
    <t>=@SI.CONDITIONS(Feuil2!C37=180;0;Feuil2!C37&gt;180;Feuil2!C37-180;Feuil2!C37&lt;180;180-Feuil2!C37)</t>
  </si>
  <si>
    <t>gisement</t>
  </si>
  <si>
    <t xml:space="preserve">angle </t>
  </si>
  <si>
    <t>Cap courant</t>
  </si>
  <si>
    <t>Angle courant</t>
  </si>
  <si>
    <t>ortho</t>
  </si>
  <si>
    <t>loxo</t>
  </si>
  <si>
    <t>Choix</t>
  </si>
  <si>
    <t>difference</t>
  </si>
  <si>
    <t xml:space="preserve">ordre de barre </t>
  </si>
  <si>
    <t>Date départ</t>
  </si>
  <si>
    <t>D.Lat S Corr</t>
  </si>
  <si>
    <t>D.long S corr</t>
  </si>
  <si>
    <t>M</t>
  </si>
  <si>
    <t>DD</t>
  </si>
  <si>
    <t>YYYY</t>
  </si>
  <si>
    <t>Beaufort</t>
  </si>
  <si>
    <t>direction</t>
  </si>
  <si>
    <t>effet courants</t>
  </si>
  <si>
    <t>vitesse</t>
  </si>
  <si>
    <t>Vitesse optimale</t>
  </si>
  <si>
    <t>Effets vents</t>
  </si>
  <si>
    <t>V. fond</t>
  </si>
  <si>
    <t>V. Manuelle</t>
  </si>
  <si>
    <t>Temps</t>
  </si>
  <si>
    <t>attente (min)</t>
  </si>
  <si>
    <t>ZD</t>
  </si>
  <si>
    <t>'=BL4+BK4+TEMPS(BJ5-BJ4;;)</t>
  </si>
  <si>
    <t>Lat Radian signe</t>
  </si>
  <si>
    <t>ZD'</t>
  </si>
  <si>
    <t xml:space="preserve"> ETA (GMT)</t>
  </si>
  <si>
    <t>=SI.CONDITIONS(ET(BK4&gt;0;R4&lt;0;G4&lt;&gt;G5;90&lt;=E5;E5&lt;=180);(BN4+BL4)-1;ET(BK4&gt;0;R4&gt;0;G4&lt;&gt;G5;90&lt;=E5;E5&lt;=180);(BN4+BL4)+1;ET(BK4&lt;0;R4&gt;0;G4&lt;&gt;G5;90&lt;=E5;E5&lt;=180);(BN4-BL4)+1;ET(BK4&lt;0;R4&lt;0;G4&lt;&gt;G5;90&lt;=E5;E5&lt;=180);(BN4-BL4)-1;BK4&lt;0;BN4-BL4;BK4&gt;0;BN4+BL4)</t>
  </si>
  <si>
    <t>Passage méridien 180</t>
  </si>
  <si>
    <t>oui</t>
  </si>
  <si>
    <t>Date arrivé ZT</t>
  </si>
  <si>
    <t>total</t>
  </si>
  <si>
    <t>Cap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</si>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</sst>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yy/mm/dd;@"/>
    <numFmt numFmtId="166" formatCode="0.0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42">
    <xf numFmtId="0" fontId="0" fillId="0" borderId="0" xfId="0"/>
    <xf numFmtId="0" fontId="0" fillId="0" borderId="0" xfId="0" quotePrefix="1"/>
    <xf numFmtId="0" fontId="0" fillId="3" borderId="0" xfId="0" applyFill="1"/>
    <xf numFmtId="0" fontId="0" fillId="0" borderId="0" xfId="0" applyAlignment="1">
      <alignment horizontal="center"/>
    </xf>
    <xf numFmtId="0" fontId="0" fillId="4" borderId="0" xfId="0" applyFill="1"/>
    <xf numFmtId="0" fontId="0" fillId="2" borderId="0" xfId="0" applyFill="1"/>
    <xf numFmtId="0" fontId="0" fillId="5" borderId="0" xfId="0" applyFill="1"/>
    <xf numFmtId="0" fontId="0" fillId="6" borderId="0" xfId="0" applyFill="1"/>
    <xf numFmtId="0" fontId="0" fillId="6" borderId="0" xfId="0" quotePrefix="1" applyFill="1"/>
    <xf numFmtId="0" fontId="1" fillId="0" borderId="0" xfId="0" applyFont="1" applyAlignment="1">
      <alignment horizontal="center"/>
    </xf>
    <xf numFmtId="0" fontId="1" fillId="0" borderId="0" xfId="0" applyFont="1"/>
    <xf numFmtId="0" fontId="0" fillId="7" borderId="0" xfId="0" applyFill="1"/>
    <xf numFmtId="0" fontId="2" fillId="3" borderId="0" xfId="0" applyFont="1" applyFill="1"/>
    <xf numFmtId="164" fontId="0" fillId="0" borderId="0" xfId="0" applyNumberFormat="1"/>
    <xf numFmtId="22" fontId="0" fillId="0" borderId="0" xfId="0" applyNumberFormat="1"/>
    <xf numFmtId="20" fontId="0" fillId="0" borderId="0" xfId="0" applyNumberFormat="1"/>
    <xf numFmtId="165" fontId="0" fillId="0" borderId="0" xfId="0" applyNumberFormat="1"/>
    <xf numFmtId="1" fontId="0" fillId="0" borderId="0" xfId="0" applyNumberFormat="1"/>
    <xf numFmtId="166" fontId="0" fillId="0" borderId="0" xfId="0" applyNumberFormat="1" applyAlignment="1">
      <alignment horizontal="center"/>
    </xf>
    <xf numFmtId="22" fontId="0" fillId="0" borderId="0" xfId="0" applyNumberFormat="1" applyAlignment="1">
      <alignment horizontal="center"/>
    </xf>
    <xf numFmtId="0" fontId="0" fillId="8" borderId="0" xfId="0" applyFill="1"/>
    <xf numFmtId="0" fontId="0" fillId="9" borderId="0" xfId="0" applyFill="1"/>
    <xf numFmtId="20" fontId="0" fillId="0" borderId="0" xfId="0" applyNumberFormat="1" applyAlignment="1">
      <alignment horizontal="center"/>
    </xf>
    <xf numFmtId="46" fontId="1" fillId="0" borderId="0" xfId="0" applyNumberFormat="1" applyFont="1"/>
    <xf numFmtId="0" fontId="0" fillId="0" borderId="0" xfId="0" applyAlignment="1">
      <alignment horizontal="center"/>
    </xf>
    <xf numFmtId="0" fontId="1" fillId="10" borderId="2" xfId="0" applyFont="1" applyFill="1" applyBorder="1" applyAlignment="1">
      <alignment horizontal="center"/>
    </xf>
    <xf numFmtId="0" fontId="1" fillId="10" borderId="3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0" fillId="10" borderId="0" xfId="0" applyFill="1"/>
    <xf numFmtId="46" fontId="1" fillId="8" borderId="1" xfId="0" applyNumberFormat="1" applyFont="1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22" fontId="0" fillId="8" borderId="2" xfId="0" applyNumberFormat="1" applyFill="1" applyBorder="1" applyAlignment="1">
      <alignment horizontal="center"/>
    </xf>
    <xf numFmtId="22" fontId="0" fillId="8" borderId="4" xfId="0" applyNumberFormat="1" applyFill="1" applyBorder="1" applyAlignment="1">
      <alignment horizontal="center"/>
    </xf>
    <xf numFmtId="22" fontId="0" fillId="8" borderId="3" xfId="0" applyNumberForma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8" xfId="0" applyFont="1" applyBorder="1"/>
    <xf numFmtId="0" fontId="0" fillId="0" borderId="5" xfId="0" applyBorder="1"/>
    <xf numFmtId="0" fontId="0" fillId="0" borderId="13" xfId="0" applyBorder="1"/>
    <xf numFmtId="0" fontId="0" fillId="0" borderId="14" xfId="0" applyBorder="1"/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 applyAlignment="1">
      <alignment horizontal="center"/>
    </xf>
    <xf numFmtId="0" fontId="0" fillId="0" borderId="18" xfId="0" applyBorder="1"/>
    <xf numFmtId="0" fontId="0" fillId="0" borderId="19" xfId="0" applyBorder="1"/>
    <xf numFmtId="0" fontId="0" fillId="0" borderId="20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11" borderId="23" xfId="0" applyFill="1" applyBorder="1"/>
    <xf numFmtId="0" fontId="0" fillId="11" borderId="24" xfId="0" applyFill="1" applyBorder="1"/>
    <xf numFmtId="0" fontId="0" fillId="11" borderId="25" xfId="0" applyFill="1" applyBorder="1"/>
    <xf numFmtId="0" fontId="0" fillId="11" borderId="6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0" borderId="7" xfId="0" quotePrefix="1" applyBorder="1"/>
    <xf numFmtId="0" fontId="0" fillId="11" borderId="9" xfId="0" applyFill="1" applyBorder="1" applyAlignment="1">
      <alignment horizontal="center"/>
    </xf>
    <xf numFmtId="0" fontId="0" fillId="11" borderId="0" xfId="0" applyFill="1" applyBorder="1" applyAlignment="1">
      <alignment horizontal="center"/>
    </xf>
    <xf numFmtId="0" fontId="0" fillId="0" borderId="0" xfId="0" quotePrefix="1" applyBorder="1"/>
    <xf numFmtId="0" fontId="0" fillId="11" borderId="10" xfId="0" applyFill="1" applyBorder="1" applyAlignment="1">
      <alignment horizontal="center"/>
    </xf>
    <xf numFmtId="0" fontId="0" fillId="11" borderId="11" xfId="0" applyFill="1" applyBorder="1" applyAlignment="1">
      <alignment horizontal="center"/>
    </xf>
    <xf numFmtId="0" fontId="0" fillId="0" borderId="11" xfId="0" quotePrefix="1" applyBorder="1"/>
    <xf numFmtId="22" fontId="0" fillId="0" borderId="0" xfId="0" applyNumberFormat="1" applyBorder="1" applyAlignment="1">
      <alignment horizontal="center"/>
    </xf>
    <xf numFmtId="22" fontId="0" fillId="0" borderId="11" xfId="0" applyNumberFormat="1" applyBorder="1" applyAlignment="1">
      <alignment horizontal="center"/>
    </xf>
    <xf numFmtId="46" fontId="0" fillId="0" borderId="23" xfId="0" applyNumberFormat="1" applyBorder="1" applyAlignment="1">
      <alignment horizontal="center"/>
    </xf>
    <xf numFmtId="46" fontId="0" fillId="0" borderId="24" xfId="0" applyNumberFormat="1" applyBorder="1" applyAlignment="1">
      <alignment horizontal="center"/>
    </xf>
    <xf numFmtId="46" fontId="0" fillId="0" borderId="25" xfId="0" applyNumberFormat="1" applyBorder="1" applyAlignment="1">
      <alignment horizontal="center"/>
    </xf>
    <xf numFmtId="0" fontId="0" fillId="0" borderId="7" xfId="0" applyFill="1" applyBorder="1"/>
    <xf numFmtId="0" fontId="0" fillId="0" borderId="0" xfId="0" applyFill="1" applyBorder="1"/>
    <xf numFmtId="0" fontId="0" fillId="0" borderId="11" xfId="0" applyFill="1" applyBorder="1"/>
    <xf numFmtId="0" fontId="0" fillId="0" borderId="0" xfId="0" applyFill="1"/>
    <xf numFmtId="0" fontId="0" fillId="0" borderId="8" xfId="0" applyBorder="1"/>
    <xf numFmtId="0" fontId="0" fillId="0" borderId="22" xfId="0" applyBorder="1"/>
    <xf numFmtId="0" fontId="0" fillId="0" borderId="12" xfId="0" applyBorder="1"/>
    <xf numFmtId="0" fontId="0" fillId="0" borderId="16" xfId="0" applyFill="1" applyBorder="1"/>
    <xf numFmtId="0" fontId="0" fillId="0" borderId="5" xfId="0" applyFill="1" applyBorder="1"/>
    <xf numFmtId="0" fontId="0" fillId="0" borderId="0" xfId="0" applyFill="1" applyAlignment="1">
      <alignment horizontal="center"/>
    </xf>
    <xf numFmtId="22" fontId="0" fillId="0" borderId="0" xfId="0" applyNumberFormat="1" applyFill="1"/>
    <xf numFmtId="0" fontId="0" fillId="0" borderId="9" xfId="0" applyFill="1" applyBorder="1"/>
    <xf numFmtId="0" fontId="0" fillId="0" borderId="0" xfId="0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46" fontId="1" fillId="0" borderId="0" xfId="0" applyNumberFormat="1" applyFont="1" applyFill="1"/>
    <xf numFmtId="22" fontId="0" fillId="8" borderId="2" xfId="0" applyNumberFormat="1" applyFill="1" applyBorder="1" applyAlignment="1">
      <alignment horizontal="center"/>
    </xf>
    <xf numFmtId="0" fontId="1" fillId="10" borderId="5" xfId="0" applyFont="1" applyFill="1" applyBorder="1" applyAlignment="1">
      <alignment horizontal="center"/>
    </xf>
    <xf numFmtId="0" fontId="1" fillId="10" borderId="21" xfId="0" applyFont="1" applyFill="1" applyBorder="1" applyAlignment="1">
      <alignment horizontal="center"/>
    </xf>
    <xf numFmtId="0" fontId="1" fillId="10" borderId="0" xfId="0" applyFont="1" applyFill="1" applyBorder="1" applyAlignment="1">
      <alignment horizontal="center"/>
    </xf>
    <xf numFmtId="0" fontId="1" fillId="10" borderId="27" xfId="0" applyFont="1" applyFill="1" applyBorder="1" applyAlignment="1">
      <alignment horizontal="center"/>
    </xf>
    <xf numFmtId="0" fontId="1" fillId="10" borderId="5" xfId="0" applyFont="1" applyFill="1" applyBorder="1"/>
    <xf numFmtId="0" fontId="2" fillId="10" borderId="0" xfId="0" applyFont="1" applyFill="1"/>
    <xf numFmtId="0" fontId="1" fillId="10" borderId="26" xfId="0" applyFont="1" applyFill="1" applyBorder="1"/>
    <xf numFmtId="0" fontId="1" fillId="10" borderId="10" xfId="0" applyFont="1" applyFill="1" applyBorder="1" applyAlignment="1">
      <alignment horizontal="center"/>
    </xf>
    <xf numFmtId="0" fontId="1" fillId="10" borderId="11" xfId="0" applyFont="1" applyFill="1" applyBorder="1"/>
    <xf numFmtId="0" fontId="1" fillId="10" borderId="12" xfId="0" applyFont="1" applyFill="1" applyBorder="1"/>
    <xf numFmtId="0" fontId="0" fillId="3" borderId="8" xfId="0" applyFill="1" applyBorder="1"/>
    <xf numFmtId="0" fontId="0" fillId="3" borderId="22" xfId="0" applyFill="1" applyBorder="1"/>
    <xf numFmtId="0" fontId="0" fillId="3" borderId="12" xfId="0" applyFill="1" applyBorder="1"/>
    <xf numFmtId="0" fontId="0" fillId="13" borderId="23" xfId="0" applyFill="1" applyBorder="1" applyAlignment="1">
      <alignment horizontal="center"/>
    </xf>
    <xf numFmtId="0" fontId="0" fillId="13" borderId="24" xfId="0" applyFill="1" applyBorder="1" applyAlignment="1">
      <alignment horizontal="center"/>
    </xf>
    <xf numFmtId="0" fontId="0" fillId="13" borderId="25" xfId="0" applyFill="1" applyBorder="1" applyAlignment="1">
      <alignment horizontal="center"/>
    </xf>
    <xf numFmtId="0" fontId="1" fillId="8" borderId="1" xfId="0" applyFont="1" applyFill="1" applyBorder="1"/>
    <xf numFmtId="0" fontId="3" fillId="12" borderId="4" xfId="0" applyFont="1" applyFill="1" applyBorder="1" applyAlignment="1">
      <alignment horizontal="center"/>
    </xf>
    <xf numFmtId="0" fontId="3" fillId="12" borderId="3" xfId="0" applyFont="1" applyFill="1" applyBorder="1" applyAlignment="1">
      <alignment horizontal="center"/>
    </xf>
    <xf numFmtId="0" fontId="1" fillId="12" borderId="2" xfId="0" applyFont="1" applyFill="1" applyBorder="1" applyAlignment="1">
      <alignment horizontal="center"/>
    </xf>
    <xf numFmtId="0" fontId="1" fillId="12" borderId="4" xfId="0" applyFont="1" applyFill="1" applyBorder="1" applyAlignment="1">
      <alignment horizontal="center"/>
    </xf>
    <xf numFmtId="0" fontId="1" fillId="12" borderId="3" xfId="0" applyFont="1" applyFill="1" applyBorder="1" applyAlignment="1">
      <alignment horizontal="center"/>
    </xf>
    <xf numFmtId="22" fontId="0" fillId="0" borderId="9" xfId="0" applyNumberFormat="1" applyBorder="1" applyAlignment="1">
      <alignment horizontal="center"/>
    </xf>
    <xf numFmtId="22" fontId="0" fillId="0" borderId="10" xfId="0" applyNumberForma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3" fillId="12" borderId="6" xfId="0" applyFont="1" applyFill="1" applyBorder="1" applyAlignment="1">
      <alignment horizontal="center"/>
    </xf>
    <xf numFmtId="0" fontId="3" fillId="12" borderId="7" xfId="0" applyFont="1" applyFill="1" applyBorder="1" applyAlignment="1">
      <alignment horizontal="center"/>
    </xf>
    <xf numFmtId="0" fontId="3" fillId="12" borderId="8" xfId="0" applyFont="1" applyFill="1" applyBorder="1" applyAlignment="1">
      <alignment horizontal="center"/>
    </xf>
    <xf numFmtId="0" fontId="0" fillId="12" borderId="2" xfId="0" applyFill="1" applyBorder="1"/>
    <xf numFmtId="0" fontId="1" fillId="12" borderId="6" xfId="0" applyFont="1" applyFill="1" applyBorder="1" applyAlignment="1">
      <alignment horizontal="center"/>
    </xf>
    <xf numFmtId="0" fontId="1" fillId="12" borderId="7" xfId="0" applyFont="1" applyFill="1" applyBorder="1" applyAlignment="1">
      <alignment horizontal="center"/>
    </xf>
    <xf numFmtId="0" fontId="1" fillId="12" borderId="8" xfId="0" applyFont="1" applyFill="1" applyBorder="1" applyAlignment="1">
      <alignment horizontal="center"/>
    </xf>
    <xf numFmtId="0" fontId="1" fillId="10" borderId="9" xfId="0" applyFont="1" applyFill="1" applyBorder="1" applyAlignment="1">
      <alignment horizontal="center"/>
    </xf>
    <xf numFmtId="0" fontId="1" fillId="10" borderId="0" xfId="0" applyFont="1" applyFill="1" applyBorder="1"/>
    <xf numFmtId="0" fontId="1" fillId="10" borderId="10" xfId="0" applyFont="1" applyFill="1" applyBorder="1"/>
    <xf numFmtId="0" fontId="0" fillId="12" borderId="2" xfId="0" applyFill="1" applyBorder="1" applyAlignment="1">
      <alignment horizontal="center"/>
    </xf>
    <xf numFmtId="0" fontId="1" fillId="10" borderId="11" xfId="0" applyFont="1" applyFill="1" applyBorder="1" applyAlignment="1">
      <alignment horizontal="center"/>
    </xf>
    <xf numFmtId="0" fontId="0" fillId="10" borderId="11" xfId="0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quotePrefix="1" applyBorder="1" applyAlignment="1">
      <alignment horizontal="center"/>
    </xf>
    <xf numFmtId="0" fontId="0" fillId="0" borderId="20" xfId="0" quotePrefix="1" applyBorder="1"/>
    <xf numFmtId="0" fontId="0" fillId="0" borderId="19" xfId="0" applyBorder="1" applyAlignment="1">
      <alignment horizontal="center"/>
    </xf>
    <xf numFmtId="0" fontId="0" fillId="0" borderId="20" xfId="0" applyBorder="1"/>
  </cellXfs>
  <cellStyles count="1">
    <cellStyle name="Normal" xfId="0" builtinId="0"/>
  </cellStyles>
  <dxfs count="4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249977111117893"/>
        </patternFill>
      </fill>
      <alignment horizontal="center" vertical="bottom" textRotation="0" wrapText="0" indent="0" justifyLastLine="0" shrinkToFit="0" readingOrder="0"/>
    </dxf>
    <dxf>
      <numFmt numFmtId="27" formatCode="yyyy/mm/dd\ hh:mm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numFmt numFmtId="27" formatCode="yyyy/mm/dd\ hh:mm"/>
      <alignment horizontal="center" vertical="bottom" textRotation="0" wrapText="0" indent="0" justifyLastLine="0" shrinkToFit="0" readingOrder="0"/>
    </dxf>
    <dxf>
      <numFmt numFmtId="31" formatCode="[h]:mm:ss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25" formatCode="hh:m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6" formatCode="0.0000"/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ill>
        <patternFill patternType="solid">
          <fgColor indexed="64"/>
          <bgColor theme="7" tint="0.59999389629810485"/>
        </patternFill>
      </fill>
      <border diagonalUp="0" diagonalDown="0">
        <left/>
        <right style="medium">
          <color indexed="64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ill>
        <patternFill patternType="solid">
          <fgColor indexed="64"/>
          <bgColor theme="4" tint="0.79998168889431442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7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rgb="FFCC99FF"/>
        </patternFill>
      </fill>
    </dxf>
    <dxf>
      <fill>
        <patternFill patternType="solid">
          <fgColor indexed="64"/>
          <bgColor rgb="FFCC99FF"/>
        </patternFill>
      </fill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ill>
        <patternFill patternType="solid">
          <fgColor indexed="64"/>
          <bgColor theme="5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5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5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6" tint="0.59999389629810485"/>
        </patternFill>
      </fill>
    </dxf>
    <dxf>
      <fill>
        <patternFill patternType="solid">
          <fgColor indexed="64"/>
          <bgColor theme="6" tint="0.59999389629810485"/>
        </patternFill>
      </fill>
    </dxf>
    <dxf>
      <fill>
        <patternFill patternType="solid">
          <fgColor indexed="64"/>
          <bgColor theme="5" tint="0.79998168889431442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7" tint="0.59999389629810485"/>
        </patternFill>
      </fill>
    </dxf>
    <dxf>
      <fill>
        <patternFill patternType="solid">
          <fgColor indexed="64"/>
          <bgColor theme="7" tint="0.59999389629810485"/>
        </patternFill>
      </fill>
    </dxf>
    <dxf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border outline="0">
        <right style="medium">
          <color indexed="64"/>
        </right>
      </border>
    </dxf>
  </dxfs>
  <tableStyles count="0" defaultTableStyle="TableStyleMedium2" defaultPivotStyle="PivotStyleLight16"/>
  <colors>
    <mruColors>
      <color rgb="FFFF9900"/>
      <color rgb="FFCC99FF"/>
      <color rgb="FFFF66FF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Références!$B$1</c:f>
              <c:strCache>
                <c:ptCount val="1"/>
                <c:pt idx="0">
                  <c:v>following kts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3"/>
            <c:dispRSqr val="1"/>
            <c:dispEq val="1"/>
            <c:trendlineLbl>
              <c:layout>
                <c:manualLayout>
                  <c:x val="1.9157042869641296E-2"/>
                  <c:y val="0.21384514435695537"/>
                </c:manualLayout>
              </c:layout>
              <c:numFmt formatCode="0.00000E+00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Références!$A$2:$A$14</c:f>
              <c:numCache>
                <c:formatCode>General</c:formatCode>
                <c:ptCount val="13"/>
                <c:pt idx="0">
                  <c:v>0</c:v>
                </c:pt>
                <c:pt idx="1">
                  <c:v>2.5</c:v>
                </c:pt>
                <c:pt idx="2">
                  <c:v>5</c:v>
                </c:pt>
                <c:pt idx="3">
                  <c:v>7.5</c:v>
                </c:pt>
                <c:pt idx="4">
                  <c:v>10</c:v>
                </c:pt>
                <c:pt idx="5">
                  <c:v>12.5</c:v>
                </c:pt>
                <c:pt idx="6">
                  <c:v>15</c:v>
                </c:pt>
                <c:pt idx="7">
                  <c:v>17.5</c:v>
                </c:pt>
                <c:pt idx="8">
                  <c:v>20</c:v>
                </c:pt>
                <c:pt idx="9">
                  <c:v>22.5</c:v>
                </c:pt>
                <c:pt idx="10">
                  <c:v>25</c:v>
                </c:pt>
                <c:pt idx="11">
                  <c:v>27.5</c:v>
                </c:pt>
                <c:pt idx="12">
                  <c:v>30</c:v>
                </c:pt>
              </c:numCache>
            </c:numRef>
          </c:xVal>
          <c:yVal>
            <c:numRef>
              <c:f>Références!$B$2:$B$14</c:f>
              <c:numCache>
                <c:formatCode>General</c:formatCode>
                <c:ptCount val="13"/>
                <c:pt idx="0">
                  <c:v>15</c:v>
                </c:pt>
                <c:pt idx="1">
                  <c:v>15.9</c:v>
                </c:pt>
                <c:pt idx="2">
                  <c:v>16.100000000000001</c:v>
                </c:pt>
                <c:pt idx="3">
                  <c:v>15.8</c:v>
                </c:pt>
                <c:pt idx="4">
                  <c:v>15</c:v>
                </c:pt>
                <c:pt idx="5">
                  <c:v>14.6</c:v>
                </c:pt>
                <c:pt idx="6">
                  <c:v>13.8</c:v>
                </c:pt>
                <c:pt idx="7">
                  <c:v>12.9</c:v>
                </c:pt>
                <c:pt idx="8">
                  <c:v>12.1</c:v>
                </c:pt>
                <c:pt idx="9">
                  <c:v>11.3</c:v>
                </c:pt>
                <c:pt idx="10">
                  <c:v>10.7</c:v>
                </c:pt>
                <c:pt idx="11">
                  <c:v>10.1</c:v>
                </c:pt>
                <c:pt idx="12">
                  <c:v>9.5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6254-443C-9DB4-6AEE3E70A85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17149120"/>
        <c:axId val="1517147872"/>
      </c:scatterChart>
      <c:valAx>
        <c:axId val="151714912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7147872"/>
        <c:crosses val="autoZero"/>
        <c:crossBetween val="midCat"/>
      </c:valAx>
      <c:valAx>
        <c:axId val="1517147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714912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Références!$B$16</c:f>
              <c:strCache>
                <c:ptCount val="1"/>
                <c:pt idx="0">
                  <c:v>Beam kts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5"/>
            <c:dispRSqr val="1"/>
            <c:dispEq val="1"/>
            <c:trendlineLbl>
              <c:layout>
                <c:manualLayout>
                  <c:x val="7.2222222222222215E-2"/>
                  <c:y val="7.6667760279964914E-2"/>
                </c:manualLayout>
              </c:layout>
              <c:numFmt formatCode="0.00000E+00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Références!$A$17:$A$29</c:f>
              <c:numCache>
                <c:formatCode>General</c:formatCode>
                <c:ptCount val="13"/>
                <c:pt idx="0">
                  <c:v>0</c:v>
                </c:pt>
                <c:pt idx="1">
                  <c:v>2.5</c:v>
                </c:pt>
                <c:pt idx="2">
                  <c:v>5</c:v>
                </c:pt>
                <c:pt idx="3">
                  <c:v>7.5</c:v>
                </c:pt>
                <c:pt idx="4">
                  <c:v>10</c:v>
                </c:pt>
                <c:pt idx="5">
                  <c:v>12.5</c:v>
                </c:pt>
                <c:pt idx="6">
                  <c:v>15</c:v>
                </c:pt>
                <c:pt idx="7">
                  <c:v>17.5</c:v>
                </c:pt>
                <c:pt idx="8">
                  <c:v>20</c:v>
                </c:pt>
                <c:pt idx="9">
                  <c:v>22.5</c:v>
                </c:pt>
                <c:pt idx="10">
                  <c:v>25</c:v>
                </c:pt>
                <c:pt idx="11">
                  <c:v>27.5</c:v>
                </c:pt>
                <c:pt idx="12">
                  <c:v>30</c:v>
                </c:pt>
              </c:numCache>
            </c:numRef>
          </c:xVal>
          <c:yVal>
            <c:numRef>
              <c:f>Références!$B$17:$B$29</c:f>
              <c:numCache>
                <c:formatCode>General</c:formatCode>
                <c:ptCount val="13"/>
                <c:pt idx="0">
                  <c:v>15</c:v>
                </c:pt>
                <c:pt idx="1">
                  <c:v>15.7</c:v>
                </c:pt>
                <c:pt idx="2">
                  <c:v>15.9</c:v>
                </c:pt>
                <c:pt idx="3">
                  <c:v>15.1</c:v>
                </c:pt>
                <c:pt idx="4">
                  <c:v>14.1</c:v>
                </c:pt>
                <c:pt idx="5">
                  <c:v>13.3</c:v>
                </c:pt>
                <c:pt idx="6">
                  <c:v>12.1</c:v>
                </c:pt>
                <c:pt idx="7">
                  <c:v>11</c:v>
                </c:pt>
                <c:pt idx="8">
                  <c:v>10</c:v>
                </c:pt>
                <c:pt idx="9">
                  <c:v>8.9</c:v>
                </c:pt>
                <c:pt idx="10">
                  <c:v>7.9</c:v>
                </c:pt>
                <c:pt idx="11">
                  <c:v>6.8</c:v>
                </c:pt>
                <c:pt idx="12">
                  <c:v>5.0999999999999996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5884-4900-991E-0E335B6AD7A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17150784"/>
        <c:axId val="1517152032"/>
      </c:scatterChart>
      <c:valAx>
        <c:axId val="15171507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7152032"/>
        <c:crosses val="autoZero"/>
        <c:crossBetween val="midCat"/>
      </c:valAx>
      <c:valAx>
        <c:axId val="15171520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715078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Références!$B$31</c:f>
              <c:strCache>
                <c:ptCount val="1"/>
                <c:pt idx="0">
                  <c:v>Head kts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5"/>
            <c:dispRSqr val="1"/>
            <c:dispEq val="1"/>
            <c:trendlineLbl>
              <c:numFmt formatCode="0.00000E+00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Références!$A$32:$A$44</c:f>
              <c:numCache>
                <c:formatCode>General</c:formatCode>
                <c:ptCount val="13"/>
                <c:pt idx="0">
                  <c:v>0</c:v>
                </c:pt>
                <c:pt idx="1">
                  <c:v>2.5</c:v>
                </c:pt>
                <c:pt idx="2">
                  <c:v>5</c:v>
                </c:pt>
                <c:pt idx="3">
                  <c:v>7.5</c:v>
                </c:pt>
                <c:pt idx="4">
                  <c:v>10</c:v>
                </c:pt>
                <c:pt idx="5">
                  <c:v>12.5</c:v>
                </c:pt>
                <c:pt idx="6">
                  <c:v>15</c:v>
                </c:pt>
                <c:pt idx="7">
                  <c:v>17.5</c:v>
                </c:pt>
                <c:pt idx="8">
                  <c:v>20</c:v>
                </c:pt>
                <c:pt idx="9">
                  <c:v>22.5</c:v>
                </c:pt>
                <c:pt idx="10">
                  <c:v>25</c:v>
                </c:pt>
                <c:pt idx="11">
                  <c:v>27.5</c:v>
                </c:pt>
                <c:pt idx="12">
                  <c:v>30</c:v>
                </c:pt>
              </c:numCache>
            </c:numRef>
          </c:xVal>
          <c:yVal>
            <c:numRef>
              <c:f>Références!$B$32:$B$44</c:f>
              <c:numCache>
                <c:formatCode>General</c:formatCode>
                <c:ptCount val="13"/>
                <c:pt idx="0">
                  <c:v>15</c:v>
                </c:pt>
                <c:pt idx="1">
                  <c:v>15.3</c:v>
                </c:pt>
                <c:pt idx="2">
                  <c:v>14.8</c:v>
                </c:pt>
                <c:pt idx="3">
                  <c:v>13.8</c:v>
                </c:pt>
                <c:pt idx="4">
                  <c:v>12.8</c:v>
                </c:pt>
                <c:pt idx="5">
                  <c:v>10.9</c:v>
                </c:pt>
                <c:pt idx="6">
                  <c:v>8.9</c:v>
                </c:pt>
                <c:pt idx="7">
                  <c:v>7.7</c:v>
                </c:pt>
                <c:pt idx="8">
                  <c:v>6.1</c:v>
                </c:pt>
                <c:pt idx="9">
                  <c:v>4.9000000000000004</c:v>
                </c:pt>
                <c:pt idx="10">
                  <c:v>3.8</c:v>
                </c:pt>
                <c:pt idx="11">
                  <c:v>3</c:v>
                </c:pt>
                <c:pt idx="12">
                  <c:v>2.1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DA7-4953-8CA2-7478F7B6B6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17146624"/>
        <c:axId val="1517144544"/>
      </c:scatterChart>
      <c:valAx>
        <c:axId val="151714662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7144544"/>
        <c:crosses val="autoZero"/>
        <c:crossBetween val="midCat"/>
      </c:valAx>
      <c:valAx>
        <c:axId val="15171445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714662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776287</xdr:colOff>
      <xdr:row>2</xdr:row>
      <xdr:rowOff>152400</xdr:rowOff>
    </xdr:from>
    <xdr:to>
      <xdr:col>9</xdr:col>
      <xdr:colOff>114300</xdr:colOff>
      <xdr:row>13</xdr:row>
      <xdr:rowOff>47625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4763</xdr:colOff>
      <xdr:row>18</xdr:row>
      <xdr:rowOff>47625</xdr:rowOff>
    </xdr:from>
    <xdr:to>
      <xdr:col>9</xdr:col>
      <xdr:colOff>95251</xdr:colOff>
      <xdr:row>28</xdr:row>
      <xdr:rowOff>114300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823913</xdr:colOff>
      <xdr:row>32</xdr:row>
      <xdr:rowOff>171450</xdr:rowOff>
    </xdr:from>
    <xdr:to>
      <xdr:col>9</xdr:col>
      <xdr:colOff>38101</xdr:colOff>
      <xdr:row>43</xdr:row>
      <xdr:rowOff>47625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FAA4EA7-2B60-4739-8AB2-6531E917BD0C}" name="Tableau1" displayName="Tableau1" ref="A1:BP36" totalsRowShown="0" headerRowDxfId="0" tableBorderDxfId="41">
  <autoFilter ref="A1:BP36" xr:uid="{6FAA4EA7-2B60-4739-8AB2-6531E917BD0C}"/>
  <tableColumns count="68">
    <tableColumn id="1" xr3:uid="{FDCCBABE-F14D-4B22-BD21-836D99B4DA79}" name="Colonne1"/>
    <tableColumn id="2" xr3:uid="{0BE8BBBC-8BF2-43E8-AE93-D1BA8E539AD0}" name="Colonne2" dataDxfId="40"/>
    <tableColumn id="3" xr3:uid="{91946410-DD7D-440D-A103-1B0C369C37F6}" name="Colonne3"/>
    <tableColumn id="4" xr3:uid="{C569C8BC-9103-4884-B3DF-D8997B41F417}" name="Colonne4" dataDxfId="39"/>
    <tableColumn id="5" xr3:uid="{311EC932-CF61-4B9E-94A2-22578E54087B}" name="Colonne5"/>
    <tableColumn id="6" xr3:uid="{F91F154C-A435-411E-8A9B-AFF02CDC9F24}" name="Colonne6"/>
    <tableColumn id="7" xr3:uid="{CC37B33B-2BE0-43AD-9424-677C7023BFC7}" name="Colonne7" dataDxfId="38"/>
    <tableColumn id="8" xr3:uid="{C69F51B9-B5F1-40C5-91FB-07001BB4582C}" name="Colonne8">
      <calculatedColumnFormula>(#REF!/60)+C2</calculatedColumnFormula>
    </tableColumn>
    <tableColumn id="9" xr3:uid="{14260135-6084-4707-9DB0-B2766DF241A5}" name="Colonne9" dataDxfId="37">
      <calculatedColumnFormula>RADIANS(H2)</calculatedColumnFormula>
    </tableColumn>
    <tableColumn id="10" xr3:uid="{EC941C7E-85A0-44A0-84DE-C2DEB3F4C121}" name="Colonne10" dataDxfId="36">
      <calculatedColumnFormula>IF(D2="S",I2,I2*-1)</calculatedColumnFormula>
    </tableColumn>
    <tableColumn id="11" xr3:uid="{C0472505-4569-4D57-BA43-7D2EE816442D}" name="Colonne11">
      <calculatedColumnFormula>(#REF!/60)+F2</calculatedColumnFormula>
    </tableColumn>
    <tableColumn id="12" xr3:uid="{2FC322F0-5614-4BFF-9270-32D839FC35F6}" name="Colonne12" dataDxfId="35">
      <calculatedColumnFormula>RADIANS(K2)</calculatedColumnFormula>
    </tableColumn>
    <tableColumn id="13" xr3:uid="{228D2376-E531-4A9D-A8C8-24D6D18FB250}" name="Colonne13">
      <calculatedColumnFormula>7915.704468*LOG((TAN((RADIANS(45)+(I2/2)))))-23.268932*SIN(I2)-0.0525*(SIN(I2)^3)*(SIN(I2)^5)</calculatedColumnFormula>
    </tableColumn>
    <tableColumn id="14" xr3:uid="{78898EB5-9273-419F-9DB3-34D2DEB77A95}" name="Colonne14" dataDxfId="34">
      <calculatedColumnFormula array="1">_xlfn.IFS(D2&lt;&gt;D3,M2+M3,M3-M2&lt;0,(M3-M2)*-1,M3-M2&gt;0,M3-M2)</calculatedColumnFormula>
    </tableColumn>
    <tableColumn id="15" xr3:uid="{484738E8-72A2-4EE4-9FE4-A2485F08C244}" name="Colonne15">
      <calculatedColumnFormula>(DEGREES(IF(D2=D3,I3-I2,I2+I3)))*60</calculatedColumnFormula>
    </tableColumn>
    <tableColumn id="16" xr3:uid="{3886FE64-B366-45AA-BA88-32F1288DA9AF}" name="Colonne16">
      <calculatedColumnFormula>_xlfn.IFS(AND(D3="N",D2&lt;&gt;D3,O2&gt;0),O2*-1,AND(D3="N",D2=D3,O2&lt;0),O2*-1,AND(D3="S",D2=D3,O2&gt;0),O2,AND(D3="S",D2&lt;&gt;D3,O2&lt;0),O2,AND(D3="N",D3&lt;&gt;D2,O2&lt;0),O2*-1,AND(D3="N",D3=D2,O2&lt;0),O2*-1,AND(D3="S",D2=D3,O2&lt;0),O2,AND(D3="N",D3=D2,O2&gt;0),O2*-1)</calculatedColumnFormula>
    </tableColumn>
    <tableColumn id="17" xr3:uid="{AC50AB32-2C09-4AD7-9625-9DB6A1942E66}" name="Colonne17">
      <calculatedColumnFormula>(DEGREES(_xlfn.IFS(G2=G3,L3-L2,(L2+L3)&gt;(RADIANS(180)),RADIANS(360)-(L2+L3),G2&lt;&gt;G3,L2+L3)))*60</calculatedColumnFormula>
    </tableColumn>
    <tableColumn id="18" xr3:uid="{A1480DDF-2667-496E-A55A-0B4E157880DA}" name="Colonne18">
      <calculatedColumnFormula array="1">_xlfn.IFS(AND(G3="E",G3&lt;&gt;G2,L2+L3&gt;(RADIANS(180)),Q2&lt;0),Q2*-1,AND(G3="W",G3&lt;&gt;G2,L3+L2&gt;(RADIANS(180)),Q2&lt;0),Q2,AND(G3="E",G3&lt;&gt;G2,L3+L2&gt;(RADIANS(180)),Q2&gt;0),Q2,AND(G3="W",G3&lt;&gt;G2,L3+L2&gt;(RADIANS(180)),Q2&gt;0),Q2*-1,AND(G3="W",G3=G2,Q2&lt;0),Q2,AND(G3="W",G3=G2,Q2&gt;0),Q2,AND(G3="E",G3=G2,Q2&lt;0),Q2*-1,AND(G3="E",G3=G2,Q2&gt;0),Q2*-1,AND(G3="E",G3&lt;&gt;G2,Q2&gt;0),Q2*-1,AND(G3="E",G3&lt;&gt;G2,Q2&lt;0),Q2,AND(G3="W",G3&lt;&gt;G2,Q2&gt;0),Q2,AND(G3="W",G3&lt;&gt;G2,Q2&lt;0),Q2*-1)</calculatedColumnFormula>
    </tableColumn>
    <tableColumn id="19" xr3:uid="{35BE3835-BDB2-4AA5-9C87-F9D1094E687C}" name="Colonne19" dataDxfId="33">
      <calculatedColumnFormula>IF(O2&lt;0,-1*O2,O2)</calculatedColumnFormula>
    </tableColumn>
    <tableColumn id="20" xr3:uid="{E442A8FE-20B4-4A99-B27A-32AA21F7B6B2}" name="Colonne20" dataDxfId="32">
      <calculatedColumnFormula>IF(Q2&lt;0,-1*Q2,Q2)</calculatedColumnFormula>
    </tableColumn>
    <tableColumn id="21" xr3:uid="{498C77E0-B59E-4E19-8F9A-D851A603D9DF}" name="Colonne21">
      <calculatedColumnFormula>DEGREES(ATAN(T2/N2))</calculatedColumnFormula>
    </tableColumn>
    <tableColumn id="22" xr3:uid="{750793F0-7D7D-4B1D-A8B6-A99093B333C6}" name="Colonne22" dataDxfId="31">
      <calculatedColumnFormula>_xlfn.IFS(AND(P2&gt;0,R2&gt;0),180+U2,AND(P2&lt;0,R2&gt;0),360-U2,AND(P2&gt;0,R2&lt;0),180-U2,AND(P2&lt;0,R2&lt;0),U2)</calculatedColumnFormula>
    </tableColumn>
    <tableColumn id="23" xr3:uid="{972D64D8-ED33-4194-84ED-E943023E8498}" name="Colonne23" dataDxfId="30">
      <calculatedColumnFormula>(S2/(COS(RADIANS(U2))))</calculatedColumnFormula>
    </tableColumn>
    <tableColumn id="24" xr3:uid="{FE7BB620-65D3-49BE-AAEC-B7FF4B39FF33}" name="Colonne24">
      <calculatedColumnFormula>AVERAGE(H2,H3)</calculatedColumnFormula>
    </tableColumn>
    <tableColumn id="25" xr3:uid="{DF77595F-7A35-4F8F-A613-A82DC9E7F121}" name="Colonne25">
      <calculatedColumnFormula>(T2*(COS(RADIANS(X2))))</calculatedColumnFormula>
    </tableColumn>
    <tableColumn id="26" xr3:uid="{BC7D6AFB-252B-430C-84DD-7964DFFBEF1C}" name="Colonne26">
      <calculatedColumnFormula>DEGREES(ATAN(Y2/S2))</calculatedColumnFormula>
    </tableColumn>
    <tableColumn id="27" xr3:uid="{FB8DABD5-D1CF-4B11-A5DE-A04E14BB80A7}" name="Colonne27" dataDxfId="29">
      <calculatedColumnFormula>_xlfn.IFS(AND(P2&gt;0,R2&gt;0),180+Z2,AND(P2&lt;0,R2&gt;0),360-Z2,AND(P2&gt;0,R2&lt;0),180-Z2,AND(P2&lt;0,R2&lt;0),Z2)</calculatedColumnFormula>
    </tableColumn>
    <tableColumn id="28" xr3:uid="{37053D5C-75CF-475B-B5A4-972707488DA5}" name="Colonne28" dataDxfId="28">
      <calculatedColumnFormula>(S2/(COS(RADIANS(Z2))))</calculatedColumnFormula>
    </tableColumn>
    <tableColumn id="29" xr3:uid="{6A883F5C-2C15-4C67-B46D-23607F5DB48A}" name="Colonne29">
      <calculatedColumnFormula>DEGREES(ACOS(((SIN(J3)-(SIN(J2))*(COS(RADIANS(AE2/60))))/(COS(J2)*SIN(RADIANS(AE2/60))))))</calculatedColumnFormula>
    </tableColumn>
    <tableColumn id="30" xr3:uid="{F2C1A87A-2E2C-4C10-9FB5-81D5F888B588}" name="Colonne30" dataDxfId="27">
      <calculatedColumnFormula>_xlfn.IFS(AND(P2&gt;0,R2&lt;0),180-AC2,AND(P2&gt;0,R2&gt;0),180+AC2,AND(P2&lt;0,R2&gt;0),180+AC2,AND(P2&lt;0,R2&lt;0),180-AC2)</calculatedColumnFormula>
    </tableColumn>
    <tableColumn id="31" xr3:uid="{C4BD396A-AB24-4F79-9F97-3DCA8AF727B4}" name="Colonne31" dataDxfId="26">
      <calculatedColumnFormula>(DEGREES(ACOS((SIN(J2)*SIN(J3)+(COS(J2)*COS(J3)*COS(RADIANS(T2/60)))))))*60</calculatedColumnFormula>
    </tableColumn>
    <tableColumn id="32" xr3:uid="{9E291B30-043C-41EF-A76E-2B335024C2CA}" name="Colonne32" dataDxfId="25"/>
    <tableColumn id="33" xr3:uid="{547E45A8-40AE-456C-A006-0D95A305CC19}" name="Colonne33" dataDxfId="24">
      <calculatedColumnFormula array="1">_xlfn.IFS(AH2=W2,V2,AH2=AB2,AA2,AH2=AE2,AD2)</calculatedColumnFormula>
    </tableColumn>
    <tableColumn id="34" xr3:uid="{2D7EC61E-B0C8-4928-AB4E-39BC66CA3E5B}" name="Colonne34" dataDxfId="23">
      <calculatedColumnFormula>_xlfn.IFS(AND(AF2="loxo",W2&lt;600),AB2,AND(AF2="loxo",W2&gt;600),W2,AND(C2&gt;60,AF2="loxo"),W2,AF2="ortho",AE2)</calculatedColumnFormula>
    </tableColumn>
    <tableColumn id="35" xr3:uid="{17D76948-3A81-462D-9BE9-8CEA6C159C40}" name="Colonne35">
      <calculatedColumnFormula>_xlfn.IFS(AND(AF2="loxo",W2&gt;600),V2+BG2,AF2="ortho",AD2+BG2,AND(AF2="loxo",W2&lt;600),AA2+BG2)</calculatedColumnFormula>
    </tableColumn>
    <tableColumn id="36" xr3:uid="{543C2039-D395-4607-9D08-D9A3CA02C2DE}" name="Colonne36" dataDxfId="22">
      <calculatedColumnFormula>_xlfn.IFS(AI2&gt;360,AI2-360,AI2&lt;360,AI2)</calculatedColumnFormula>
    </tableColumn>
    <tableColumn id="37" xr3:uid="{12CDCF27-29AB-4A9B-9F5A-526A8E4BC7D8}" name="Colonne37" dataDxfId="21">
      <calculatedColumnFormula>_xlfn.IFS(AJ2&gt;270,AJ2-270,AJ2&lt;90,90-AJ2,AJ2&lt;180,AJ2-90,AJ2&gt;180,270-AJ2)</calculatedColumnFormula>
    </tableColumn>
    <tableColumn id="38" xr3:uid="{D39F7213-2102-4E32-957A-0D1B6B9CE753}" name="Colonne38">
      <calculatedColumnFormula>_xlfn.IFS(AND(AF2="loxo",W2&gt;600),(SIN(RADIANS(U2))*BC2),AF2="ortho",(SIN(RADIANS(AC2))*BC2),AND(AF2="loxo",W2&lt;600),(SIN(RADIANS(Z2))*BC2))</calculatedColumnFormula>
    </tableColumn>
    <tableColumn id="39" xr3:uid="{82838C0F-96D0-4BED-82FC-F0129E040C8A}" name="Colonne39">
      <calculatedColumnFormula>_xlfn.IFS(AND(AF2="loxo",W2&gt;600),SQRT((BC2^2)-((SIN(RADIANS(U2))*BC2)^2)),AF2="ortho",SQRT((BC2^2)-((SIN(RADIANS(AC2))*BC2)^2)),AND(AF2="loxo",W2&lt;600),SQRT((BC2^2)-((SIN(RADIANS(Z2))*BC2)^2)))</calculatedColumnFormula>
    </tableColumn>
    <tableColumn id="40" xr3:uid="{2A04E785-A90F-4B78-9277-F07053CEFB84}" name="Colonne40">
      <calculatedColumnFormula>(SIN(RADIANS(AK2))*BF2)</calculatedColumnFormula>
    </tableColumn>
    <tableColumn id="41" xr3:uid="{EC6138AB-FD0C-4575-92C3-21BE015257B1}" name="Colonne41">
      <calculatedColumnFormula>SQRT((BF2^2)-((SIN(RADIANS(AK2))*BF2)^2))</calculatedColumnFormula>
    </tableColumn>
    <tableColumn id="42" xr3:uid="{E7E82079-1B42-4FD2-AE11-6B1B51B4F1A6}" name="Colonne42">
      <calculatedColumnFormula>_xlfn.IFS(AND(AF2="loxo",W2&lt;600),AA2,AND(AF2="loxo",W2&gt;600),V2,AND(C2&gt;60,AF2="loxo"),V2,AF2="ortho",AD2)</calculatedColumnFormula>
    </tableColumn>
    <tableColumn id="43" xr3:uid="{E345FD58-EE28-4C08-AEAD-01AB9D113128}" name="Colonne43" dataDxfId="20">
      <calculatedColumnFormula>_xlfn.IFS(AP2&gt;270,AM2,AP2&lt;90,AM2,AP2&lt;270,AM2*-1,AP2&gt;90,AM2*-1)</calculatedColumnFormula>
    </tableColumn>
    <tableColumn id="44" xr3:uid="{65925BC9-6F2F-4198-A7F9-BD79E3D3DD9A}" name="Colonne44" dataDxfId="19">
      <calculatedColumnFormula>_xlfn.IFS(AJ2&gt;270,AN2,AJ2&lt;90,AN2,AJ2&lt;270,AN2*-1,AJ2&gt;90,AN2*-1)</calculatedColumnFormula>
    </tableColumn>
    <tableColumn id="45" xr3:uid="{4D277C95-E38A-4CC6-93A5-561BFED3221F}" name="Colonne45" dataDxfId="18">
      <calculatedColumnFormula>_xlfn.IFS(AND(AP2&gt;180,AP2&lt;360),AL2*-1,AND(AP2&lt;180,AP2&gt;0),AL2)</calculatedColumnFormula>
    </tableColumn>
    <tableColumn id="46" xr3:uid="{99A150BC-7406-4538-9C83-11BDEDF3A240}" name="Colonne46" dataDxfId="17">
      <calculatedColumnFormula>_xlfn.IFS(AJ2&gt;180,AO2*-1,AJ2&lt;180,AO2,AJ2=0,AO2,AJ2=360,AO2)</calculatedColumnFormula>
    </tableColumn>
    <tableColumn id="47" xr3:uid="{4A6BBA4D-8833-4142-8A73-8A52DDB04A17}" name="Colonne47">
      <calculatedColumnFormula>(AQ2+AR2)</calculatedColumnFormula>
    </tableColumn>
    <tableColumn id="48" xr3:uid="{2E99433A-3318-407D-ACF3-F5AE60D2C069}" name="Colonne48">
      <calculatedColumnFormula>(AS2+AT2)</calculatedColumnFormula>
    </tableColumn>
    <tableColumn id="49" xr3:uid="{10C3121B-7C73-4B8D-BDBF-70D4638760AA}" name="Colonne49">
      <calculatedColumnFormula>DEGREES(ATAN(AV2/AU2))</calculatedColumnFormula>
    </tableColumn>
    <tableColumn id="50" xr3:uid="{ED57D0A3-5785-418D-9798-2A522F9CE511}" name="Colonne50">
      <calculatedColumnFormula>_xlfn.IFS((DEGREES(ATAN(AV2/AU2)))&lt;0,(DEGREES(ATAN(AV2/AU2)))*-1,DEGREES(ATAN(AV2/AU2))&gt;0,(DEGREES(ATAN(AV2/AU2))))</calculatedColumnFormula>
    </tableColumn>
    <tableColumn id="51" xr3:uid="{AD9566FB-BE40-492A-8D31-1AFA70EF19E3}" name="Colonne51">
      <calculatedColumnFormula>_xlfn.IFS(AND(AF2="loxo",W2&lt;600),BH2-AA2,AND(AF2="loxo",W2&gt;600),BH2-V2,AND(C2&gt;60,AF2="loxo"),BH2-V2,AF2="ortho",BH2-AD2)</calculatedColumnFormula>
    </tableColumn>
    <tableColumn id="52" xr3:uid="{1A5F3633-E504-4AD7-AE0F-3688DD1D4570}" name="Colonne52" dataDxfId="16"/>
    <tableColumn id="53" xr3:uid="{F794F9C0-FBC1-4AF7-8D27-B10087F0DEC1}" name="Colonne53" dataDxfId="15">
      <calculatedColumnFormula>_xlfn.IFS(BB2=1,Références!$B$80,BB2=2,Références!$B$81,BB2=3,Références!$B$82,BB2=4,Références!$B$83,BB2=5,Références!$B$84,BB2=6,Références!$B$85,BB2=7,Références!$B$86,BB2=8,Références!$B$87,BB2=9,Références!$B$88,BB2=10,Références!$B$89,BB2=11,Références!$B$90,BB2=12,Références!$B$91)</calculatedColumnFormula>
    </tableColumn>
    <tableColumn id="54" xr3:uid="{F5066E64-3660-4478-92AF-9C3642A3A810}" name="Colonne54" dataDxfId="14"/>
    <tableColumn id="55" xr3:uid="{21900DA0-AF8F-4F57-9694-5A0D18196622}" name="Colonne55" dataDxfId="13">
      <calculatedColumnFormula array="1">_xlfn.IFS(#REF!="Beam", -0.0000000868778*BA2^5-0.0000459619*BA2^4+0.00347366*BA2^3-0.0884721*BA2^2+0.510463*BA2+14.9932,#REF!="Following",0.000652681*BA2^3-0.0356523*BA2^2+0.29714*BA2+15.2038,#REF!="Head",-0.00000154449*BA2^5+0.0000797696*BA2^4+0.000148965*BA2^3-0.0570448*BA2^2+0.244115*BA2+15.0029)</calculatedColumnFormula>
    </tableColumn>
    <tableColumn id="56" xr3:uid="{A7EE53BD-C3F1-464C-ABE4-F81353E6E0A1}" name="Colonne56" dataDxfId="12"/>
    <tableColumn id="57" xr3:uid="{9D8A3974-2DAD-4BCB-9429-1DD30A336DEC}" name="Colonne57" dataDxfId="11"/>
    <tableColumn id="58" xr3:uid="{91590F58-EB00-496B-8FAC-CF0ECE159888}" name="Colonne58" dataDxfId="10"/>
    <tableColumn id="59" xr3:uid="{13A98F78-282D-4102-9DDB-9A6DA9B8CA5E}" name="Colonne59">
      <calculatedColumnFormula>IF(BD2=0,SQRT((AU2^2)+(AV2^2)),SQRT((AU2^2)+(AV2^2)))</calculatedColumnFormula>
    </tableColumn>
    <tableColumn id="60" xr3:uid="{2B89C7BD-F3FD-4D35-A21A-7C0CCE1F0251}" name="Colonne60" dataDxfId="9">
      <calculatedColumnFormula>_xlfn.IFS(AND(AV2&gt;0,AU2&gt;0),AX2,AND(AV2&lt;0,AU2&gt;0),360-AX2,AND(AV2&gt;0,AU2&lt;0),180-AX2,AND(AV2&lt;0,AU2&lt;0),180+AX2)</calculatedColumnFormula>
    </tableColumn>
    <tableColumn id="61" xr3:uid="{B8044BB4-07AA-4983-9310-4105A40E85A3}" name="Colonne61" dataDxfId="8">
      <calculatedColumnFormula>(AP2-AY2)</calculatedColumnFormula>
    </tableColumn>
    <tableColumn id="62" xr3:uid="{40D13F5D-04CB-4D1A-B44E-EA38D8C5E13A}" name="Colonne62" dataDxfId="7"/>
    <tableColumn id="63" xr3:uid="{4EFEFFD0-00C9-474A-9A6A-3E7A00044A79}" name="Colonne63" dataDxfId="6">
      <calculatedColumnFormula>IF(BN2=0,(AH2/#REF!)*60,((AH2/#REF!)*60)+BN2)</calculatedColumnFormula>
    </tableColumn>
    <tableColumn id="64" xr3:uid="{5E5B389D-C4F7-4EAE-BA2D-310939004668}" name="Colonne64" dataDxfId="5">
      <calculatedColumnFormula>IF(G2="W",(ROUND((F2/15),0))*-1,(ROUND((F2/15),0)))</calculatedColumnFormula>
    </tableColumn>
    <tableColumn id="65" xr3:uid="{44605D31-3756-4FB8-A049-AF6574FCFC3D}" name="Colonne65" dataDxfId="4">
      <calculatedColumnFormula>IF(BL2&lt;0,((BL2*-1)/24),BL2/24)</calculatedColumnFormula>
    </tableColumn>
    <tableColumn id="66" xr3:uid="{F43D72B8-AA42-4BB2-A365-F63C3D8D239F}" name="Colonne66" dataDxfId="3">
      <calculatedColumnFormula>IF(BJ2=0,BK2/(60*24),(BK2/(60*24))+(BJ2/(60*24)))</calculatedColumnFormula>
    </tableColumn>
    <tableColumn id="67" xr3:uid="{64143582-7FE1-4E9A-AEC4-1E5984A5C9BF}" name="Colonne67" dataDxfId="2">
      <calculatedColumnFormula>BO1+BN1</calculatedColumnFormula>
    </tableColumn>
    <tableColumn id="68" xr3:uid="{6B018547-A388-46EB-8D24-D1C45830B2CC}" name="Colonne68" dataDxfId="1">
      <calculatedColumnFormula>BP1+BN1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P57"/>
  <sheetViews>
    <sheetView tabSelected="1" topLeftCell="BC2" zoomScale="77" zoomScaleNormal="66" workbookViewId="0">
      <selection activeCell="BP5" sqref="BP5"/>
    </sheetView>
  </sheetViews>
  <sheetFormatPr baseColWidth="10" defaultRowHeight="15" outlineLevelRow="1" outlineLevelCol="2" x14ac:dyDescent="0.25"/>
  <cols>
    <col min="1" max="1" width="12.5703125" customWidth="1"/>
    <col min="2" max="4" width="15.85546875" customWidth="1"/>
    <col min="5" max="5" width="15" customWidth="1"/>
    <col min="6" max="6" width="15.42578125" bestFit="1" customWidth="1"/>
    <col min="7" max="7" width="15" customWidth="1"/>
    <col min="8" max="9" width="13" hidden="1" customWidth="1" outlineLevel="1"/>
    <col min="10" max="10" width="13.85546875" hidden="1" customWidth="1" outlineLevel="1"/>
    <col min="11" max="11" width="13.42578125" hidden="1" customWidth="1" outlineLevel="1"/>
    <col min="12" max="16" width="13.85546875" hidden="1" customWidth="1" outlineLevel="1"/>
    <col min="17" max="17" width="13.85546875" hidden="1" customWidth="1" outlineLevel="1" collapsed="1"/>
    <col min="18" max="19" width="13.85546875" hidden="1" customWidth="1" outlineLevel="1"/>
    <col min="20" max="20" width="14.28515625" hidden="1" customWidth="1" outlineLevel="1"/>
    <col min="21" max="21" width="13.85546875" hidden="1" customWidth="1" outlineLevel="1"/>
    <col min="22" max="23" width="16.42578125" hidden="1" customWidth="1" outlineLevel="1"/>
    <col min="24" max="26" width="11.42578125" hidden="1" customWidth="1" outlineLevel="2"/>
    <col min="27" max="27" width="16.42578125" hidden="1" customWidth="1" outlineLevel="1" collapsed="1"/>
    <col min="28" max="30" width="16.42578125" hidden="1" customWidth="1" outlineLevel="1"/>
    <col min="31" max="31" width="16" hidden="1" customWidth="1" outlineLevel="1"/>
    <col min="32" max="32" width="14.28515625" customWidth="1" collapsed="1"/>
    <col min="33" max="34" width="14.28515625" customWidth="1"/>
    <col min="35" max="40" width="14.28515625" hidden="1" customWidth="1" outlineLevel="1"/>
    <col min="41" max="41" width="13.85546875" hidden="1" customWidth="1" outlineLevel="1"/>
    <col min="42" max="49" width="14.28515625" hidden="1" customWidth="1" outlineLevel="1"/>
    <col min="50" max="50" width="14.28515625" hidden="1" customWidth="1" outlineLevel="1" collapsed="1"/>
    <col min="51" max="51" width="13.85546875" hidden="1" customWidth="1" outlineLevel="1"/>
    <col min="52" max="52" width="16.42578125" customWidth="1" collapsed="1"/>
    <col min="53" max="53" width="16.42578125" hidden="1" customWidth="1" outlineLevel="1"/>
    <col min="54" max="54" width="16.42578125" customWidth="1" collapsed="1"/>
    <col min="55" max="55" width="16.42578125" customWidth="1"/>
    <col min="56" max="56" width="14.28515625" customWidth="1"/>
    <col min="57" max="59" width="16.42578125" customWidth="1"/>
    <col min="60" max="60" width="16.42578125" style="86" customWidth="1"/>
    <col min="61" max="61" width="16" style="86" customWidth="1"/>
    <col min="62" max="62" width="16.42578125" customWidth="1"/>
    <col min="63" max="65" width="16.42578125" customWidth="1" outlineLevel="1"/>
    <col min="66" max="66" width="17.140625" customWidth="1"/>
    <col min="67" max="67" width="18" hidden="1" customWidth="1" outlineLevel="2"/>
    <col min="68" max="68" width="19.85546875" customWidth="1" collapsed="1"/>
    <col min="69" max="69" width="17.42578125" customWidth="1"/>
    <col min="70" max="70" width="16.7109375" customWidth="1"/>
    <col min="71" max="71" width="16.85546875" customWidth="1"/>
    <col min="72" max="72" width="19" customWidth="1"/>
  </cols>
  <sheetData>
    <row r="1" spans="1:72" ht="16.5" hidden="1" outlineLevel="1" thickBot="1" x14ac:dyDescent="0.3">
      <c r="A1" t="s">
        <v>133</v>
      </c>
      <c r="B1" s="124" t="s">
        <v>134</v>
      </c>
      <c r="C1" s="125" t="s">
        <v>135</v>
      </c>
      <c r="D1" s="126" t="s">
        <v>136</v>
      </c>
      <c r="E1" s="118" t="s">
        <v>137</v>
      </c>
      <c r="F1" s="119" t="s">
        <v>138</v>
      </c>
      <c r="G1" s="120" t="s">
        <v>139</v>
      </c>
      <c r="H1" t="s">
        <v>140</v>
      </c>
      <c r="I1" t="s">
        <v>141</v>
      </c>
      <c r="J1" t="s">
        <v>142</v>
      </c>
      <c r="K1" t="s">
        <v>143</v>
      </c>
      <c r="L1" t="s">
        <v>144</v>
      </c>
      <c r="M1" t="s">
        <v>145</v>
      </c>
      <c r="N1" t="s">
        <v>146</v>
      </c>
      <c r="O1" t="s">
        <v>147</v>
      </c>
      <c r="P1" t="s">
        <v>148</v>
      </c>
      <c r="Q1" t="s">
        <v>149</v>
      </c>
      <c r="R1" t="s">
        <v>150</v>
      </c>
      <c r="S1" t="s">
        <v>151</v>
      </c>
      <c r="T1" t="s">
        <v>152</v>
      </c>
      <c r="U1" t="s">
        <v>153</v>
      </c>
      <c r="V1" s="9" t="s">
        <v>154</v>
      </c>
      <c r="W1" s="9" t="s">
        <v>155</v>
      </c>
      <c r="X1" t="s">
        <v>156</v>
      </c>
      <c r="Y1" t="s">
        <v>157</v>
      </c>
      <c r="Z1" t="s">
        <v>158</v>
      </c>
      <c r="AA1" s="9" t="s">
        <v>159</v>
      </c>
      <c r="AB1" s="9" t="s">
        <v>160</v>
      </c>
      <c r="AC1" s="9" t="s">
        <v>161</v>
      </c>
      <c r="AD1" s="9" t="s">
        <v>162</v>
      </c>
      <c r="AE1" s="9" t="s">
        <v>163</v>
      </c>
      <c r="AF1" t="s">
        <v>164</v>
      </c>
      <c r="AG1" t="s">
        <v>165</v>
      </c>
      <c r="AH1" t="s">
        <v>166</v>
      </c>
      <c r="AI1" t="s">
        <v>167</v>
      </c>
      <c r="AJ1" t="s">
        <v>168</v>
      </c>
      <c r="AK1" t="s">
        <v>169</v>
      </c>
      <c r="AL1" t="s">
        <v>170</v>
      </c>
      <c r="AM1" t="s">
        <v>171</v>
      </c>
      <c r="AN1" t="s">
        <v>172</v>
      </c>
      <c r="AO1" t="s">
        <v>173</v>
      </c>
      <c r="AP1" t="s">
        <v>174</v>
      </c>
      <c r="AQ1" t="s">
        <v>175</v>
      </c>
      <c r="AR1" t="s">
        <v>176</v>
      </c>
      <c r="AS1" t="s">
        <v>177</v>
      </c>
      <c r="AT1" t="s">
        <v>178</v>
      </c>
      <c r="AU1" t="s">
        <v>179</v>
      </c>
      <c r="AV1" t="s">
        <v>180</v>
      </c>
      <c r="AW1" t="s">
        <v>181</v>
      </c>
      <c r="AX1" t="s">
        <v>182</v>
      </c>
      <c r="AY1" t="s">
        <v>183</v>
      </c>
      <c r="AZ1" s="128" t="s">
        <v>184</v>
      </c>
      <c r="BA1" s="129" t="s">
        <v>185</v>
      </c>
      <c r="BB1" s="129" t="s">
        <v>186</v>
      </c>
      <c r="BC1" s="130" t="s">
        <v>187</v>
      </c>
      <c r="BD1" t="s">
        <v>188</v>
      </c>
      <c r="BE1" s="128" t="s">
        <v>189</v>
      </c>
      <c r="BF1" s="129" t="s">
        <v>190</v>
      </c>
      <c r="BG1" s="129" t="s">
        <v>191</v>
      </c>
      <c r="BH1" s="129" t="s">
        <v>192</v>
      </c>
      <c r="BI1" s="130" t="s">
        <v>193</v>
      </c>
      <c r="BJ1" s="128" t="s">
        <v>194</v>
      </c>
      <c r="BK1" s="129" t="s">
        <v>195</v>
      </c>
      <c r="BL1" s="129" t="s">
        <v>196</v>
      </c>
      <c r="BM1" s="129" t="s">
        <v>197</v>
      </c>
      <c r="BN1" s="129" t="s">
        <v>198</v>
      </c>
      <c r="BO1" s="129" t="s">
        <v>199</v>
      </c>
      <c r="BP1" s="129" t="s">
        <v>200</v>
      </c>
    </row>
    <row r="2" spans="1:72" ht="16.5" collapsed="1" thickBot="1" x14ac:dyDescent="0.3">
      <c r="B2" s="127"/>
      <c r="C2" s="116" t="s">
        <v>25</v>
      </c>
      <c r="D2" s="117"/>
      <c r="E2" s="127"/>
      <c r="F2" s="119" t="s">
        <v>26</v>
      </c>
      <c r="G2" s="120"/>
      <c r="V2" s="123" t="s">
        <v>51</v>
      </c>
      <c r="W2" s="123"/>
      <c r="AA2" s="123" t="s">
        <v>52</v>
      </c>
      <c r="AB2" s="123"/>
      <c r="AC2" s="123" t="s">
        <v>57</v>
      </c>
      <c r="AD2" s="123"/>
      <c r="AE2" s="123"/>
      <c r="AZ2" s="127"/>
      <c r="BA2" s="119"/>
      <c r="BB2" s="119" t="s">
        <v>117</v>
      </c>
      <c r="BC2" s="120"/>
      <c r="BE2" s="134"/>
      <c r="BF2" s="119"/>
      <c r="BG2" s="119" t="s">
        <v>114</v>
      </c>
      <c r="BH2" s="119"/>
      <c r="BI2" s="119"/>
      <c r="BJ2" s="127"/>
      <c r="BK2" s="119"/>
      <c r="BL2" s="119"/>
      <c r="BM2" s="119"/>
      <c r="BN2" s="119" t="s">
        <v>120</v>
      </c>
      <c r="BO2" s="119"/>
      <c r="BP2" s="120"/>
      <c r="BQ2" s="19"/>
      <c r="BR2" s="19"/>
      <c r="BS2" s="9"/>
      <c r="BT2" s="9"/>
    </row>
    <row r="3" spans="1:72" ht="14.25" customHeight="1" thickBot="1" x14ac:dyDescent="0.3">
      <c r="A3" s="99" t="s">
        <v>17</v>
      </c>
      <c r="B3" s="101" t="s">
        <v>13</v>
      </c>
      <c r="C3" s="101" t="s">
        <v>14</v>
      </c>
      <c r="D3" s="102" t="s">
        <v>12</v>
      </c>
      <c r="E3" s="101" t="s">
        <v>13</v>
      </c>
      <c r="F3" s="101" t="s">
        <v>14</v>
      </c>
      <c r="G3" s="102" t="s">
        <v>15</v>
      </c>
      <c r="H3" s="103" t="s">
        <v>21</v>
      </c>
      <c r="I3" s="103" t="s">
        <v>22</v>
      </c>
      <c r="J3" s="103" t="s">
        <v>124</v>
      </c>
      <c r="K3" s="103" t="s">
        <v>23</v>
      </c>
      <c r="L3" s="103" t="s">
        <v>24</v>
      </c>
      <c r="M3" s="99" t="s">
        <v>19</v>
      </c>
      <c r="N3" s="103" t="s">
        <v>34</v>
      </c>
      <c r="O3" s="99" t="s">
        <v>33</v>
      </c>
      <c r="P3" s="99" t="s">
        <v>107</v>
      </c>
      <c r="Q3" s="99" t="s">
        <v>31</v>
      </c>
      <c r="R3" s="99" t="s">
        <v>108</v>
      </c>
      <c r="S3" s="99" t="s">
        <v>27</v>
      </c>
      <c r="T3" s="99" t="s">
        <v>28</v>
      </c>
      <c r="U3" s="103" t="s">
        <v>44</v>
      </c>
      <c r="V3" s="103" t="s">
        <v>48</v>
      </c>
      <c r="W3" s="103" t="s">
        <v>45</v>
      </c>
      <c r="X3" s="103" t="s">
        <v>42</v>
      </c>
      <c r="Y3" s="99" t="s">
        <v>41</v>
      </c>
      <c r="Z3" s="103" t="s">
        <v>43</v>
      </c>
      <c r="AA3" s="103" t="s">
        <v>49</v>
      </c>
      <c r="AB3" s="103" t="s">
        <v>50</v>
      </c>
      <c r="AC3" s="99" t="s">
        <v>58</v>
      </c>
      <c r="AD3" s="103" t="s">
        <v>59</v>
      </c>
      <c r="AE3" s="103" t="s">
        <v>40</v>
      </c>
      <c r="AF3" s="100" t="s">
        <v>61</v>
      </c>
      <c r="AG3" s="100" t="s">
        <v>132</v>
      </c>
      <c r="AH3" s="100" t="s">
        <v>60</v>
      </c>
      <c r="AI3" s="30" t="s">
        <v>98</v>
      </c>
      <c r="AJ3" s="30" t="s">
        <v>99</v>
      </c>
      <c r="AK3" s="30" t="s">
        <v>100</v>
      </c>
      <c r="AL3" s="30" t="s">
        <v>93</v>
      </c>
      <c r="AM3" s="30" t="s">
        <v>92</v>
      </c>
      <c r="AN3" s="30" t="s">
        <v>95</v>
      </c>
      <c r="AO3" s="30" t="s">
        <v>94</v>
      </c>
      <c r="AP3" s="30" t="s">
        <v>103</v>
      </c>
      <c r="AQ3" s="104" t="s">
        <v>84</v>
      </c>
      <c r="AR3" s="30" t="s">
        <v>85</v>
      </c>
      <c r="AS3" s="30" t="s">
        <v>86</v>
      </c>
      <c r="AT3" s="30" t="s">
        <v>87</v>
      </c>
      <c r="AU3" s="30" t="s">
        <v>88</v>
      </c>
      <c r="AV3" s="30" t="s">
        <v>89</v>
      </c>
      <c r="AW3" s="30" t="s">
        <v>83</v>
      </c>
      <c r="AX3" s="30" t="s">
        <v>91</v>
      </c>
      <c r="AY3" s="30" t="s">
        <v>104</v>
      </c>
      <c r="AZ3" s="131" t="s">
        <v>112</v>
      </c>
      <c r="BA3" s="132" t="s">
        <v>74</v>
      </c>
      <c r="BB3" s="132" t="s">
        <v>113</v>
      </c>
      <c r="BC3" s="101" t="s">
        <v>116</v>
      </c>
      <c r="BD3" s="105" t="s">
        <v>119</v>
      </c>
      <c r="BE3" s="106" t="s">
        <v>97</v>
      </c>
      <c r="BF3" s="107" t="s">
        <v>115</v>
      </c>
      <c r="BG3" s="108" t="s">
        <v>118</v>
      </c>
      <c r="BH3" s="133" t="s">
        <v>90</v>
      </c>
      <c r="BI3" s="108" t="s">
        <v>105</v>
      </c>
      <c r="BJ3" s="106" t="s">
        <v>121</v>
      </c>
      <c r="BK3" s="135" t="s">
        <v>120</v>
      </c>
      <c r="BL3" s="136" t="s">
        <v>122</v>
      </c>
      <c r="BM3" s="136" t="s">
        <v>125</v>
      </c>
      <c r="BN3" s="101" t="s">
        <v>120</v>
      </c>
      <c r="BO3" s="135"/>
      <c r="BP3" s="135" t="s">
        <v>126</v>
      </c>
      <c r="BS3" s="3"/>
      <c r="BT3" s="14"/>
    </row>
    <row r="4" spans="1:72" ht="15.75" thickBot="1" x14ac:dyDescent="0.3">
      <c r="A4">
        <v>1</v>
      </c>
      <c r="B4" s="55">
        <v>2</v>
      </c>
      <c r="C4" s="56">
        <v>14.507999999999999</v>
      </c>
      <c r="D4" s="42" t="s">
        <v>16</v>
      </c>
      <c r="E4" s="56">
        <v>79</v>
      </c>
      <c r="F4" s="56">
        <v>52.55</v>
      </c>
      <c r="G4" s="43" t="s">
        <v>18</v>
      </c>
      <c r="H4">
        <f>(C4/60)+B4</f>
        <v>2.2418</v>
      </c>
      <c r="I4" s="2">
        <f>RADIANS(H4)</f>
        <v>3.9126791171208881E-2</v>
      </c>
      <c r="J4" s="2">
        <f>IF(D4="S",I4,I4*-1)</f>
        <v>3.9126791171208881E-2</v>
      </c>
      <c r="K4">
        <f>(F4/60)+E4</f>
        <v>79.875833333333333</v>
      </c>
      <c r="L4" s="2">
        <f>RADIANS(K4)</f>
        <v>1.3940962844409039</v>
      </c>
      <c r="M4" s="1">
        <f>7915.704468*LOG((TAN((RADIANS(45)+(I4/2)))))-23.268932*SIN(I4)-0.0525*(SIN(I4)^3)*(SIN(I4)^5)</f>
        <v>133.63212662701051</v>
      </c>
      <c r="N4" s="5" cm="1">
        <f t="array" ref="N4">_xlfn.IFS(D4&lt;&gt;D5,M4+M5,M5-M4&lt;0,(M5-M4)*-1,M5-M4&gt;0,M5-M4)</f>
        <v>2.656015812075708</v>
      </c>
      <c r="O4">
        <f t="shared" ref="O4" si="0">(DEGREES(IF(D4=D5,I5-I4,I4+I5)))*60</f>
        <v>2.6719999999999864</v>
      </c>
      <c r="P4" s="1">
        <f>_xlfn.IFS(AND(D5="N",D4&lt;&gt;D5,O4&gt;0),O4*-1,AND(D5="N",D4=D5,O4&lt;0),O4*-1,AND(D5="S",D4=D5,O4&gt;0),O4,AND(D5="S",D4&lt;&gt;D5,O4&lt;0),O4,AND(D5="N",D5&lt;&gt;D4,O4&lt;0),O4*-1,AND(D5="N",D5=D4,O4&lt;0),O4*-1,AND(D5="S",D4=D5,O4&lt;0),O4,AND(D5="N",D5=D4,O4&gt;0),O4*-1)</f>
        <v>2.6719999999999864</v>
      </c>
      <c r="Q4" s="1">
        <f>(DEGREES(_xlfn.IFS(G4=G5,L5-L4,(L4+L5)&gt;(RADIANS(180)),RADIANS(360)-(L4+L5),G4&lt;&gt;G5,L4+L5)))*60</f>
        <v>-2.4490000000002192</v>
      </c>
      <c r="R4" s="1" cm="1">
        <f t="array" ref="R4">_xlfn.IFS(AND(G5="E",G5&lt;&gt;G4,L4+L5&gt;(RADIANS(180)),Q4&lt;0),Q4*-1,AND(G5="W",G5&lt;&gt;G4,L5+L4&gt;(RADIANS(180)),Q4&lt;0),Q4,AND(G5="E",G5&lt;&gt;G4,L5+L4&gt;(RADIANS(180)),Q4&gt;0),Q4,AND(G5="W",G5&lt;&gt;G4,L5+L4&gt;(RADIANS(180)),Q4&gt;0),Q4*-1,AND(G5="W",G5=G4,Q4&lt;0),Q4,AND(G5="W",G5=G4,Q4&gt;0),Q4,AND(G5="E",G5=G4,Q4&lt;0),Q4*-1,AND(G5="E",G5=G4,Q4&gt;0),Q4*-1,AND(G5="E",G5&lt;&gt;G4,Q4&gt;0),Q4*-1,AND(G5="E",G5&lt;&gt;G4,Q4&lt;0),Q4,AND(G5="W",G5&lt;&gt;G4,Q4&gt;0),Q4,AND(G5="W",G5&lt;&gt;G4,Q4&lt;0),Q4*-1)</f>
        <v>-2.4490000000002192</v>
      </c>
      <c r="S4" s="4">
        <f>IF(O4&lt;0,-1*O4,O4)</f>
        <v>2.6719999999999864</v>
      </c>
      <c r="T4" s="4">
        <f>IF(Q4&lt;0,-1*Q4,Q4)</f>
        <v>2.4490000000002192</v>
      </c>
      <c r="U4">
        <f>DEGREES(ATAN(T4/N4))</f>
        <v>42.677845161422034</v>
      </c>
      <c r="V4" s="8">
        <f>_xlfn.IFS(AND(P4&gt;0,R4&gt;0),180+U4,AND(P4&lt;0,R4&gt;0),360-U4,AND(P4&gt;0,R4&lt;0),180-U4,AND(P4&lt;0,R4&lt;0),U4)</f>
        <v>137.32215483857797</v>
      </c>
      <c r="W4" s="6">
        <f>(S4/(COS(RADIANS(U4))))</f>
        <v>3.6345000523475681</v>
      </c>
      <c r="X4">
        <f t="shared" ref="X4" si="1">AVERAGE(H4,H5)</f>
        <v>2.2640666666666664</v>
      </c>
      <c r="Y4">
        <f>(T4*(COS(RADIANS(X4))))</f>
        <v>2.4470882309171285</v>
      </c>
      <c r="Z4">
        <f>DEGREES(ATAN(Y4/S4))</f>
        <v>42.484276053282926</v>
      </c>
      <c r="AA4" s="7">
        <f>_xlfn.IFS(AND(P4&gt;0,R4&gt;0),180+Z4,AND(P4&lt;0,R4&gt;0),360-Z4,AND(P4&gt;0,R4&lt;0),180-Z4,AND(P4&lt;0,R4&lt;0),Z4)</f>
        <v>137.51572394671706</v>
      </c>
      <c r="AB4" s="6">
        <f>(S4/(COS(RADIANS(Z4))))</f>
        <v>3.6232340263765805</v>
      </c>
      <c r="AC4" s="1">
        <f>DEGREES(ACOS(((SIN(J5)-(SIN(J4))*(COS(RADIANS(AE4/60))))/(COS(J4)*SIN(RADIANS(AE4/60))))))</f>
        <v>42.483471745803143</v>
      </c>
      <c r="AD4" s="7">
        <f>_xlfn.IFS(AND(P4&gt;0,R4&lt;0),180-AC4,AND(P4&gt;0,R4&gt;0),180+AC4,AND(P4&lt;0,R4&gt;0),180+AC4,AND(P4&lt;0,R4&lt;0),180-AC4)</f>
        <v>137.51652825419686</v>
      </c>
      <c r="AE4" s="6">
        <f>(DEGREES(ACOS((SIN(J4)*SIN(J5)+(COS(J4)*COS(J5)*COS(RADIANS(T4/60)))))))*60</f>
        <v>3.623233984603258</v>
      </c>
      <c r="AF4" s="69" t="s">
        <v>102</v>
      </c>
      <c r="AG4" s="112" cm="1">
        <f t="array" ref="AG4">_xlfn.IFS(AH4=W4,V4,AH4=AB4,AA4,AH4=AE4,AD4)</f>
        <v>137.51572394671706</v>
      </c>
      <c r="AH4" s="87">
        <f t="shared" ref="AH4" si="2">_xlfn.IFS(AND(AF4="loxo",W4&lt;600),AB4,AND(AF4="loxo",W4&gt;600),W4,AND(B4&gt;60,AF4="loxo"),W4,AF4="ortho",AE4)</f>
        <v>3.6232340263765805</v>
      </c>
      <c r="AI4">
        <f>_xlfn.IFS(AND(AF4="loxo",W4&gt;600),V4+BE4,AF4="ortho",AD4+BE4,AND(AF4="loxo",W4&lt;600),AA4+BE4)</f>
        <v>387.51572394671706</v>
      </c>
      <c r="AJ4" s="11">
        <f>_xlfn.IFS(AI4&gt;360,AI4-360,AI4&lt;360,AI4)</f>
        <v>27.51572394671706</v>
      </c>
      <c r="AK4" s="11">
        <f>_xlfn.IFS(AJ4&gt;270,AJ4-270,AJ4&lt;90,90-AJ4,AJ4&lt;180,AJ4-90,AJ4&gt;180,270-AJ4)</f>
        <v>62.48427605328294</v>
      </c>
      <c r="AL4" s="1">
        <f>_xlfn.IFS(AND(AF4="loxo",W4&gt;600),(SIN(RADIANS(U4))*BC4),AF4="ortho",(SIN(RADIANS(AC4))*BC4),AND(AF4="loxo",W4&lt;600),(SIN(RADIANS(Z4))*BC4))</f>
        <v>10.413547571351739</v>
      </c>
      <c r="AM4">
        <f t="shared" ref="AM4" si="3">_xlfn.IFS(AND(AF4="loxo",W4&gt;600),SQRT((BC4^2)-((SIN(RADIANS(U4))*BC4)^2)),AF4="ortho",SQRT((BC4^2)-((SIN(RADIANS(AC4))*BC4)^2)),AND(AF4="loxo",W4&lt;600),SQRT((BC4^2)-((SIN(RADIANS(Z4))*BC4)^2)))</f>
        <v>11.370656259591975</v>
      </c>
      <c r="AN4">
        <f t="shared" ref="AN4" si="4">(SIN(RADIANS(AK4))*BF4)</f>
        <v>0</v>
      </c>
      <c r="AO4">
        <f t="shared" ref="AO4" si="5">SQRT((BF4^2)-((SIN(RADIANS(AK4))*BF4)^2))</f>
        <v>0</v>
      </c>
      <c r="AP4">
        <f t="shared" ref="AP4" si="6">_xlfn.IFS(AND(AF4="loxo",W4&lt;600),AA4,AND(AF4="loxo",W4&gt;600),V4,AND(B4&gt;60,AF4="loxo"),V4,AF4="ortho",AD4)</f>
        <v>137.51572394671706</v>
      </c>
      <c r="AQ4" s="12">
        <f>_xlfn.IFS(AP4&gt;270,AM4,AP4&lt;90,AM4,AP4&lt;270,AM4*-1,AP4&gt;90,AM4*-1)</f>
        <v>-11.370656259591975</v>
      </c>
      <c r="AR4" s="2">
        <f t="shared" ref="AR4" si="7">_xlfn.IFS(AJ4&gt;270,AN4,AJ4&lt;90,AN4,AJ4&lt;270,AN4*-1,AJ4&gt;90,AN4*-1)</f>
        <v>0</v>
      </c>
      <c r="AS4" s="2">
        <f>_xlfn.IFS(AND(AP4&gt;180,AP4&lt;360),AL4*-1,AND(AP4&lt;180,AP4&gt;0),AL4)</f>
        <v>10.413547571351739</v>
      </c>
      <c r="AT4" s="2">
        <f t="shared" ref="AT4" si="8">_xlfn.IFS(AJ4&gt;180,AO4*-1,AJ4&lt;180,AO4,AJ4=0,AO4,AJ4=360,AO4)</f>
        <v>0</v>
      </c>
      <c r="AU4">
        <f>(AQ4+AR4)</f>
        <v>-11.370656259591975</v>
      </c>
      <c r="AV4">
        <f>(AS4+AT4)</f>
        <v>10.413547571351739</v>
      </c>
      <c r="AW4">
        <f>DEGREES(ATAN(AV4/AU4))</f>
        <v>-42.484276053282933</v>
      </c>
      <c r="AX4">
        <f>_xlfn.IFS((DEGREES(ATAN(AV4/AU4)))&lt;0,(DEGREES(ATAN(AV4/AU4)))*-1,DEGREES(ATAN(AV4/AU4))&gt;0,(DEGREES(ATAN(AV4/AU4))))</f>
        <v>42.484276053282933</v>
      </c>
      <c r="AY4">
        <f t="shared" ref="AY4:AY36" si="9">_xlfn.IFS(AND(AF4="loxo",W4&lt;600),BH4-AA4,AND(AF4="loxo",W4&gt;600),BH4-V4,AND(B4&gt;60,AF4="loxo"),BH4-V4,AF4="ortho",BH4-AD4)</f>
        <v>0</v>
      </c>
      <c r="AZ4" s="47">
        <v>1</v>
      </c>
      <c r="BA4" s="48">
        <f>_xlfn.IFS(AZ4=1,Références!$B$80,AZ4=2,Références!$B$81,AZ4=3,Références!$B$82,AZ4=4,Références!$B$83,AZ4=5,Références!$B$84,AZ4=6,Références!$B$85,AZ4=7,Références!$B$86,AZ4=8,Références!$B$87,AZ4=9,Références!$B$88,AZ4=10,Références!$B$89,AZ4=11,Références!$B$90,AZ4=12,Références!$B$91)</f>
        <v>1</v>
      </c>
      <c r="BB4" s="48" t="s">
        <v>69</v>
      </c>
      <c r="BC4" s="49" cm="1">
        <f t="array" ref="BC4">_xlfn.IFS(BB4="Beam", -0.0000000868778*BA4^5-0.0000459619*BA4^4+0.00347366*BA4^3-0.0884721*BA4^2+0.510463*BA4+14.9932,BB4="Following",0.000652681*BA4^3-0.0356523*BA4^2+0.29714*BA4+15.2038,BB4="Head",-0.00000154449*BA4^5+0.0000797696*BA4^4+0.000148965*BA4^3-0.0570448*BA4^2+0.244115*BA4+15.0029)</f>
        <v>15.418618511222199</v>
      </c>
      <c r="BD4" s="66"/>
      <c r="BE4" s="69">
        <v>250</v>
      </c>
      <c r="BF4" s="70">
        <v>0</v>
      </c>
      <c r="BG4" s="71">
        <f>IF(BD4=0,SQRT((AU4^2)+(AV4^2)),SQRT((AU4^2)+(AV4^2)))</f>
        <v>15.418618511222199</v>
      </c>
      <c r="BH4" s="83">
        <f t="shared" ref="BH4" si="10">_xlfn.IFS(AND(AV4&gt;0,AU4&gt;0),AX4,AND(AV4&lt;0,AU4&gt;0),360-AX4,AND(AV4&gt;0,AU4&lt;0),180-AX4,AND(AV4&lt;0,AU4&lt;0),180+AX4)</f>
        <v>137.51572394671706</v>
      </c>
      <c r="BI4" s="109">
        <f t="shared" ref="BI4" si="11">(AP4-AY4)</f>
        <v>137.51572394671706</v>
      </c>
      <c r="BJ4" s="66"/>
      <c r="BK4" s="18">
        <f>IF(BJ4=0,(AH4/BG4)*60,((AH4/BG4)*60)+BJ4)</f>
        <v>14.099450052828532</v>
      </c>
      <c r="BL4" s="3">
        <f t="shared" ref="BL4" si="12">IF(G4="W",(ROUND((E4/15),0))*-1,(ROUND((E4/15),0)))</f>
        <v>-5</v>
      </c>
      <c r="BM4" s="22">
        <f>IF(BL4&lt;0,((BL4*-1)/24),BL4/24)</f>
        <v>0.20833333333333334</v>
      </c>
      <c r="BN4" s="80">
        <f>IF(BJ4=0,BK4/(60*24),(BK4/(60*24))+(BJ4/(60*24)))</f>
        <v>9.7912847589087023E-3</v>
      </c>
      <c r="BO4" s="98">
        <f>C51</f>
        <v>44927.431944444441</v>
      </c>
      <c r="BP4" s="98">
        <f>IF(BL4&lt;0,C51+BM4,C51-BM4)</f>
        <v>44927.640277777777</v>
      </c>
      <c r="BS4" s="3"/>
      <c r="BT4" s="14"/>
    </row>
    <row r="5" spans="1:72" x14ac:dyDescent="0.25">
      <c r="A5">
        <v>2</v>
      </c>
      <c r="B5" s="57">
        <v>2</v>
      </c>
      <c r="C5" s="58">
        <v>17.18</v>
      </c>
      <c r="D5" s="59" t="s">
        <v>16</v>
      </c>
      <c r="E5" s="58">
        <v>79</v>
      </c>
      <c r="F5" s="58">
        <v>50.100999999999999</v>
      </c>
      <c r="G5" s="60" t="s">
        <v>18</v>
      </c>
      <c r="H5">
        <f t="shared" ref="H5:H36" si="13">(C5/60)+B5</f>
        <v>2.2863333333333333</v>
      </c>
      <c r="I5" s="2">
        <f t="shared" ref="I5:I36" si="14">RADIANS(H5)</f>
        <v>3.9904044464763685E-2</v>
      </c>
      <c r="J5" s="2">
        <f t="shared" ref="J5:J36" si="15">IF(D5="S",I5,I5*-1)</f>
        <v>3.9904044464763685E-2</v>
      </c>
      <c r="K5">
        <f t="shared" ref="K5:K36" si="16">(F5/60)+E5</f>
        <v>79.835016666666661</v>
      </c>
      <c r="L5" s="2">
        <f t="shared" ref="L5:L36" si="17">RADIANS(K5)</f>
        <v>1.3933838992178815</v>
      </c>
      <c r="M5" s="1">
        <f t="shared" ref="M5:M36" si="18">7915.704468*LOG((TAN((RADIANS(45)+(I5/2)))))-23.268932*SIN(I5)-0.0525*(SIN(I5)^3)*(SIN(I5)^5)</f>
        <v>136.28814243908622</v>
      </c>
      <c r="N5" s="5" cm="1">
        <f t="array" ref="N5">_xlfn.IFS(D5&lt;&gt;D6,M5+M6,M6-M5&lt;0,(M6-M5)*-1,M6-M5&gt;0,M6-M5)</f>
        <v>4.828160002745534</v>
      </c>
      <c r="O5">
        <f t="shared" ref="O5:O36" si="19">(DEGREES(IF(D5=D6,I6-I5,I5+I6)))*60</f>
        <v>4.8570000000000153</v>
      </c>
      <c r="P5" s="1">
        <f t="shared" ref="P5:P36" si="20">_xlfn.IFS(AND(D6="N",D5&lt;&gt;D6,O5&gt;0),O5*-1,AND(D6="N",D5=D6,O5&lt;0),O5*-1,AND(D6="S",D5=D6,O5&gt;0),O5,AND(D6="S",D5&lt;&gt;D6,O5&lt;0),O5,AND(D6="N",D6&lt;&gt;D5,O5&lt;0),O5*-1,AND(D6="N",D6=D5,O5&lt;0),O5*-1,AND(D6="S",D5=D6,O5&lt;0),O5,AND(D6="N",D6=D5,O5&gt;0),O5*-1)</f>
        <v>4.8570000000000153</v>
      </c>
      <c r="Q5" s="1">
        <f t="shared" ref="Q5:Q36" si="21">(DEGREES(_xlfn.IFS(G5=G6,L6-L5,(L5+L6)&gt;(RADIANS(180)),RADIANS(360)-(L5+L6),G5&lt;&gt;G6,L5+L6)))*60</f>
        <v>-6.7999999999670088E-2</v>
      </c>
      <c r="R5" s="1" cm="1">
        <f t="array" ref="R5">_xlfn.IFS(AND(G6="E",G6&lt;&gt;G5,L5+L6&gt;(RADIANS(180)),Q5&lt;0),Q5*-1,AND(G6="W",G6&lt;&gt;G5,L6+L5&gt;(RADIANS(180)),Q5&lt;0),Q5,AND(G6="E",G6&lt;&gt;G5,L6+L5&gt;(RADIANS(180)),Q5&gt;0),Q5,AND(G6="W",G6&lt;&gt;G5,L6+L5&gt;(RADIANS(180)),Q5&gt;0),Q5*-1,AND(G6="W",G6=G5,Q5&lt;0),Q5,AND(G6="W",G6=G5,Q5&gt;0),Q5,AND(G6="E",G6=G5,Q5&lt;0),Q5*-1,AND(G6="E",G6=G5,Q5&gt;0),Q5*-1,AND(G6="E",G6&lt;&gt;G5,Q5&gt;0),Q5*-1,AND(G6="E",G6&lt;&gt;G5,Q5&lt;0),Q5,AND(G6="W",G6&lt;&gt;G5,Q5&gt;0),Q5,AND(G6="W",G6&lt;&gt;G5,Q5&lt;0),Q5*-1)</f>
        <v>-6.7999999999670088E-2</v>
      </c>
      <c r="S5" s="4">
        <f t="shared" ref="S5:S36" si="22">IF(O5&lt;0,-1*O5,O5)</f>
        <v>4.8570000000000153</v>
      </c>
      <c r="T5" s="4">
        <f t="shared" ref="T5:T36" si="23">IF(Q5&lt;0,-1*Q5,Q5)</f>
        <v>6.7999999999670088E-2</v>
      </c>
      <c r="U5">
        <f t="shared" ref="U5:U36" si="24">DEGREES(ATAN(T5/N5))</f>
        <v>0.8069027174060055</v>
      </c>
      <c r="V5" s="8">
        <f t="shared" ref="V5:V36" si="25">_xlfn.IFS(AND(P5&gt;0,R5&gt;0),180+U5,AND(P5&lt;0,R5&gt;0),360-U5,AND(P5&gt;0,R5&lt;0),180-U5,AND(P5&lt;0,R5&lt;0),U5)</f>
        <v>179.19309728259398</v>
      </c>
      <c r="W5" s="6">
        <f t="shared" ref="W5:W36" si="26">(S5/(COS(RADIANS(U5))))</f>
        <v>4.8574816938374772</v>
      </c>
      <c r="X5">
        <f t="shared" ref="X5:X36" si="27">AVERAGE(H5,H6)</f>
        <v>2.3268083333333331</v>
      </c>
      <c r="Y5">
        <f t="shared" ref="Y5:Y36" si="28">(T5*(COS(RADIANS(X5))))</f>
        <v>6.794393456603065E-2</v>
      </c>
      <c r="Z5">
        <f t="shared" ref="Z5:Z36" si="29">DEGREES(ATAN(Y5/S5))</f>
        <v>0.80145085280315487</v>
      </c>
      <c r="AA5" s="7">
        <f t="shared" ref="AA5:AA36" si="30">_xlfn.IFS(AND(P5&gt;0,R5&gt;0),180+Z5,AND(P5&lt;0,R5&gt;0),360-Z5,AND(P5&gt;0,R5&lt;0),180-Z5,AND(P5&lt;0,R5&lt;0),Z5)</f>
        <v>179.19854914719684</v>
      </c>
      <c r="AB5" s="6">
        <f t="shared" ref="AB5:AB36" si="31">(S5/(COS(RADIANS(Z5))))</f>
        <v>4.8574752061379032</v>
      </c>
      <c r="AC5" s="1">
        <f t="shared" ref="AC5:AC36" si="32">DEGREES(ACOS(((SIN(J6)-(SIN(J5))*(COS(RADIANS(AE5/60))))/(COS(J5)*SIN(RADIANS(AE5/60))))))</f>
        <v>0.80142797551690304</v>
      </c>
      <c r="AD5" s="7">
        <f t="shared" ref="AD5:AD36" si="33">_xlfn.IFS(AND(P5&gt;0,R5&lt;0),180-AC5,AND(P5&gt;0,R5&gt;0),180+AC5,AND(P5&lt;0,R5&gt;0),180+AC5,AND(P5&lt;0,R5&lt;0),180-AC5)</f>
        <v>179.1985720244831</v>
      </c>
      <c r="AE5" s="6">
        <f t="shared" ref="AE5:AE36" si="34">(DEGREES(ACOS((SIN(J5)*SIN(J6)+(COS(J5)*COS(J6)*COS(RADIANS(T5/60)))))))*60</f>
        <v>4.8574752061323778</v>
      </c>
      <c r="AF5" s="72" t="s">
        <v>102</v>
      </c>
      <c r="AG5" s="113" cm="1">
        <f t="array" ref="AG5">_xlfn.IFS(AH5=W5,V5,AH5=AB5,AA5,AH5=AE5,AD5)</f>
        <v>179.19854914719684</v>
      </c>
      <c r="AH5" s="88">
        <f t="shared" ref="AH5:AH36" si="35">_xlfn.IFS(AND(AF5="loxo",W5&lt;600),AB5,AND(AF5="loxo",W5&gt;600),W5,AND(B5&gt;60,AF5="loxo"),W5,AF5="ortho",AE5)</f>
        <v>4.8574752061379032</v>
      </c>
      <c r="AI5">
        <f t="shared" ref="AI5:AI36" si="36">_xlfn.IFS(AND(AF5="loxo",W5&gt;600),V5+BE5,AF5="ortho",AD5+BE5,AND(AF5="loxo",W5&lt;600),AA5+BE5)</f>
        <v>429.19854914719684</v>
      </c>
      <c r="AJ5" s="11">
        <f t="shared" ref="AJ5:AJ36" si="37">_xlfn.IFS(AI5&gt;360,AI5-360,AI5&lt;360,AI5)</f>
        <v>69.198549147196843</v>
      </c>
      <c r="AK5" s="11">
        <f t="shared" ref="AK5:AK36" si="38">_xlfn.IFS(AJ5&gt;270,AJ5-270,AJ5&lt;90,90-AJ5,AJ5&lt;180,AJ5-90,AJ5&gt;180,270-AJ5)</f>
        <v>20.801450852803157</v>
      </c>
      <c r="AL5" s="1">
        <f t="shared" ref="AL5:AL36" si="39">_xlfn.IFS(AND(AF5="loxo",W5&gt;600),(SIN(RADIANS(U5))*BC5),AF5="ortho",(SIN(RADIANS(AC5))*BC5),AND(AF5="loxo",W5&lt;600),(SIN(RADIANS(Z5))*BC5))</f>
        <v>0.21566792680718602</v>
      </c>
      <c r="AM5">
        <f t="shared" ref="AM5:AM36" si="40">_xlfn.IFS(AND(AF5="loxo",W5&gt;600),SQRT((BC5^2)-((SIN(RADIANS(U5))*BC5)^2)),AF5="ortho",SQRT((BC5^2)-((SIN(RADIANS(AC5))*BC5)^2)),AND(AF5="loxo",W5&lt;600),SQRT((BC5^2)-((SIN(RADIANS(Z5))*BC5)^2)))</f>
        <v>15.417110109873075</v>
      </c>
      <c r="AN5">
        <f t="shared" ref="AN5:AN36" si="41">(SIN(RADIANS(AK5))*BF5)</f>
        <v>0</v>
      </c>
      <c r="AO5">
        <f t="shared" ref="AO5:AO36" si="42">SQRT((BF5^2)-((SIN(RADIANS(AK5))*BF5)^2))</f>
        <v>0</v>
      </c>
      <c r="AP5">
        <f t="shared" ref="AP5:AP36" si="43">_xlfn.IFS(AND(AF5="loxo",W5&lt;600),AA5,AND(AF5="loxo",W5&gt;600),V5,AND(B5&gt;60,AF5="loxo"),V5,AF5="ortho",AD5)</f>
        <v>179.19854914719684</v>
      </c>
      <c r="AQ5" s="12">
        <f t="shared" ref="AQ5:AQ36" si="44">_xlfn.IFS(AP5&gt;270,AM5,AP5&lt;90,AM5,AP5&lt;270,AM5*-1,AP5&gt;90,AM5*-1)</f>
        <v>-15.417110109873075</v>
      </c>
      <c r="AR5" s="2">
        <f t="shared" ref="AR5:AR36" si="45">_xlfn.IFS(AJ5&gt;270,AN5,AJ5&lt;90,AN5,AJ5&lt;270,AN5*-1,AJ5&gt;90,AN5*-1)</f>
        <v>0</v>
      </c>
      <c r="AS5" s="2">
        <f t="shared" ref="AS5:AS36" si="46">_xlfn.IFS(AND(AP5&gt;180,AP5&lt;360),AL5*-1,AND(AP5&lt;180,AP5&gt;0),AL5)</f>
        <v>0.21566792680718602</v>
      </c>
      <c r="AT5" s="2">
        <f t="shared" ref="AT5:AT36" si="47">_xlfn.IFS(AJ5&gt;180,AO5*-1,AJ5&lt;180,AO5,AJ5=0,AO5,AJ5=360,AO5)</f>
        <v>0</v>
      </c>
      <c r="AU5">
        <f t="shared" ref="AU5:AU36" si="48">(AQ5+AR5)</f>
        <v>-15.417110109873075</v>
      </c>
      <c r="AV5">
        <f t="shared" ref="AV5:AV36" si="49">(AS5+AT5)</f>
        <v>0.21566792680718602</v>
      </c>
      <c r="AW5">
        <f t="shared" ref="AW5:AW36" si="50">DEGREES(ATAN(AV5/AU5))</f>
        <v>-0.80145085280315487</v>
      </c>
      <c r="AX5">
        <f t="shared" ref="AX5:AX36" si="51">_xlfn.IFS((DEGREES(ATAN(AV5/AU5)))&lt;0,(DEGREES(ATAN(AV5/AU5)))*-1,DEGREES(ATAN(AV5/AU5))&gt;0,(DEGREES(ATAN(AV5/AU5))))</f>
        <v>0.80145085280315487</v>
      </c>
      <c r="AY5">
        <f t="shared" si="9"/>
        <v>0</v>
      </c>
      <c r="AZ5" s="50">
        <v>1</v>
      </c>
      <c r="BA5" s="46">
        <f>_xlfn.IFS(AZ5=1,Références!$B$80,AZ5=2,Références!$B$81,AZ5=3,Références!$B$82,AZ5=4,Références!$B$83,AZ5=5,Références!$B$84,AZ5=6,Références!$B$85,AZ5=7,Références!$B$86,AZ5=8,Références!$B$87,AZ5=9,Références!$B$88,AZ5=10,Références!$B$89,AZ5=11,Références!$B$90,AZ5=12,Références!$B$91)</f>
        <v>1</v>
      </c>
      <c r="BB5" s="46" t="s">
        <v>69</v>
      </c>
      <c r="BC5" s="51" cm="1">
        <f t="array" ref="BC5">_xlfn.IFS(BB5="Beam", -0.0000000868778*BA5^5-0.0000459619*BA5^4+0.00347366*BA5^3-0.0884721*BA5^2+0.510463*BA5+14.9932,BB5="Following",0.000652681*BA5^3-0.0356523*BA5^2+0.29714*BA5+15.2038,BB5="Head",-0.00000154449*BA5^5+0.0000797696*BA5^4+0.000148965*BA5^3-0.0570448*BA5^2+0.244115*BA5+15.0029)</f>
        <v>15.418618511222199</v>
      </c>
      <c r="BD5" s="67"/>
      <c r="BE5" s="72">
        <v>250</v>
      </c>
      <c r="BF5" s="73">
        <v>0</v>
      </c>
      <c r="BG5" s="74">
        <f t="shared" ref="BG5:BG36" si="52">IF(BD5=0,SQRT((AU5^2)+(AV5^2)),SQRT((AU5^2)+(AV5^2)))</f>
        <v>15.418618511222199</v>
      </c>
      <c r="BH5" s="84">
        <f t="shared" ref="BH5:BH36" si="53">_xlfn.IFS(AND(AV5&gt;0,AU5&gt;0),AX5,AND(AV5&lt;0,AU5&gt;0),360-AX5,AND(AV5&gt;0,AU5&lt;0),180-AX5,AND(AV5&lt;0,AU5&lt;0),180+AX5)</f>
        <v>179.19854914719684</v>
      </c>
      <c r="BI5" s="110">
        <f t="shared" ref="BI5:BI36" si="54">(AP5-AY5)</f>
        <v>179.19854914719684</v>
      </c>
      <c r="BJ5" s="67"/>
      <c r="BK5" s="18">
        <f t="shared" ref="BK5:BK36" si="55">IF(BJ5=0,(AH5/BG5)*60,((AH5/BG5)*60)+BJ5)</f>
        <v>18.902375213197473</v>
      </c>
      <c r="BL5" s="3">
        <f t="shared" ref="BL5:BL36" si="56">IF(G5="W",(ROUND((E5/15),0))*-1,(ROUND((E5/15),0)))</f>
        <v>-5</v>
      </c>
      <c r="BM5" s="22">
        <f t="shared" ref="BM5:BM36" si="57">IF(BL5&lt;0,((BL5*-1)/24),BL5/24)</f>
        <v>0.20833333333333334</v>
      </c>
      <c r="BN5" s="81">
        <f t="shared" ref="BN5:BN36" si="58">IF(BJ5=0,BK5/(60*24),(BK5/(60*24))+(BJ5/(60*24)))</f>
        <v>1.3126649453609356E-2</v>
      </c>
      <c r="BO5" s="78">
        <f>BO4+BN4</f>
        <v>44927.441735729197</v>
      </c>
      <c r="BP5" s="121">
        <f>BP4+BN4</f>
        <v>44927.650069062533</v>
      </c>
      <c r="BS5" s="3"/>
      <c r="BT5" s="14"/>
    </row>
    <row r="6" spans="1:72" x14ac:dyDescent="0.25">
      <c r="A6">
        <v>3</v>
      </c>
      <c r="B6" s="57">
        <v>2</v>
      </c>
      <c r="C6" s="58">
        <v>22.036999999999999</v>
      </c>
      <c r="D6" s="59" t="s">
        <v>16</v>
      </c>
      <c r="E6" s="58">
        <v>79</v>
      </c>
      <c r="F6" s="58">
        <v>50.033000000000001</v>
      </c>
      <c r="G6" s="60" t="s">
        <v>18</v>
      </c>
      <c r="H6">
        <f t="shared" si="13"/>
        <v>2.3672833333333334</v>
      </c>
      <c r="I6" s="2">
        <f t="shared" si="14"/>
        <v>4.13168884942531E-2</v>
      </c>
      <c r="J6" s="2">
        <f t="shared" si="15"/>
        <v>4.13168884942531E-2</v>
      </c>
      <c r="K6">
        <f t="shared" si="16"/>
        <v>79.833883333333333</v>
      </c>
      <c r="L6" s="2">
        <f t="shared" si="17"/>
        <v>1.3933641188196924</v>
      </c>
      <c r="M6" s="1">
        <f t="shared" si="18"/>
        <v>141.11630244183175</v>
      </c>
      <c r="N6" s="5" cm="1">
        <f t="array" ref="N6">_xlfn.IFS(D6&lt;&gt;D7,M6+M7,M7-M6&lt;0,(M7-M6)*-1,M7-M6&gt;0,M7-M6)</f>
        <v>7.8228862926371505</v>
      </c>
      <c r="O6">
        <f t="shared" si="19"/>
        <v>7.868999999999998</v>
      </c>
      <c r="P6" s="1">
        <f t="shared" si="20"/>
        <v>7.868999999999998</v>
      </c>
      <c r="Q6" s="1">
        <f t="shared" si="21"/>
        <v>1.8860000000005033</v>
      </c>
      <c r="R6" s="1" cm="1">
        <f t="array" ref="R6">_xlfn.IFS(AND(G7="E",G7&lt;&gt;G6,L6+L7&gt;(RADIANS(180)),Q6&lt;0),Q6*-1,AND(G7="W",G7&lt;&gt;G6,L7+L6&gt;(RADIANS(180)),Q6&lt;0),Q6,AND(G7="E",G7&lt;&gt;G6,L7+L6&gt;(RADIANS(180)),Q6&gt;0),Q6,AND(G7="W",G7&lt;&gt;G6,L7+L6&gt;(RADIANS(180)),Q6&gt;0),Q6*-1,AND(G7="W",G7=G6,Q6&lt;0),Q6,AND(G7="W",G7=G6,Q6&gt;0),Q6,AND(G7="E",G7=G6,Q6&lt;0),Q6*-1,AND(G7="E",G7=G6,Q6&gt;0),Q6*-1,AND(G7="E",G7&lt;&gt;G6,Q6&gt;0),Q6*-1,AND(G7="E",G7&lt;&gt;G6,Q6&lt;0),Q6,AND(G7="W",G7&lt;&gt;G6,Q6&gt;0),Q6,AND(G7="W",G7&lt;&gt;G6,Q6&lt;0),Q6*-1)</f>
        <v>1.8860000000005033</v>
      </c>
      <c r="S6" s="4">
        <f t="shared" si="22"/>
        <v>7.868999999999998</v>
      </c>
      <c r="T6" s="4">
        <f t="shared" si="23"/>
        <v>1.8860000000005033</v>
      </c>
      <c r="U6">
        <f t="shared" si="24"/>
        <v>13.5546336588305</v>
      </c>
      <c r="V6" s="8">
        <f t="shared" si="25"/>
        <v>193.55463365883051</v>
      </c>
      <c r="W6" s="6">
        <f t="shared" si="26"/>
        <v>8.0944558540372427</v>
      </c>
      <c r="X6">
        <f t="shared" si="27"/>
        <v>2.4328583333333333</v>
      </c>
      <c r="Y6">
        <f t="shared" si="28"/>
        <v>1.8843000552127527</v>
      </c>
      <c r="Z6">
        <f t="shared" si="29"/>
        <v>13.466401466040878</v>
      </c>
      <c r="AA6" s="7">
        <f t="shared" si="30"/>
        <v>193.46640146604088</v>
      </c>
      <c r="AB6" s="6">
        <f t="shared" si="31"/>
        <v>8.0914614068210664</v>
      </c>
      <c r="AC6" s="1">
        <f t="shared" si="32"/>
        <v>13.465737472905648</v>
      </c>
      <c r="AD6" s="7">
        <f t="shared" si="33"/>
        <v>193.46573747290566</v>
      </c>
      <c r="AE6" s="6">
        <f t="shared" si="34"/>
        <v>8.0914613104954753</v>
      </c>
      <c r="AF6" s="72" t="s">
        <v>102</v>
      </c>
      <c r="AG6" s="113" cm="1">
        <f t="array" ref="AG6">_xlfn.IFS(AH6=W6,V6,AH6=AB6,AA6,AH6=AE6,AD6)</f>
        <v>193.46640146604088</v>
      </c>
      <c r="AH6" s="88">
        <f t="shared" si="35"/>
        <v>8.0914614068210664</v>
      </c>
      <c r="AI6">
        <f t="shared" si="36"/>
        <v>443.46640146604091</v>
      </c>
      <c r="AJ6" s="11">
        <f t="shared" si="37"/>
        <v>83.466401466040907</v>
      </c>
      <c r="AK6" s="11">
        <f t="shared" si="38"/>
        <v>6.5335985339590934</v>
      </c>
      <c r="AL6" s="1">
        <f t="shared" si="39"/>
        <v>3.5906126534211178</v>
      </c>
      <c r="AM6">
        <f t="shared" si="40"/>
        <v>14.994708985762147</v>
      </c>
      <c r="AN6">
        <f t="shared" si="41"/>
        <v>0</v>
      </c>
      <c r="AO6">
        <f t="shared" si="42"/>
        <v>0</v>
      </c>
      <c r="AP6">
        <f t="shared" si="43"/>
        <v>193.46640146604088</v>
      </c>
      <c r="AQ6" s="12">
        <f t="shared" si="44"/>
        <v>-14.994708985762147</v>
      </c>
      <c r="AR6" s="2">
        <f t="shared" si="45"/>
        <v>0</v>
      </c>
      <c r="AS6" s="2">
        <f t="shared" si="46"/>
        <v>-3.5906126534211178</v>
      </c>
      <c r="AT6" s="2">
        <f t="shared" si="47"/>
        <v>0</v>
      </c>
      <c r="AU6">
        <f t="shared" si="48"/>
        <v>-14.994708985762147</v>
      </c>
      <c r="AV6">
        <f t="shared" si="49"/>
        <v>-3.5906126534211178</v>
      </c>
      <c r="AW6">
        <f t="shared" si="50"/>
        <v>13.466401466040876</v>
      </c>
      <c r="AX6">
        <f t="shared" si="51"/>
        <v>13.466401466040876</v>
      </c>
      <c r="AY6">
        <f t="shared" si="9"/>
        <v>0</v>
      </c>
      <c r="AZ6" s="50">
        <v>1</v>
      </c>
      <c r="BA6" s="46">
        <f>_xlfn.IFS(AZ6=1,Références!$B$80,AZ6=2,Références!$B$81,AZ6=3,Références!$B$82,AZ6=4,Références!$B$83,AZ6=5,Références!$B$84,AZ6=6,Références!$B$85,AZ6=7,Références!$B$86,AZ6=8,Références!$B$87,AZ6=9,Références!$B$88,AZ6=10,Références!$B$89,AZ6=11,Références!$B$90,AZ6=12,Références!$B$91)</f>
        <v>1</v>
      </c>
      <c r="BB6" s="46" t="s">
        <v>69</v>
      </c>
      <c r="BC6" s="51" cm="1">
        <f t="array" ref="BC6">_xlfn.IFS(BB6="Beam", -0.0000000868778*BA6^5-0.0000459619*BA6^4+0.00347366*BA6^3-0.0884721*BA6^2+0.510463*BA6+14.9932,BB6="Following",0.000652681*BA6^3-0.0356523*BA6^2+0.29714*BA6+15.2038,BB6="Head",-0.00000154449*BA6^5+0.0000797696*BA6^4+0.000148965*BA6^3-0.0570448*BA6^2+0.244115*BA6+15.0029)</f>
        <v>15.418618511222199</v>
      </c>
      <c r="BD6" s="67"/>
      <c r="BE6" s="72">
        <v>250</v>
      </c>
      <c r="BF6" s="73">
        <v>0</v>
      </c>
      <c r="BG6" s="74">
        <f t="shared" si="52"/>
        <v>15.418618511222201</v>
      </c>
      <c r="BH6" s="84">
        <f t="shared" si="53"/>
        <v>193.46640146604088</v>
      </c>
      <c r="BI6" s="110">
        <f t="shared" si="54"/>
        <v>193.46640146604088</v>
      </c>
      <c r="BJ6" s="67"/>
      <c r="BK6" s="18">
        <f t="shared" si="55"/>
        <v>31.487106581948915</v>
      </c>
      <c r="BL6" s="3">
        <f t="shared" si="56"/>
        <v>-5</v>
      </c>
      <c r="BM6" s="22">
        <f t="shared" si="57"/>
        <v>0.20833333333333334</v>
      </c>
      <c r="BN6" s="81">
        <f t="shared" si="58"/>
        <v>2.1866046237464524E-2</v>
      </c>
      <c r="BO6" s="78">
        <f t="shared" ref="BO6:BO35" si="59">BO5+BN5</f>
        <v>44927.454862378647</v>
      </c>
      <c r="BP6" s="121">
        <f>BP5+BN5</f>
        <v>44927.663195711983</v>
      </c>
      <c r="BS6" s="3"/>
      <c r="BT6" s="14"/>
    </row>
    <row r="7" spans="1:72" x14ac:dyDescent="0.25">
      <c r="A7">
        <v>4</v>
      </c>
      <c r="B7" s="57">
        <v>2</v>
      </c>
      <c r="C7" s="58">
        <v>29.905999999999999</v>
      </c>
      <c r="D7" s="59" t="s">
        <v>16</v>
      </c>
      <c r="E7" s="58">
        <v>79</v>
      </c>
      <c r="F7" s="58">
        <v>51.918999999999997</v>
      </c>
      <c r="G7" s="60" t="s">
        <v>18</v>
      </c>
      <c r="H7">
        <f t="shared" si="13"/>
        <v>2.4984333333333333</v>
      </c>
      <c r="I7" s="2">
        <f t="shared" si="14"/>
        <v>4.3605887808243662E-2</v>
      </c>
      <c r="J7" s="2">
        <f t="shared" si="15"/>
        <v>4.3605887808243662E-2</v>
      </c>
      <c r="K7">
        <f t="shared" si="16"/>
        <v>79.865316666666672</v>
      </c>
      <c r="L7" s="2">
        <f t="shared" si="17"/>
        <v>1.3939127339812361</v>
      </c>
      <c r="M7" s="1">
        <f t="shared" si="18"/>
        <v>148.9391887344689</v>
      </c>
      <c r="N7" s="5" cm="1">
        <f t="array" ref="N7">_xlfn.IFS(D7&lt;&gt;D8,M7+M8,M8-M7&lt;0,(M8-M7)*-1,M8-M7&gt;0,M8-M7)</f>
        <v>4.3417476770813721</v>
      </c>
      <c r="O7">
        <f t="shared" si="19"/>
        <v>4.3669999999999813</v>
      </c>
      <c r="P7" s="1">
        <f t="shared" si="20"/>
        <v>4.3669999999999813</v>
      </c>
      <c r="Q7" s="1">
        <f t="shared" si="21"/>
        <v>1.2809999999995998</v>
      </c>
      <c r="R7" s="1" cm="1">
        <f t="array" ref="R7">_xlfn.IFS(AND(G8="E",G8&lt;&gt;G7,L7+L8&gt;(RADIANS(180)),Q7&lt;0),Q7*-1,AND(G8="W",G8&lt;&gt;G7,L8+L7&gt;(RADIANS(180)),Q7&lt;0),Q7,AND(G8="E",G8&lt;&gt;G7,L8+L7&gt;(RADIANS(180)),Q7&gt;0),Q7,AND(G8="W",G8&lt;&gt;G7,L8+L7&gt;(RADIANS(180)),Q7&gt;0),Q7*-1,AND(G8="W",G8=G7,Q7&lt;0),Q7,AND(G8="W",G8=G7,Q7&gt;0),Q7,AND(G8="E",G8=G7,Q7&lt;0),Q7*-1,AND(G8="E",G8=G7,Q7&gt;0),Q7*-1,AND(G8="E",G8&lt;&gt;G7,Q7&gt;0),Q7*-1,AND(G8="E",G8&lt;&gt;G7,Q7&lt;0),Q7,AND(G8="W",G8&lt;&gt;G7,Q7&gt;0),Q7,AND(G8="W",G8&lt;&gt;G7,Q7&lt;0),Q7*-1)</f>
        <v>1.2809999999995998</v>
      </c>
      <c r="S7" s="4">
        <f t="shared" si="22"/>
        <v>4.3669999999999813</v>
      </c>
      <c r="T7" s="4">
        <f t="shared" si="23"/>
        <v>1.2809999999995998</v>
      </c>
      <c r="U7">
        <f t="shared" si="24"/>
        <v>16.438298242023855</v>
      </c>
      <c r="V7" s="8">
        <f t="shared" si="25"/>
        <v>196.43829824202385</v>
      </c>
      <c r="W7" s="6">
        <f t="shared" si="26"/>
        <v>4.5531081374682048</v>
      </c>
      <c r="X7">
        <f t="shared" si="27"/>
        <v>2.5348249999999997</v>
      </c>
      <c r="Y7">
        <f t="shared" si="28"/>
        <v>1.2797465731436788</v>
      </c>
      <c r="Z7">
        <f t="shared" si="29"/>
        <v>16.333189209633723</v>
      </c>
      <c r="AA7" s="7">
        <f t="shared" si="30"/>
        <v>196.33318920963373</v>
      </c>
      <c r="AB7" s="6">
        <f t="shared" si="31"/>
        <v>4.550652732462984</v>
      </c>
      <c r="AC7" s="1">
        <f t="shared" si="32"/>
        <v>16.332718325331239</v>
      </c>
      <c r="AD7" s="7">
        <f t="shared" si="33"/>
        <v>196.33271832533123</v>
      </c>
      <c r="AE7" s="6">
        <f t="shared" si="34"/>
        <v>4.5506527084980251</v>
      </c>
      <c r="AF7" s="72" t="s">
        <v>102</v>
      </c>
      <c r="AG7" s="113" cm="1">
        <f t="array" ref="AG7">_xlfn.IFS(AH7=W7,V7,AH7=AB7,AA7,AH7=AE7,AD7)</f>
        <v>196.33318920963373</v>
      </c>
      <c r="AH7" s="88">
        <f t="shared" si="35"/>
        <v>4.550652732462984</v>
      </c>
      <c r="AI7">
        <f t="shared" si="36"/>
        <v>446.3331892096337</v>
      </c>
      <c r="AJ7" s="11">
        <f t="shared" si="37"/>
        <v>86.333189209633701</v>
      </c>
      <c r="AK7" s="11">
        <f t="shared" si="38"/>
        <v>3.6668107903662985</v>
      </c>
      <c r="AL7" s="1">
        <f t="shared" si="39"/>
        <v>4.3360645960929318</v>
      </c>
      <c r="AM7">
        <f t="shared" si="40"/>
        <v>14.796362411522411</v>
      </c>
      <c r="AN7">
        <f t="shared" si="41"/>
        <v>0</v>
      </c>
      <c r="AO7">
        <f t="shared" si="42"/>
        <v>0</v>
      </c>
      <c r="AP7">
        <f t="shared" si="43"/>
        <v>196.33318920963373</v>
      </c>
      <c r="AQ7" s="12">
        <f t="shared" si="44"/>
        <v>-14.796362411522411</v>
      </c>
      <c r="AR7" s="2">
        <f t="shared" si="45"/>
        <v>0</v>
      </c>
      <c r="AS7" s="2">
        <f t="shared" si="46"/>
        <v>-4.3360645960929318</v>
      </c>
      <c r="AT7" s="2">
        <f t="shared" si="47"/>
        <v>0</v>
      </c>
      <c r="AU7">
        <f t="shared" si="48"/>
        <v>-14.796362411522411</v>
      </c>
      <c r="AV7">
        <f t="shared" si="49"/>
        <v>-4.3360645960929318</v>
      </c>
      <c r="AW7">
        <f t="shared" si="50"/>
        <v>16.333189209633726</v>
      </c>
      <c r="AX7">
        <f t="shared" si="51"/>
        <v>16.333189209633726</v>
      </c>
      <c r="AY7">
        <f t="shared" si="9"/>
        <v>0</v>
      </c>
      <c r="AZ7" s="50">
        <v>1</v>
      </c>
      <c r="BA7" s="46">
        <f>_xlfn.IFS(AZ7=1,Références!$B$80,AZ7=2,Références!$B$81,AZ7=3,Références!$B$82,AZ7=4,Références!$B$83,AZ7=5,Références!$B$84,AZ7=6,Références!$B$85,AZ7=7,Références!$B$86,AZ7=8,Références!$B$87,AZ7=9,Références!$B$88,AZ7=10,Références!$B$89,AZ7=11,Références!$B$90,AZ7=12,Références!$B$91)</f>
        <v>1</v>
      </c>
      <c r="BB7" s="46" t="s">
        <v>69</v>
      </c>
      <c r="BC7" s="51" cm="1">
        <f t="array" ref="BC7">_xlfn.IFS(BB7="Beam", -0.0000000868778*BA7^5-0.0000459619*BA7^4+0.00347366*BA7^3-0.0884721*BA7^2+0.510463*BA7+14.9932,BB7="Following",0.000652681*BA7^3-0.0356523*BA7^2+0.29714*BA7+15.2038,BB7="Head",-0.00000154449*BA7^5+0.0000797696*BA7^4+0.000148965*BA7^3-0.0570448*BA7^2+0.244115*BA7+15.0029)</f>
        <v>15.418618511222199</v>
      </c>
      <c r="BD7" s="67"/>
      <c r="BE7" s="72">
        <v>250</v>
      </c>
      <c r="BF7" s="73">
        <v>0</v>
      </c>
      <c r="BG7" s="74">
        <f t="shared" si="52"/>
        <v>15.418618511222199</v>
      </c>
      <c r="BH7" s="84">
        <f t="shared" si="53"/>
        <v>196.33318920963373</v>
      </c>
      <c r="BI7" s="110">
        <f t="shared" si="54"/>
        <v>196.33318920963373</v>
      </c>
      <c r="BJ7" s="67"/>
      <c r="BK7" s="18">
        <f t="shared" si="55"/>
        <v>17.708406479416546</v>
      </c>
      <c r="BL7" s="3">
        <f t="shared" si="56"/>
        <v>-5</v>
      </c>
      <c r="BM7" s="22">
        <f t="shared" si="57"/>
        <v>0.20833333333333334</v>
      </c>
      <c r="BN7" s="81">
        <f t="shared" si="58"/>
        <v>1.2297504499594823E-2</v>
      </c>
      <c r="BO7" s="78">
        <f t="shared" si="59"/>
        <v>44927.476728424881</v>
      </c>
      <c r="BP7" s="121">
        <f>BP6+BN6</f>
        <v>44927.685061758217</v>
      </c>
      <c r="BS7" s="3"/>
      <c r="BT7" s="14"/>
    </row>
    <row r="8" spans="1:72" x14ac:dyDescent="0.25">
      <c r="A8">
        <v>5</v>
      </c>
      <c r="B8" s="57">
        <v>2</v>
      </c>
      <c r="C8" s="58">
        <v>34.273000000000003</v>
      </c>
      <c r="D8" s="59" t="s">
        <v>16</v>
      </c>
      <c r="E8" s="58">
        <v>79</v>
      </c>
      <c r="F8" s="58">
        <v>53.2</v>
      </c>
      <c r="G8" s="60" t="s">
        <v>18</v>
      </c>
      <c r="H8">
        <f t="shared" si="13"/>
        <v>2.5712166666666665</v>
      </c>
      <c r="I8" s="2">
        <f t="shared" si="14"/>
        <v>4.4876196615486863E-2</v>
      </c>
      <c r="J8" s="2">
        <f t="shared" si="15"/>
        <v>4.4876196615486863E-2</v>
      </c>
      <c r="K8">
        <f t="shared" si="16"/>
        <v>79.88666666666667</v>
      </c>
      <c r="L8" s="2">
        <f t="shared" si="17"/>
        <v>1.3942853617765367</v>
      </c>
      <c r="M8" s="1">
        <f t="shared" si="18"/>
        <v>153.28093641155027</v>
      </c>
      <c r="N8" s="5" cm="1">
        <f t="array" ref="N8">_xlfn.IFS(D8&lt;&gt;D9,M8+M9,M9-M8&lt;0,(M9-M8)*-1,M9-M8&gt;0,M9-M8)</f>
        <v>1.2368521612263237</v>
      </c>
      <c r="O8">
        <f t="shared" si="19"/>
        <v>1.2440000000000206</v>
      </c>
      <c r="P8" s="1">
        <f t="shared" si="20"/>
        <v>1.2440000000000206</v>
      </c>
      <c r="Q8" s="1">
        <f t="shared" si="21"/>
        <v>0.69800000000069962</v>
      </c>
      <c r="R8" s="1" cm="1">
        <f t="array" ref="R8">_xlfn.IFS(AND(G9="E",G9&lt;&gt;G8,L8+L9&gt;(RADIANS(180)),Q8&lt;0),Q8*-1,AND(G9="W",G9&lt;&gt;G8,L9+L8&gt;(RADIANS(180)),Q8&lt;0),Q8,AND(G9="E",G9&lt;&gt;G8,L9+L8&gt;(RADIANS(180)),Q8&gt;0),Q8,AND(G9="W",G9&lt;&gt;G8,L9+L8&gt;(RADIANS(180)),Q8&gt;0),Q8*-1,AND(G9="W",G9=G8,Q8&lt;0),Q8,AND(G9="W",G9=G8,Q8&gt;0),Q8,AND(G9="E",G9=G8,Q8&lt;0),Q8*-1,AND(G9="E",G9=G8,Q8&gt;0),Q8*-1,AND(G9="E",G9&lt;&gt;G8,Q8&gt;0),Q8*-1,AND(G9="E",G9&lt;&gt;G8,Q8&lt;0),Q8,AND(G9="W",G9&lt;&gt;G8,Q8&gt;0),Q8,AND(G9="W",G9&lt;&gt;G8,Q8&lt;0),Q8*-1)</f>
        <v>0.69800000000069962</v>
      </c>
      <c r="S8" s="4">
        <f t="shared" si="22"/>
        <v>1.2440000000000206</v>
      </c>
      <c r="T8" s="4">
        <f t="shared" si="23"/>
        <v>0.69800000000069962</v>
      </c>
      <c r="U8">
        <f t="shared" si="24"/>
        <v>29.437594558125877</v>
      </c>
      <c r="V8" s="8">
        <f t="shared" si="25"/>
        <v>209.43759455812588</v>
      </c>
      <c r="W8" s="6">
        <f t="shared" si="26"/>
        <v>1.428421307065709</v>
      </c>
      <c r="X8">
        <f t="shared" si="27"/>
        <v>2.5815833333333336</v>
      </c>
      <c r="Y8">
        <f t="shared" si="28"/>
        <v>0.6972915992957186</v>
      </c>
      <c r="Z8">
        <f t="shared" si="29"/>
        <v>29.271667737068032</v>
      </c>
      <c r="AA8" s="7">
        <f t="shared" si="30"/>
        <v>209.27166773706804</v>
      </c>
      <c r="AB8" s="6">
        <f t="shared" si="31"/>
        <v>1.4260966217085125</v>
      </c>
      <c r="AC8" s="1">
        <f t="shared" si="32"/>
        <v>29.271406010035626</v>
      </c>
      <c r="AD8" s="7">
        <f t="shared" si="33"/>
        <v>209.27140601003563</v>
      </c>
      <c r="AE8" s="6">
        <f t="shared" si="34"/>
        <v>1.4260966205238224</v>
      </c>
      <c r="AF8" s="72" t="s">
        <v>102</v>
      </c>
      <c r="AG8" s="113" cm="1">
        <f t="array" ref="AG8">_xlfn.IFS(AH8=W8,V8,AH8=AB8,AA8,AH8=AE8,AD8)</f>
        <v>209.27166773706804</v>
      </c>
      <c r="AH8" s="88">
        <f t="shared" si="35"/>
        <v>1.4260966217085125</v>
      </c>
      <c r="AI8">
        <f t="shared" si="36"/>
        <v>459.27166773706801</v>
      </c>
      <c r="AJ8" s="11">
        <f t="shared" si="37"/>
        <v>99.271667737068015</v>
      </c>
      <c r="AK8" s="11">
        <f t="shared" si="38"/>
        <v>9.2716677370680145</v>
      </c>
      <c r="AL8" s="1">
        <f t="shared" si="39"/>
        <v>7.5389514265452124</v>
      </c>
      <c r="AM8">
        <f t="shared" si="40"/>
        <v>13.449833016911244</v>
      </c>
      <c r="AN8">
        <f t="shared" si="41"/>
        <v>0</v>
      </c>
      <c r="AO8">
        <f t="shared" si="42"/>
        <v>0</v>
      </c>
      <c r="AP8">
        <f t="shared" si="43"/>
        <v>209.27166773706804</v>
      </c>
      <c r="AQ8" s="12">
        <f t="shared" si="44"/>
        <v>-13.449833016911244</v>
      </c>
      <c r="AR8" s="2">
        <f t="shared" si="45"/>
        <v>0</v>
      </c>
      <c r="AS8" s="2">
        <f t="shared" si="46"/>
        <v>-7.5389514265452124</v>
      </c>
      <c r="AT8" s="2">
        <f t="shared" si="47"/>
        <v>0</v>
      </c>
      <c r="AU8">
        <f t="shared" si="48"/>
        <v>-13.449833016911244</v>
      </c>
      <c r="AV8">
        <f t="shared" si="49"/>
        <v>-7.5389514265452124</v>
      </c>
      <c r="AW8">
        <f t="shared" si="50"/>
        <v>29.271667737068032</v>
      </c>
      <c r="AX8">
        <f t="shared" si="51"/>
        <v>29.271667737068032</v>
      </c>
      <c r="AY8">
        <f t="shared" si="9"/>
        <v>0</v>
      </c>
      <c r="AZ8" s="50">
        <v>1</v>
      </c>
      <c r="BA8" s="46">
        <f>_xlfn.IFS(AZ8=1,Références!$B$80,AZ8=2,Références!$B$81,AZ8=3,Références!$B$82,AZ8=4,Références!$B$83,AZ8=5,Références!$B$84,AZ8=6,Références!$B$85,AZ8=7,Références!$B$86,AZ8=8,Références!$B$87,AZ8=9,Références!$B$88,AZ8=10,Références!$B$89,AZ8=11,Références!$B$90,AZ8=12,Références!$B$91)</f>
        <v>1</v>
      </c>
      <c r="BB8" s="46" t="s">
        <v>69</v>
      </c>
      <c r="BC8" s="51" cm="1">
        <f t="array" ref="BC8">_xlfn.IFS(BB8="Beam", -0.0000000868778*BA8^5-0.0000459619*BA8^4+0.00347366*BA8^3-0.0884721*BA8^2+0.510463*BA8+14.9932,BB8="Following",0.000652681*BA8^3-0.0356523*BA8^2+0.29714*BA8+15.2038,BB8="Head",-0.00000154449*BA8^5+0.0000797696*BA8^4+0.000148965*BA8^3-0.0570448*BA8^2+0.244115*BA8+15.0029)</f>
        <v>15.418618511222199</v>
      </c>
      <c r="BD8" s="67"/>
      <c r="BE8" s="72">
        <v>250</v>
      </c>
      <c r="BF8" s="73">
        <v>0</v>
      </c>
      <c r="BG8" s="74">
        <f t="shared" si="52"/>
        <v>15.418618511222201</v>
      </c>
      <c r="BH8" s="84">
        <f t="shared" si="53"/>
        <v>209.27166773706804</v>
      </c>
      <c r="BI8" s="110">
        <f t="shared" si="54"/>
        <v>209.27166773706804</v>
      </c>
      <c r="BJ8" s="67"/>
      <c r="BK8" s="18">
        <f t="shared" si="55"/>
        <v>5.5495112769171255</v>
      </c>
      <c r="BL8" s="3">
        <f t="shared" si="56"/>
        <v>-5</v>
      </c>
      <c r="BM8" s="22">
        <f t="shared" si="57"/>
        <v>0.20833333333333334</v>
      </c>
      <c r="BN8" s="81">
        <f t="shared" si="58"/>
        <v>3.8538272756368929E-3</v>
      </c>
      <c r="BO8" s="78">
        <f t="shared" si="59"/>
        <v>44927.489025929382</v>
      </c>
      <c r="BP8" s="121">
        <f>BP7+BN7</f>
        <v>44927.697359262718</v>
      </c>
      <c r="BS8" s="3"/>
      <c r="BT8" s="14"/>
    </row>
    <row r="9" spans="1:72" x14ac:dyDescent="0.25">
      <c r="A9">
        <v>6</v>
      </c>
      <c r="B9" s="57">
        <v>2</v>
      </c>
      <c r="C9" s="58">
        <v>35.517000000000003</v>
      </c>
      <c r="D9" s="59" t="s">
        <v>16</v>
      </c>
      <c r="E9" s="58">
        <v>79</v>
      </c>
      <c r="F9" s="58">
        <v>53.898000000000003</v>
      </c>
      <c r="G9" s="60" t="s">
        <v>18</v>
      </c>
      <c r="H9">
        <f t="shared" si="13"/>
        <v>2.5919500000000002</v>
      </c>
      <c r="I9" s="2">
        <f t="shared" si="14"/>
        <v>4.5238061547067027E-2</v>
      </c>
      <c r="J9" s="2">
        <f t="shared" si="15"/>
        <v>4.5238061547067027E-2</v>
      </c>
      <c r="K9">
        <f t="shared" si="16"/>
        <v>79.898300000000006</v>
      </c>
      <c r="L9" s="2">
        <f t="shared" si="17"/>
        <v>1.3944884017461856</v>
      </c>
      <c r="M9" s="1">
        <f t="shared" si="18"/>
        <v>154.5177885727766</v>
      </c>
      <c r="N9" s="5" cm="1">
        <f t="array" ref="N9">_xlfn.IFS(D9&lt;&gt;D10,M9+M10,M10-M9&lt;0,(M10-M9)*-1,M10-M9&gt;0,M10-M9)</f>
        <v>1.0757996827216232</v>
      </c>
      <c r="O9">
        <f t="shared" si="19"/>
        <v>1.0819999999999801</v>
      </c>
      <c r="P9" s="1">
        <f t="shared" si="20"/>
        <v>1.0819999999999801</v>
      </c>
      <c r="Q9" s="1">
        <f t="shared" si="21"/>
        <v>0.78699999999943704</v>
      </c>
      <c r="R9" s="1" cm="1">
        <f t="array" ref="R9">_xlfn.IFS(AND(G10="E",G10&lt;&gt;G9,L9+L10&gt;(RADIANS(180)),Q9&lt;0),Q9*-1,AND(G10="W",G10&lt;&gt;G9,L10+L9&gt;(RADIANS(180)),Q9&lt;0),Q9,AND(G10="E",G10&lt;&gt;G9,L10+L9&gt;(RADIANS(180)),Q9&gt;0),Q9,AND(G10="W",G10&lt;&gt;G9,L10+L9&gt;(RADIANS(180)),Q9&gt;0),Q9*-1,AND(G10="W",G10=G9,Q9&lt;0),Q9,AND(G10="W",G10=G9,Q9&gt;0),Q9,AND(G10="E",G10=G9,Q9&lt;0),Q9*-1,AND(G10="E",G10=G9,Q9&gt;0),Q9*-1,AND(G10="E",G10&lt;&gt;G9,Q9&gt;0),Q9*-1,AND(G10="E",G10&lt;&gt;G9,Q9&lt;0),Q9,AND(G10="W",G10&lt;&gt;G9,Q9&gt;0),Q9,AND(G10="W",G10&lt;&gt;G9,Q9&lt;0),Q9*-1)</f>
        <v>0.78699999999943704</v>
      </c>
      <c r="S9" s="4">
        <f t="shared" si="22"/>
        <v>1.0819999999999801</v>
      </c>
      <c r="T9" s="4">
        <f t="shared" si="23"/>
        <v>0.78699999999943704</v>
      </c>
      <c r="U9">
        <f t="shared" si="24"/>
        <v>36.187292683824566</v>
      </c>
      <c r="V9" s="8">
        <f t="shared" si="25"/>
        <v>216.18729268382458</v>
      </c>
      <c r="W9" s="6">
        <f t="shared" si="26"/>
        <v>1.3406166409003462</v>
      </c>
      <c r="X9">
        <f t="shared" si="27"/>
        <v>2.6009666666666664</v>
      </c>
      <c r="Y9">
        <f t="shared" si="28"/>
        <v>0.78618923598837964</v>
      </c>
      <c r="Z9">
        <f t="shared" si="29"/>
        <v>36.002433673591064</v>
      </c>
      <c r="AA9" s="7">
        <f t="shared" si="30"/>
        <v>216.00243367359107</v>
      </c>
      <c r="AB9" s="6">
        <f t="shared" si="31"/>
        <v>1.3374668275452475</v>
      </c>
      <c r="AC9" s="1">
        <f t="shared" si="32"/>
        <v>36.002136300754827</v>
      </c>
      <c r="AD9" s="7">
        <f t="shared" si="33"/>
        <v>216.00213630075484</v>
      </c>
      <c r="AE9" s="6">
        <f t="shared" si="34"/>
        <v>1.3374668258247371</v>
      </c>
      <c r="AF9" s="72" t="s">
        <v>102</v>
      </c>
      <c r="AG9" s="113" cm="1">
        <f t="array" ref="AG9">_xlfn.IFS(AH9=W9,V9,AH9=AB9,AA9,AH9=AE9,AD9)</f>
        <v>216.00243367359107</v>
      </c>
      <c r="AH9" s="88">
        <f t="shared" si="35"/>
        <v>1.3374668275452475</v>
      </c>
      <c r="AI9">
        <f t="shared" si="36"/>
        <v>466.0024336735911</v>
      </c>
      <c r="AJ9" s="11">
        <f t="shared" si="37"/>
        <v>106.0024336735911</v>
      </c>
      <c r="AK9" s="11">
        <f t="shared" si="38"/>
        <v>16.002433673591099</v>
      </c>
      <c r="AL9" s="1">
        <f t="shared" si="39"/>
        <v>9.0633664010810566</v>
      </c>
      <c r="AM9">
        <f t="shared" si="40"/>
        <v>12.473539444534534</v>
      </c>
      <c r="AN9">
        <f t="shared" si="41"/>
        <v>0</v>
      </c>
      <c r="AO9">
        <f t="shared" si="42"/>
        <v>0</v>
      </c>
      <c r="AP9">
        <f t="shared" si="43"/>
        <v>216.00243367359107</v>
      </c>
      <c r="AQ9" s="12">
        <f t="shared" si="44"/>
        <v>-12.473539444534534</v>
      </c>
      <c r="AR9" s="2">
        <f t="shared" si="45"/>
        <v>0</v>
      </c>
      <c r="AS9" s="2">
        <f t="shared" si="46"/>
        <v>-9.0633664010810566</v>
      </c>
      <c r="AT9" s="2">
        <f t="shared" si="47"/>
        <v>0</v>
      </c>
      <c r="AU9">
        <f t="shared" si="48"/>
        <v>-12.473539444534534</v>
      </c>
      <c r="AV9">
        <f t="shared" si="49"/>
        <v>-9.0633664010810566</v>
      </c>
      <c r="AW9">
        <f t="shared" si="50"/>
        <v>36.002433673591064</v>
      </c>
      <c r="AX9">
        <f t="shared" si="51"/>
        <v>36.002433673591064</v>
      </c>
      <c r="AY9">
        <f t="shared" si="9"/>
        <v>0</v>
      </c>
      <c r="AZ9" s="50">
        <v>1</v>
      </c>
      <c r="BA9" s="46">
        <f>_xlfn.IFS(AZ9=1,Références!$B$80,AZ9=2,Références!$B$81,AZ9=3,Références!$B$82,AZ9=4,Références!$B$83,AZ9=5,Références!$B$84,AZ9=6,Références!$B$85,AZ9=7,Références!$B$86,AZ9=8,Références!$B$87,AZ9=9,Références!$B$88,AZ9=10,Références!$B$89,AZ9=11,Références!$B$90,AZ9=12,Références!$B$91)</f>
        <v>1</v>
      </c>
      <c r="BB9" s="46" t="s">
        <v>69</v>
      </c>
      <c r="BC9" s="51" cm="1">
        <f t="array" ref="BC9">_xlfn.IFS(BB9="Beam", -0.0000000868778*BA9^5-0.0000459619*BA9^4+0.00347366*BA9^3-0.0884721*BA9^2+0.510463*BA9+14.9932,BB9="Following",0.000652681*BA9^3-0.0356523*BA9^2+0.29714*BA9+15.2038,BB9="Head",-0.00000154449*BA9^5+0.0000797696*BA9^4+0.000148965*BA9^3-0.0570448*BA9^2+0.244115*BA9+15.0029)</f>
        <v>15.418618511222199</v>
      </c>
      <c r="BD9" s="67"/>
      <c r="BE9" s="72">
        <v>250</v>
      </c>
      <c r="BF9" s="73">
        <v>0</v>
      </c>
      <c r="BG9" s="74">
        <f t="shared" si="52"/>
        <v>15.418618511222199</v>
      </c>
      <c r="BH9" s="84">
        <f t="shared" si="53"/>
        <v>216.00243367359107</v>
      </c>
      <c r="BI9" s="110">
        <f t="shared" si="54"/>
        <v>216.00243367359107</v>
      </c>
      <c r="BJ9" s="67"/>
      <c r="BK9" s="18">
        <f t="shared" si="55"/>
        <v>5.2046173653176249</v>
      </c>
      <c r="BL9" s="3">
        <f t="shared" si="56"/>
        <v>-5</v>
      </c>
      <c r="BM9" s="22">
        <f t="shared" si="57"/>
        <v>0.20833333333333334</v>
      </c>
      <c r="BN9" s="81">
        <f t="shared" si="58"/>
        <v>3.6143176148039063E-3</v>
      </c>
      <c r="BO9" s="78">
        <f t="shared" si="59"/>
        <v>44927.492879756661</v>
      </c>
      <c r="BP9" s="121">
        <f>BP8+BN8</f>
        <v>44927.701213089997</v>
      </c>
      <c r="BS9" s="3"/>
      <c r="BT9" s="14"/>
    </row>
    <row r="10" spans="1:72" x14ac:dyDescent="0.25">
      <c r="A10">
        <v>7</v>
      </c>
      <c r="B10" s="57">
        <v>2</v>
      </c>
      <c r="C10" s="58">
        <v>36.598999999999997</v>
      </c>
      <c r="D10" s="59" t="s">
        <v>16</v>
      </c>
      <c r="E10" s="58">
        <v>79</v>
      </c>
      <c r="F10" s="58">
        <v>54.685000000000002</v>
      </c>
      <c r="G10" s="60" t="s">
        <v>18</v>
      </c>
      <c r="H10">
        <f t="shared" si="13"/>
        <v>2.6099833333333331</v>
      </c>
      <c r="I10" s="2">
        <f t="shared" si="14"/>
        <v>4.5552802588843332E-2</v>
      </c>
      <c r="J10" s="2">
        <f t="shared" si="15"/>
        <v>4.5552802588843332E-2</v>
      </c>
      <c r="K10">
        <f t="shared" si="16"/>
        <v>79.911416666666668</v>
      </c>
      <c r="L10" s="2">
        <f t="shared" si="17"/>
        <v>1.3947173307664054</v>
      </c>
      <c r="M10" s="1">
        <f t="shared" si="18"/>
        <v>155.59358825549822</v>
      </c>
      <c r="N10" s="5" cm="1">
        <f t="array" ref="N10">_xlfn.IFS(D10&lt;&gt;D11,M10+M11,M11-M10&lt;0,(M11-M10)*-1,M11-M10&gt;0,M11-M10)</f>
        <v>2.185452817126162</v>
      </c>
      <c r="O10">
        <f t="shared" si="19"/>
        <v>2.1980000000000097</v>
      </c>
      <c r="P10" s="1">
        <f t="shared" si="20"/>
        <v>2.1980000000000097</v>
      </c>
      <c r="Q10" s="1">
        <f t="shared" si="21"/>
        <v>1.0439999999998739</v>
      </c>
      <c r="R10" s="1" cm="1">
        <f t="array" ref="R10">_xlfn.IFS(AND(G11="E",G11&lt;&gt;G10,L10+L11&gt;(RADIANS(180)),Q10&lt;0),Q10*-1,AND(G11="W",G11&lt;&gt;G10,L11+L10&gt;(RADIANS(180)),Q10&lt;0),Q10,AND(G11="E",G11&lt;&gt;G10,L11+L10&gt;(RADIANS(180)),Q10&gt;0),Q10,AND(G11="W",G11&lt;&gt;G10,L11+L10&gt;(RADIANS(180)),Q10&gt;0),Q10*-1,AND(G11="W",G11=G10,Q10&lt;0),Q10,AND(G11="W",G11=G10,Q10&gt;0),Q10,AND(G11="E",G11=G10,Q10&lt;0),Q10*-1,AND(G11="E",G11=G10,Q10&gt;0),Q10*-1,AND(G11="E",G11&lt;&gt;G10,Q10&gt;0),Q10*-1,AND(G11="E",G11&lt;&gt;G10,Q10&lt;0),Q10,AND(G11="W",G11&lt;&gt;G10,Q10&gt;0),Q10,AND(G11="W",G11&lt;&gt;G10,Q10&lt;0),Q10*-1)</f>
        <v>1.0439999999998739</v>
      </c>
      <c r="S10" s="4">
        <f t="shared" si="22"/>
        <v>2.1980000000000097</v>
      </c>
      <c r="T10" s="4">
        <f t="shared" si="23"/>
        <v>1.0439999999998739</v>
      </c>
      <c r="U10">
        <f t="shared" si="24"/>
        <v>25.534002295300819</v>
      </c>
      <c r="V10" s="8">
        <f t="shared" si="25"/>
        <v>205.53400229530081</v>
      </c>
      <c r="W10" s="6">
        <f t="shared" si="26"/>
        <v>2.4359168845164398</v>
      </c>
      <c r="X10">
        <f t="shared" si="27"/>
        <v>2.6282999999999999</v>
      </c>
      <c r="Y10">
        <f t="shared" si="28"/>
        <v>1.0429017557190323</v>
      </c>
      <c r="Z10">
        <f t="shared" si="29"/>
        <v>25.383291705002797</v>
      </c>
      <c r="AA10" s="7">
        <f t="shared" si="30"/>
        <v>205.38329170500279</v>
      </c>
      <c r="AB10" s="6">
        <f t="shared" si="31"/>
        <v>2.4328682808738091</v>
      </c>
      <c r="AC10" s="1">
        <f t="shared" si="32"/>
        <v>25.382893328590075</v>
      </c>
      <c r="AD10" s="7">
        <f t="shared" si="33"/>
        <v>205.38289332859009</v>
      </c>
      <c r="AE10" s="6">
        <f t="shared" si="34"/>
        <v>2.4328682737270277</v>
      </c>
      <c r="AF10" s="72" t="s">
        <v>102</v>
      </c>
      <c r="AG10" s="113" cm="1">
        <f t="array" ref="AG10">_xlfn.IFS(AH10=W10,V10,AH10=AB10,AA10,AH10=AE10,AD10)</f>
        <v>205.38329170500279</v>
      </c>
      <c r="AH10" s="88">
        <f t="shared" si="35"/>
        <v>2.4328682808738091</v>
      </c>
      <c r="AI10">
        <f t="shared" si="36"/>
        <v>455.38329170500276</v>
      </c>
      <c r="AJ10" s="11">
        <f t="shared" si="37"/>
        <v>95.383291705002762</v>
      </c>
      <c r="AK10" s="11">
        <f t="shared" si="38"/>
        <v>5.3832917050027618</v>
      </c>
      <c r="AL10" s="1">
        <f t="shared" si="39"/>
        <v>6.6095252433231364</v>
      </c>
      <c r="AM10">
        <f t="shared" si="40"/>
        <v>13.930110295775769</v>
      </c>
      <c r="AN10">
        <f t="shared" si="41"/>
        <v>0</v>
      </c>
      <c r="AO10">
        <f t="shared" si="42"/>
        <v>0</v>
      </c>
      <c r="AP10">
        <f t="shared" si="43"/>
        <v>205.38329170500279</v>
      </c>
      <c r="AQ10" s="12">
        <f t="shared" si="44"/>
        <v>-13.930110295775769</v>
      </c>
      <c r="AR10" s="2">
        <f t="shared" si="45"/>
        <v>0</v>
      </c>
      <c r="AS10" s="2">
        <f t="shared" si="46"/>
        <v>-6.6095252433231364</v>
      </c>
      <c r="AT10" s="2">
        <f t="shared" si="47"/>
        <v>0</v>
      </c>
      <c r="AU10">
        <f t="shared" si="48"/>
        <v>-13.930110295775769</v>
      </c>
      <c r="AV10">
        <f t="shared" si="49"/>
        <v>-6.6095252433231364</v>
      </c>
      <c r="AW10">
        <f t="shared" si="50"/>
        <v>25.383291705002797</v>
      </c>
      <c r="AX10">
        <f t="shared" si="51"/>
        <v>25.383291705002797</v>
      </c>
      <c r="AY10">
        <f t="shared" si="9"/>
        <v>0</v>
      </c>
      <c r="AZ10" s="50">
        <v>1</v>
      </c>
      <c r="BA10" s="46">
        <f>_xlfn.IFS(AZ10=1,Références!$B$80,AZ10=2,Références!$B$81,AZ10=3,Références!$B$82,AZ10=4,Références!$B$83,AZ10=5,Références!$B$84,AZ10=6,Références!$B$85,AZ10=7,Références!$B$86,AZ10=8,Références!$B$87,AZ10=9,Références!$B$88,AZ10=10,Références!$B$89,AZ10=11,Références!$B$90,AZ10=12,Références!$B$91)</f>
        <v>1</v>
      </c>
      <c r="BB10" s="46" t="s">
        <v>69</v>
      </c>
      <c r="BC10" s="51" cm="1">
        <f t="array" ref="BC10">_xlfn.IFS(BB10="Beam", -0.0000000868778*BA10^5-0.0000459619*BA10^4+0.00347366*BA10^3-0.0884721*BA10^2+0.510463*BA10+14.9932,BB10="Following",0.000652681*BA10^3-0.0356523*BA10^2+0.29714*BA10+15.2038,BB10="Head",-0.00000154449*BA10^5+0.0000797696*BA10^4+0.000148965*BA10^3-0.0570448*BA10^2+0.244115*BA10+15.0029)</f>
        <v>15.418618511222199</v>
      </c>
      <c r="BD10" s="67"/>
      <c r="BE10" s="72">
        <v>250</v>
      </c>
      <c r="BF10" s="73">
        <v>0</v>
      </c>
      <c r="BG10" s="74">
        <f t="shared" si="52"/>
        <v>15.418618511222199</v>
      </c>
      <c r="BH10" s="84">
        <f t="shared" si="53"/>
        <v>205.38329170500279</v>
      </c>
      <c r="BI10" s="110">
        <f t="shared" si="54"/>
        <v>205.38329170500279</v>
      </c>
      <c r="BJ10" s="67"/>
      <c r="BK10" s="18">
        <f t="shared" si="55"/>
        <v>9.4672617229737579</v>
      </c>
      <c r="BL10" s="3">
        <f t="shared" si="56"/>
        <v>-5</v>
      </c>
      <c r="BM10" s="22">
        <f t="shared" si="57"/>
        <v>0.20833333333333334</v>
      </c>
      <c r="BN10" s="81">
        <f t="shared" si="58"/>
        <v>6.5744873076206654E-3</v>
      </c>
      <c r="BO10" s="78">
        <f t="shared" si="59"/>
        <v>44927.496494074272</v>
      </c>
      <c r="BP10" s="121">
        <f>BP9+BN9</f>
        <v>44927.704827407608</v>
      </c>
      <c r="BS10" s="3"/>
      <c r="BT10" s="14"/>
    </row>
    <row r="11" spans="1:72" x14ac:dyDescent="0.25">
      <c r="A11">
        <v>8</v>
      </c>
      <c r="B11" s="57">
        <v>2</v>
      </c>
      <c r="C11" s="58">
        <v>38.796999999999997</v>
      </c>
      <c r="D11" s="59" t="s">
        <v>16</v>
      </c>
      <c r="E11" s="58">
        <v>79</v>
      </c>
      <c r="F11" s="58">
        <v>55.728999999999999</v>
      </c>
      <c r="G11" s="60" t="s">
        <v>18</v>
      </c>
      <c r="H11">
        <f t="shared" si="13"/>
        <v>2.6466166666666666</v>
      </c>
      <c r="I11" s="2">
        <f t="shared" si="14"/>
        <v>4.6192174871490591E-2</v>
      </c>
      <c r="J11" s="2">
        <f t="shared" si="15"/>
        <v>4.6192174871490591E-2</v>
      </c>
      <c r="K11">
        <f t="shared" si="16"/>
        <v>79.928816666666663</v>
      </c>
      <c r="L11" s="2">
        <f t="shared" si="17"/>
        <v>1.3950210180562523</v>
      </c>
      <c r="M11" s="1">
        <f t="shared" si="18"/>
        <v>157.77904107262438</v>
      </c>
      <c r="N11" s="5" cm="1">
        <f t="array" ref="N11">_xlfn.IFS(D11&lt;&gt;D12,M11+M12,M12-M11&lt;0,(M12-M11)*-1,M12-M11&gt;0,M12-M11)</f>
        <v>3.4702123673077665</v>
      </c>
      <c r="O11">
        <f t="shared" si="19"/>
        <v>3.4899999999999913</v>
      </c>
      <c r="P11" s="1">
        <f t="shared" si="20"/>
        <v>3.4899999999999913</v>
      </c>
      <c r="Q11" s="1">
        <f t="shared" si="21"/>
        <v>1.2129999999999297</v>
      </c>
      <c r="R11" s="1" cm="1">
        <f t="array" ref="R11">_xlfn.IFS(AND(G12="E",G12&lt;&gt;G11,L11+L12&gt;(RADIANS(180)),Q11&lt;0),Q11*-1,AND(G12="W",G12&lt;&gt;G11,L12+L11&gt;(RADIANS(180)),Q11&lt;0),Q11,AND(G12="E",G12&lt;&gt;G11,L12+L11&gt;(RADIANS(180)),Q11&gt;0),Q11,AND(G12="W",G12&lt;&gt;G11,L12+L11&gt;(RADIANS(180)),Q11&gt;0),Q11*-1,AND(G12="W",G12=G11,Q11&lt;0),Q11,AND(G12="W",G12=G11,Q11&gt;0),Q11,AND(G12="E",G12=G11,Q11&lt;0),Q11*-1,AND(G12="E",G12=G11,Q11&gt;0),Q11*-1,AND(G12="E",G12&lt;&gt;G11,Q11&gt;0),Q11*-1,AND(G12="E",G12&lt;&gt;G11,Q11&lt;0),Q11,AND(G12="W",G12&lt;&gt;G11,Q11&gt;0),Q11,AND(G12="W",G12&lt;&gt;G11,Q11&lt;0),Q11*-1)</f>
        <v>1.2129999999999297</v>
      </c>
      <c r="S11" s="4">
        <f t="shared" si="22"/>
        <v>3.4899999999999913</v>
      </c>
      <c r="T11" s="4">
        <f t="shared" si="23"/>
        <v>1.2129999999999297</v>
      </c>
      <c r="U11">
        <f t="shared" si="24"/>
        <v>19.266886301199232</v>
      </c>
      <c r="V11" s="8">
        <f t="shared" si="25"/>
        <v>199.26688630119924</v>
      </c>
      <c r="W11" s="6">
        <f t="shared" si="26"/>
        <v>3.6970659638801613</v>
      </c>
      <c r="X11">
        <f t="shared" si="27"/>
        <v>2.6757</v>
      </c>
      <c r="Y11">
        <f t="shared" si="28"/>
        <v>1.2116775433403417</v>
      </c>
      <c r="Z11">
        <f t="shared" si="29"/>
        <v>19.146261957497963</v>
      </c>
      <c r="AA11" s="7">
        <f t="shared" si="30"/>
        <v>199.14626195749796</v>
      </c>
      <c r="AB11" s="6">
        <f t="shared" si="31"/>
        <v>3.6943554876372175</v>
      </c>
      <c r="AC11" s="1">
        <f t="shared" si="32"/>
        <v>19.145791024850389</v>
      </c>
      <c r="AD11" s="7">
        <f t="shared" si="33"/>
        <v>199.14579102485038</v>
      </c>
      <c r="AE11" s="6">
        <f t="shared" si="34"/>
        <v>3.6943554705943296</v>
      </c>
      <c r="AF11" s="72" t="s">
        <v>102</v>
      </c>
      <c r="AG11" s="113" cm="1">
        <f t="array" ref="AG11">_xlfn.IFS(AH11=W11,V11,AH11=AB11,AA11,AH11=AE11,AD11)</f>
        <v>199.14626195749796</v>
      </c>
      <c r="AH11" s="88">
        <f t="shared" si="35"/>
        <v>3.6943554876372175</v>
      </c>
      <c r="AI11">
        <f t="shared" si="36"/>
        <v>449.14626195749793</v>
      </c>
      <c r="AJ11" s="11">
        <f t="shared" si="37"/>
        <v>89.146261957497927</v>
      </c>
      <c r="AK11" s="11">
        <f t="shared" si="38"/>
        <v>0.85373804250207286</v>
      </c>
      <c r="AL11" s="1">
        <f t="shared" si="39"/>
        <v>5.0570103125967023</v>
      </c>
      <c r="AM11">
        <f t="shared" si="40"/>
        <v>14.565728388683295</v>
      </c>
      <c r="AN11">
        <f t="shared" si="41"/>
        <v>0</v>
      </c>
      <c r="AO11">
        <f t="shared" si="42"/>
        <v>0</v>
      </c>
      <c r="AP11">
        <f t="shared" si="43"/>
        <v>199.14626195749796</v>
      </c>
      <c r="AQ11" s="12">
        <f t="shared" si="44"/>
        <v>-14.565728388683295</v>
      </c>
      <c r="AR11" s="2">
        <f t="shared" si="45"/>
        <v>0</v>
      </c>
      <c r="AS11" s="2">
        <f t="shared" si="46"/>
        <v>-5.0570103125967023</v>
      </c>
      <c r="AT11" s="2">
        <f t="shared" si="47"/>
        <v>0</v>
      </c>
      <c r="AU11">
        <f t="shared" si="48"/>
        <v>-14.565728388683295</v>
      </c>
      <c r="AV11">
        <f t="shared" si="49"/>
        <v>-5.0570103125967023</v>
      </c>
      <c r="AW11">
        <f t="shared" si="50"/>
        <v>19.146261957497959</v>
      </c>
      <c r="AX11">
        <f t="shared" si="51"/>
        <v>19.146261957497959</v>
      </c>
      <c r="AY11">
        <f t="shared" si="9"/>
        <v>0</v>
      </c>
      <c r="AZ11" s="50">
        <v>1</v>
      </c>
      <c r="BA11" s="46">
        <f>_xlfn.IFS(AZ11=1,Références!$B$80,AZ11=2,Références!$B$81,AZ11=3,Références!$B$82,AZ11=4,Références!$B$83,AZ11=5,Références!$B$84,AZ11=6,Références!$B$85,AZ11=7,Références!$B$86,AZ11=8,Références!$B$87,AZ11=9,Références!$B$88,AZ11=10,Références!$B$89,AZ11=11,Références!$B$90,AZ11=12,Références!$B$91)</f>
        <v>1</v>
      </c>
      <c r="BB11" s="46" t="s">
        <v>69</v>
      </c>
      <c r="BC11" s="51" cm="1">
        <f t="array" ref="BC11">_xlfn.IFS(BB11="Beam", -0.0000000868778*BA11^5-0.0000459619*BA11^4+0.00347366*BA11^3-0.0884721*BA11^2+0.510463*BA11+14.9932,BB11="Following",0.000652681*BA11^3-0.0356523*BA11^2+0.29714*BA11+15.2038,BB11="Head",-0.00000154449*BA11^5+0.0000797696*BA11^4+0.000148965*BA11^3-0.0570448*BA11^2+0.244115*BA11+15.0029)</f>
        <v>15.418618511222199</v>
      </c>
      <c r="BD11" s="67"/>
      <c r="BE11" s="72">
        <v>250</v>
      </c>
      <c r="BF11" s="73">
        <v>0</v>
      </c>
      <c r="BG11" s="74">
        <f t="shared" si="52"/>
        <v>15.418618511222199</v>
      </c>
      <c r="BH11" s="84">
        <f t="shared" si="53"/>
        <v>199.14626195749796</v>
      </c>
      <c r="BI11" s="110">
        <f t="shared" si="54"/>
        <v>199.14626195749796</v>
      </c>
      <c r="BJ11" s="67"/>
      <c r="BK11" s="18">
        <f t="shared" si="55"/>
        <v>14.376212051481806</v>
      </c>
      <c r="BL11" s="3">
        <f t="shared" si="56"/>
        <v>-5</v>
      </c>
      <c r="BM11" s="22">
        <f t="shared" si="57"/>
        <v>0.20833333333333334</v>
      </c>
      <c r="BN11" s="81">
        <f t="shared" si="58"/>
        <v>9.9834805913068102E-3</v>
      </c>
      <c r="BO11" s="78">
        <f t="shared" si="59"/>
        <v>44927.503068561578</v>
      </c>
      <c r="BP11" s="121">
        <f>BP10+BN10</f>
        <v>44927.711401894914</v>
      </c>
      <c r="BS11" s="3"/>
      <c r="BT11" s="14"/>
    </row>
    <row r="12" spans="1:72" x14ac:dyDescent="0.25">
      <c r="A12">
        <v>9</v>
      </c>
      <c r="B12" s="57">
        <v>2</v>
      </c>
      <c r="C12" s="58">
        <v>42.286999999999999</v>
      </c>
      <c r="D12" s="59" t="s">
        <v>16</v>
      </c>
      <c r="E12" s="58">
        <v>79</v>
      </c>
      <c r="F12" s="58">
        <v>56.942</v>
      </c>
      <c r="G12" s="60" t="s">
        <v>18</v>
      </c>
      <c r="H12">
        <f t="shared" si="13"/>
        <v>2.7047833333333333</v>
      </c>
      <c r="I12" s="2">
        <f t="shared" si="14"/>
        <v>4.7207374719733956E-2</v>
      </c>
      <c r="J12" s="2">
        <f t="shared" si="15"/>
        <v>4.7207374719733956E-2</v>
      </c>
      <c r="K12">
        <f t="shared" si="16"/>
        <v>79.949033333333333</v>
      </c>
      <c r="L12" s="2">
        <f t="shared" si="17"/>
        <v>1.3953738654533638</v>
      </c>
      <c r="M12" s="1">
        <f t="shared" si="18"/>
        <v>161.24925343993215</v>
      </c>
      <c r="N12" s="5" cm="1">
        <f t="array" ref="N12">_xlfn.IFS(D12&lt;&gt;D13,M12+M13,M13-M12&lt;0,(M13-M12)*-1,M13-M12&gt;0,M13-M12)</f>
        <v>2.6797345136666308</v>
      </c>
      <c r="O12">
        <f t="shared" si="19"/>
        <v>-2.6949999999999883</v>
      </c>
      <c r="P12" s="1">
        <f t="shared" si="20"/>
        <v>-2.6949999999999883</v>
      </c>
      <c r="Q12" s="1">
        <f t="shared" si="21"/>
        <v>4.6090000000006954</v>
      </c>
      <c r="R12" s="1" cm="1">
        <f t="array" ref="R12">_xlfn.IFS(AND(G13="E",G13&lt;&gt;G12,L12+L13&gt;(RADIANS(180)),Q12&lt;0),Q12*-1,AND(G13="W",G13&lt;&gt;G12,L13+L12&gt;(RADIANS(180)),Q12&lt;0),Q12,AND(G13="E",G13&lt;&gt;G12,L13+L12&gt;(RADIANS(180)),Q12&gt;0),Q12,AND(G13="W",G13&lt;&gt;G12,L13+L12&gt;(RADIANS(180)),Q12&gt;0),Q12*-1,AND(G13="W",G13=G12,Q12&lt;0),Q12,AND(G13="W",G13=G12,Q12&gt;0),Q12,AND(G13="E",G13=G12,Q12&lt;0),Q12*-1,AND(G13="E",G13=G12,Q12&gt;0),Q12*-1,AND(G13="E",G13&lt;&gt;G12,Q12&gt;0),Q12*-1,AND(G13="E",G13&lt;&gt;G12,Q12&lt;0),Q12,AND(G13="W",G13&lt;&gt;G12,Q12&gt;0),Q12,AND(G13="W",G13&lt;&gt;G12,Q12&lt;0),Q12*-1)</f>
        <v>4.6090000000006954</v>
      </c>
      <c r="S12" s="4">
        <f t="shared" si="22"/>
        <v>2.6949999999999883</v>
      </c>
      <c r="T12" s="4">
        <f t="shared" si="23"/>
        <v>4.6090000000006954</v>
      </c>
      <c r="U12">
        <f t="shared" si="24"/>
        <v>59.825705580075002</v>
      </c>
      <c r="V12" s="8">
        <f t="shared" si="25"/>
        <v>300.17429441992499</v>
      </c>
      <c r="W12" s="6">
        <f t="shared" si="26"/>
        <v>5.3617741014540217</v>
      </c>
      <c r="X12">
        <f t="shared" si="27"/>
        <v>2.6823250000000001</v>
      </c>
      <c r="Y12">
        <f t="shared" si="28"/>
        <v>4.6039501913578293</v>
      </c>
      <c r="Z12">
        <f t="shared" si="29"/>
        <v>59.656706939886526</v>
      </c>
      <c r="AA12" s="7">
        <f t="shared" si="30"/>
        <v>300.34329306011347</v>
      </c>
      <c r="AB12" s="6">
        <f t="shared" si="31"/>
        <v>5.3347335795242605</v>
      </c>
      <c r="AC12" s="1">
        <f t="shared" si="32"/>
        <v>120.34149123442317</v>
      </c>
      <c r="AD12" s="7">
        <f t="shared" si="33"/>
        <v>300.34149123442319</v>
      </c>
      <c r="AE12" s="6">
        <f t="shared" si="34"/>
        <v>5.3347334763084557</v>
      </c>
      <c r="AF12" s="72" t="s">
        <v>102</v>
      </c>
      <c r="AG12" s="113" cm="1">
        <f t="array" ref="AG12">_xlfn.IFS(AH12=W12,V12,AH12=AB12,AA12,AH12=AE12,AD12)</f>
        <v>300.34329306011347</v>
      </c>
      <c r="AH12" s="88">
        <f t="shared" si="35"/>
        <v>5.3347335795242605</v>
      </c>
      <c r="AI12">
        <f t="shared" si="36"/>
        <v>550.34329306011341</v>
      </c>
      <c r="AJ12" s="11">
        <f t="shared" si="37"/>
        <v>190.34329306011341</v>
      </c>
      <c r="AK12" s="11">
        <f t="shared" si="38"/>
        <v>79.65670693988659</v>
      </c>
      <c r="AL12" s="1">
        <f t="shared" si="39"/>
        <v>13.306484866962229</v>
      </c>
      <c r="AM12">
        <f t="shared" si="40"/>
        <v>7.789175648289687</v>
      </c>
      <c r="AN12">
        <f t="shared" si="41"/>
        <v>0</v>
      </c>
      <c r="AO12">
        <f t="shared" si="42"/>
        <v>0</v>
      </c>
      <c r="AP12">
        <f t="shared" si="43"/>
        <v>300.34329306011347</v>
      </c>
      <c r="AQ12" s="12">
        <f t="shared" si="44"/>
        <v>7.789175648289687</v>
      </c>
      <c r="AR12" s="2">
        <f t="shared" si="45"/>
        <v>0</v>
      </c>
      <c r="AS12" s="2">
        <f t="shared" si="46"/>
        <v>-13.306484866962229</v>
      </c>
      <c r="AT12" s="2">
        <f t="shared" si="47"/>
        <v>0</v>
      </c>
      <c r="AU12">
        <f t="shared" si="48"/>
        <v>7.789175648289687</v>
      </c>
      <c r="AV12">
        <f t="shared" si="49"/>
        <v>-13.306484866962229</v>
      </c>
      <c r="AW12">
        <f t="shared" si="50"/>
        <v>-59.656706939886526</v>
      </c>
      <c r="AX12">
        <f t="shared" si="51"/>
        <v>59.656706939886526</v>
      </c>
      <c r="AY12">
        <f t="shared" si="9"/>
        <v>0</v>
      </c>
      <c r="AZ12" s="50">
        <v>1</v>
      </c>
      <c r="BA12" s="46">
        <f>_xlfn.IFS(AZ12=1,Références!$B$80,AZ12=2,Références!$B$81,AZ12=3,Références!$B$82,AZ12=4,Références!$B$83,AZ12=5,Références!$B$84,AZ12=6,Références!$B$85,AZ12=7,Références!$B$86,AZ12=8,Références!$B$87,AZ12=9,Références!$B$88,AZ12=10,Références!$B$89,AZ12=11,Références!$B$90,AZ12=12,Références!$B$91)</f>
        <v>1</v>
      </c>
      <c r="BB12" s="46" t="s">
        <v>69</v>
      </c>
      <c r="BC12" s="51" cm="1">
        <f t="array" ref="BC12">_xlfn.IFS(BB12="Beam", -0.0000000868778*BA12^5-0.0000459619*BA12^4+0.00347366*BA12^3-0.0884721*BA12^2+0.510463*BA12+14.9932,BB12="Following",0.000652681*BA12^3-0.0356523*BA12^2+0.29714*BA12+15.2038,BB12="Head",-0.00000154449*BA12^5+0.0000797696*BA12^4+0.000148965*BA12^3-0.0570448*BA12^2+0.244115*BA12+15.0029)</f>
        <v>15.418618511222199</v>
      </c>
      <c r="BD12" s="67"/>
      <c r="BE12" s="72">
        <v>250</v>
      </c>
      <c r="BF12" s="73">
        <v>0</v>
      </c>
      <c r="BG12" s="74">
        <f t="shared" si="52"/>
        <v>15.418618511222199</v>
      </c>
      <c r="BH12" s="84">
        <f t="shared" si="53"/>
        <v>300.34329306011347</v>
      </c>
      <c r="BI12" s="110">
        <f t="shared" si="54"/>
        <v>300.34329306011347</v>
      </c>
      <c r="BJ12" s="67"/>
      <c r="BK12" s="18">
        <f t="shared" si="55"/>
        <v>20.759578073644374</v>
      </c>
      <c r="BL12" s="3">
        <f t="shared" si="56"/>
        <v>-5</v>
      </c>
      <c r="BM12" s="22">
        <f t="shared" si="57"/>
        <v>0.20833333333333334</v>
      </c>
      <c r="BN12" s="81">
        <f t="shared" si="58"/>
        <v>1.4416373662253037E-2</v>
      </c>
      <c r="BO12" s="78">
        <f t="shared" si="59"/>
        <v>44927.513052042166</v>
      </c>
      <c r="BP12" s="121">
        <f>BP11+BN11</f>
        <v>44927.721385375502</v>
      </c>
      <c r="BS12" s="3"/>
      <c r="BT12" s="14"/>
    </row>
    <row r="13" spans="1:72" x14ac:dyDescent="0.25">
      <c r="A13">
        <v>10</v>
      </c>
      <c r="B13" s="57">
        <v>2</v>
      </c>
      <c r="C13" s="58">
        <v>39.591999999999999</v>
      </c>
      <c r="D13" s="59" t="s">
        <v>16</v>
      </c>
      <c r="E13" s="58">
        <v>80</v>
      </c>
      <c r="F13" s="58">
        <v>1.5509999999999999</v>
      </c>
      <c r="G13" s="60" t="s">
        <v>18</v>
      </c>
      <c r="H13">
        <f t="shared" si="13"/>
        <v>2.6598666666666668</v>
      </c>
      <c r="I13" s="2">
        <f t="shared" si="14"/>
        <v>4.642343099737984E-2</v>
      </c>
      <c r="J13" s="2">
        <f t="shared" si="15"/>
        <v>4.642343099737984E-2</v>
      </c>
      <c r="K13">
        <f t="shared" si="16"/>
        <v>80.025850000000005</v>
      </c>
      <c r="L13" s="2">
        <f t="shared" si="17"/>
        <v>1.3967145692071044</v>
      </c>
      <c r="M13" s="1">
        <f t="shared" si="18"/>
        <v>158.56951892626552</v>
      </c>
      <c r="N13" s="5" cm="1">
        <f t="array" ref="N13">_xlfn.IFS(D13&lt;&gt;D14,M13+M14,M14-M13&lt;0,(M14-M13)*-1,M14-M13&gt;0,M14-M13)</f>
        <v>0.14417584657309135</v>
      </c>
      <c r="O13">
        <f t="shared" si="19"/>
        <v>-0.14500000000000371</v>
      </c>
      <c r="P13" s="1">
        <f t="shared" si="20"/>
        <v>-0.14500000000000371</v>
      </c>
      <c r="Q13" s="1">
        <f t="shared" si="21"/>
        <v>4.6729999999993073</v>
      </c>
      <c r="R13" s="1" cm="1">
        <f t="array" ref="R13">_xlfn.IFS(AND(G14="E",G14&lt;&gt;G13,L13+L14&gt;(RADIANS(180)),Q13&lt;0),Q13*-1,AND(G14="W",G14&lt;&gt;G13,L14+L13&gt;(RADIANS(180)),Q13&lt;0),Q13,AND(G14="E",G14&lt;&gt;G13,L14+L13&gt;(RADIANS(180)),Q13&gt;0),Q13,AND(G14="W",G14&lt;&gt;G13,L14+L13&gt;(RADIANS(180)),Q13&gt;0),Q13*-1,AND(G14="W",G14=G13,Q13&lt;0),Q13,AND(G14="W",G14=G13,Q13&gt;0),Q13,AND(G14="E",G14=G13,Q13&lt;0),Q13*-1,AND(G14="E",G14=G13,Q13&gt;0),Q13*-1,AND(G14="E",G14&lt;&gt;G13,Q13&gt;0),Q13*-1,AND(G14="E",G14&lt;&gt;G13,Q13&lt;0),Q13,AND(G14="W",G14&lt;&gt;G13,Q13&gt;0),Q13,AND(G14="W",G14&lt;&gt;G13,Q13&lt;0),Q13*-1)</f>
        <v>4.6729999999993073</v>
      </c>
      <c r="S13" s="4">
        <f t="shared" si="22"/>
        <v>0.14500000000000371</v>
      </c>
      <c r="T13" s="4">
        <f t="shared" si="23"/>
        <v>4.6729999999993073</v>
      </c>
      <c r="U13">
        <f t="shared" si="24"/>
        <v>88.232816629634925</v>
      </c>
      <c r="V13" s="8">
        <f t="shared" si="25"/>
        <v>271.76718337036505</v>
      </c>
      <c r="W13" s="6">
        <f t="shared" si="26"/>
        <v>4.7019486104382215</v>
      </c>
      <c r="X13">
        <f t="shared" si="27"/>
        <v>2.6586583333333333</v>
      </c>
      <c r="Y13">
        <f t="shared" si="28"/>
        <v>4.6679700038600727</v>
      </c>
      <c r="Z13">
        <f t="shared" si="29"/>
        <v>88.220807441014244</v>
      </c>
      <c r="AA13" s="7">
        <f t="shared" si="30"/>
        <v>271.77919255898576</v>
      </c>
      <c r="AB13" s="6">
        <f t="shared" si="31"/>
        <v>4.6702215104786475</v>
      </c>
      <c r="AC13" s="1">
        <f t="shared" si="32"/>
        <v>91.777385948714723</v>
      </c>
      <c r="AD13" s="7">
        <f t="shared" si="33"/>
        <v>271.77738594871471</v>
      </c>
      <c r="AE13" s="6">
        <f t="shared" si="34"/>
        <v>4.6702215092235964</v>
      </c>
      <c r="AF13" s="72" t="s">
        <v>102</v>
      </c>
      <c r="AG13" s="113" cm="1">
        <f t="array" ref="AG13">_xlfn.IFS(AH13=W13,V13,AH13=AB13,AA13,AH13=AE13,AD13)</f>
        <v>271.77919255898576</v>
      </c>
      <c r="AH13" s="88">
        <f t="shared" si="35"/>
        <v>4.6702215104786475</v>
      </c>
      <c r="AI13">
        <f t="shared" si="36"/>
        <v>521.77919255898576</v>
      </c>
      <c r="AJ13" s="11">
        <f t="shared" si="37"/>
        <v>161.77919255898576</v>
      </c>
      <c r="AK13" s="11">
        <f t="shared" si="38"/>
        <v>71.779192558985756</v>
      </c>
      <c r="AL13" s="1">
        <f t="shared" si="39"/>
        <v>15.411185218914902</v>
      </c>
      <c r="AM13">
        <f t="shared" si="40"/>
        <v>0.47871384239724729</v>
      </c>
      <c r="AN13">
        <f t="shared" si="41"/>
        <v>0</v>
      </c>
      <c r="AO13">
        <f t="shared" si="42"/>
        <v>0</v>
      </c>
      <c r="AP13">
        <f t="shared" si="43"/>
        <v>271.77919255898576</v>
      </c>
      <c r="AQ13" s="12">
        <f t="shared" si="44"/>
        <v>0.47871384239724729</v>
      </c>
      <c r="AR13" s="2">
        <f t="shared" si="45"/>
        <v>0</v>
      </c>
      <c r="AS13" s="2">
        <f t="shared" si="46"/>
        <v>-15.411185218914902</v>
      </c>
      <c r="AT13" s="2">
        <f t="shared" si="47"/>
        <v>0</v>
      </c>
      <c r="AU13">
        <f t="shared" si="48"/>
        <v>0.47871384239724729</v>
      </c>
      <c r="AV13">
        <f t="shared" si="49"/>
        <v>-15.411185218914902</v>
      </c>
      <c r="AW13">
        <f t="shared" si="50"/>
        <v>-88.220807441014045</v>
      </c>
      <c r="AX13">
        <f t="shared" si="51"/>
        <v>88.220807441014045</v>
      </c>
      <c r="AY13">
        <f t="shared" si="9"/>
        <v>2.2737367544323206E-13</v>
      </c>
      <c r="AZ13" s="50">
        <v>1</v>
      </c>
      <c r="BA13" s="46">
        <f>_xlfn.IFS(AZ13=1,Références!$B$80,AZ13=2,Références!$B$81,AZ13=3,Références!$B$82,AZ13=4,Références!$B$83,AZ13=5,Références!$B$84,AZ13=6,Références!$B$85,AZ13=7,Références!$B$86,AZ13=8,Références!$B$87,AZ13=9,Références!$B$88,AZ13=10,Références!$B$89,AZ13=11,Références!$B$90,AZ13=12,Références!$B$91)</f>
        <v>1</v>
      </c>
      <c r="BB13" s="46" t="s">
        <v>69</v>
      </c>
      <c r="BC13" s="51" cm="1">
        <f t="array" ref="BC13">_xlfn.IFS(BB13="Beam", -0.0000000868778*BA13^5-0.0000459619*BA13^4+0.00347366*BA13^3-0.0884721*BA13^2+0.510463*BA13+14.9932,BB13="Following",0.000652681*BA13^3-0.0356523*BA13^2+0.29714*BA13+15.2038,BB13="Head",-0.00000154449*BA13^5+0.0000797696*BA13^4+0.000148965*BA13^3-0.0570448*BA13^2+0.244115*BA13+15.0029)</f>
        <v>15.418618511222199</v>
      </c>
      <c r="BD13" s="67"/>
      <c r="BE13" s="72">
        <v>250</v>
      </c>
      <c r="BF13" s="73">
        <v>0</v>
      </c>
      <c r="BG13" s="74">
        <f t="shared" si="52"/>
        <v>15.418618511222199</v>
      </c>
      <c r="BH13" s="84">
        <f t="shared" si="53"/>
        <v>271.77919255898598</v>
      </c>
      <c r="BI13" s="110">
        <f t="shared" si="54"/>
        <v>271.77919255898553</v>
      </c>
      <c r="BJ13" s="67"/>
      <c r="BK13" s="18">
        <f t="shared" si="55"/>
        <v>18.173696328550449</v>
      </c>
      <c r="BL13" s="3">
        <f t="shared" si="56"/>
        <v>-5</v>
      </c>
      <c r="BM13" s="22">
        <f t="shared" si="57"/>
        <v>0.20833333333333334</v>
      </c>
      <c r="BN13" s="81">
        <f t="shared" si="58"/>
        <v>1.2620622450382256E-2</v>
      </c>
      <c r="BO13" s="78">
        <f t="shared" si="59"/>
        <v>44927.527468415828</v>
      </c>
      <c r="BP13" s="121">
        <f>BP12+BN12</f>
        <v>44927.735801749164</v>
      </c>
      <c r="BS13" s="3"/>
      <c r="BT13" s="14"/>
    </row>
    <row r="14" spans="1:72" x14ac:dyDescent="0.25">
      <c r="A14">
        <v>11</v>
      </c>
      <c r="B14" s="57">
        <v>2</v>
      </c>
      <c r="C14" s="58">
        <v>39.447000000000003</v>
      </c>
      <c r="D14" s="59" t="s">
        <v>16</v>
      </c>
      <c r="E14" s="58">
        <v>80</v>
      </c>
      <c r="F14" s="58">
        <v>6.2240000000000002</v>
      </c>
      <c r="G14" s="60" t="s">
        <v>18</v>
      </c>
      <c r="H14">
        <f t="shared" si="13"/>
        <v>2.6574499999999999</v>
      </c>
      <c r="I14" s="2">
        <f t="shared" si="14"/>
        <v>4.6381252207123309E-2</v>
      </c>
      <c r="J14" s="2">
        <f t="shared" si="15"/>
        <v>4.6381252207123309E-2</v>
      </c>
      <c r="K14">
        <f t="shared" si="16"/>
        <v>80.103733333333338</v>
      </c>
      <c r="L14" s="2">
        <f t="shared" si="17"/>
        <v>1.3980738898061991</v>
      </c>
      <c r="M14" s="1">
        <f t="shared" si="18"/>
        <v>158.42534307969242</v>
      </c>
      <c r="N14" s="5" cm="1">
        <f t="array" ref="N14">_xlfn.IFS(D14&lt;&gt;D15,M14+M15,M15-M14&lt;0,(M15-M14)*-1,M15-M14&gt;0,M15-M14)</f>
        <v>4.3124741448640975</v>
      </c>
      <c r="O14">
        <f t="shared" si="19"/>
        <v>4.3370000000000113</v>
      </c>
      <c r="P14" s="1">
        <f t="shared" si="20"/>
        <v>4.3370000000000113</v>
      </c>
      <c r="Q14" s="1">
        <f t="shared" si="21"/>
        <v>6.4960000000003184</v>
      </c>
      <c r="R14" s="1" cm="1">
        <f t="array" ref="R14">_xlfn.IFS(AND(G15="E",G15&lt;&gt;G14,L14+L15&gt;(RADIANS(180)),Q14&lt;0),Q14*-1,AND(G15="W",G15&lt;&gt;G14,L15+L14&gt;(RADIANS(180)),Q14&lt;0),Q14,AND(G15="E",G15&lt;&gt;G14,L15+L14&gt;(RADIANS(180)),Q14&gt;0),Q14,AND(G15="W",G15&lt;&gt;G14,L15+L14&gt;(RADIANS(180)),Q14&gt;0),Q14*-1,AND(G15="W",G15=G14,Q14&lt;0),Q14,AND(G15="W",G15=G14,Q14&gt;0),Q14,AND(G15="E",G15=G14,Q14&lt;0),Q14*-1,AND(G15="E",G15=G14,Q14&gt;0),Q14*-1,AND(G15="E",G15&lt;&gt;G14,Q14&gt;0),Q14*-1,AND(G15="E",G15&lt;&gt;G14,Q14&lt;0),Q14,AND(G15="W",G15&lt;&gt;G14,Q14&gt;0),Q14,AND(G15="W",G15&lt;&gt;G14,Q14&lt;0),Q14*-1)</f>
        <v>6.4960000000003184</v>
      </c>
      <c r="S14" s="4">
        <f t="shared" si="22"/>
        <v>4.3370000000000113</v>
      </c>
      <c r="T14" s="4">
        <f t="shared" si="23"/>
        <v>6.4960000000003184</v>
      </c>
      <c r="U14">
        <f t="shared" si="24"/>
        <v>56.421164501100407</v>
      </c>
      <c r="V14" s="8">
        <f t="shared" si="25"/>
        <v>236.42116450110041</v>
      </c>
      <c r="W14" s="6">
        <f t="shared" si="26"/>
        <v>7.8414874886675028</v>
      </c>
      <c r="X14">
        <f t="shared" si="27"/>
        <v>2.6935916666666664</v>
      </c>
      <c r="Y14">
        <f t="shared" si="28"/>
        <v>6.4888228125928444</v>
      </c>
      <c r="Z14">
        <f t="shared" si="29"/>
        <v>56.242020882056522</v>
      </c>
      <c r="AA14" s="7">
        <f t="shared" si="30"/>
        <v>236.24202088205652</v>
      </c>
      <c r="AB14" s="6">
        <f t="shared" si="31"/>
        <v>7.8047671645748284</v>
      </c>
      <c r="AC14" s="1">
        <f t="shared" si="32"/>
        <v>56.239486531781878</v>
      </c>
      <c r="AD14" s="7">
        <f t="shared" si="33"/>
        <v>236.23948653178189</v>
      </c>
      <c r="AE14" s="6">
        <f t="shared" si="34"/>
        <v>7.8047668027846102</v>
      </c>
      <c r="AF14" s="72" t="s">
        <v>102</v>
      </c>
      <c r="AG14" s="113" cm="1">
        <f t="array" ref="AG14">_xlfn.IFS(AH14=W14,V14,AH14=AB14,AA14,AH14=AE14,AD14)</f>
        <v>236.24202088205652</v>
      </c>
      <c r="AH14" s="88">
        <f t="shared" si="35"/>
        <v>7.8047671645748284</v>
      </c>
      <c r="AI14">
        <f t="shared" si="36"/>
        <v>486.24202088205652</v>
      </c>
      <c r="AJ14" s="11">
        <f t="shared" si="37"/>
        <v>126.24202088205652</v>
      </c>
      <c r="AK14" s="11">
        <f t="shared" si="38"/>
        <v>36.242020882056522</v>
      </c>
      <c r="AL14" s="1">
        <f t="shared" si="39"/>
        <v>12.818919696720403</v>
      </c>
      <c r="AM14">
        <f t="shared" si="40"/>
        <v>8.567910749047142</v>
      </c>
      <c r="AN14">
        <f t="shared" si="41"/>
        <v>0</v>
      </c>
      <c r="AO14">
        <f t="shared" si="42"/>
        <v>0</v>
      </c>
      <c r="AP14">
        <f t="shared" si="43"/>
        <v>236.24202088205652</v>
      </c>
      <c r="AQ14" s="12">
        <f t="shared" si="44"/>
        <v>-8.567910749047142</v>
      </c>
      <c r="AR14" s="2">
        <f t="shared" si="45"/>
        <v>0</v>
      </c>
      <c r="AS14" s="2">
        <f t="shared" si="46"/>
        <v>-12.818919696720403</v>
      </c>
      <c r="AT14" s="2">
        <f t="shared" si="47"/>
        <v>0</v>
      </c>
      <c r="AU14">
        <f t="shared" si="48"/>
        <v>-8.567910749047142</v>
      </c>
      <c r="AV14">
        <f t="shared" si="49"/>
        <v>-12.818919696720403</v>
      </c>
      <c r="AW14">
        <f t="shared" si="50"/>
        <v>56.242020882056522</v>
      </c>
      <c r="AX14">
        <f t="shared" si="51"/>
        <v>56.242020882056522</v>
      </c>
      <c r="AY14">
        <f t="shared" si="9"/>
        <v>0</v>
      </c>
      <c r="AZ14" s="50">
        <v>1</v>
      </c>
      <c r="BA14" s="46">
        <f>_xlfn.IFS(AZ14=1,Références!$B$80,AZ14=2,Références!$B$81,AZ14=3,Références!$B$82,AZ14=4,Références!$B$83,AZ14=5,Références!$B$84,AZ14=6,Références!$B$85,AZ14=7,Références!$B$86,AZ14=8,Références!$B$87,AZ14=9,Références!$B$88,AZ14=10,Références!$B$89,AZ14=11,Références!$B$90,AZ14=12,Références!$B$91)</f>
        <v>1</v>
      </c>
      <c r="BB14" s="46" t="s">
        <v>69</v>
      </c>
      <c r="BC14" s="51" cm="1">
        <f t="array" ref="BC14">_xlfn.IFS(BB14="Beam", -0.0000000868778*BA14^5-0.0000459619*BA14^4+0.00347366*BA14^3-0.0884721*BA14^2+0.510463*BA14+14.9932,BB14="Following",0.000652681*BA14^3-0.0356523*BA14^2+0.29714*BA14+15.2038,BB14="Head",-0.00000154449*BA14^5+0.0000797696*BA14^4+0.000148965*BA14^3-0.0570448*BA14^2+0.244115*BA14+15.0029)</f>
        <v>15.418618511222199</v>
      </c>
      <c r="BD14" s="67"/>
      <c r="BE14" s="72">
        <v>250</v>
      </c>
      <c r="BF14" s="73">
        <v>0</v>
      </c>
      <c r="BG14" s="74">
        <f t="shared" si="52"/>
        <v>15.418618511222199</v>
      </c>
      <c r="BH14" s="84">
        <f t="shared" si="53"/>
        <v>236.24202088205652</v>
      </c>
      <c r="BI14" s="110">
        <f t="shared" si="54"/>
        <v>236.24202088205652</v>
      </c>
      <c r="BJ14" s="67"/>
      <c r="BK14" s="18">
        <f t="shared" si="55"/>
        <v>30.37146483218682</v>
      </c>
      <c r="BL14" s="3">
        <f t="shared" si="56"/>
        <v>-5</v>
      </c>
      <c r="BM14" s="22">
        <f t="shared" si="57"/>
        <v>0.20833333333333334</v>
      </c>
      <c r="BN14" s="81">
        <f t="shared" si="58"/>
        <v>2.109129502235196E-2</v>
      </c>
      <c r="BO14" s="78">
        <f t="shared" si="59"/>
        <v>44927.540089038281</v>
      </c>
      <c r="BP14" s="121">
        <f>BP13+BN13</f>
        <v>44927.748422371616</v>
      </c>
      <c r="BS14" s="3"/>
      <c r="BT14" s="14"/>
    </row>
    <row r="15" spans="1:72" x14ac:dyDescent="0.25">
      <c r="A15">
        <v>12</v>
      </c>
      <c r="B15" s="57">
        <v>2</v>
      </c>
      <c r="C15" s="58">
        <v>43.783999999999999</v>
      </c>
      <c r="D15" s="59" t="s">
        <v>16</v>
      </c>
      <c r="E15" s="58">
        <v>80</v>
      </c>
      <c r="F15" s="58">
        <v>12.72</v>
      </c>
      <c r="G15" s="60" t="s">
        <v>18</v>
      </c>
      <c r="H15">
        <f t="shared" si="13"/>
        <v>2.7297333333333333</v>
      </c>
      <c r="I15" s="2">
        <f t="shared" si="14"/>
        <v>4.7642834368106547E-2</v>
      </c>
      <c r="J15" s="2">
        <f t="shared" si="15"/>
        <v>4.7642834368106547E-2</v>
      </c>
      <c r="K15">
        <f t="shared" si="16"/>
        <v>80.212000000000003</v>
      </c>
      <c r="L15" s="2">
        <f t="shared" si="17"/>
        <v>1.3999634996096917</v>
      </c>
      <c r="M15" s="1">
        <f t="shared" si="18"/>
        <v>162.73781722455652</v>
      </c>
      <c r="N15" s="5" cm="1">
        <f t="array" ref="N15">_xlfn.IFS(D15&lt;&gt;D16,M15+M16,M16-M15&lt;0,(M16-M15)*-1,M16-M15&gt;0,M16-M15)</f>
        <v>2.616249310574176</v>
      </c>
      <c r="O15">
        <f t="shared" si="19"/>
        <v>2.6309999999999931</v>
      </c>
      <c r="P15" s="1">
        <f t="shared" si="20"/>
        <v>2.6309999999999931</v>
      </c>
      <c r="Q15" s="1">
        <f t="shared" si="21"/>
        <v>2.440999999999629</v>
      </c>
      <c r="R15" s="1" cm="1">
        <f t="array" ref="R15">_xlfn.IFS(AND(G16="E",G16&lt;&gt;G15,L15+L16&gt;(RADIANS(180)),Q15&lt;0),Q15*-1,AND(G16="W",G16&lt;&gt;G15,L16+L15&gt;(RADIANS(180)),Q15&lt;0),Q15,AND(G16="E",G16&lt;&gt;G15,L16+L15&gt;(RADIANS(180)),Q15&gt;0),Q15,AND(G16="W",G16&lt;&gt;G15,L16+L15&gt;(RADIANS(180)),Q15&gt;0),Q15*-1,AND(G16="W",G16=G15,Q15&lt;0),Q15,AND(G16="W",G16=G15,Q15&gt;0),Q15,AND(G16="E",G16=G15,Q15&lt;0),Q15*-1,AND(G16="E",G16=G15,Q15&gt;0),Q15*-1,AND(G16="E",G16&lt;&gt;G15,Q15&gt;0),Q15*-1,AND(G16="E",G16&lt;&gt;G15,Q15&lt;0),Q15,AND(G16="W",G16&lt;&gt;G15,Q15&gt;0),Q15,AND(G16="W",G16&lt;&gt;G15,Q15&lt;0),Q15*-1)</f>
        <v>2.440999999999629</v>
      </c>
      <c r="S15" s="4">
        <f t="shared" si="22"/>
        <v>2.6309999999999931</v>
      </c>
      <c r="T15" s="4">
        <f t="shared" si="23"/>
        <v>2.440999999999629</v>
      </c>
      <c r="U15">
        <f t="shared" si="24"/>
        <v>43.015318423693159</v>
      </c>
      <c r="V15" s="8">
        <f t="shared" si="25"/>
        <v>223.01531842369315</v>
      </c>
      <c r="W15" s="6">
        <f t="shared" si="26"/>
        <v>3.5983357955667103</v>
      </c>
      <c r="X15">
        <f t="shared" si="27"/>
        <v>2.7516583333333333</v>
      </c>
      <c r="Y15">
        <f t="shared" si="28"/>
        <v>2.4381855206958045</v>
      </c>
      <c r="Z15">
        <f t="shared" si="29"/>
        <v>42.821714609395912</v>
      </c>
      <c r="AA15" s="7">
        <f t="shared" si="30"/>
        <v>222.82171460939591</v>
      </c>
      <c r="AB15" s="6">
        <f t="shared" si="31"/>
        <v>3.5870474813320543</v>
      </c>
      <c r="AC15" s="1">
        <f t="shared" si="32"/>
        <v>42.820739962769274</v>
      </c>
      <c r="AD15" s="7">
        <f t="shared" si="33"/>
        <v>222.82073996276927</v>
      </c>
      <c r="AE15" s="6">
        <f t="shared" si="34"/>
        <v>3.5870474404877739</v>
      </c>
      <c r="AF15" s="72" t="s">
        <v>102</v>
      </c>
      <c r="AG15" s="113" cm="1">
        <f t="array" ref="AG15">_xlfn.IFS(AH15=W15,V15,AH15=AB15,AA15,AH15=AE15,AD15)</f>
        <v>222.82171460939591</v>
      </c>
      <c r="AH15" s="88">
        <f t="shared" si="35"/>
        <v>3.5870474813320543</v>
      </c>
      <c r="AI15">
        <f t="shared" si="36"/>
        <v>472.82171460939594</v>
      </c>
      <c r="AJ15" s="11">
        <f t="shared" si="37"/>
        <v>112.82171460939594</v>
      </c>
      <c r="AK15" s="11">
        <f t="shared" si="38"/>
        <v>22.82171460939594</v>
      </c>
      <c r="AL15" s="1">
        <f t="shared" si="39"/>
        <v>10.480333086986038</v>
      </c>
      <c r="AM15">
        <f t="shared" si="40"/>
        <v>11.30912972692548</v>
      </c>
      <c r="AN15">
        <f t="shared" si="41"/>
        <v>0</v>
      </c>
      <c r="AO15">
        <f t="shared" si="42"/>
        <v>0</v>
      </c>
      <c r="AP15">
        <f t="shared" si="43"/>
        <v>222.82171460939591</v>
      </c>
      <c r="AQ15" s="12">
        <f t="shared" si="44"/>
        <v>-11.30912972692548</v>
      </c>
      <c r="AR15" s="2">
        <f t="shared" si="45"/>
        <v>0</v>
      </c>
      <c r="AS15" s="2">
        <f t="shared" si="46"/>
        <v>-10.480333086986038</v>
      </c>
      <c r="AT15" s="2">
        <f t="shared" si="47"/>
        <v>0</v>
      </c>
      <c r="AU15">
        <f t="shared" si="48"/>
        <v>-11.30912972692548</v>
      </c>
      <c r="AV15">
        <f t="shared" si="49"/>
        <v>-10.480333086986038</v>
      </c>
      <c r="AW15">
        <f t="shared" si="50"/>
        <v>42.821714609395904</v>
      </c>
      <c r="AX15">
        <f t="shared" si="51"/>
        <v>42.821714609395904</v>
      </c>
      <c r="AY15">
        <f t="shared" si="9"/>
        <v>0</v>
      </c>
      <c r="AZ15" s="50">
        <v>1</v>
      </c>
      <c r="BA15" s="46">
        <f>_xlfn.IFS(AZ15=1,Références!$B$80,AZ15=2,Références!$B$81,AZ15=3,Références!$B$82,AZ15=4,Références!$B$83,AZ15=5,Références!$B$84,AZ15=6,Références!$B$85,AZ15=7,Références!$B$86,AZ15=8,Références!$B$87,AZ15=9,Références!$B$88,AZ15=10,Références!$B$89,AZ15=11,Références!$B$90,AZ15=12,Références!$B$91)</f>
        <v>1</v>
      </c>
      <c r="BB15" s="46" t="s">
        <v>69</v>
      </c>
      <c r="BC15" s="51" cm="1">
        <f t="array" ref="BC15">_xlfn.IFS(BB15="Beam", -0.0000000868778*BA15^5-0.0000459619*BA15^4+0.00347366*BA15^3-0.0884721*BA15^2+0.510463*BA15+14.9932,BB15="Following",0.000652681*BA15^3-0.0356523*BA15^2+0.29714*BA15+15.2038,BB15="Head",-0.00000154449*BA15^5+0.0000797696*BA15^4+0.000148965*BA15^3-0.0570448*BA15^2+0.244115*BA15+15.0029)</f>
        <v>15.418618511222199</v>
      </c>
      <c r="BD15" s="67"/>
      <c r="BE15" s="72">
        <v>250</v>
      </c>
      <c r="BF15" s="73">
        <v>0</v>
      </c>
      <c r="BG15" s="74">
        <f t="shared" si="52"/>
        <v>15.418618511222199</v>
      </c>
      <c r="BH15" s="84">
        <f t="shared" si="53"/>
        <v>222.82171460939591</v>
      </c>
      <c r="BI15" s="110">
        <f t="shared" si="54"/>
        <v>222.82171460939591</v>
      </c>
      <c r="BJ15" s="67"/>
      <c r="BK15" s="18">
        <f t="shared" si="55"/>
        <v>13.958633759780533</v>
      </c>
      <c r="BL15" s="3">
        <f t="shared" si="56"/>
        <v>-5</v>
      </c>
      <c r="BM15" s="22">
        <f t="shared" si="57"/>
        <v>0.20833333333333334</v>
      </c>
      <c r="BN15" s="81">
        <f t="shared" si="58"/>
        <v>9.6934956665142586E-3</v>
      </c>
      <c r="BO15" s="78">
        <f t="shared" si="59"/>
        <v>44927.561180333301</v>
      </c>
      <c r="BP15" s="121">
        <f>BP14+BN14</f>
        <v>44927.769513666637</v>
      </c>
      <c r="BS15" s="3"/>
      <c r="BT15" s="14"/>
    </row>
    <row r="16" spans="1:72" x14ac:dyDescent="0.25">
      <c r="A16">
        <v>13</v>
      </c>
      <c r="B16" s="57">
        <v>2</v>
      </c>
      <c r="C16" s="58">
        <v>46.414999999999999</v>
      </c>
      <c r="D16" s="59" t="s">
        <v>16</v>
      </c>
      <c r="E16" s="58">
        <v>80</v>
      </c>
      <c r="F16" s="58">
        <v>15.161</v>
      </c>
      <c r="G16" s="60" t="s">
        <v>18</v>
      </c>
      <c r="H16">
        <f t="shared" si="13"/>
        <v>2.7735833333333333</v>
      </c>
      <c r="I16" s="2">
        <f t="shared" si="14"/>
        <v>4.8408161245106059E-2</v>
      </c>
      <c r="J16" s="2">
        <f t="shared" si="15"/>
        <v>4.8408161245106059E-2</v>
      </c>
      <c r="K16">
        <f t="shared" si="16"/>
        <v>80.252683333333337</v>
      </c>
      <c r="L16" s="2">
        <f t="shared" si="17"/>
        <v>1.4006735577270446</v>
      </c>
      <c r="M16" s="1">
        <f t="shared" si="18"/>
        <v>165.3540665351307</v>
      </c>
      <c r="N16" s="5" cm="1">
        <f t="array" ref="N16">_xlfn.IFS(D16&lt;&gt;D17,M16+M17,M17-M16&lt;0,(M17-M16)*-1,M17-M16&gt;0,M17-M16)</f>
        <v>3.8313651698970546</v>
      </c>
      <c r="O16">
        <f t="shared" si="19"/>
        <v>-3.8530000000000135</v>
      </c>
      <c r="P16" s="1">
        <f t="shared" si="20"/>
        <v>-3.8530000000000135</v>
      </c>
      <c r="Q16" s="1">
        <f t="shared" si="21"/>
        <v>4.306000000000302</v>
      </c>
      <c r="R16" s="1" cm="1">
        <f t="array" ref="R16">_xlfn.IFS(AND(G17="E",G17&lt;&gt;G16,L16+L17&gt;(RADIANS(180)),Q16&lt;0),Q16*-1,AND(G17="W",G17&lt;&gt;G16,L17+L16&gt;(RADIANS(180)),Q16&lt;0),Q16,AND(G17="E",G17&lt;&gt;G16,L17+L16&gt;(RADIANS(180)),Q16&gt;0),Q16,AND(G17="W",G17&lt;&gt;G16,L17+L16&gt;(RADIANS(180)),Q16&gt;0),Q16*-1,AND(G17="W",G17=G16,Q16&lt;0),Q16,AND(G17="W",G17=G16,Q16&gt;0),Q16,AND(G17="E",G17=G16,Q16&lt;0),Q16*-1,AND(G17="E",G17=G16,Q16&gt;0),Q16*-1,AND(G17="E",G17&lt;&gt;G16,Q16&gt;0),Q16*-1,AND(G17="E",G17&lt;&gt;G16,Q16&lt;0),Q16,AND(G17="W",G17&lt;&gt;G16,Q16&gt;0),Q16,AND(G17="W",G17&lt;&gt;G16,Q16&lt;0),Q16*-1)</f>
        <v>4.306000000000302</v>
      </c>
      <c r="S16" s="4">
        <f t="shared" si="22"/>
        <v>3.8530000000000135</v>
      </c>
      <c r="T16" s="4">
        <f t="shared" si="23"/>
        <v>4.306000000000302</v>
      </c>
      <c r="U16">
        <f t="shared" si="24"/>
        <v>48.338156139605715</v>
      </c>
      <c r="V16" s="8">
        <f t="shared" si="25"/>
        <v>311.6618438603943</v>
      </c>
      <c r="W16" s="6">
        <f t="shared" si="26"/>
        <v>5.7963123493092494</v>
      </c>
      <c r="X16">
        <f t="shared" si="27"/>
        <v>2.7414749999999999</v>
      </c>
      <c r="Y16">
        <f t="shared" si="28"/>
        <v>4.3010718435495416</v>
      </c>
      <c r="Z16">
        <f t="shared" si="29"/>
        <v>48.145279143572772</v>
      </c>
      <c r="AA16" s="7">
        <f t="shared" si="30"/>
        <v>311.85472085642721</v>
      </c>
      <c r="AB16" s="6">
        <f t="shared" si="31"/>
        <v>5.7744980737181617</v>
      </c>
      <c r="AC16" s="1">
        <f t="shared" si="32"/>
        <v>131.85299936282559</v>
      </c>
      <c r="AD16" s="7">
        <f t="shared" si="33"/>
        <v>311.85299936282559</v>
      </c>
      <c r="AE16" s="6">
        <f t="shared" si="34"/>
        <v>5.7744979041224305</v>
      </c>
      <c r="AF16" s="72" t="s">
        <v>102</v>
      </c>
      <c r="AG16" s="113" cm="1">
        <f t="array" ref="AG16">_xlfn.IFS(AH16=W16,V16,AH16=AB16,AA16,AH16=AE16,AD16)</f>
        <v>311.85472085642721</v>
      </c>
      <c r="AH16" s="88">
        <f t="shared" si="35"/>
        <v>5.7744980737181617</v>
      </c>
      <c r="AI16">
        <f t="shared" si="36"/>
        <v>561.85472085642721</v>
      </c>
      <c r="AJ16" s="11">
        <f t="shared" si="37"/>
        <v>201.85472085642721</v>
      </c>
      <c r="AK16" s="11">
        <f t="shared" si="38"/>
        <v>68.145279143572793</v>
      </c>
      <c r="AL16" s="1">
        <f t="shared" si="39"/>
        <v>11.484389655766002</v>
      </c>
      <c r="AM16">
        <f t="shared" si="40"/>
        <v>10.287982845492051</v>
      </c>
      <c r="AN16">
        <f t="shared" si="41"/>
        <v>0</v>
      </c>
      <c r="AO16">
        <f t="shared" si="42"/>
        <v>0</v>
      </c>
      <c r="AP16">
        <f t="shared" si="43"/>
        <v>311.85472085642721</v>
      </c>
      <c r="AQ16" s="12">
        <f t="shared" si="44"/>
        <v>10.287982845492051</v>
      </c>
      <c r="AR16" s="2">
        <f t="shared" si="45"/>
        <v>0</v>
      </c>
      <c r="AS16" s="2">
        <f t="shared" si="46"/>
        <v>-11.484389655766002</v>
      </c>
      <c r="AT16" s="2">
        <f t="shared" si="47"/>
        <v>0</v>
      </c>
      <c r="AU16">
        <f t="shared" si="48"/>
        <v>10.287982845492051</v>
      </c>
      <c r="AV16">
        <f t="shared" si="49"/>
        <v>-11.484389655766002</v>
      </c>
      <c r="AW16">
        <f t="shared" si="50"/>
        <v>-48.145279143572772</v>
      </c>
      <c r="AX16">
        <f t="shared" si="51"/>
        <v>48.145279143572772</v>
      </c>
      <c r="AY16">
        <f t="shared" si="9"/>
        <v>0</v>
      </c>
      <c r="AZ16" s="50">
        <v>1</v>
      </c>
      <c r="BA16" s="46">
        <f>_xlfn.IFS(AZ16=1,Références!$B$80,AZ16=2,Références!$B$81,AZ16=3,Références!$B$82,AZ16=4,Références!$B$83,AZ16=5,Références!$B$84,AZ16=6,Références!$B$85,AZ16=7,Références!$B$86,AZ16=8,Références!$B$87,AZ16=9,Références!$B$88,AZ16=10,Références!$B$89,AZ16=11,Références!$B$90,AZ16=12,Références!$B$91)</f>
        <v>1</v>
      </c>
      <c r="BB16" s="46" t="s">
        <v>69</v>
      </c>
      <c r="BC16" s="51" cm="1">
        <f t="array" ref="BC16">_xlfn.IFS(BB16="Beam", -0.0000000868778*BA16^5-0.0000459619*BA16^4+0.00347366*BA16^3-0.0884721*BA16^2+0.510463*BA16+14.9932,BB16="Following",0.000652681*BA16^3-0.0356523*BA16^2+0.29714*BA16+15.2038,BB16="Head",-0.00000154449*BA16^5+0.0000797696*BA16^4+0.000148965*BA16^3-0.0570448*BA16^2+0.244115*BA16+15.0029)</f>
        <v>15.418618511222199</v>
      </c>
      <c r="BD16" s="67"/>
      <c r="BE16" s="72">
        <v>250</v>
      </c>
      <c r="BF16" s="73">
        <v>0</v>
      </c>
      <c r="BG16" s="74">
        <f t="shared" si="52"/>
        <v>15.418618511222199</v>
      </c>
      <c r="BH16" s="84">
        <f t="shared" si="53"/>
        <v>311.85472085642721</v>
      </c>
      <c r="BI16" s="110">
        <f t="shared" si="54"/>
        <v>311.85472085642721</v>
      </c>
      <c r="BJ16" s="67"/>
      <c r="BK16" s="18">
        <f t="shared" si="55"/>
        <v>22.470877281963816</v>
      </c>
      <c r="BL16" s="3">
        <f t="shared" si="56"/>
        <v>-5</v>
      </c>
      <c r="BM16" s="22">
        <f t="shared" si="57"/>
        <v>0.20833333333333334</v>
      </c>
      <c r="BN16" s="81">
        <f t="shared" si="58"/>
        <v>1.5604775890252649E-2</v>
      </c>
      <c r="BO16" s="78">
        <f t="shared" si="59"/>
        <v>44927.570873828969</v>
      </c>
      <c r="BP16" s="121">
        <f>BP15+BN15</f>
        <v>44927.779207162304</v>
      </c>
      <c r="BS16" s="3"/>
      <c r="BT16" s="14"/>
    </row>
    <row r="17" spans="1:172" ht="17.25" customHeight="1" x14ac:dyDescent="0.25">
      <c r="A17">
        <v>14</v>
      </c>
      <c r="B17" s="57">
        <v>2</v>
      </c>
      <c r="C17" s="58">
        <v>42.561999999999998</v>
      </c>
      <c r="D17" s="59" t="s">
        <v>16</v>
      </c>
      <c r="E17" s="58">
        <v>80</v>
      </c>
      <c r="F17" s="58">
        <v>19.466999999999999</v>
      </c>
      <c r="G17" s="60" t="s">
        <v>18</v>
      </c>
      <c r="H17">
        <f t="shared" si="13"/>
        <v>2.7093666666666665</v>
      </c>
      <c r="I17" s="2">
        <f t="shared" si="14"/>
        <v>4.7287368977117029E-2</v>
      </c>
      <c r="J17" s="2">
        <f t="shared" si="15"/>
        <v>4.7287368977117029E-2</v>
      </c>
      <c r="K17">
        <f t="shared" si="16"/>
        <v>80.324449999999999</v>
      </c>
      <c r="L17" s="2">
        <f t="shared" si="17"/>
        <v>1.4019261223535593</v>
      </c>
      <c r="M17" s="1">
        <f t="shared" si="18"/>
        <v>161.52270136523364</v>
      </c>
      <c r="N17" s="5" cm="1">
        <f t="array" ref="N17">_xlfn.IFS(D17&lt;&gt;D18,M17+M18,M18-M17&lt;0,(M18-M17)*-1,M18-M17&gt;0,M18-M17)</f>
        <v>2.3507012649466787</v>
      </c>
      <c r="O17">
        <f t="shared" si="19"/>
        <v>2.3640000000000114</v>
      </c>
      <c r="P17" s="1">
        <f t="shared" si="20"/>
        <v>2.3640000000000114</v>
      </c>
      <c r="Q17" s="1">
        <f t="shared" si="21"/>
        <v>6.087000000000125</v>
      </c>
      <c r="R17" s="1" cm="1">
        <f t="array" ref="R17">_xlfn.IFS(AND(G18="E",G18&lt;&gt;G17,L17+L18&gt;(RADIANS(180)),Q17&lt;0),Q17*-1,AND(G18="W",G18&lt;&gt;G17,L18+L17&gt;(RADIANS(180)),Q17&lt;0),Q17,AND(G18="E",G18&lt;&gt;G17,L18+L17&gt;(RADIANS(180)),Q17&gt;0),Q17,AND(G18="W",G18&lt;&gt;G17,L18+L17&gt;(RADIANS(180)),Q17&gt;0),Q17*-1,AND(G18="W",G18=G17,Q17&lt;0),Q17,AND(G18="W",G18=G17,Q17&gt;0),Q17,AND(G18="E",G18=G17,Q17&lt;0),Q17*-1,AND(G18="E",G18=G17,Q17&gt;0),Q17*-1,AND(G18="E",G18&lt;&gt;G17,Q17&gt;0),Q17*-1,AND(G18="E",G18&lt;&gt;G17,Q17&lt;0),Q17,AND(G18="W",G18&lt;&gt;G17,Q17&gt;0),Q17,AND(G18="W",G18&lt;&gt;G17,Q17&lt;0),Q17*-1)</f>
        <v>6.087000000000125</v>
      </c>
      <c r="S17" s="4">
        <f t="shared" si="22"/>
        <v>2.3640000000000114</v>
      </c>
      <c r="T17" s="4">
        <f t="shared" si="23"/>
        <v>6.087000000000125</v>
      </c>
      <c r="U17">
        <f t="shared" si="24"/>
        <v>68.884243030427683</v>
      </c>
      <c r="V17" s="8">
        <f t="shared" si="25"/>
        <v>248.88424303042768</v>
      </c>
      <c r="W17" s="6">
        <f t="shared" si="26"/>
        <v>6.5620483155244855</v>
      </c>
      <c r="X17">
        <f t="shared" si="27"/>
        <v>2.7290666666666663</v>
      </c>
      <c r="Y17">
        <f t="shared" si="28"/>
        <v>6.0800964222332805</v>
      </c>
      <c r="Z17">
        <f t="shared" si="29"/>
        <v>68.753439563011298</v>
      </c>
      <c r="AA17" s="7">
        <f t="shared" si="30"/>
        <v>248.75343956301128</v>
      </c>
      <c r="AB17" s="6">
        <f t="shared" si="31"/>
        <v>6.5235012457769939</v>
      </c>
      <c r="AC17" s="1">
        <f t="shared" si="32"/>
        <v>68.751029820219713</v>
      </c>
      <c r="AD17" s="7">
        <f t="shared" si="33"/>
        <v>248.75102982021971</v>
      </c>
      <c r="AE17" s="6">
        <f t="shared" si="34"/>
        <v>6.5235011316537213</v>
      </c>
      <c r="AF17" s="72" t="s">
        <v>102</v>
      </c>
      <c r="AG17" s="113" cm="1">
        <f t="array" ref="AG17">_xlfn.IFS(AH17=W17,V17,AH17=AB17,AA17,AH17=AE17,AD17)</f>
        <v>248.75343956301128</v>
      </c>
      <c r="AH17" s="88">
        <f t="shared" si="35"/>
        <v>6.5235012457769939</v>
      </c>
      <c r="AI17">
        <f t="shared" si="36"/>
        <v>498.75343956301128</v>
      </c>
      <c r="AJ17" s="11">
        <f t="shared" si="37"/>
        <v>138.75343956301128</v>
      </c>
      <c r="AK17" s="11">
        <f t="shared" si="38"/>
        <v>48.753439563011284</v>
      </c>
      <c r="AL17" s="1">
        <f t="shared" si="39"/>
        <v>14.370609234810692</v>
      </c>
      <c r="AM17">
        <f t="shared" si="40"/>
        <v>5.5874311642272199</v>
      </c>
      <c r="AN17">
        <f t="shared" si="41"/>
        <v>0</v>
      </c>
      <c r="AO17">
        <f t="shared" si="42"/>
        <v>0</v>
      </c>
      <c r="AP17">
        <f t="shared" si="43"/>
        <v>248.75343956301128</v>
      </c>
      <c r="AQ17" s="12">
        <f t="shared" si="44"/>
        <v>-5.5874311642272199</v>
      </c>
      <c r="AR17" s="2">
        <f t="shared" si="45"/>
        <v>0</v>
      </c>
      <c r="AS17" s="2">
        <f t="shared" si="46"/>
        <v>-14.370609234810692</v>
      </c>
      <c r="AT17" s="2">
        <f t="shared" si="47"/>
        <v>0</v>
      </c>
      <c r="AU17">
        <f t="shared" si="48"/>
        <v>-5.5874311642272199</v>
      </c>
      <c r="AV17">
        <f t="shared" si="49"/>
        <v>-14.370609234810692</v>
      </c>
      <c r="AW17">
        <f t="shared" si="50"/>
        <v>68.753439563011298</v>
      </c>
      <c r="AX17">
        <f t="shared" si="51"/>
        <v>68.753439563011298</v>
      </c>
      <c r="AY17">
        <f t="shared" si="9"/>
        <v>0</v>
      </c>
      <c r="AZ17" s="50">
        <v>1</v>
      </c>
      <c r="BA17" s="46">
        <f>_xlfn.IFS(AZ17=1,Références!$B$80,AZ17=2,Références!$B$81,AZ17=3,Références!$B$82,AZ17=4,Références!$B$83,AZ17=5,Références!$B$84,AZ17=6,Références!$B$85,AZ17=7,Références!$B$86,AZ17=8,Références!$B$87,AZ17=9,Références!$B$88,AZ17=10,Références!$B$89,AZ17=11,Références!$B$90,AZ17=12,Références!$B$91)</f>
        <v>1</v>
      </c>
      <c r="BB17" s="46" t="s">
        <v>69</v>
      </c>
      <c r="BC17" s="51" cm="1">
        <f t="array" ref="BC17">_xlfn.IFS(BB17="Beam", -0.0000000868778*BA17^5-0.0000459619*BA17^4+0.00347366*BA17^3-0.0884721*BA17^2+0.510463*BA17+14.9932,BB17="Following",0.000652681*BA17^3-0.0356523*BA17^2+0.29714*BA17+15.2038,BB17="Head",-0.00000154449*BA17^5+0.0000797696*BA17^4+0.000148965*BA17^3-0.0570448*BA17^2+0.244115*BA17+15.0029)</f>
        <v>15.418618511222199</v>
      </c>
      <c r="BD17" s="67"/>
      <c r="BE17" s="72">
        <v>250</v>
      </c>
      <c r="BF17" s="73">
        <v>0</v>
      </c>
      <c r="BG17" s="74">
        <f t="shared" si="52"/>
        <v>15.418618511222199</v>
      </c>
      <c r="BH17" s="84">
        <f t="shared" si="53"/>
        <v>248.75343956301128</v>
      </c>
      <c r="BI17" s="110">
        <f t="shared" si="54"/>
        <v>248.75343956301128</v>
      </c>
      <c r="BJ17" s="67"/>
      <c r="BK17" s="18">
        <f t="shared" si="55"/>
        <v>25.385547639157036</v>
      </c>
      <c r="BL17" s="3">
        <f t="shared" si="56"/>
        <v>-5</v>
      </c>
      <c r="BM17" s="22">
        <f t="shared" si="57"/>
        <v>0.20833333333333334</v>
      </c>
      <c r="BN17" s="81">
        <f t="shared" si="58"/>
        <v>1.7628852527192387E-2</v>
      </c>
      <c r="BO17" s="78">
        <f t="shared" si="59"/>
        <v>44927.586478604862</v>
      </c>
      <c r="BP17" s="121">
        <f>BP16+BN16</f>
        <v>44927.794811938198</v>
      </c>
      <c r="BS17" s="3"/>
      <c r="BT17" s="14"/>
    </row>
    <row r="18" spans="1:172" s="20" customFormat="1" ht="17.25" customHeight="1" x14ac:dyDescent="0.25">
      <c r="A18">
        <v>15</v>
      </c>
      <c r="B18" s="57">
        <v>2</v>
      </c>
      <c r="C18" s="58">
        <v>44.926000000000002</v>
      </c>
      <c r="D18" s="59" t="s">
        <v>16</v>
      </c>
      <c r="E18" s="58">
        <v>80</v>
      </c>
      <c r="F18" s="58">
        <v>25.553999999999998</v>
      </c>
      <c r="G18" s="60" t="s">
        <v>18</v>
      </c>
      <c r="H18">
        <f t="shared" si="13"/>
        <v>2.7487666666666666</v>
      </c>
      <c r="I18" s="2">
        <f t="shared" si="14"/>
        <v>4.7975028702402799E-2</v>
      </c>
      <c r="J18" s="2">
        <f t="shared" si="15"/>
        <v>4.7975028702402799E-2</v>
      </c>
      <c r="K18">
        <f t="shared" si="16"/>
        <v>80.425899999999999</v>
      </c>
      <c r="L18" s="2">
        <f t="shared" si="17"/>
        <v>1.4036967588797076</v>
      </c>
      <c r="M18" s="1">
        <f t="shared" si="18"/>
        <v>163.87340263018032</v>
      </c>
      <c r="N18" s="5" cm="1">
        <f t="array" ref="N18">_xlfn.IFS(D18&lt;&gt;D19,M18+M19,M19-M18&lt;0,(M19-M18)*-1,M19-M18&gt;0,M19-M18)</f>
        <v>14.840760048111349</v>
      </c>
      <c r="O18">
        <f t="shared" si="19"/>
        <v>-14.926000000000005</v>
      </c>
      <c r="P18" s="1">
        <f t="shared" si="20"/>
        <v>-14.926000000000005</v>
      </c>
      <c r="Q18" s="1">
        <f t="shared" si="21"/>
        <v>1474.4460000000001</v>
      </c>
      <c r="R18" s="1" cm="1">
        <f t="array" ref="R18">_xlfn.IFS(AND(G19="E",G19&lt;&gt;G18,L18+L19&gt;(RADIANS(180)),Q18&lt;0),Q18*-1,AND(G19="W",G19&lt;&gt;G18,L19+L18&gt;(RADIANS(180)),Q18&lt;0),Q18,AND(G19="E",G19&lt;&gt;G18,L19+L18&gt;(RADIANS(180)),Q18&gt;0),Q18,AND(G19="W",G19&lt;&gt;G18,L19+L18&gt;(RADIANS(180)),Q18&gt;0),Q18*-1,AND(G19="W",G19=G18,Q18&lt;0),Q18,AND(G19="W",G19=G18,Q18&gt;0),Q18,AND(G19="E",G19=G18,Q18&lt;0),Q18*-1,AND(G19="E",G19=G18,Q18&gt;0),Q18*-1,AND(G19="E",G19&lt;&gt;G18,Q18&gt;0),Q18*-1,AND(G19="E",G19&lt;&gt;G18,Q18&lt;0),Q18,AND(G19="W",G19&lt;&gt;G18,Q18&gt;0),Q18,AND(G19="W",G19&lt;&gt;G18,Q18&lt;0),Q18*-1)</f>
        <v>1474.4460000000001</v>
      </c>
      <c r="S18" s="4">
        <f t="shared" si="22"/>
        <v>14.926000000000005</v>
      </c>
      <c r="T18" s="4">
        <f t="shared" si="23"/>
        <v>1474.4460000000001</v>
      </c>
      <c r="U18">
        <f t="shared" si="24"/>
        <v>89.423319536928418</v>
      </c>
      <c r="V18" s="8">
        <f t="shared" si="25"/>
        <v>270.57668046307157</v>
      </c>
      <c r="W18" s="6">
        <f t="shared" si="26"/>
        <v>1482.9897994544795</v>
      </c>
      <c r="X18">
        <f t="shared" si="27"/>
        <v>2.6243833333333333</v>
      </c>
      <c r="Y18">
        <f t="shared" si="28"/>
        <v>1472.8995630357258</v>
      </c>
      <c r="Z18">
        <f t="shared" si="29"/>
        <v>89.419398610705514</v>
      </c>
      <c r="AA18" s="7">
        <f t="shared" si="30"/>
        <v>270.58060138929449</v>
      </c>
      <c r="AB18" s="6">
        <f t="shared" si="31"/>
        <v>1472.9751892909812</v>
      </c>
      <c r="AC18" s="1">
        <f t="shared" si="32"/>
        <v>90.000304453631855</v>
      </c>
      <c r="AD18" s="7">
        <f t="shared" si="33"/>
        <v>270.00030445363188</v>
      </c>
      <c r="AE18" s="6">
        <f t="shared" si="34"/>
        <v>1472.9499112851524</v>
      </c>
      <c r="AF18" s="72" t="s">
        <v>102</v>
      </c>
      <c r="AG18" s="113" cm="1">
        <f t="array" ref="AG18">_xlfn.IFS(AH18=W18,V18,AH18=AB18,AA18,AH18=AE18,AD18)</f>
        <v>270.57668046307157</v>
      </c>
      <c r="AH18" s="88">
        <f t="shared" si="35"/>
        <v>1482.9897994544795</v>
      </c>
      <c r="AI18">
        <f t="shared" si="36"/>
        <v>270.57668046307157</v>
      </c>
      <c r="AJ18" s="11">
        <f t="shared" si="37"/>
        <v>270.57668046307157</v>
      </c>
      <c r="AK18" s="11">
        <f t="shared" si="38"/>
        <v>0.57668046307156828</v>
      </c>
      <c r="AL18" s="1">
        <f t="shared" si="39"/>
        <v>15.837225441579202</v>
      </c>
      <c r="AM18">
        <f t="shared" si="40"/>
        <v>0.15940662635734501</v>
      </c>
      <c r="AN18">
        <f t="shared" si="41"/>
        <v>5.0324014384624293E-3</v>
      </c>
      <c r="AO18">
        <f t="shared" si="42"/>
        <v>0.49997467429437081</v>
      </c>
      <c r="AP18">
        <f t="shared" si="43"/>
        <v>270.57668046307157</v>
      </c>
      <c r="AQ18" s="12">
        <f t="shared" si="44"/>
        <v>0.15940662635734501</v>
      </c>
      <c r="AR18" s="2">
        <f t="shared" si="45"/>
        <v>5.0324014384624293E-3</v>
      </c>
      <c r="AS18" s="2">
        <f t="shared" si="46"/>
        <v>-15.837225441579202</v>
      </c>
      <c r="AT18" s="2">
        <f t="shared" si="47"/>
        <v>-0.49997467429437081</v>
      </c>
      <c r="AU18">
        <f t="shared" si="48"/>
        <v>0.16443902779580744</v>
      </c>
      <c r="AV18">
        <f t="shared" si="49"/>
        <v>-16.337200115873571</v>
      </c>
      <c r="AW18">
        <f t="shared" si="50"/>
        <v>-89.423319536929</v>
      </c>
      <c r="AX18">
        <f t="shared" si="51"/>
        <v>89.423319536929</v>
      </c>
      <c r="AY18">
        <f t="shared" si="9"/>
        <v>-5.6843418860808015E-13</v>
      </c>
      <c r="AZ18" s="50">
        <v>3</v>
      </c>
      <c r="BA18" s="46">
        <f>_xlfn.IFS(AZ18=1,Références!$B$80,AZ18=2,Références!$B$81,AZ18=3,Références!$B$82,AZ18=4,Références!$B$83,AZ18=5,Références!$B$84,AZ18=6,Références!$B$85,AZ18=7,Références!$B$86,AZ18=8,Références!$B$87,AZ18=9,Références!$B$88,AZ18=10,Références!$B$89,AZ18=11,Références!$B$90,AZ18=12,Références!$B$91)</f>
        <v>3.5</v>
      </c>
      <c r="BB18" s="46" t="s">
        <v>69</v>
      </c>
      <c r="BC18" s="51" cm="1">
        <f t="array" ref="BC18">_xlfn.IFS(BB18="Beam", -0.0000000868778*BA18^5-0.0000459619*BA18^4+0.00347366*BA18^3-0.0884721*BA18^2+0.510463*BA18+14.9932,BB18="Following",0.000652681*BA18^3-0.0356523*BA18^2+0.29714*BA18+15.2038,BB18="Head",-0.00000154449*BA18^5+0.0000797696*BA18^4+0.000148965*BA18^3-0.0570448*BA18^2+0.244115*BA18+15.0029)</f>
        <v>15.838027660031731</v>
      </c>
      <c r="BD18" s="67"/>
      <c r="BE18" s="72">
        <v>0</v>
      </c>
      <c r="BF18" s="73">
        <v>0.5</v>
      </c>
      <c r="BG18" s="74">
        <f t="shared" si="52"/>
        <v>16.338027660031731</v>
      </c>
      <c r="BH18" s="84">
        <f t="shared" si="53"/>
        <v>270.576680463071</v>
      </c>
      <c r="BI18" s="110">
        <f t="shared" si="54"/>
        <v>270.57668046307214</v>
      </c>
      <c r="BJ18" s="67"/>
      <c r="BK18" s="18">
        <f t="shared" si="55"/>
        <v>5446.1523642135862</v>
      </c>
      <c r="BL18" s="3">
        <f t="shared" si="56"/>
        <v>-5</v>
      </c>
      <c r="BM18" s="22">
        <f t="shared" si="57"/>
        <v>0.20833333333333334</v>
      </c>
      <c r="BN18" s="81">
        <f t="shared" si="58"/>
        <v>3.7820502529261018</v>
      </c>
      <c r="BO18" s="78">
        <f t="shared" si="59"/>
        <v>44927.604107457388</v>
      </c>
      <c r="BP18" s="121">
        <f>BP17+BN17</f>
        <v>44927.812440790723</v>
      </c>
      <c r="BQ18" s="86"/>
      <c r="BR18" s="86"/>
      <c r="BS18" s="92"/>
      <c r="BT18" s="93"/>
      <c r="BU18" s="86"/>
      <c r="BV18" s="86"/>
      <c r="BW18" s="86"/>
      <c r="BX18" s="86"/>
      <c r="BY18" s="86"/>
      <c r="BZ18" s="86"/>
      <c r="CA18" s="86"/>
      <c r="CB18" s="86"/>
      <c r="CC18" s="86"/>
      <c r="CD18" s="86"/>
      <c r="CE18" s="86"/>
      <c r="CF18" s="86"/>
      <c r="CG18" s="86"/>
      <c r="CH18" s="86"/>
      <c r="CI18" s="86"/>
      <c r="CJ18" s="86"/>
      <c r="CK18" s="86"/>
      <c r="CL18" s="86"/>
      <c r="CM18" s="86"/>
      <c r="CN18" s="86"/>
      <c r="CO18" s="86"/>
      <c r="CP18" s="86"/>
      <c r="CQ18" s="86"/>
      <c r="CR18" s="86"/>
      <c r="CS18" s="86"/>
      <c r="CT18" s="86"/>
      <c r="CU18" s="86"/>
      <c r="CV18" s="86"/>
      <c r="CW18" s="86"/>
      <c r="CX18" s="86"/>
      <c r="CY18" s="86"/>
      <c r="CZ18" s="86"/>
      <c r="DA18" s="86"/>
      <c r="DB18" s="86"/>
      <c r="DC18" s="86"/>
      <c r="DD18" s="86"/>
      <c r="DE18" s="86"/>
      <c r="DF18" s="86"/>
      <c r="DG18" s="86"/>
      <c r="DH18" s="86"/>
      <c r="DI18" s="86"/>
      <c r="DJ18" s="86"/>
      <c r="DK18" s="86"/>
      <c r="DL18" s="86"/>
      <c r="DM18" s="86"/>
      <c r="DN18" s="86"/>
      <c r="DO18" s="86"/>
      <c r="DP18" s="86"/>
      <c r="DQ18" s="86"/>
      <c r="DR18" s="86"/>
      <c r="DS18" s="86"/>
      <c r="DT18" s="86"/>
      <c r="DU18" s="86"/>
      <c r="DV18" s="86"/>
      <c r="DW18" s="86"/>
      <c r="DX18" s="86"/>
      <c r="DY18" s="86"/>
      <c r="DZ18" s="86"/>
      <c r="EA18" s="86"/>
      <c r="EB18" s="86"/>
      <c r="EC18" s="86"/>
      <c r="ED18" s="86"/>
      <c r="EE18" s="86"/>
      <c r="EF18" s="86"/>
      <c r="EG18" s="86"/>
      <c r="EH18" s="86"/>
      <c r="EI18" s="86"/>
      <c r="EJ18" s="86"/>
      <c r="EK18" s="86"/>
      <c r="EL18" s="86"/>
      <c r="EM18" s="86"/>
      <c r="EN18" s="86"/>
      <c r="EO18" s="86"/>
      <c r="EP18" s="86"/>
      <c r="EQ18" s="86"/>
      <c r="ER18" s="86"/>
      <c r="ES18" s="86"/>
      <c r="ET18" s="86"/>
      <c r="EU18" s="86"/>
      <c r="EV18" s="86"/>
      <c r="EW18" s="86"/>
      <c r="EX18" s="86"/>
      <c r="EY18" s="86"/>
      <c r="EZ18" s="86"/>
      <c r="FA18" s="86"/>
      <c r="FB18" s="86"/>
      <c r="FC18" s="86"/>
      <c r="FD18" s="86"/>
      <c r="FE18" s="86"/>
      <c r="FF18" s="86"/>
      <c r="FG18" s="86"/>
      <c r="FH18" s="86"/>
      <c r="FI18" s="86"/>
      <c r="FJ18" s="86"/>
      <c r="FK18" s="86"/>
      <c r="FL18" s="86"/>
      <c r="FM18" s="86"/>
      <c r="FN18" s="86"/>
      <c r="FO18" s="86"/>
      <c r="FP18" s="86"/>
    </row>
    <row r="19" spans="1:172" ht="17.25" customHeight="1" x14ac:dyDescent="0.25">
      <c r="A19" s="20">
        <v>15.1</v>
      </c>
      <c r="B19" s="94">
        <v>2</v>
      </c>
      <c r="C19" s="84">
        <v>30</v>
      </c>
      <c r="D19" s="95" t="s">
        <v>16</v>
      </c>
      <c r="E19" s="84">
        <v>105</v>
      </c>
      <c r="F19" s="84">
        <v>0</v>
      </c>
      <c r="G19" s="96" t="s">
        <v>18</v>
      </c>
      <c r="H19" s="86">
        <f t="shared" si="13"/>
        <v>2.5</v>
      </c>
      <c r="I19" s="2">
        <f t="shared" si="14"/>
        <v>4.3633231299858237E-2</v>
      </c>
      <c r="J19" s="2">
        <f t="shared" si="15"/>
        <v>4.3633231299858237E-2</v>
      </c>
      <c r="K19">
        <f t="shared" si="16"/>
        <v>105</v>
      </c>
      <c r="L19" s="2">
        <f t="shared" si="17"/>
        <v>1.8325957145940461</v>
      </c>
      <c r="M19" s="1">
        <f t="shared" si="18"/>
        <v>149.03264258206897</v>
      </c>
      <c r="N19" s="5" cm="1">
        <f t="array" ref="N19">_xlfn.IFS(D19&lt;&gt;D20,M19+M20,M20-M19&lt;0,(M20-M19)*-1,M20-M19&gt;0,M20-M19)</f>
        <v>380.53579216608858</v>
      </c>
      <c r="O19">
        <f t="shared" si="19"/>
        <v>382.9</v>
      </c>
      <c r="P19" s="1">
        <f t="shared" si="20"/>
        <v>-382.9</v>
      </c>
      <c r="Q19" s="1">
        <f t="shared" si="21"/>
        <v>899.99999999999898</v>
      </c>
      <c r="R19" s="1" cm="1">
        <f t="array" ref="R19">_xlfn.IFS(AND(G20="E",G20&lt;&gt;G19,L19+L20&gt;(RADIANS(180)),Q19&lt;0),Q19*-1,AND(G20="W",G20&lt;&gt;G19,L20+L19&gt;(RADIANS(180)),Q19&lt;0),Q19,AND(G20="E",G20&lt;&gt;G19,L20+L19&gt;(RADIANS(180)),Q19&gt;0),Q19,AND(G20="W",G20&lt;&gt;G19,L20+L19&gt;(RADIANS(180)),Q19&gt;0),Q19*-1,AND(G20="W",G20=G19,Q19&lt;0),Q19,AND(G20="W",G20=G19,Q19&gt;0),Q19,AND(G20="E",G20=G19,Q19&lt;0),Q19*-1,AND(G20="E",G20=G19,Q19&gt;0),Q19*-1,AND(G20="E",G20&lt;&gt;G19,Q19&gt;0),Q19*-1,AND(G20="E",G20&lt;&gt;G19,Q19&lt;0),Q19,AND(G20="W",G20&lt;&gt;G19,Q19&gt;0),Q19,AND(G20="W",G20&lt;&gt;G19,Q19&lt;0),Q19*-1)</f>
        <v>899.99999999999898</v>
      </c>
      <c r="S19" s="4">
        <f t="shared" si="22"/>
        <v>382.9</v>
      </c>
      <c r="T19" s="4">
        <f t="shared" si="23"/>
        <v>899.99999999999898</v>
      </c>
      <c r="U19">
        <f t="shared" si="24"/>
        <v>67.080505686870708</v>
      </c>
      <c r="V19" s="8">
        <f t="shared" si="25"/>
        <v>292.91949431312929</v>
      </c>
      <c r="W19" s="6">
        <f t="shared" si="26"/>
        <v>983.21334186715967</v>
      </c>
      <c r="X19">
        <f t="shared" si="27"/>
        <v>3.1908333333333334</v>
      </c>
      <c r="Y19">
        <f t="shared" si="28"/>
        <v>898.60471398306947</v>
      </c>
      <c r="Z19">
        <f t="shared" si="29"/>
        <v>66.920901565118868</v>
      </c>
      <c r="AA19" s="7">
        <f t="shared" si="30"/>
        <v>293.07909843488113</v>
      </c>
      <c r="AB19" s="6">
        <f t="shared" si="31"/>
        <v>976.78188045878221</v>
      </c>
      <c r="AC19" s="1">
        <f t="shared" si="32"/>
        <v>113.01088793031961</v>
      </c>
      <c r="AD19" s="7">
        <f t="shared" si="33"/>
        <v>293.0108879303196</v>
      </c>
      <c r="AE19" s="6">
        <f t="shared" si="34"/>
        <v>977.57619551109042</v>
      </c>
      <c r="AF19" s="72" t="s">
        <v>102</v>
      </c>
      <c r="AG19" s="113" cm="1">
        <f t="array" ref="AG19">_xlfn.IFS(AH19=W19,V19,AH19=AB19,AA19,AH19=AE19,AD19)</f>
        <v>292.91949431312929</v>
      </c>
      <c r="AH19" s="88">
        <f t="shared" si="35"/>
        <v>983.21334186715967</v>
      </c>
      <c r="AI19">
        <f t="shared" si="36"/>
        <v>292.91949431312929</v>
      </c>
      <c r="AJ19" s="11">
        <f t="shared" si="37"/>
        <v>292.91949431312929</v>
      </c>
      <c r="AK19" s="11">
        <f t="shared" si="38"/>
        <v>22.919494313129292</v>
      </c>
      <c r="AL19" s="1">
        <f t="shared" si="39"/>
        <v>14.584903985722148</v>
      </c>
      <c r="AM19">
        <f t="shared" si="40"/>
        <v>6.166753324303472</v>
      </c>
      <c r="AN19">
        <f t="shared" si="41"/>
        <v>0.31154988134954165</v>
      </c>
      <c r="AO19">
        <f t="shared" si="42"/>
        <v>0.7368423653883418</v>
      </c>
      <c r="AP19">
        <f t="shared" si="43"/>
        <v>292.91949431312929</v>
      </c>
      <c r="AQ19" s="12">
        <f t="shared" si="44"/>
        <v>6.166753324303472</v>
      </c>
      <c r="AR19" s="2">
        <f t="shared" si="45"/>
        <v>0.31154988134954165</v>
      </c>
      <c r="AS19" s="2">
        <f t="shared" si="46"/>
        <v>-14.584903985722148</v>
      </c>
      <c r="AT19" s="2">
        <f t="shared" si="47"/>
        <v>-0.7368423653883418</v>
      </c>
      <c r="AU19">
        <f t="shared" si="48"/>
        <v>6.4783032056530132</v>
      </c>
      <c r="AV19">
        <f t="shared" si="49"/>
        <v>-15.321746351110489</v>
      </c>
      <c r="AW19">
        <f t="shared" si="50"/>
        <v>-67.080505686870723</v>
      </c>
      <c r="AX19">
        <f t="shared" si="51"/>
        <v>67.080505686870723</v>
      </c>
      <c r="AY19">
        <f t="shared" si="9"/>
        <v>0</v>
      </c>
      <c r="AZ19" s="90">
        <v>3</v>
      </c>
      <c r="BA19" s="91">
        <f>_xlfn.IFS(AZ19=1,Références!$B$80,AZ19=2,Références!$B$81,AZ19=3,Références!$B$82,AZ19=4,Références!$B$83,AZ19=5,Références!$B$84,AZ19=6,Références!$B$85,AZ19=7,Références!$B$86,AZ19=8,Références!$B$87,AZ19=9,Références!$B$88,AZ19=10,Références!$B$89,AZ19=11,Références!$B$90,AZ19=12,Références!$B$91)</f>
        <v>3.5</v>
      </c>
      <c r="BB19" s="91" t="s">
        <v>70</v>
      </c>
      <c r="BC19" s="51" cm="1">
        <f t="array" ref="BC19">_xlfn.IFS(BB19="Beam", -0.0000000868778*BA19^5-0.0000459619*BA19^4+0.00347366*BA19^3-0.0884721*BA19^2+0.510463*BA19+14.9932,BB19="Following",0.000652681*BA19^3-0.0356523*BA19^2+0.29714*BA19+15.2038,BB19="Head",-0.00000154449*BA19^5+0.0000797696*BA19^4+0.000148965*BA19^3-0.0570448*BA19^2+0.244115*BA19+15.0029)</f>
        <v>15.835033022874999</v>
      </c>
      <c r="BD19" s="67"/>
      <c r="BE19" s="72">
        <v>0</v>
      </c>
      <c r="BF19" s="73">
        <v>0.8</v>
      </c>
      <c r="BG19" s="74">
        <f t="shared" si="52"/>
        <v>16.635033022874996</v>
      </c>
      <c r="BH19" s="84">
        <f t="shared" si="53"/>
        <v>292.91949431312929</v>
      </c>
      <c r="BI19" s="110">
        <f t="shared" si="54"/>
        <v>292.91949431312929</v>
      </c>
      <c r="BJ19" s="67"/>
      <c r="BK19" s="18">
        <f t="shared" si="55"/>
        <v>3546.2989722297521</v>
      </c>
      <c r="BL19" s="3">
        <f t="shared" si="56"/>
        <v>-7</v>
      </c>
      <c r="BM19" s="22">
        <f t="shared" si="57"/>
        <v>0.29166666666666669</v>
      </c>
      <c r="BN19" s="81">
        <f t="shared" si="58"/>
        <v>2.4627076196039943</v>
      </c>
      <c r="BO19" s="78">
        <f>BO18+BN18</f>
        <v>44931.386157710316</v>
      </c>
      <c r="BP19" s="121">
        <f>BP18+BN18</f>
        <v>44931.594491043652</v>
      </c>
      <c r="BQ19" s="86"/>
      <c r="BR19" s="86"/>
      <c r="BS19" s="92"/>
      <c r="BT19" s="93"/>
      <c r="BU19" s="86"/>
      <c r="BV19" s="86"/>
      <c r="BW19" s="86"/>
      <c r="BX19" s="86"/>
      <c r="BY19" s="86"/>
      <c r="BZ19" s="86"/>
      <c r="CA19" s="86"/>
      <c r="CB19" s="86"/>
      <c r="CC19" s="86"/>
      <c r="CD19" s="86"/>
      <c r="CE19" s="86"/>
      <c r="CF19" s="86"/>
      <c r="CG19" s="86"/>
      <c r="CH19" s="86"/>
      <c r="CI19" s="86"/>
      <c r="CJ19" s="86"/>
      <c r="CK19" s="86"/>
      <c r="CL19" s="86"/>
      <c r="CM19" s="86"/>
      <c r="CN19" s="86"/>
      <c r="CO19" s="86"/>
      <c r="CP19" s="86"/>
      <c r="CQ19" s="86"/>
      <c r="CR19" s="86"/>
      <c r="CS19" s="86"/>
      <c r="CT19" s="86"/>
      <c r="CU19" s="86"/>
      <c r="CV19" s="86"/>
      <c r="CW19" s="86"/>
      <c r="CX19" s="86"/>
      <c r="CY19" s="86"/>
      <c r="CZ19" s="86"/>
      <c r="DA19" s="86"/>
      <c r="DB19" s="86"/>
      <c r="DC19" s="86"/>
      <c r="DD19" s="86"/>
      <c r="DE19" s="86"/>
      <c r="DF19" s="86"/>
      <c r="DG19" s="86"/>
      <c r="DH19" s="86"/>
      <c r="DI19" s="86"/>
      <c r="DJ19" s="86"/>
      <c r="DK19" s="86"/>
      <c r="DL19" s="86"/>
      <c r="DM19" s="86"/>
      <c r="DN19" s="86"/>
      <c r="DO19" s="86"/>
      <c r="DP19" s="86"/>
      <c r="DQ19" s="86"/>
      <c r="DR19" s="86"/>
      <c r="DS19" s="86"/>
      <c r="DT19" s="86"/>
      <c r="DU19" s="86"/>
      <c r="DV19" s="86"/>
      <c r="DW19" s="86"/>
      <c r="DX19" s="86"/>
      <c r="DY19" s="86"/>
      <c r="DZ19" s="86"/>
      <c r="EA19" s="86"/>
      <c r="EB19" s="86"/>
      <c r="EC19" s="86"/>
      <c r="ED19" s="86"/>
      <c r="EE19" s="86"/>
      <c r="EF19" s="86"/>
      <c r="EG19" s="86"/>
      <c r="EH19" s="86"/>
      <c r="EI19" s="86"/>
      <c r="EJ19" s="86"/>
      <c r="EK19" s="86"/>
      <c r="EL19" s="86"/>
      <c r="EM19" s="86"/>
      <c r="EN19" s="86"/>
      <c r="EO19" s="86"/>
      <c r="EP19" s="86"/>
      <c r="EQ19" s="86"/>
      <c r="ER19" s="86"/>
      <c r="ES19" s="86"/>
      <c r="ET19" s="86"/>
      <c r="EU19" s="86"/>
      <c r="EV19" s="86"/>
      <c r="EW19" s="86"/>
      <c r="EX19" s="86"/>
      <c r="EY19" s="86"/>
      <c r="EZ19" s="86"/>
      <c r="FA19" s="86"/>
      <c r="FB19" s="86"/>
      <c r="FC19" s="86"/>
      <c r="FD19" s="86"/>
      <c r="FE19" s="86"/>
      <c r="FF19" s="86"/>
      <c r="FG19" s="86"/>
      <c r="FH19" s="86"/>
      <c r="FI19" s="86"/>
      <c r="FJ19" s="86"/>
      <c r="FK19" s="86"/>
      <c r="FL19" s="86"/>
      <c r="FM19" s="86"/>
      <c r="FN19" s="86"/>
      <c r="FO19" s="86"/>
      <c r="FP19" s="86"/>
    </row>
    <row r="20" spans="1:172" ht="17.25" customHeight="1" x14ac:dyDescent="0.25">
      <c r="A20" s="86"/>
      <c r="B20" s="94">
        <v>3</v>
      </c>
      <c r="C20" s="84">
        <v>52.9</v>
      </c>
      <c r="D20" s="95" t="s">
        <v>56</v>
      </c>
      <c r="E20" s="84">
        <v>120</v>
      </c>
      <c r="F20" s="84">
        <v>0</v>
      </c>
      <c r="G20" s="96" t="s">
        <v>18</v>
      </c>
      <c r="H20" s="86">
        <f t="shared" si="13"/>
        <v>3.8816666666666668</v>
      </c>
      <c r="I20" s="2">
        <f t="shared" si="14"/>
        <v>6.7747863798246558E-2</v>
      </c>
      <c r="J20" s="2">
        <f t="shared" si="15"/>
        <v>-6.7747863798246558E-2</v>
      </c>
      <c r="K20">
        <f t="shared" si="16"/>
        <v>120</v>
      </c>
      <c r="L20" s="2">
        <f t="shared" si="17"/>
        <v>2.0943951023931953</v>
      </c>
      <c r="M20" s="1">
        <f t="shared" si="18"/>
        <v>231.50314958401961</v>
      </c>
      <c r="N20" s="5" cm="1">
        <f t="array" ref="N20">_xlfn.IFS(D20&lt;&gt;D21,M20+M21,M21-M20&lt;0,(M21-M20)*-1,M21-M20&gt;0,M21-M20)</f>
        <v>362.18012400779571</v>
      </c>
      <c r="O20">
        <f>(DEGREES(IF(D20=D21,I21-I20,I20+I21)))*60</f>
        <v>361.80000000000007</v>
      </c>
      <c r="P20" s="1">
        <f>_xlfn.IFS(AND(D21="N",D20&lt;&gt;D21,O20&gt;0),O20*-1,AND(D21="N",D20=D21,O20&lt;0),O20*-1,AND(D21="S",D20=D21,O20&gt;0),O20,AND(D21="S",D20&lt;&gt;D21,O20&lt;0),O20,AND(D21="N",D21&lt;&gt;D20,O20&lt;0),O20*-1,AND(D21="N",D21=D20,O20&lt;0),O20*-1,AND(D21="S",D20=D21,O20&lt;0),O20,AND(D21="N",D21=D20,O20&gt;0),O20*-1)</f>
        <v>-361.80000000000007</v>
      </c>
      <c r="Q20" s="1">
        <f>(DEGREES(_xlfn.IFS(G20=G21,L21-L20,(L20+L21)&gt;(RADIANS(180)),RADIANS(360)-(L20+L21),G20&lt;&gt;G21,L20+L21)))*60</f>
        <v>900.00000000000057</v>
      </c>
      <c r="R20" s="1" cm="1">
        <f t="array" ref="R20">_xlfn.IFS(AND(G21="E",G21&lt;&gt;G20,L20+L21&gt;(RADIANS(180)),Q20&lt;0),Q20*-1,AND(G21="W",G21&lt;&gt;G20,L21+L20&gt;(RADIANS(180)),Q20&lt;0),Q20,AND(G21="E",G21&lt;&gt;G20,L21+L20&gt;(RADIANS(180)),Q20&gt;0),Q20,AND(G21="W",G21&lt;&gt;G20,L21+L20&gt;(RADIANS(180)),Q20&gt;0),Q20*-1,AND(G21="W",G21=G20,Q20&lt;0),Q20,AND(G21="W",G21=G20,Q20&gt;0),Q20,AND(G21="E",G21=G20,Q20&lt;0),Q20*-1,AND(G21="E",G21=G20,Q20&gt;0),Q20*-1,AND(G21="E",G21&lt;&gt;G20,Q20&gt;0),Q20*-1,AND(G21="E",G21&lt;&gt;G20,Q20&lt;0),Q20,AND(G21="W",G21&lt;&gt;G20,Q20&gt;0),Q20,AND(G21="W",G21&lt;&gt;G20,Q20&lt;0),Q20*-1)</f>
        <v>900.00000000000057</v>
      </c>
      <c r="S20" s="4">
        <f t="shared" si="22"/>
        <v>361.80000000000007</v>
      </c>
      <c r="T20" s="4">
        <f t="shared" si="23"/>
        <v>900.00000000000057</v>
      </c>
      <c r="U20">
        <f t="shared" si="24"/>
        <v>68.079043126728664</v>
      </c>
      <c r="V20" s="8">
        <f t="shared" si="25"/>
        <v>291.92095687327134</v>
      </c>
      <c r="W20" s="6">
        <f t="shared" si="26"/>
        <v>969.12324852299537</v>
      </c>
      <c r="X20">
        <f>AVERAGE(H20,H21)</f>
        <v>6.8966666666666665</v>
      </c>
      <c r="Y20">
        <f t="shared" si="28"/>
        <v>893.48789657461396</v>
      </c>
      <c r="Z20">
        <f t="shared" si="29"/>
        <v>67.955501141622619</v>
      </c>
      <c r="AA20" s="7">
        <f t="shared" si="30"/>
        <v>292.04449885837738</v>
      </c>
      <c r="AB20" s="6">
        <f t="shared" si="31"/>
        <v>963.96050817724324</v>
      </c>
      <c r="AC20" s="1">
        <f>DEGREES(ACOS(((SIN(J21)-(SIN(J20))*(COS(RADIANS(AE20/60))))/(COS(J20)*SIN(RADIANS(AE20/60))))))</f>
        <v>112.82822272911804</v>
      </c>
      <c r="AD20" s="7">
        <f t="shared" si="33"/>
        <v>292.82822272911801</v>
      </c>
      <c r="AE20" s="6">
        <f>(DEGREES(ACOS((SIN(J20)*SIN(J21)+(COS(J20)*COS(J21)*COS(RADIANS(T20/60)))))))*60</f>
        <v>963.52651920180324</v>
      </c>
      <c r="AF20" s="72" t="s">
        <v>102</v>
      </c>
      <c r="AG20" s="113" cm="1">
        <f t="array" ref="AG20">_xlfn.IFS(AH20=W20,V20,AH20=AB20,AA20,AH20=AE20,AD20)</f>
        <v>291.92095687327134</v>
      </c>
      <c r="AH20" s="88">
        <f t="shared" si="35"/>
        <v>969.12324852299537</v>
      </c>
      <c r="AI20">
        <f t="shared" si="36"/>
        <v>321.92095687327134</v>
      </c>
      <c r="AJ20" s="11">
        <f t="shared" si="37"/>
        <v>321.92095687327134</v>
      </c>
      <c r="AK20" s="11">
        <f t="shared" si="38"/>
        <v>51.920956873271336</v>
      </c>
      <c r="AL20" s="1">
        <f t="shared" si="39"/>
        <v>14.698601525135933</v>
      </c>
      <c r="AM20">
        <f t="shared" si="40"/>
        <v>5.9150459145721106</v>
      </c>
      <c r="AN20">
        <f t="shared" si="41"/>
        <v>0.39358033016565941</v>
      </c>
      <c r="AO20">
        <f t="shared" si="42"/>
        <v>0.3083739997254803</v>
      </c>
      <c r="AP20">
        <f t="shared" si="43"/>
        <v>291.92095687327134</v>
      </c>
      <c r="AQ20" s="12">
        <f t="shared" si="44"/>
        <v>5.9150459145721106</v>
      </c>
      <c r="AR20" s="2">
        <f t="shared" si="45"/>
        <v>0.39358033016565941</v>
      </c>
      <c r="AS20" s="2">
        <f t="shared" si="46"/>
        <v>-14.698601525135933</v>
      </c>
      <c r="AT20" s="2">
        <f t="shared" si="47"/>
        <v>-0.3083739997254803</v>
      </c>
      <c r="AU20">
        <f t="shared" si="48"/>
        <v>6.3086262447377699</v>
      </c>
      <c r="AV20">
        <f t="shared" si="49"/>
        <v>-15.006975524861414</v>
      </c>
      <c r="AW20">
        <f t="shared" si="50"/>
        <v>-67.199109010998797</v>
      </c>
      <c r="AX20">
        <f t="shared" si="51"/>
        <v>67.199109010998797</v>
      </c>
      <c r="AY20">
        <f t="shared" si="9"/>
        <v>0.87993411572989544</v>
      </c>
      <c r="AZ20" s="90">
        <v>4</v>
      </c>
      <c r="BA20" s="91">
        <f>_xlfn.IFS(AZ20=1,Références!$B$80,AZ20=2,Références!$B$81,AZ20=3,Références!$B$82,AZ20=4,Références!$B$83,AZ20=5,Références!$B$84,AZ20=6,Références!$B$85,AZ20=7,Références!$B$86,AZ20=8,Références!$B$87,AZ20=9,Références!$B$88,AZ20=10,Références!$B$89,AZ20=11,Références!$B$90,AZ20=12,Références!$B$91)</f>
        <v>6</v>
      </c>
      <c r="BB20" s="91" t="s">
        <v>70</v>
      </c>
      <c r="BC20" s="51" cm="1">
        <f t="array" ref="BC20">_xlfn.IFS(BB20="Beam", -0.0000000868778*BA20^5-0.0000459619*BA20^4+0.00347366*BA20^3-0.0884721*BA20^2+0.510463*BA20+14.9932,BB20="Following",0.000652681*BA20^3-0.0356523*BA20^2+0.29714*BA20+15.2038,BB20="Head",-0.00000154449*BA20^5+0.0000797696*BA20^4+0.000148965*BA20^3-0.0570448*BA20^2+0.244115*BA20+15.0029)</f>
        <v>15.844136296</v>
      </c>
      <c r="BD20" s="67"/>
      <c r="BE20" s="72">
        <v>30</v>
      </c>
      <c r="BF20" s="73">
        <v>0.5</v>
      </c>
      <c r="BG20" s="74">
        <f t="shared" si="52"/>
        <v>16.279068754065253</v>
      </c>
      <c r="BH20" s="84">
        <f t="shared" si="53"/>
        <v>292.80089098900123</v>
      </c>
      <c r="BI20" s="110">
        <f t="shared" si="54"/>
        <v>291.04102275754144</v>
      </c>
      <c r="BJ20" s="67"/>
      <c r="BK20" s="18">
        <f t="shared" si="55"/>
        <v>3571.9116240515291</v>
      </c>
      <c r="BL20" s="3">
        <f t="shared" si="56"/>
        <v>-8</v>
      </c>
      <c r="BM20" s="22">
        <f t="shared" si="57"/>
        <v>0.33333333333333331</v>
      </c>
      <c r="BN20" s="81">
        <f t="shared" si="58"/>
        <v>2.4804941833691174</v>
      </c>
      <c r="BO20" s="78">
        <f t="shared" si="59"/>
        <v>44933.848865329921</v>
      </c>
      <c r="BP20" s="121">
        <f>BP19+BN19</f>
        <v>44934.057198663257</v>
      </c>
      <c r="BQ20" s="86"/>
      <c r="BR20" s="86"/>
      <c r="BS20" s="92"/>
      <c r="BT20" s="93"/>
      <c r="BU20" s="86"/>
      <c r="BV20" s="86"/>
      <c r="BW20" s="86"/>
      <c r="BX20" s="86"/>
      <c r="BY20" s="86"/>
      <c r="BZ20" s="86"/>
      <c r="CA20" s="86"/>
      <c r="CB20" s="86"/>
      <c r="CC20" s="86"/>
      <c r="CD20" s="86"/>
      <c r="CE20" s="86"/>
      <c r="CF20" s="86"/>
      <c r="CG20" s="86"/>
      <c r="CH20" s="86"/>
      <c r="CI20" s="86"/>
      <c r="CJ20" s="86"/>
      <c r="CK20" s="86"/>
      <c r="CL20" s="86"/>
      <c r="CM20" s="86"/>
      <c r="CN20" s="86"/>
      <c r="CO20" s="86"/>
      <c r="CP20" s="86"/>
      <c r="CQ20" s="86"/>
      <c r="CR20" s="86"/>
      <c r="CS20" s="86"/>
      <c r="CT20" s="86"/>
      <c r="CU20" s="86"/>
      <c r="CV20" s="86"/>
      <c r="CW20" s="86"/>
      <c r="CX20" s="86"/>
      <c r="CY20" s="86"/>
      <c r="CZ20" s="86"/>
      <c r="DA20" s="86"/>
      <c r="DB20" s="86"/>
      <c r="DC20" s="86"/>
      <c r="DD20" s="86"/>
      <c r="DE20" s="86"/>
      <c r="DF20" s="86"/>
      <c r="DG20" s="86"/>
      <c r="DH20" s="86"/>
      <c r="DI20" s="86"/>
      <c r="DJ20" s="86"/>
      <c r="DK20" s="86"/>
      <c r="DL20" s="86"/>
      <c r="DM20" s="86"/>
      <c r="DN20" s="86"/>
      <c r="DO20" s="86"/>
      <c r="DP20" s="86"/>
      <c r="DQ20" s="86"/>
      <c r="DR20" s="86"/>
      <c r="DS20" s="86"/>
      <c r="DT20" s="86"/>
      <c r="DU20" s="86"/>
      <c r="DV20" s="86"/>
      <c r="DW20" s="86"/>
      <c r="DX20" s="86"/>
      <c r="DY20" s="86"/>
      <c r="DZ20" s="86"/>
      <c r="EA20" s="86"/>
      <c r="EB20" s="86"/>
      <c r="EC20" s="86"/>
      <c r="ED20" s="86"/>
      <c r="EE20" s="86"/>
      <c r="EF20" s="86"/>
      <c r="EG20" s="86"/>
      <c r="EH20" s="86"/>
      <c r="EI20" s="86"/>
      <c r="EJ20" s="86"/>
      <c r="EK20" s="86"/>
      <c r="EL20" s="86"/>
      <c r="EM20" s="86"/>
      <c r="EN20" s="86"/>
      <c r="EO20" s="86"/>
      <c r="EP20" s="86"/>
      <c r="EQ20" s="86"/>
      <c r="ER20" s="86"/>
      <c r="ES20" s="86"/>
      <c r="ET20" s="86"/>
      <c r="EU20" s="86"/>
      <c r="EV20" s="86"/>
      <c r="EW20" s="86"/>
      <c r="EX20" s="86"/>
      <c r="EY20" s="86"/>
      <c r="EZ20" s="86"/>
      <c r="FA20" s="86"/>
      <c r="FB20" s="86"/>
      <c r="FC20" s="86"/>
      <c r="FD20" s="86"/>
      <c r="FE20" s="86"/>
      <c r="FF20" s="86"/>
      <c r="FG20" s="86"/>
      <c r="FH20" s="86"/>
      <c r="FI20" s="86"/>
      <c r="FJ20" s="86"/>
      <c r="FK20" s="86"/>
      <c r="FL20" s="86"/>
      <c r="FM20" s="86"/>
      <c r="FN20" s="86"/>
      <c r="FO20" s="86"/>
      <c r="FP20" s="86"/>
    </row>
    <row r="21" spans="1:172" ht="17.25" customHeight="1" x14ac:dyDescent="0.25">
      <c r="A21" s="86"/>
      <c r="B21" s="94">
        <v>9</v>
      </c>
      <c r="C21" s="84">
        <v>54.7</v>
      </c>
      <c r="D21" s="95" t="s">
        <v>56</v>
      </c>
      <c r="E21" s="84">
        <v>135</v>
      </c>
      <c r="F21" s="84">
        <v>0</v>
      </c>
      <c r="G21" s="96" t="s">
        <v>18</v>
      </c>
      <c r="H21" s="86">
        <f t="shared" si="13"/>
        <v>9.9116666666666671</v>
      </c>
      <c r="I21" s="2">
        <f t="shared" si="14"/>
        <v>0.17299121769350465</v>
      </c>
      <c r="J21" s="2">
        <f t="shared" si="15"/>
        <v>-0.17299121769350465</v>
      </c>
      <c r="K21">
        <f t="shared" si="16"/>
        <v>135</v>
      </c>
      <c r="L21" s="2">
        <f t="shared" si="17"/>
        <v>2.3561944901923448</v>
      </c>
      <c r="M21" s="1">
        <f t="shared" si="18"/>
        <v>593.68327359181535</v>
      </c>
      <c r="N21" s="5" cm="1">
        <f t="array" ref="N21">_xlfn.IFS(D21&lt;&gt;D22,M21+M22,M22-M21&lt;0,(M22-M21)*-1,M22-M21&gt;0,M22-M21)</f>
        <v>316.61999430597746</v>
      </c>
      <c r="O21">
        <f>(DEGREES(IF(D21=D22,I22-I21,I21+I22)))*60</f>
        <v>310.99999999999989</v>
      </c>
      <c r="P21" s="1">
        <f>_xlfn.IFS(AND(D22="N",D21&lt;&gt;D22,O21&gt;0),O21*-1,AND(D22="N",D21=D22,O21&lt;0),O21*-1,AND(D22="S",D21=D22,O21&gt;0),O21,AND(D22="S",D21&lt;&gt;D22,O21&lt;0),O21,AND(D22="N",D22&lt;&gt;D21,O21&lt;0),O21*-1,AND(D22="N",D22=D21,O21&lt;0),O21*-1,AND(D22="S",D21=D22,O21&lt;0),O21,AND(D22="N",D22=D21,O21&gt;0),O21*-1)</f>
        <v>-310.99999999999989</v>
      </c>
      <c r="Q21" s="1">
        <f>(DEGREES(_xlfn.IFS(G21=G22,L22-L21,(L21+L22)&gt;(RADIANS(180)),RADIANS(360)-(L21+L22),G21&lt;&gt;G22,L21+L22)))*60</f>
        <v>900.00000000000057</v>
      </c>
      <c r="R21" s="1" cm="1">
        <f t="array" ref="R21">_xlfn.IFS(AND(G22="E",G22&lt;&gt;G21,L21+L22&gt;(RADIANS(180)),Q21&lt;0),Q21*-1,AND(G22="W",G22&lt;&gt;G21,L22+L21&gt;(RADIANS(180)),Q21&lt;0),Q21,AND(G22="E",G22&lt;&gt;G21,L22+L21&gt;(RADIANS(180)),Q21&gt;0),Q21,AND(G22="W",G22&lt;&gt;G21,L22+L21&gt;(RADIANS(180)),Q21&gt;0),Q21*-1,AND(G22="W",G22=G21,Q21&lt;0),Q21,AND(G22="W",G22=G21,Q21&gt;0),Q21,AND(G22="E",G22=G21,Q21&lt;0),Q21*-1,AND(G22="E",G22=G21,Q21&gt;0),Q21*-1,AND(G22="E",G22&lt;&gt;G21,Q21&gt;0),Q21*-1,AND(G22="E",G22&lt;&gt;G21,Q21&lt;0),Q21,AND(G22="W",G22&lt;&gt;G21,Q21&gt;0),Q21,AND(G22="W",G22&lt;&gt;G21,Q21&lt;0),Q21*-1)</f>
        <v>900.00000000000057</v>
      </c>
      <c r="S21" s="4">
        <f t="shared" si="22"/>
        <v>310.99999999999989</v>
      </c>
      <c r="T21" s="4">
        <f t="shared" si="23"/>
        <v>900.00000000000057</v>
      </c>
      <c r="U21">
        <f t="shared" si="24"/>
        <v>70.618128299757799</v>
      </c>
      <c r="V21" s="8">
        <f t="shared" si="25"/>
        <v>289.38187170024219</v>
      </c>
      <c r="W21" s="6">
        <f t="shared" si="26"/>
        <v>937.13459751642529</v>
      </c>
      <c r="X21">
        <f>AVERAGE(H21,H22)</f>
        <v>12.503333333333334</v>
      </c>
      <c r="Y21">
        <f t="shared" si="28"/>
        <v>878.65507216927824</v>
      </c>
      <c r="Z21">
        <f t="shared" si="29"/>
        <v>70.508580576463231</v>
      </c>
      <c r="AA21" s="7">
        <f t="shared" si="30"/>
        <v>289.49141942353674</v>
      </c>
      <c r="AB21" s="6">
        <f t="shared" si="31"/>
        <v>932.07067105922783</v>
      </c>
      <c r="AC21" s="1">
        <f>DEGREES(ACOS(((SIN(J22)-(SIN(J21))*(COS(RADIANS(AE21/60))))/(COS(J21)*SIN(RADIANS(AE21/60))))))</f>
        <v>111.01647387562228</v>
      </c>
      <c r="AD21" s="7">
        <f t="shared" si="33"/>
        <v>291.0164738756223</v>
      </c>
      <c r="AE21" s="6">
        <f>(DEGREES(ACOS((SIN(J21)*SIN(J22)+(COS(J21)*COS(J22)*COS(RADIANS(T21/60)))))))*60</f>
        <v>931.63434092472073</v>
      </c>
      <c r="AF21" s="72" t="s">
        <v>102</v>
      </c>
      <c r="AG21" s="113" cm="1">
        <f t="array" ref="AG21">_xlfn.IFS(AH21=W21,V21,AH21=AB21,AA21,AH21=AE21,AD21)</f>
        <v>289.38187170024219</v>
      </c>
      <c r="AH21" s="88">
        <f t="shared" si="35"/>
        <v>937.13459751642529</v>
      </c>
      <c r="AI21">
        <f t="shared" si="36"/>
        <v>319.38187170024219</v>
      </c>
      <c r="AJ21" s="11">
        <f t="shared" si="37"/>
        <v>319.38187170024219</v>
      </c>
      <c r="AK21" s="11">
        <f t="shared" si="38"/>
        <v>49.381871700242186</v>
      </c>
      <c r="AL21" s="1">
        <f t="shared" si="39"/>
        <v>14.94621274603446</v>
      </c>
      <c r="AM21">
        <f t="shared" si="40"/>
        <v>5.2580775494948382</v>
      </c>
      <c r="AN21">
        <f t="shared" si="41"/>
        <v>0.37953268266774026</v>
      </c>
      <c r="AO21">
        <f t="shared" si="42"/>
        <v>0.32550720850240533</v>
      </c>
      <c r="AP21">
        <f t="shared" si="43"/>
        <v>289.38187170024219</v>
      </c>
      <c r="AQ21" s="12">
        <f t="shared" si="44"/>
        <v>5.2580775494948382</v>
      </c>
      <c r="AR21" s="2">
        <f t="shared" si="45"/>
        <v>0.37953268266774026</v>
      </c>
      <c r="AS21" s="2">
        <f t="shared" si="46"/>
        <v>-14.94621274603446</v>
      </c>
      <c r="AT21" s="2">
        <f t="shared" si="47"/>
        <v>-0.32550720850240533</v>
      </c>
      <c r="AU21">
        <f t="shared" si="48"/>
        <v>5.6376102321625785</v>
      </c>
      <c r="AV21">
        <f t="shared" si="49"/>
        <v>-15.271719954536865</v>
      </c>
      <c r="AW21">
        <f t="shared" si="50"/>
        <v>-69.738194184027918</v>
      </c>
      <c r="AX21">
        <f t="shared" si="51"/>
        <v>69.738194184027918</v>
      </c>
      <c r="AY21">
        <f t="shared" si="9"/>
        <v>0.87993411572989544</v>
      </c>
      <c r="AZ21" s="90">
        <v>4</v>
      </c>
      <c r="BA21" s="91">
        <f>_xlfn.IFS(AZ21=1,Références!$B$80,AZ21=2,Références!$B$81,AZ21=3,Références!$B$82,AZ21=4,Références!$B$83,AZ21=5,Références!$B$84,AZ21=6,Références!$B$85,AZ21=7,Références!$B$86,AZ21=8,Références!$B$87,AZ21=9,Références!$B$88,AZ21=10,Références!$B$89,AZ21=11,Références!$B$90,AZ21=12,Références!$B$91)</f>
        <v>6</v>
      </c>
      <c r="BB21" s="91" t="s">
        <v>70</v>
      </c>
      <c r="BC21" s="51" cm="1">
        <f t="array" ref="BC21">_xlfn.IFS(BB21="Beam", -0.0000000868778*BA21^5-0.0000459619*BA21^4+0.00347366*BA21^3-0.0884721*BA21^2+0.510463*BA21+14.9932,BB21="Following",0.000652681*BA21^3-0.0356523*BA21^2+0.29714*BA21+15.2038,BB21="Head",-0.00000154449*BA21^5+0.0000797696*BA21^4+0.000148965*BA21^3-0.0570448*BA21^2+0.244115*BA21+15.0029)</f>
        <v>15.844136296</v>
      </c>
      <c r="BD21" s="67"/>
      <c r="BE21" s="72">
        <v>30</v>
      </c>
      <c r="BF21" s="73">
        <v>0.5</v>
      </c>
      <c r="BG21" s="74">
        <f t="shared" si="52"/>
        <v>16.279068754065253</v>
      </c>
      <c r="BH21" s="84">
        <f t="shared" si="53"/>
        <v>290.26180581597208</v>
      </c>
      <c r="BI21" s="110">
        <f t="shared" si="54"/>
        <v>288.50193758451229</v>
      </c>
      <c r="BJ21" s="67"/>
      <c r="BK21" s="18">
        <f t="shared" si="55"/>
        <v>3454.0105887165128</v>
      </c>
      <c r="BL21" s="3">
        <f t="shared" si="56"/>
        <v>-9</v>
      </c>
      <c r="BM21" s="22">
        <f t="shared" si="57"/>
        <v>0.375</v>
      </c>
      <c r="BN21" s="81">
        <f t="shared" si="58"/>
        <v>2.398618464386467</v>
      </c>
      <c r="BO21" s="78">
        <f>BO20+BN20</f>
        <v>44936.329359513293</v>
      </c>
      <c r="BP21" s="121">
        <f>BP20+BN20</f>
        <v>44936.537692846628</v>
      </c>
      <c r="BQ21" s="86"/>
      <c r="BR21" s="86"/>
      <c r="BS21" s="92"/>
      <c r="BT21" s="93"/>
      <c r="BU21" s="86"/>
      <c r="BV21" s="86"/>
      <c r="BW21" s="86"/>
      <c r="BX21" s="86"/>
      <c r="BY21" s="86"/>
      <c r="BZ21" s="86"/>
      <c r="CA21" s="86"/>
      <c r="CB21" s="86"/>
      <c r="CC21" s="86"/>
      <c r="CD21" s="86"/>
      <c r="CE21" s="86"/>
      <c r="CF21" s="86"/>
      <c r="CG21" s="86"/>
      <c r="CH21" s="86"/>
      <c r="CI21" s="86"/>
      <c r="CJ21" s="86"/>
      <c r="CK21" s="86"/>
      <c r="CL21" s="86"/>
      <c r="CM21" s="86"/>
      <c r="CN21" s="86"/>
      <c r="CO21" s="86"/>
      <c r="CP21" s="86"/>
      <c r="CQ21" s="86"/>
      <c r="CR21" s="86"/>
      <c r="CS21" s="86"/>
      <c r="CT21" s="86"/>
      <c r="CU21" s="86"/>
      <c r="CV21" s="86"/>
      <c r="CW21" s="86"/>
      <c r="CX21" s="86"/>
      <c r="CY21" s="86"/>
      <c r="CZ21" s="86"/>
      <c r="DA21" s="86"/>
      <c r="DB21" s="86"/>
      <c r="DC21" s="86"/>
      <c r="DD21" s="86"/>
      <c r="DE21" s="86"/>
      <c r="DF21" s="86"/>
      <c r="DG21" s="86"/>
      <c r="DH21" s="86"/>
      <c r="DI21" s="86"/>
      <c r="DJ21" s="86"/>
      <c r="DK21" s="86"/>
      <c r="DL21" s="86"/>
      <c r="DM21" s="86"/>
      <c r="DN21" s="86"/>
      <c r="DO21" s="86"/>
      <c r="DP21" s="86"/>
      <c r="DQ21" s="86"/>
      <c r="DR21" s="86"/>
      <c r="DS21" s="86"/>
      <c r="DT21" s="86"/>
      <c r="DU21" s="86"/>
      <c r="DV21" s="86"/>
      <c r="DW21" s="86"/>
      <c r="DX21" s="86"/>
      <c r="DY21" s="86"/>
      <c r="DZ21" s="86"/>
      <c r="EA21" s="86"/>
      <c r="EB21" s="86"/>
      <c r="EC21" s="86"/>
      <c r="ED21" s="86"/>
      <c r="EE21" s="86"/>
      <c r="EF21" s="86"/>
      <c r="EG21" s="86"/>
      <c r="EH21" s="86"/>
      <c r="EI21" s="86"/>
      <c r="EJ21" s="86"/>
      <c r="EK21" s="86"/>
      <c r="EL21" s="86"/>
      <c r="EM21" s="86"/>
      <c r="EN21" s="86"/>
      <c r="EO21" s="86"/>
      <c r="EP21" s="86"/>
      <c r="EQ21" s="86"/>
      <c r="ER21" s="86"/>
      <c r="ES21" s="86"/>
      <c r="ET21" s="86"/>
      <c r="EU21" s="86"/>
      <c r="EV21" s="86"/>
      <c r="EW21" s="86"/>
      <c r="EX21" s="86"/>
      <c r="EY21" s="86"/>
      <c r="EZ21" s="86"/>
      <c r="FA21" s="86"/>
      <c r="FB21" s="86"/>
      <c r="FC21" s="86"/>
      <c r="FD21" s="86"/>
      <c r="FE21" s="86"/>
      <c r="FF21" s="86"/>
      <c r="FG21" s="86"/>
      <c r="FH21" s="86"/>
      <c r="FI21" s="86"/>
      <c r="FJ21" s="86"/>
      <c r="FK21" s="86"/>
      <c r="FL21" s="86"/>
      <c r="FM21" s="86"/>
      <c r="FN21" s="86"/>
      <c r="FO21" s="86"/>
      <c r="FP21" s="86"/>
    </row>
    <row r="22" spans="1:172" s="20" customFormat="1" ht="17.25" customHeight="1" x14ac:dyDescent="0.25">
      <c r="A22" s="86"/>
      <c r="B22" s="94">
        <v>15</v>
      </c>
      <c r="C22" s="84">
        <v>5.7</v>
      </c>
      <c r="D22" s="95" t="s">
        <v>56</v>
      </c>
      <c r="E22" s="84">
        <v>150</v>
      </c>
      <c r="F22" s="84">
        <v>0</v>
      </c>
      <c r="G22" s="96" t="s">
        <v>18</v>
      </c>
      <c r="H22" s="86">
        <f t="shared" si="13"/>
        <v>15.095000000000001</v>
      </c>
      <c r="I22" s="2">
        <f t="shared" si="14"/>
        <v>0.26345745058854403</v>
      </c>
      <c r="J22" s="2">
        <f t="shared" si="15"/>
        <v>-0.26345745058854403</v>
      </c>
      <c r="K22">
        <f t="shared" si="16"/>
        <v>150</v>
      </c>
      <c r="L22" s="2">
        <f t="shared" si="17"/>
        <v>2.6179938779914944</v>
      </c>
      <c r="M22" s="1">
        <f t="shared" si="18"/>
        <v>910.30326789779281</v>
      </c>
      <c r="N22" s="5" cm="1">
        <f t="array" ref="N22">_xlfn.IFS(D22&lt;&gt;D23,M22+M23,M23-M22&lt;0,(M23-M22)*-1,M23-M22&gt;0,M23-M22)</f>
        <v>250.02265707812069</v>
      </c>
      <c r="O22">
        <f t="shared" si="19"/>
        <v>240.40000000000006</v>
      </c>
      <c r="P22" s="1">
        <f t="shared" si="20"/>
        <v>-240.40000000000006</v>
      </c>
      <c r="Q22" s="1">
        <f t="shared" si="21"/>
        <v>899.99999999999898</v>
      </c>
      <c r="R22" s="1" cm="1">
        <f t="array" ref="R22">_xlfn.IFS(AND(G23="E",G23&lt;&gt;G22,L22+L23&gt;(RADIANS(180)),Q22&lt;0),Q22*-1,AND(G23="W",G23&lt;&gt;G22,L23+L22&gt;(RADIANS(180)),Q22&lt;0),Q22,AND(G23="E",G23&lt;&gt;G22,L23+L22&gt;(RADIANS(180)),Q22&gt;0),Q22,AND(G23="W",G23&lt;&gt;G22,L23+L22&gt;(RADIANS(180)),Q22&gt;0),Q22*-1,AND(G23="W",G23=G22,Q22&lt;0),Q22,AND(G23="W",G23=G22,Q22&gt;0),Q22,AND(G23="E",G23=G22,Q22&lt;0),Q22*-1,AND(G23="E",G23=G22,Q22&gt;0),Q22*-1,AND(G23="E",G23&lt;&gt;G22,Q22&gt;0),Q22*-1,AND(G23="E",G23&lt;&gt;G22,Q22&lt;0),Q22,AND(G23="W",G23&lt;&gt;G22,Q22&gt;0),Q22,AND(G23="W",G23&lt;&gt;G22,Q22&lt;0),Q22*-1)</f>
        <v>899.99999999999898</v>
      </c>
      <c r="S22" s="4">
        <f t="shared" si="22"/>
        <v>240.40000000000006</v>
      </c>
      <c r="T22" s="4">
        <f t="shared" si="23"/>
        <v>899.99999999999898</v>
      </c>
      <c r="U22">
        <f t="shared" si="24"/>
        <v>74.474549940928085</v>
      </c>
      <c r="V22" s="8">
        <f t="shared" si="25"/>
        <v>285.52545005907189</v>
      </c>
      <c r="W22" s="6">
        <f t="shared" si="26"/>
        <v>898.13295970435263</v>
      </c>
      <c r="X22">
        <f t="shared" si="27"/>
        <v>17.098333333333333</v>
      </c>
      <c r="Y22">
        <f t="shared" si="28"/>
        <v>860.22141091226945</v>
      </c>
      <c r="Z22">
        <f t="shared" si="29"/>
        <v>74.386291991468056</v>
      </c>
      <c r="AA22" s="7">
        <f t="shared" si="30"/>
        <v>285.61370800853194</v>
      </c>
      <c r="AB22" s="6">
        <f t="shared" si="31"/>
        <v>893.1814125875527</v>
      </c>
      <c r="AC22" s="1">
        <f t="shared" si="32"/>
        <v>107.74375874510919</v>
      </c>
      <c r="AD22" s="7">
        <f t="shared" si="33"/>
        <v>287.74375874510918</v>
      </c>
      <c r="AE22" s="6">
        <f t="shared" si="34"/>
        <v>892.75846424496012</v>
      </c>
      <c r="AF22" s="72" t="s">
        <v>102</v>
      </c>
      <c r="AG22" s="113" cm="1">
        <f t="array" ref="AG22">_xlfn.IFS(AH22=W22,V22,AH22=AB22,AA22,AH22=AE22,AD22)</f>
        <v>285.52545005907189</v>
      </c>
      <c r="AH22" s="88">
        <f t="shared" si="35"/>
        <v>898.13295970435263</v>
      </c>
      <c r="AI22">
        <f t="shared" si="36"/>
        <v>585.52545005907189</v>
      </c>
      <c r="AJ22" s="11">
        <f t="shared" si="37"/>
        <v>225.52545005907189</v>
      </c>
      <c r="AK22" s="11">
        <f t="shared" si="38"/>
        <v>44.474549940928114</v>
      </c>
      <c r="AL22" s="1">
        <f t="shared" si="39"/>
        <v>15.26600997271605</v>
      </c>
      <c r="AM22">
        <f t="shared" si="40"/>
        <v>4.240942640399501</v>
      </c>
      <c r="AN22">
        <f t="shared" si="41"/>
        <v>0.42035542701313305</v>
      </c>
      <c r="AO22">
        <f t="shared" si="42"/>
        <v>0.42813702827553535</v>
      </c>
      <c r="AP22">
        <f t="shared" si="43"/>
        <v>285.52545005907189</v>
      </c>
      <c r="AQ22" s="12">
        <f t="shared" si="44"/>
        <v>4.240942640399501</v>
      </c>
      <c r="AR22" s="2">
        <f t="shared" si="45"/>
        <v>-0.42035542701313305</v>
      </c>
      <c r="AS22" s="2">
        <f t="shared" si="46"/>
        <v>-15.26600997271605</v>
      </c>
      <c r="AT22" s="2">
        <f t="shared" si="47"/>
        <v>-0.42813702827553535</v>
      </c>
      <c r="AU22">
        <f t="shared" si="48"/>
        <v>3.8205872133863679</v>
      </c>
      <c r="AV22">
        <f t="shared" si="49"/>
        <v>-15.694147000991586</v>
      </c>
      <c r="AW22">
        <f t="shared" si="50"/>
        <v>-76.318035750122746</v>
      </c>
      <c r="AX22">
        <f t="shared" si="51"/>
        <v>76.318035750122746</v>
      </c>
      <c r="AY22">
        <f t="shared" si="9"/>
        <v>-1.8434858091946467</v>
      </c>
      <c r="AZ22" s="90">
        <v>4</v>
      </c>
      <c r="BA22" s="91">
        <f>_xlfn.IFS(AZ22=1,Références!$B$80,AZ22=2,Références!$B$81,AZ22=3,Références!$B$82,AZ22=4,Références!$B$83,AZ22=5,Références!$B$84,AZ22=6,Références!$B$85,AZ22=7,Références!$B$86,AZ22=8,Références!$B$87,AZ22=9,Références!$B$88,AZ22=10,Références!$B$89,AZ22=11,Références!$B$90,AZ22=12,Références!$B$91)</f>
        <v>6</v>
      </c>
      <c r="BB22" s="91" t="s">
        <v>70</v>
      </c>
      <c r="BC22" s="51" cm="1">
        <f t="array" ref="BC22">_xlfn.IFS(BB22="Beam", -0.0000000868778*BA22^5-0.0000459619*BA22^4+0.00347366*BA22^3-0.0884721*BA22^2+0.510463*BA22+14.9932,BB22="Following",0.000652681*BA22^3-0.0356523*BA22^2+0.29714*BA22+15.2038,BB22="Head",-0.00000154449*BA22^5+0.0000797696*BA22^4+0.000148965*BA22^3-0.0570448*BA22^2+0.244115*BA22+15.0029)</f>
        <v>15.844136296</v>
      </c>
      <c r="BD22" s="67"/>
      <c r="BE22" s="72">
        <v>300</v>
      </c>
      <c r="BF22" s="73">
        <v>0.6</v>
      </c>
      <c r="BG22" s="74">
        <f t="shared" si="52"/>
        <v>16.152496300690636</v>
      </c>
      <c r="BH22" s="84">
        <f t="shared" si="53"/>
        <v>283.68196424987724</v>
      </c>
      <c r="BI22" s="110">
        <f t="shared" si="54"/>
        <v>287.36893586826653</v>
      </c>
      <c r="BJ22" s="67"/>
      <c r="BK22" s="18">
        <f t="shared" si="55"/>
        <v>3336.2012025322092</v>
      </c>
      <c r="BL22" s="3">
        <f t="shared" si="56"/>
        <v>-10</v>
      </c>
      <c r="BM22" s="22">
        <f t="shared" si="57"/>
        <v>0.41666666666666669</v>
      </c>
      <c r="BN22" s="81">
        <f t="shared" si="58"/>
        <v>2.3168063906473675</v>
      </c>
      <c r="BO22" s="78">
        <f>BO21+BN21</f>
        <v>44938.72797797768</v>
      </c>
      <c r="BP22" s="121">
        <f>BP21+BN21</f>
        <v>44938.936311311016</v>
      </c>
      <c r="BQ22" s="86"/>
      <c r="BR22" s="86"/>
      <c r="BS22" s="92"/>
      <c r="BT22" s="93"/>
      <c r="BU22" s="86"/>
      <c r="BV22" s="86"/>
      <c r="BW22" s="86"/>
      <c r="BX22" s="86"/>
      <c r="BY22" s="86"/>
      <c r="BZ22" s="86"/>
      <c r="CA22" s="86"/>
      <c r="CB22" s="86"/>
      <c r="CC22" s="86"/>
      <c r="CD22" s="86"/>
      <c r="CE22" s="86"/>
      <c r="CF22" s="86"/>
      <c r="CG22" s="86"/>
      <c r="CH22" s="86"/>
      <c r="CI22" s="86"/>
      <c r="CJ22" s="86"/>
      <c r="CK22" s="86"/>
      <c r="CL22" s="86"/>
      <c r="CM22" s="86"/>
      <c r="CN22" s="86"/>
      <c r="CO22" s="86"/>
      <c r="CP22" s="86"/>
      <c r="CQ22" s="86"/>
      <c r="CR22" s="86"/>
      <c r="CS22" s="86"/>
      <c r="CT22" s="86"/>
      <c r="CU22" s="86"/>
      <c r="CV22" s="86"/>
      <c r="CW22" s="86"/>
      <c r="CX22" s="86"/>
      <c r="CY22" s="86"/>
      <c r="CZ22" s="86"/>
      <c r="DA22" s="86"/>
      <c r="DB22" s="86"/>
      <c r="DC22" s="86"/>
      <c r="DD22" s="86"/>
      <c r="DE22" s="86"/>
      <c r="DF22" s="86"/>
      <c r="DG22" s="86"/>
      <c r="DH22" s="86"/>
      <c r="DI22" s="86"/>
      <c r="DJ22" s="86"/>
      <c r="DK22" s="86"/>
      <c r="DL22" s="86"/>
      <c r="DM22" s="86"/>
      <c r="DN22" s="86"/>
      <c r="DO22" s="86"/>
      <c r="DP22" s="86"/>
      <c r="DQ22" s="86"/>
      <c r="DR22" s="86"/>
      <c r="DS22" s="86"/>
      <c r="DT22" s="86"/>
      <c r="DU22" s="86"/>
      <c r="DV22" s="86"/>
      <c r="DW22" s="86"/>
      <c r="DX22" s="86"/>
      <c r="DY22" s="86"/>
      <c r="DZ22" s="86"/>
      <c r="EA22" s="86"/>
      <c r="EB22" s="86"/>
      <c r="EC22" s="86"/>
      <c r="ED22" s="86"/>
      <c r="EE22" s="86"/>
      <c r="EF22" s="86"/>
      <c r="EG22" s="86"/>
      <c r="EH22" s="86"/>
      <c r="EI22" s="86"/>
      <c r="EJ22" s="86"/>
      <c r="EK22" s="86"/>
      <c r="EL22" s="86"/>
      <c r="EM22" s="86"/>
      <c r="EN22" s="86"/>
      <c r="EO22" s="86"/>
      <c r="EP22" s="86"/>
      <c r="EQ22" s="86"/>
      <c r="ER22" s="86"/>
      <c r="ES22" s="86"/>
      <c r="ET22" s="86"/>
      <c r="EU22" s="86"/>
      <c r="EV22" s="86"/>
      <c r="EW22" s="86"/>
      <c r="EX22" s="86"/>
      <c r="EY22" s="86"/>
      <c r="EZ22" s="86"/>
      <c r="FA22" s="86"/>
      <c r="FB22" s="86"/>
      <c r="FC22" s="86"/>
      <c r="FD22" s="86"/>
      <c r="FE22" s="86"/>
      <c r="FF22" s="86"/>
      <c r="FG22" s="86"/>
      <c r="FH22" s="86"/>
      <c r="FI22" s="86"/>
      <c r="FJ22" s="86"/>
      <c r="FK22" s="86"/>
      <c r="FL22" s="86"/>
      <c r="FM22" s="86"/>
      <c r="FN22" s="86"/>
      <c r="FO22" s="86"/>
      <c r="FP22" s="86"/>
    </row>
    <row r="23" spans="1:172" ht="17.25" customHeight="1" x14ac:dyDescent="0.25">
      <c r="A23" s="86">
        <v>15.2</v>
      </c>
      <c r="B23" s="94">
        <v>19</v>
      </c>
      <c r="C23" s="84">
        <v>6.1</v>
      </c>
      <c r="D23" s="95" t="s">
        <v>56</v>
      </c>
      <c r="E23" s="84">
        <v>165</v>
      </c>
      <c r="F23" s="84">
        <v>0</v>
      </c>
      <c r="G23" s="96" t="s">
        <v>18</v>
      </c>
      <c r="H23" s="86">
        <f t="shared" si="13"/>
        <v>19.101666666666667</v>
      </c>
      <c r="I23" s="2">
        <f t="shared" si="14"/>
        <v>0.33338697595178352</v>
      </c>
      <c r="J23" s="2">
        <f t="shared" si="15"/>
        <v>-0.33338697595178352</v>
      </c>
      <c r="K23">
        <f t="shared" si="16"/>
        <v>165</v>
      </c>
      <c r="L23" s="2">
        <f t="shared" si="17"/>
        <v>2.8797932657906435</v>
      </c>
      <c r="M23" s="1">
        <f t="shared" si="18"/>
        <v>1160.3259249759135</v>
      </c>
      <c r="N23" s="5" cm="1">
        <f t="array" ref="N23">_xlfn.IFS(D23&lt;&gt;D24,M23+M24,M24-M23&lt;0,(M24-M23)*-1,M24-M23&gt;0,M24-M23)</f>
        <v>169.75012664899987</v>
      </c>
      <c r="O23">
        <f t="shared" si="19"/>
        <v>160.00000000000009</v>
      </c>
      <c r="P23" s="1">
        <f t="shared" si="20"/>
        <v>-160.00000000000009</v>
      </c>
      <c r="Q23" s="1">
        <f t="shared" si="21"/>
        <v>900.00000000000057</v>
      </c>
      <c r="R23" s="1" cm="1">
        <f t="array" ref="R23">_xlfn.IFS(AND(G24="E",G24&lt;&gt;G23,L23+L24&gt;(RADIANS(180)),Q23&lt;0),Q23*-1,AND(G24="W",G24&lt;&gt;G23,L24+L23&gt;(RADIANS(180)),Q23&lt;0),Q23,AND(G24="E",G24&lt;&gt;G23,L24+L23&gt;(RADIANS(180)),Q23&gt;0),Q23,AND(G24="W",G24&lt;&gt;G23,L24+L23&gt;(RADIANS(180)),Q23&gt;0),Q23*-1,AND(G24="W",G24=G23,Q23&lt;0),Q23,AND(G24="W",G24=G23,Q23&gt;0),Q23,AND(G24="E",G24=G23,Q23&lt;0),Q23*-1,AND(G24="E",G24=G23,Q23&gt;0),Q23*-1,AND(G24="E",G24&lt;&gt;G23,Q23&gt;0),Q23*-1,AND(G24="E",G24&lt;&gt;G23,Q23&lt;0),Q23,AND(G24="W",G24&lt;&gt;G23,Q23&gt;0),Q23,AND(G24="W",G24&lt;&gt;G23,Q23&lt;0),Q23*-1)</f>
        <v>900.00000000000057</v>
      </c>
      <c r="S23" s="4">
        <f t="shared" si="22"/>
        <v>160.00000000000009</v>
      </c>
      <c r="T23" s="4">
        <f t="shared" si="23"/>
        <v>900.00000000000057</v>
      </c>
      <c r="U23">
        <f t="shared" si="24"/>
        <v>79.318849464188162</v>
      </c>
      <c r="V23" s="8">
        <f t="shared" si="25"/>
        <v>280.68115053581187</v>
      </c>
      <c r="W23" s="6">
        <f t="shared" si="26"/>
        <v>863.26274130873423</v>
      </c>
      <c r="X23">
        <f t="shared" si="27"/>
        <v>20.435000000000002</v>
      </c>
      <c r="Y23">
        <f t="shared" si="28"/>
        <v>843.36199567385927</v>
      </c>
      <c r="Z23">
        <f t="shared" si="29"/>
        <v>79.257690537901908</v>
      </c>
      <c r="AA23" s="7">
        <f t="shared" si="30"/>
        <v>280.74230946209809</v>
      </c>
      <c r="AB23" s="6">
        <f t="shared" si="31"/>
        <v>858.40518157044892</v>
      </c>
      <c r="AC23" s="1">
        <f t="shared" si="32"/>
        <v>103.31386206988948</v>
      </c>
      <c r="AD23" s="7">
        <f t="shared" si="33"/>
        <v>283.31386206988947</v>
      </c>
      <c r="AE23" s="6">
        <f t="shared" si="34"/>
        <v>858.00887652862127</v>
      </c>
      <c r="AF23" s="72" t="s">
        <v>102</v>
      </c>
      <c r="AG23" s="113" cm="1">
        <f t="array" ref="AG23">_xlfn.IFS(AH23=W23,V23,AH23=AB23,AA23,AH23=AE23,AD23)</f>
        <v>280.68115053581187</v>
      </c>
      <c r="AH23" s="88">
        <f t="shared" si="35"/>
        <v>863.26274130873423</v>
      </c>
      <c r="AI23">
        <f t="shared" si="36"/>
        <v>320.68115053581187</v>
      </c>
      <c r="AJ23" s="11">
        <f t="shared" si="37"/>
        <v>320.68115053581187</v>
      </c>
      <c r="AK23" s="11">
        <f t="shared" si="38"/>
        <v>50.681150535811867</v>
      </c>
      <c r="AL23" s="1">
        <f t="shared" si="39"/>
        <v>15.291437285947156</v>
      </c>
      <c r="AM23">
        <f t="shared" si="40"/>
        <v>2.8841371288164077</v>
      </c>
      <c r="AN23">
        <f t="shared" si="41"/>
        <v>0.3868158974562752</v>
      </c>
      <c r="AO23">
        <f t="shared" si="42"/>
        <v>0.31681771016642424</v>
      </c>
      <c r="AP23">
        <f t="shared" si="43"/>
        <v>280.68115053581187</v>
      </c>
      <c r="AQ23" s="12">
        <f t="shared" si="44"/>
        <v>2.8841371288164077</v>
      </c>
      <c r="AR23" s="2">
        <f t="shared" si="45"/>
        <v>0.3868158974562752</v>
      </c>
      <c r="AS23" s="2">
        <f t="shared" si="46"/>
        <v>-15.291437285947156</v>
      </c>
      <c r="AT23" s="2">
        <f t="shared" si="47"/>
        <v>-0.31681771016642424</v>
      </c>
      <c r="AU23">
        <f t="shared" si="48"/>
        <v>3.2709530262726831</v>
      </c>
      <c r="AV23">
        <f t="shared" si="49"/>
        <v>-15.60825499611358</v>
      </c>
      <c r="AW23">
        <f t="shared" si="50"/>
        <v>-78.164062034299789</v>
      </c>
      <c r="AX23">
        <f t="shared" si="51"/>
        <v>78.164062034299789</v>
      </c>
      <c r="AY23">
        <f t="shared" si="9"/>
        <v>1.1547874298883585</v>
      </c>
      <c r="AZ23" s="90">
        <v>4</v>
      </c>
      <c r="BA23" s="91">
        <f>_xlfn.IFS(AZ23=1,Références!$B$80,AZ23=2,Références!$B$81,AZ23=3,Références!$B$82,AZ23=4,Références!$B$83,AZ23=5,Références!$B$84,AZ23=6,Références!$B$85,AZ23=7,Références!$B$86,AZ23=8,Références!$B$87,AZ23=9,Références!$B$88,AZ23=10,Références!$B$89,AZ23=11,Références!$B$90,AZ23=12,Références!$B$91)</f>
        <v>6</v>
      </c>
      <c r="BB23" s="91" t="s">
        <v>69</v>
      </c>
      <c r="BC23" s="51" cm="1">
        <f t="array" ref="BC23">_xlfn.IFS(BB23="Beam", -0.0000000868778*BA23^5-0.0000459619*BA23^4+0.00347366*BA23^3-0.0884721*BA23^2+0.510463*BA23+14.9932,BB23="Following",0.000652681*BA23^3-0.0356523*BA23^2+0.29714*BA23+15.2038,BB23="Head",-0.00000154449*BA23^5+0.0000797696*BA23^4+0.000148965*BA23^3-0.0570448*BA23^2+0.244115*BA23+15.0029)</f>
        <v>15.5610507758272</v>
      </c>
      <c r="BD23" s="67"/>
      <c r="BE23" s="72">
        <v>40</v>
      </c>
      <c r="BF23" s="73">
        <v>0.5</v>
      </c>
      <c r="BG23" s="74">
        <f t="shared" si="52"/>
        <v>15.947311927838715</v>
      </c>
      <c r="BH23" s="84">
        <f t="shared" si="53"/>
        <v>281.83593796570023</v>
      </c>
      <c r="BI23" s="110">
        <f t="shared" si="54"/>
        <v>279.52636310592351</v>
      </c>
      <c r="BJ23" s="67"/>
      <c r="BK23" s="18">
        <f t="shared" si="55"/>
        <v>3247.9307304515587</v>
      </c>
      <c r="BL23" s="3">
        <f t="shared" si="56"/>
        <v>-11</v>
      </c>
      <c r="BM23" s="22">
        <f t="shared" si="57"/>
        <v>0.45833333333333331</v>
      </c>
      <c r="BN23" s="81">
        <f t="shared" si="58"/>
        <v>2.2555074517024711</v>
      </c>
      <c r="BO23" s="78">
        <f t="shared" si="59"/>
        <v>44941.044784368329</v>
      </c>
      <c r="BP23" s="121">
        <f>BP22+BN22</f>
        <v>44941.253117701664</v>
      </c>
      <c r="BQ23" s="86"/>
      <c r="BR23" s="86"/>
      <c r="BS23" s="92"/>
      <c r="BT23" s="93"/>
      <c r="BU23" s="86"/>
      <c r="BV23" s="86"/>
      <c r="BW23" s="86"/>
      <c r="BX23" s="86"/>
      <c r="BY23" s="86"/>
      <c r="BZ23" s="86"/>
      <c r="CA23" s="86"/>
      <c r="CB23" s="86"/>
      <c r="CC23" s="86"/>
      <c r="CD23" s="86"/>
      <c r="CE23" s="86"/>
      <c r="CF23" s="86"/>
      <c r="CG23" s="86"/>
      <c r="CH23" s="86"/>
      <c r="CI23" s="86"/>
      <c r="CJ23" s="86"/>
      <c r="CK23" s="86"/>
      <c r="CL23" s="86"/>
      <c r="CM23" s="86"/>
      <c r="CN23" s="86"/>
      <c r="CO23" s="86"/>
      <c r="CP23" s="86"/>
      <c r="CQ23" s="86"/>
      <c r="CR23" s="86"/>
      <c r="CS23" s="86"/>
      <c r="CT23" s="86"/>
      <c r="CU23" s="86"/>
      <c r="CV23" s="86"/>
      <c r="CW23" s="86"/>
      <c r="CX23" s="86"/>
      <c r="CY23" s="86"/>
      <c r="CZ23" s="86"/>
      <c r="DA23" s="86"/>
      <c r="DB23" s="86"/>
      <c r="DC23" s="86"/>
      <c r="DD23" s="86"/>
      <c r="DE23" s="86"/>
      <c r="DF23" s="86"/>
      <c r="DG23" s="86"/>
      <c r="DH23" s="86"/>
      <c r="DI23" s="86"/>
      <c r="DJ23" s="86"/>
      <c r="DK23" s="86"/>
      <c r="DL23" s="86"/>
      <c r="DM23" s="86"/>
      <c r="DN23" s="86"/>
      <c r="DO23" s="86"/>
      <c r="DP23" s="86"/>
      <c r="DQ23" s="86"/>
      <c r="DR23" s="86"/>
      <c r="DS23" s="86"/>
      <c r="DT23" s="86"/>
      <c r="DU23" s="86"/>
      <c r="DV23" s="86"/>
      <c r="DW23" s="86"/>
      <c r="DX23" s="86"/>
      <c r="DY23" s="86"/>
      <c r="DZ23" s="86"/>
      <c r="EA23" s="86"/>
      <c r="EB23" s="86"/>
      <c r="EC23" s="86"/>
      <c r="ED23" s="86"/>
      <c r="EE23" s="86"/>
      <c r="EF23" s="86"/>
      <c r="EG23" s="86"/>
      <c r="EH23" s="86"/>
      <c r="EI23" s="86"/>
      <c r="EJ23" s="86"/>
      <c r="EK23" s="86"/>
      <c r="EL23" s="86"/>
      <c r="EM23" s="86"/>
      <c r="EN23" s="86"/>
      <c r="EO23" s="86"/>
      <c r="EP23" s="86"/>
      <c r="EQ23" s="86"/>
      <c r="ER23" s="86"/>
      <c r="ES23" s="86"/>
      <c r="ET23" s="86"/>
      <c r="EU23" s="86"/>
      <c r="EV23" s="86"/>
      <c r="EW23" s="86"/>
      <c r="EX23" s="86"/>
      <c r="EY23" s="86"/>
      <c r="EZ23" s="86"/>
      <c r="FA23" s="86"/>
      <c r="FB23" s="86"/>
      <c r="FC23" s="86"/>
      <c r="FD23" s="86"/>
      <c r="FE23" s="86"/>
      <c r="FF23" s="86"/>
      <c r="FG23" s="86"/>
      <c r="FH23" s="86"/>
      <c r="FI23" s="86"/>
      <c r="FJ23" s="86"/>
      <c r="FK23" s="86"/>
      <c r="FL23" s="86"/>
      <c r="FM23" s="86"/>
      <c r="FN23" s="86"/>
      <c r="FO23" s="86"/>
      <c r="FP23" s="86"/>
    </row>
    <row r="24" spans="1:172" s="21" customFormat="1" ht="17.25" customHeight="1" x14ac:dyDescent="0.25">
      <c r="A24" s="86"/>
      <c r="B24" s="94">
        <v>21</v>
      </c>
      <c r="C24" s="84">
        <v>46.1</v>
      </c>
      <c r="D24" s="95" t="s">
        <v>56</v>
      </c>
      <c r="E24" s="84">
        <v>180</v>
      </c>
      <c r="F24" s="84">
        <v>0</v>
      </c>
      <c r="G24" s="96" t="s">
        <v>18</v>
      </c>
      <c r="H24" s="86">
        <f t="shared" si="13"/>
        <v>21.768333333333334</v>
      </c>
      <c r="I24" s="2">
        <f t="shared" si="14"/>
        <v>0.379929089338299</v>
      </c>
      <c r="J24" s="2">
        <f t="shared" si="15"/>
        <v>-0.379929089338299</v>
      </c>
      <c r="K24">
        <f t="shared" si="16"/>
        <v>180</v>
      </c>
      <c r="L24" s="2">
        <f t="shared" si="17"/>
        <v>3.1415926535897931</v>
      </c>
      <c r="M24" s="1">
        <f t="shared" si="18"/>
        <v>1330.0760516249134</v>
      </c>
      <c r="N24" s="5" cm="1">
        <f t="array" ref="N24">_xlfn.IFS(D24&lt;&gt;D25,M24+M25,M25-M24&lt;0,(M25-M24)*-1,M25-M24&gt;0,M25-M24)</f>
        <v>81.406017971105939</v>
      </c>
      <c r="O24">
        <f t="shared" si="19"/>
        <v>75.7</v>
      </c>
      <c r="P24" s="1">
        <f t="shared" si="20"/>
        <v>-75.7</v>
      </c>
      <c r="Q24" s="1">
        <f t="shared" si="21"/>
        <v>899.99999999999898</v>
      </c>
      <c r="R24" s="1" cm="1">
        <f t="array" ref="R24">_xlfn.IFS(AND(G25="E",G25&lt;&gt;G24,L24+L25&gt;(RADIANS(180)),Q24&lt;0),Q24*-1,AND(G25="W",G25&lt;&gt;G24,L25+L24&gt;(RADIANS(180)),Q24&lt;0),Q24,AND(G25="E",G25&lt;&gt;G24,L25+L24&gt;(RADIANS(180)),Q24&gt;0),Q24,AND(G25="W",G25&lt;&gt;G24,L25+L24&gt;(RADIANS(180)),Q24&gt;0),Q24*-1,AND(G25="W",G25=G24,Q24&lt;0),Q24,AND(G25="W",G25=G24,Q24&gt;0),Q24,AND(G25="E",G25=G24,Q24&lt;0),Q24*-1,AND(G25="E",G25=G24,Q24&gt;0),Q24*-1,AND(G25="E",G25&lt;&gt;G24,Q24&gt;0),Q24*-1,AND(G25="E",G25&lt;&gt;G24,Q24&lt;0),Q24,AND(G25="W",G25&lt;&gt;G24,Q24&gt;0),Q24,AND(G25="W",G25&lt;&gt;G24,Q24&lt;0),Q24*-1)</f>
        <v>899.99999999999898</v>
      </c>
      <c r="S24" s="4">
        <f t="shared" si="22"/>
        <v>75.7</v>
      </c>
      <c r="T24" s="4">
        <f t="shared" si="23"/>
        <v>899.99999999999898</v>
      </c>
      <c r="U24">
        <f t="shared" si="24"/>
        <v>84.83159625541613</v>
      </c>
      <c r="V24" s="8">
        <f t="shared" si="25"/>
        <v>275.16840374458388</v>
      </c>
      <c r="W24" s="6">
        <f t="shared" si="26"/>
        <v>840.33261446118365</v>
      </c>
      <c r="X24">
        <f t="shared" si="27"/>
        <v>22.399166666666666</v>
      </c>
      <c r="Y24">
        <f t="shared" si="28"/>
        <v>832.09641836263233</v>
      </c>
      <c r="Z24">
        <f t="shared" si="29"/>
        <v>84.80182381981389</v>
      </c>
      <c r="AA24" s="7">
        <f t="shared" si="30"/>
        <v>275.19817618018612</v>
      </c>
      <c r="AB24" s="6">
        <f t="shared" si="31"/>
        <v>835.53272793584824</v>
      </c>
      <c r="AC24" s="1">
        <f t="shared" si="32"/>
        <v>98.040639005420815</v>
      </c>
      <c r="AD24" s="7">
        <f t="shared" si="33"/>
        <v>278.04063900542081</v>
      </c>
      <c r="AE24" s="6">
        <f t="shared" si="34"/>
        <v>835.16179569092753</v>
      </c>
      <c r="AF24" s="72" t="s">
        <v>102</v>
      </c>
      <c r="AG24" s="113" cm="1">
        <f t="array" ref="AG24">_xlfn.IFS(AH24=W24,V24,AH24=AB24,AA24,AH24=AE24,AD24)</f>
        <v>275.16840374458388</v>
      </c>
      <c r="AH24" s="88">
        <f t="shared" si="35"/>
        <v>840.33261446118365</v>
      </c>
      <c r="AI24">
        <f t="shared" si="36"/>
        <v>575.16840374458388</v>
      </c>
      <c r="AJ24" s="11">
        <f t="shared" si="37"/>
        <v>215.16840374458388</v>
      </c>
      <c r="AK24" s="11">
        <f t="shared" si="38"/>
        <v>54.831596255416116</v>
      </c>
      <c r="AL24" s="1">
        <f t="shared" si="39"/>
        <v>15.779717639346075</v>
      </c>
      <c r="AM24">
        <f t="shared" si="40"/>
        <v>1.4272933085862005</v>
      </c>
      <c r="AN24">
        <f t="shared" si="41"/>
        <v>0.40873132633919146</v>
      </c>
      <c r="AO24">
        <f t="shared" si="42"/>
        <v>0.28799080344518879</v>
      </c>
      <c r="AP24">
        <f t="shared" si="43"/>
        <v>275.16840374458388</v>
      </c>
      <c r="AQ24" s="12">
        <f t="shared" si="44"/>
        <v>1.4272933085862005</v>
      </c>
      <c r="AR24" s="2">
        <f t="shared" si="45"/>
        <v>-0.40873132633919146</v>
      </c>
      <c r="AS24" s="2">
        <f t="shared" si="46"/>
        <v>-15.779717639346075</v>
      </c>
      <c r="AT24" s="2">
        <f t="shared" si="47"/>
        <v>-0.28799080344518879</v>
      </c>
      <c r="AU24">
        <f t="shared" si="48"/>
        <v>1.0185619822470091</v>
      </c>
      <c r="AV24">
        <f t="shared" si="49"/>
        <v>-16.067708442791265</v>
      </c>
      <c r="AW24">
        <f t="shared" si="50"/>
        <v>-86.372767276099935</v>
      </c>
      <c r="AX24">
        <f t="shared" si="51"/>
        <v>86.372767276099935</v>
      </c>
      <c r="AY24">
        <f t="shared" si="9"/>
        <v>-1.5411710206838052</v>
      </c>
      <c r="AZ24" s="90">
        <v>4</v>
      </c>
      <c r="BA24" s="91">
        <f>_xlfn.IFS(AZ24=1,Références!$B$80,AZ24=2,Références!$B$81,AZ24=3,Références!$B$82,AZ24=4,Références!$B$83,AZ24=5,Références!$B$84,AZ24=6,Références!$B$85,AZ24=7,Références!$B$86,AZ24=8,Références!$B$87,AZ24=9,Références!$B$88,AZ24=10,Références!$B$89,AZ24=11,Références!$B$90,AZ24=12,Références!$B$91)</f>
        <v>6</v>
      </c>
      <c r="BB24" s="91" t="s">
        <v>70</v>
      </c>
      <c r="BC24" s="51" cm="1">
        <f t="array" ref="BC24">_xlfn.IFS(BB24="Beam", -0.0000000868778*BA24^5-0.0000459619*BA24^4+0.00347366*BA24^3-0.0884721*BA24^2+0.510463*BA24+14.9932,BB24="Following",0.000652681*BA24^3-0.0356523*BA24^2+0.29714*BA24+15.2038,BB24="Head",-0.00000154449*BA24^5+0.0000797696*BA24^4+0.000148965*BA24^3-0.0570448*BA24^2+0.244115*BA24+15.0029)</f>
        <v>15.844136296</v>
      </c>
      <c r="BD24" s="67"/>
      <c r="BE24" s="72">
        <v>300</v>
      </c>
      <c r="BF24" s="73">
        <v>0.5</v>
      </c>
      <c r="BG24" s="74">
        <f t="shared" si="52"/>
        <v>16.09996034511342</v>
      </c>
      <c r="BH24" s="84">
        <f t="shared" si="53"/>
        <v>273.62723272390008</v>
      </c>
      <c r="BI24" s="110">
        <f t="shared" si="54"/>
        <v>276.70957476526769</v>
      </c>
      <c r="BJ24" s="67"/>
      <c r="BK24" s="18">
        <f t="shared" si="55"/>
        <v>3131.6820530538907</v>
      </c>
      <c r="BL24" s="3">
        <f t="shared" si="56"/>
        <v>-12</v>
      </c>
      <c r="BM24" s="22">
        <f t="shared" si="57"/>
        <v>0.5</v>
      </c>
      <c r="BN24" s="81">
        <f t="shared" si="58"/>
        <v>2.1747792035096465</v>
      </c>
      <c r="BO24" s="78">
        <f t="shared" si="59"/>
        <v>44943.300291820029</v>
      </c>
      <c r="BP24" s="121">
        <f>BP23+BN23</f>
        <v>44943.508625153365</v>
      </c>
      <c r="BQ24" s="86"/>
      <c r="BR24" s="86"/>
      <c r="BS24" s="92"/>
      <c r="BT24" s="93"/>
      <c r="BU24" s="86"/>
      <c r="BV24" s="86"/>
      <c r="BW24" s="86"/>
      <c r="BX24" s="86"/>
      <c r="BY24" s="86"/>
      <c r="BZ24" s="86"/>
      <c r="CA24" s="86"/>
      <c r="CB24" s="86"/>
      <c r="CC24" s="86"/>
      <c r="CD24" s="86"/>
      <c r="CE24" s="86"/>
      <c r="CF24" s="86"/>
      <c r="CG24" s="86"/>
      <c r="CH24" s="86"/>
      <c r="CI24" s="86"/>
      <c r="CJ24" s="86"/>
      <c r="CK24" s="86"/>
      <c r="CL24" s="86"/>
      <c r="CM24" s="86"/>
      <c r="CN24" s="86"/>
      <c r="CO24" s="86"/>
      <c r="CP24" s="86"/>
      <c r="CQ24" s="86"/>
      <c r="CR24" s="86"/>
      <c r="CS24" s="86"/>
      <c r="CT24" s="86"/>
      <c r="CU24" s="86"/>
      <c r="CV24" s="86"/>
      <c r="CW24" s="86"/>
      <c r="CX24" s="86"/>
      <c r="CY24" s="86"/>
      <c r="CZ24" s="86"/>
      <c r="DA24" s="86"/>
      <c r="DB24" s="86"/>
      <c r="DC24" s="86"/>
      <c r="DD24" s="86"/>
      <c r="DE24" s="86"/>
      <c r="DF24" s="86"/>
      <c r="DG24" s="86"/>
      <c r="DH24" s="86"/>
      <c r="DI24" s="86"/>
      <c r="DJ24" s="86"/>
      <c r="DK24" s="86"/>
      <c r="DL24" s="86"/>
      <c r="DM24" s="86"/>
      <c r="DN24" s="86"/>
      <c r="DO24" s="86"/>
      <c r="DP24" s="86"/>
      <c r="DQ24" s="86"/>
      <c r="DR24" s="86"/>
      <c r="DS24" s="86"/>
      <c r="DT24" s="86"/>
      <c r="DU24" s="86"/>
      <c r="DV24" s="86"/>
      <c r="DW24" s="86"/>
      <c r="DX24" s="86"/>
      <c r="DY24" s="86"/>
      <c r="DZ24" s="86"/>
      <c r="EA24" s="86"/>
      <c r="EB24" s="86"/>
      <c r="EC24" s="86"/>
      <c r="ED24" s="86"/>
      <c r="EE24" s="86"/>
      <c r="EF24" s="86"/>
      <c r="EG24" s="86"/>
      <c r="EH24" s="86"/>
      <c r="EI24" s="86"/>
      <c r="EJ24" s="86"/>
      <c r="EK24" s="86"/>
      <c r="EL24" s="86"/>
      <c r="EM24" s="86"/>
      <c r="EN24" s="86"/>
      <c r="EO24" s="86"/>
      <c r="EP24" s="86"/>
      <c r="EQ24" s="86"/>
      <c r="ER24" s="86"/>
      <c r="ES24" s="86"/>
      <c r="ET24" s="86"/>
      <c r="EU24" s="86"/>
      <c r="EV24" s="86"/>
      <c r="EW24" s="86"/>
      <c r="EX24" s="86"/>
      <c r="EY24" s="86"/>
      <c r="EZ24" s="86"/>
      <c r="FA24" s="86"/>
      <c r="FB24" s="86"/>
      <c r="FC24" s="86"/>
      <c r="FD24" s="86"/>
      <c r="FE24" s="86"/>
      <c r="FF24" s="86"/>
      <c r="FG24" s="86"/>
      <c r="FH24" s="86"/>
      <c r="FI24" s="86"/>
      <c r="FJ24" s="86"/>
      <c r="FK24" s="86"/>
      <c r="FL24" s="86"/>
      <c r="FM24" s="86"/>
      <c r="FN24" s="86"/>
      <c r="FO24" s="86"/>
      <c r="FP24" s="86"/>
    </row>
    <row r="25" spans="1:172" s="20" customFormat="1" ht="17.25" customHeight="1" x14ac:dyDescent="0.25">
      <c r="A25" s="21"/>
      <c r="B25" s="94">
        <v>23</v>
      </c>
      <c r="C25" s="84">
        <v>1.8</v>
      </c>
      <c r="D25" s="95" t="s">
        <v>56</v>
      </c>
      <c r="E25" s="84">
        <v>165</v>
      </c>
      <c r="F25" s="84">
        <v>0</v>
      </c>
      <c r="G25" s="96" t="s">
        <v>29</v>
      </c>
      <c r="H25" s="86">
        <f t="shared" si="13"/>
        <v>23.03</v>
      </c>
      <c r="I25" s="2">
        <f t="shared" si="14"/>
        <v>0.40194932673429412</v>
      </c>
      <c r="J25" s="2">
        <f t="shared" si="15"/>
        <v>-0.40194932673429412</v>
      </c>
      <c r="K25">
        <f t="shared" si="16"/>
        <v>165</v>
      </c>
      <c r="L25" s="2">
        <f t="shared" si="17"/>
        <v>2.8797932657906435</v>
      </c>
      <c r="M25" s="1">
        <f t="shared" si="18"/>
        <v>1411.4820695960193</v>
      </c>
      <c r="N25" s="5" cm="1">
        <f t="array" ref="N25">_xlfn.IFS(D25&lt;&gt;D26,M25+M26,M26-M25&lt;0,(M26-M25)*-1,M26-M25&gt;0,M26-M25)</f>
        <v>1.9444520202378044</v>
      </c>
      <c r="O25">
        <f t="shared" si="19"/>
        <v>-1.8000000000000789</v>
      </c>
      <c r="P25" s="1">
        <f t="shared" si="20"/>
        <v>1.8000000000000789</v>
      </c>
      <c r="Q25" s="1">
        <f t="shared" si="21"/>
        <v>-749.99999999999909</v>
      </c>
      <c r="R25" s="1" cm="1">
        <f t="array" ref="R25">_xlfn.IFS(AND(G26="E",G26&lt;&gt;G25,L25+L26&gt;(RADIANS(180)),Q25&lt;0),Q25*-1,AND(G26="W",G26&lt;&gt;G25,L26+L25&gt;(RADIANS(180)),Q25&lt;0),Q25,AND(G26="E",G26&lt;&gt;G25,L26+L25&gt;(RADIANS(180)),Q25&gt;0),Q25,AND(G26="W",G26&lt;&gt;G25,L26+L25&gt;(RADIANS(180)),Q25&gt;0),Q25*-1,AND(G26="W",G26=G25,Q25&lt;0),Q25,AND(G26="W",G26=G25,Q25&gt;0),Q25,AND(G26="E",G26=G25,Q25&lt;0),Q25*-1,AND(G26="E",G26=G25,Q25&gt;0),Q25*-1,AND(G26="E",G26&lt;&gt;G25,Q25&gt;0),Q25*-1,AND(G26="E",G26&lt;&gt;G25,Q25&lt;0),Q25,AND(G26="W",G26&lt;&gt;G25,Q25&gt;0),Q25,AND(G26="W",G26&lt;&gt;G25,Q25&lt;0),Q25*-1)</f>
        <v>749.99999999999909</v>
      </c>
      <c r="S25" s="4">
        <f t="shared" si="22"/>
        <v>1.8000000000000789</v>
      </c>
      <c r="T25" s="4">
        <f t="shared" si="23"/>
        <v>749.99999999999909</v>
      </c>
      <c r="U25">
        <f t="shared" si="24"/>
        <v>89.851455140518141</v>
      </c>
      <c r="V25" s="8">
        <f t="shared" si="25"/>
        <v>269.85145514051817</v>
      </c>
      <c r="W25" s="6">
        <f t="shared" si="26"/>
        <v>694.28534261272489</v>
      </c>
      <c r="X25">
        <f t="shared" si="27"/>
        <v>23.015000000000001</v>
      </c>
      <c r="Y25">
        <f t="shared" si="28"/>
        <v>690.30189655362847</v>
      </c>
      <c r="Z25">
        <f t="shared" si="29"/>
        <v>89.850598455697067</v>
      </c>
      <c r="AA25" s="7">
        <f t="shared" si="30"/>
        <v>269.85059845569708</v>
      </c>
      <c r="AB25" s="6">
        <f t="shared" si="31"/>
        <v>690.3042433489012</v>
      </c>
      <c r="AC25" s="1">
        <f t="shared" si="32"/>
        <v>92.303008051251766</v>
      </c>
      <c r="AD25" s="7">
        <f t="shared" si="33"/>
        <v>272.30300805125177</v>
      </c>
      <c r="AE25" s="6">
        <f t="shared" si="34"/>
        <v>690.09414029328968</v>
      </c>
      <c r="AF25" s="72" t="s">
        <v>102</v>
      </c>
      <c r="AG25" s="113" cm="1">
        <f t="array" ref="AG25">_xlfn.IFS(AH25=W25,V25,AH25=AB25,AA25,AH25=AE25,AD25)</f>
        <v>269.85145514051817</v>
      </c>
      <c r="AH25" s="88">
        <f t="shared" si="35"/>
        <v>694.28534261272489</v>
      </c>
      <c r="AI25">
        <f t="shared" si="36"/>
        <v>569.85145514051817</v>
      </c>
      <c r="AJ25" s="11">
        <f t="shared" si="37"/>
        <v>209.85145514051817</v>
      </c>
      <c r="AK25" s="11">
        <f t="shared" si="38"/>
        <v>60.148544859481831</v>
      </c>
      <c r="AL25" s="1">
        <f t="shared" si="39"/>
        <v>15.844083047384478</v>
      </c>
      <c r="AM25">
        <f t="shared" si="40"/>
        <v>4.1077412386770415E-2</v>
      </c>
      <c r="AN25">
        <f t="shared" si="41"/>
        <v>0.43365939512802998</v>
      </c>
      <c r="AO25">
        <f t="shared" si="42"/>
        <v>0.24887653368124354</v>
      </c>
      <c r="AP25">
        <f t="shared" si="43"/>
        <v>269.85145514051817</v>
      </c>
      <c r="AQ25" s="12">
        <f t="shared" si="44"/>
        <v>-4.1077412386770415E-2</v>
      </c>
      <c r="AR25" s="2">
        <f t="shared" si="45"/>
        <v>-0.43365939512802998</v>
      </c>
      <c r="AS25" s="2">
        <f t="shared" si="46"/>
        <v>-15.844083047384478</v>
      </c>
      <c r="AT25" s="2">
        <f t="shared" si="47"/>
        <v>-0.24887653368124354</v>
      </c>
      <c r="AU25">
        <f t="shared" si="48"/>
        <v>-0.47473680751480041</v>
      </c>
      <c r="AV25">
        <f t="shared" si="49"/>
        <v>-16.09295958106572</v>
      </c>
      <c r="AW25">
        <f t="shared" si="50"/>
        <v>88.310284119835416</v>
      </c>
      <c r="AX25">
        <f t="shared" si="51"/>
        <v>88.310284119835416</v>
      </c>
      <c r="AY25">
        <f t="shared" si="9"/>
        <v>-1.541171020682782</v>
      </c>
      <c r="AZ25" s="90">
        <v>4</v>
      </c>
      <c r="BA25" s="91">
        <f>_xlfn.IFS(AZ25=1,Références!$B$80,AZ25=2,Références!$B$81,AZ25=3,Références!$B$82,AZ25=4,Références!$B$83,AZ25=5,Références!$B$84,AZ25=6,Références!$B$85,AZ25=7,Références!$B$86,AZ25=8,Références!$B$87,AZ25=9,Références!$B$88,AZ25=10,Références!$B$89,AZ25=11,Références!$B$90,AZ25=12,Références!$B$91)</f>
        <v>6</v>
      </c>
      <c r="BB25" s="91" t="s">
        <v>70</v>
      </c>
      <c r="BC25" s="51" cm="1">
        <f t="array" ref="BC25">_xlfn.IFS(BB25="Beam", -0.0000000868778*BA25^5-0.0000459619*BA25^4+0.00347366*BA25^3-0.0884721*BA25^2+0.510463*BA25+14.9932,BB25="Following",0.000652681*BA25^3-0.0356523*BA25^2+0.29714*BA25+15.2038,BB25="Head",-0.00000154449*BA25^5+0.0000797696*BA25^4+0.000148965*BA25^3-0.0570448*BA25^2+0.244115*BA25+15.0029)</f>
        <v>15.844136296</v>
      </c>
      <c r="BD25" s="67"/>
      <c r="BE25" s="72">
        <v>300</v>
      </c>
      <c r="BF25" s="73">
        <v>0.5</v>
      </c>
      <c r="BG25" s="74">
        <f t="shared" si="52"/>
        <v>16.099960345113409</v>
      </c>
      <c r="BH25" s="84">
        <f t="shared" si="53"/>
        <v>268.31028411983539</v>
      </c>
      <c r="BI25" s="110">
        <f t="shared" si="54"/>
        <v>271.39262616120095</v>
      </c>
      <c r="BJ25" s="67"/>
      <c r="BK25" s="18">
        <f t="shared" si="55"/>
        <v>2587.4051652187504</v>
      </c>
      <c r="BL25" s="3">
        <f t="shared" si="56"/>
        <v>11</v>
      </c>
      <c r="BM25" s="22">
        <f t="shared" si="57"/>
        <v>0.45833333333333331</v>
      </c>
      <c r="BN25" s="81">
        <f t="shared" si="58"/>
        <v>1.796809142513021</v>
      </c>
      <c r="BO25" s="78">
        <f t="shared" si="59"/>
        <v>44945.475071023538</v>
      </c>
      <c r="BP25" s="121">
        <f>BP24+BN24</f>
        <v>44945.683404356874</v>
      </c>
      <c r="BQ25" s="86"/>
      <c r="BR25" s="86"/>
      <c r="BS25" s="92"/>
      <c r="BT25" s="93"/>
      <c r="BU25" s="86"/>
      <c r="BV25" s="86"/>
      <c r="BW25" s="86"/>
      <c r="BX25" s="86"/>
      <c r="BY25" s="86"/>
      <c r="BZ25" s="86"/>
      <c r="CA25" s="86"/>
      <c r="CB25" s="86"/>
      <c r="CC25" s="86"/>
      <c r="CD25" s="86"/>
      <c r="CE25" s="86"/>
      <c r="CF25" s="86"/>
      <c r="CG25" s="86"/>
      <c r="CH25" s="86"/>
      <c r="CI25" s="86"/>
      <c r="CJ25" s="86"/>
      <c r="CK25" s="86"/>
      <c r="CL25" s="86"/>
      <c r="CM25" s="86"/>
      <c r="CN25" s="86"/>
      <c r="CO25" s="86"/>
      <c r="CP25" s="86"/>
      <c r="CQ25" s="86"/>
      <c r="CR25" s="86"/>
      <c r="CS25" s="86"/>
      <c r="CT25" s="86"/>
      <c r="CU25" s="86"/>
      <c r="CV25" s="86"/>
      <c r="CW25" s="86"/>
      <c r="CX25" s="86"/>
      <c r="CY25" s="86"/>
      <c r="CZ25" s="86"/>
      <c r="DA25" s="86"/>
      <c r="DB25" s="86"/>
      <c r="DC25" s="86"/>
      <c r="DD25" s="86"/>
      <c r="DE25" s="86"/>
      <c r="DF25" s="86"/>
      <c r="DG25" s="86"/>
      <c r="DH25" s="86"/>
      <c r="DI25" s="86"/>
      <c r="DJ25" s="86"/>
      <c r="DK25" s="86"/>
      <c r="DL25" s="86"/>
      <c r="DM25" s="86"/>
      <c r="DN25" s="86"/>
      <c r="DO25" s="86"/>
      <c r="DP25" s="86"/>
      <c r="DQ25" s="86"/>
      <c r="DR25" s="86"/>
      <c r="DS25" s="86"/>
      <c r="DT25" s="86"/>
      <c r="DU25" s="86"/>
      <c r="DV25" s="86"/>
      <c r="DW25" s="86"/>
      <c r="DX25" s="86"/>
      <c r="DY25" s="86"/>
      <c r="DZ25" s="86"/>
      <c r="EA25" s="86"/>
      <c r="EB25" s="86"/>
      <c r="EC25" s="86"/>
      <c r="ED25" s="86"/>
      <c r="EE25" s="86"/>
      <c r="EF25" s="86"/>
      <c r="EG25" s="86"/>
      <c r="EH25" s="86"/>
      <c r="EI25" s="86"/>
      <c r="EJ25" s="86"/>
      <c r="EK25" s="86"/>
      <c r="EL25" s="86"/>
      <c r="EM25" s="86"/>
      <c r="EN25" s="86"/>
      <c r="EO25" s="86"/>
      <c r="EP25" s="86"/>
      <c r="EQ25" s="86"/>
      <c r="ER25" s="86"/>
      <c r="ES25" s="86"/>
      <c r="ET25" s="86"/>
      <c r="EU25" s="86"/>
      <c r="EV25" s="86"/>
      <c r="EW25" s="86"/>
      <c r="EX25" s="86"/>
      <c r="EY25" s="86"/>
      <c r="EZ25" s="86"/>
      <c r="FA25" s="86"/>
      <c r="FB25" s="86"/>
      <c r="FC25" s="86"/>
      <c r="FD25" s="86"/>
      <c r="FE25" s="86"/>
      <c r="FF25" s="86"/>
      <c r="FG25" s="86"/>
      <c r="FH25" s="86"/>
      <c r="FI25" s="86"/>
      <c r="FJ25" s="86"/>
      <c r="FK25" s="86"/>
      <c r="FL25" s="86"/>
      <c r="FM25" s="86"/>
      <c r="FN25" s="86"/>
      <c r="FO25" s="86"/>
      <c r="FP25" s="86"/>
    </row>
    <row r="26" spans="1:172" x14ac:dyDescent="0.25">
      <c r="A26" s="20"/>
      <c r="B26" s="94">
        <v>23</v>
      </c>
      <c r="C26" s="84">
        <v>0</v>
      </c>
      <c r="D26" s="95" t="s">
        <v>56</v>
      </c>
      <c r="E26" s="84">
        <v>152</v>
      </c>
      <c r="F26" s="84">
        <v>30</v>
      </c>
      <c r="G26" s="96" t="s">
        <v>29</v>
      </c>
      <c r="H26" s="86">
        <f t="shared" si="13"/>
        <v>23</v>
      </c>
      <c r="I26" s="2">
        <f t="shared" si="14"/>
        <v>0.4014257279586958</v>
      </c>
      <c r="J26" s="2">
        <f t="shared" si="15"/>
        <v>-0.4014257279586958</v>
      </c>
      <c r="K26">
        <f t="shared" si="16"/>
        <v>152.5</v>
      </c>
      <c r="L26" s="2">
        <f t="shared" si="17"/>
        <v>2.6616271092913526</v>
      </c>
      <c r="M26" s="1">
        <f t="shared" si="18"/>
        <v>1409.5376175757815</v>
      </c>
      <c r="N26" s="5" cm="1">
        <f t="array" ref="N26">_xlfn.IFS(D26&lt;&gt;D27,M26+M27,M27-M26&lt;0,(M27-M26)*-1,M27-M26&gt;0,M27-M26)</f>
        <v>1330.1754922197138</v>
      </c>
      <c r="O26">
        <f t="shared" si="19"/>
        <v>1120.2360000000003</v>
      </c>
      <c r="P26" s="1">
        <f t="shared" si="20"/>
        <v>-1120.2360000000003</v>
      </c>
      <c r="Q26" s="1">
        <f t="shared" si="21"/>
        <v>-647.55100000000004</v>
      </c>
      <c r="R26" s="1" cm="1">
        <f t="array" ref="R26">_xlfn.IFS(AND(G27="E",G27&lt;&gt;G26,L26+L27&gt;(RADIANS(180)),Q26&lt;0),Q26*-1,AND(G27="W",G27&lt;&gt;G26,L27+L26&gt;(RADIANS(180)),Q26&lt;0),Q26,AND(G27="E",G27&lt;&gt;G26,L27+L26&gt;(RADIANS(180)),Q26&gt;0),Q26,AND(G27="W",G27&lt;&gt;G26,L27+L26&gt;(RADIANS(180)),Q26&gt;0),Q26*-1,AND(G27="W",G27=G26,Q26&lt;0),Q26,AND(G27="W",G27=G26,Q26&gt;0),Q26,AND(G27="E",G27=G26,Q26&lt;0),Q26*-1,AND(G27="E",G27=G26,Q26&gt;0),Q26*-1,AND(G27="E",G27&lt;&gt;G26,Q26&gt;0),Q26*-1,AND(G27="E",G27&lt;&gt;G26,Q26&lt;0),Q26,AND(G27="W",G27&lt;&gt;G26,Q26&gt;0),Q26,AND(G27="W",G27&lt;&gt;G26,Q26&lt;0),Q26*-1)</f>
        <v>647.55100000000004</v>
      </c>
      <c r="S26" s="4">
        <f t="shared" si="22"/>
        <v>1120.2360000000003</v>
      </c>
      <c r="T26" s="4">
        <f t="shared" si="23"/>
        <v>647.55100000000004</v>
      </c>
      <c r="U26">
        <f t="shared" si="24"/>
        <v>25.957570125677812</v>
      </c>
      <c r="V26" s="8">
        <f t="shared" si="25"/>
        <v>334.04242987432218</v>
      </c>
      <c r="W26" s="6">
        <f t="shared" si="26"/>
        <v>1245.92707766901</v>
      </c>
      <c r="X26">
        <f t="shared" si="27"/>
        <v>32.335300000000004</v>
      </c>
      <c r="Y26">
        <f t="shared" si="28"/>
        <v>547.13685790481895</v>
      </c>
      <c r="Z26">
        <f t="shared" si="29"/>
        <v>26.031444642234316</v>
      </c>
      <c r="AA26" s="7">
        <f t="shared" si="30"/>
        <v>333.96855535776569</v>
      </c>
      <c r="AB26" s="6">
        <f t="shared" si="31"/>
        <v>1246.7106468519305</v>
      </c>
      <c r="AC26" s="1">
        <f t="shared" si="32"/>
        <v>156.73234814514183</v>
      </c>
      <c r="AD26" s="7">
        <f t="shared" si="33"/>
        <v>336.73234814514183</v>
      </c>
      <c r="AE26" s="6">
        <f t="shared" si="34"/>
        <v>1244.2523853249925</v>
      </c>
      <c r="AF26" s="72" t="s">
        <v>102</v>
      </c>
      <c r="AG26" s="113" cm="1">
        <f t="array" ref="AG26">_xlfn.IFS(AH26=W26,V26,AH26=AB26,AA26,AH26=AE26,AD26)</f>
        <v>334.04242987432218</v>
      </c>
      <c r="AH26" s="88">
        <f t="shared" si="35"/>
        <v>1245.92707766901</v>
      </c>
      <c r="AI26">
        <f t="shared" si="36"/>
        <v>484.04242987432218</v>
      </c>
      <c r="AJ26" s="11">
        <f t="shared" si="37"/>
        <v>124.04242987432218</v>
      </c>
      <c r="AK26" s="11">
        <f t="shared" si="38"/>
        <v>34.042429874322181</v>
      </c>
      <c r="AL26" s="1">
        <f t="shared" si="39"/>
        <v>4.6256452439275808</v>
      </c>
      <c r="AM26">
        <f t="shared" si="40"/>
        <v>9.5018306499027059</v>
      </c>
      <c r="AN26">
        <f t="shared" si="41"/>
        <v>0.27990334320171378</v>
      </c>
      <c r="AO26">
        <f t="shared" si="42"/>
        <v>0.41431161999695787</v>
      </c>
      <c r="AP26">
        <f t="shared" si="43"/>
        <v>334.04242987432218</v>
      </c>
      <c r="AQ26" s="12">
        <f t="shared" si="44"/>
        <v>9.5018306499027059</v>
      </c>
      <c r="AR26" s="2">
        <f t="shared" si="45"/>
        <v>-0.27990334320171378</v>
      </c>
      <c r="AS26" s="2">
        <f t="shared" si="46"/>
        <v>-4.6256452439275808</v>
      </c>
      <c r="AT26" s="2">
        <f t="shared" si="47"/>
        <v>0.41431161999695787</v>
      </c>
      <c r="AU26">
        <f t="shared" si="48"/>
        <v>9.2219273067009926</v>
      </c>
      <c r="AV26">
        <f t="shared" si="49"/>
        <v>-4.2113336239306225</v>
      </c>
      <c r="AW26">
        <f t="shared" si="50"/>
        <v>-24.544531955716426</v>
      </c>
      <c r="AX26">
        <f t="shared" si="51"/>
        <v>24.544531955716426</v>
      </c>
      <c r="AY26">
        <f t="shared" si="9"/>
        <v>1.4130381699613963</v>
      </c>
      <c r="AZ26" s="90">
        <v>6</v>
      </c>
      <c r="BA26" s="91">
        <f>_xlfn.IFS(AZ26=1,Références!$B$80,AZ26=2,Références!$B$81,AZ26=3,Références!$B$82,AZ26=4,Références!$B$83,AZ26=5,Références!$B$84,AZ26=6,Références!$B$85,AZ26=7,Références!$B$86,AZ26=8,Références!$B$87,AZ26=9,Références!$B$88,AZ26=10,Références!$B$89,AZ26=11,Références!$B$90,AZ26=12,Références!$B$91)</f>
        <v>13</v>
      </c>
      <c r="BB26" s="91" t="s">
        <v>68</v>
      </c>
      <c r="BC26" s="51" cm="1">
        <f t="array" ref="BC26">_xlfn.IFS(BB26="Beam", -0.0000000868778*BA26^5-0.0000459619*BA26^4+0.00347366*BA26^3-0.0884721*BA26^2+0.510463*BA26+14.9932,BB26="Following",0.000652681*BA26^3-0.0356523*BA26^2+0.29714*BA26+15.2038,BB26="Head",-0.00000154449*BA26^5+0.0000797696*BA26^4+0.000148965*BA26^3-0.0570448*BA26^2+0.244115*BA26+15.0029)</f>
        <v>10.56794112503</v>
      </c>
      <c r="BD26" s="67"/>
      <c r="BE26" s="72">
        <v>150</v>
      </c>
      <c r="BF26" s="73">
        <v>0.5</v>
      </c>
      <c r="BG26" s="74">
        <f t="shared" si="52"/>
        <v>10.138011350463465</v>
      </c>
      <c r="BH26" s="84">
        <f t="shared" si="53"/>
        <v>335.45546804428358</v>
      </c>
      <c r="BI26" s="110">
        <f t="shared" si="54"/>
        <v>332.62939170436078</v>
      </c>
      <c r="BJ26" s="67"/>
      <c r="BK26" s="18">
        <f t="shared" si="55"/>
        <v>7373.7957155397253</v>
      </c>
      <c r="BL26" s="3">
        <f t="shared" si="56"/>
        <v>10</v>
      </c>
      <c r="BM26" s="22">
        <f t="shared" si="57"/>
        <v>0.41666666666666669</v>
      </c>
      <c r="BN26" s="81">
        <f t="shared" si="58"/>
        <v>5.1206914691248091</v>
      </c>
      <c r="BO26" s="78">
        <f t="shared" si="59"/>
        <v>44947.271880166052</v>
      </c>
      <c r="BP26" s="121">
        <f>BP25+BN25</f>
        <v>44947.480213499388</v>
      </c>
      <c r="BQ26" s="86"/>
      <c r="BS26" s="3"/>
      <c r="BT26" s="14"/>
    </row>
    <row r="27" spans="1:172" x14ac:dyDescent="0.25">
      <c r="A27">
        <v>16</v>
      </c>
      <c r="B27" s="57">
        <v>41</v>
      </c>
      <c r="C27" s="58">
        <v>40.235999999999997</v>
      </c>
      <c r="D27" s="59" t="s">
        <v>56</v>
      </c>
      <c r="E27" s="58">
        <v>141</v>
      </c>
      <c r="F27" s="58">
        <v>42.448999999999998</v>
      </c>
      <c r="G27" s="60" t="s">
        <v>29</v>
      </c>
      <c r="H27">
        <f t="shared" si="13"/>
        <v>41.6706</v>
      </c>
      <c r="I27" s="2">
        <f t="shared" si="14"/>
        <v>0.72728917128154913</v>
      </c>
      <c r="J27" s="2">
        <f t="shared" si="15"/>
        <v>-0.72728917128154913</v>
      </c>
      <c r="K27">
        <f t="shared" si="16"/>
        <v>141.70748333333333</v>
      </c>
      <c r="L27" s="2">
        <f t="shared" si="17"/>
        <v>2.4732621588816559</v>
      </c>
      <c r="M27" s="1">
        <f t="shared" si="18"/>
        <v>2739.7131097954953</v>
      </c>
      <c r="N27" s="5" cm="1">
        <f t="array" ref="N27">_xlfn.IFS(D27&lt;&gt;D28,M27+M28,M28-M27&lt;0,(M28-M27)*-1,M28-M27&gt;0,M28-M27)</f>
        <v>2.714618547317059</v>
      </c>
      <c r="O27">
        <f t="shared" si="19"/>
        <v>-2.0360000000001124</v>
      </c>
      <c r="P27" s="1">
        <f t="shared" si="20"/>
        <v>2.0360000000001124</v>
      </c>
      <c r="Q27" s="1">
        <f t="shared" si="21"/>
        <v>-49.809000000000431</v>
      </c>
      <c r="R27" s="1" cm="1">
        <f t="array" ref="R27">_xlfn.IFS(AND(G28="E",G28&lt;&gt;G27,L27+L28&gt;(RADIANS(180)),Q27&lt;0),Q27*-1,AND(G28="W",G28&lt;&gt;G27,L28+L27&gt;(RADIANS(180)),Q27&lt;0),Q27,AND(G28="E",G28&lt;&gt;G27,L28+L27&gt;(RADIANS(180)),Q27&gt;0),Q27,AND(G28="W",G28&lt;&gt;G27,L28+L27&gt;(RADIANS(180)),Q27&gt;0),Q27*-1,AND(G28="W",G28=G27,Q27&lt;0),Q27,AND(G28="W",G28=G27,Q27&gt;0),Q27,AND(G28="E",G28=G27,Q27&lt;0),Q27*-1,AND(G28="E",G28=G27,Q27&gt;0),Q27*-1,AND(G28="E",G28&lt;&gt;G27,Q27&gt;0),Q27*-1,AND(G28="E",G28&lt;&gt;G27,Q27&lt;0),Q27,AND(G28="W",G28&lt;&gt;G27,Q27&gt;0),Q27,AND(G28="W",G28&lt;&gt;G27,Q27&lt;0),Q27*-1)</f>
        <v>49.809000000000431</v>
      </c>
      <c r="S27" s="4">
        <f t="shared" si="22"/>
        <v>2.0360000000001124</v>
      </c>
      <c r="T27" s="4">
        <f t="shared" si="23"/>
        <v>49.809000000000431</v>
      </c>
      <c r="U27">
        <f t="shared" si="24"/>
        <v>86.880434004854223</v>
      </c>
      <c r="V27" s="8">
        <f t="shared" si="25"/>
        <v>266.88043400485424</v>
      </c>
      <c r="W27" s="6">
        <f t="shared" si="26"/>
        <v>37.41285262096531</v>
      </c>
      <c r="X27">
        <f t="shared" si="27"/>
        <v>41.653633333333332</v>
      </c>
      <c r="Y27">
        <f t="shared" si="28"/>
        <v>37.21610313487917</v>
      </c>
      <c r="Z27">
        <f t="shared" si="29"/>
        <v>86.86861258239108</v>
      </c>
      <c r="AA27" s="7">
        <f t="shared" si="30"/>
        <v>266.86861258239105</v>
      </c>
      <c r="AB27" s="6">
        <f t="shared" si="31"/>
        <v>37.271753762681705</v>
      </c>
      <c r="AC27" s="1">
        <f t="shared" si="32"/>
        <v>87.144539609190915</v>
      </c>
      <c r="AD27" s="7">
        <f t="shared" si="33"/>
        <v>267.14453960919093</v>
      </c>
      <c r="AE27" s="6">
        <f t="shared" si="34"/>
        <v>37.271608349205025</v>
      </c>
      <c r="AF27" s="72" t="s">
        <v>102</v>
      </c>
      <c r="AG27" s="113" cm="1">
        <f t="array" ref="AG27">_xlfn.IFS(AH27=W27,V27,AH27=AB27,AA27,AH27=AE27,AD27)</f>
        <v>266.86861258239105</v>
      </c>
      <c r="AH27" s="88">
        <f t="shared" si="35"/>
        <v>37.271753762681705</v>
      </c>
      <c r="AI27">
        <f t="shared" si="36"/>
        <v>516.86861258239105</v>
      </c>
      <c r="AJ27" s="11">
        <f t="shared" si="37"/>
        <v>156.86861258239105</v>
      </c>
      <c r="AK27" s="11">
        <f t="shared" si="38"/>
        <v>66.868612582391052</v>
      </c>
      <c r="AL27" s="1">
        <f t="shared" si="39"/>
        <v>15.39559690066269</v>
      </c>
      <c r="AM27">
        <f t="shared" si="40"/>
        <v>0.84225463305893467</v>
      </c>
      <c r="AN27">
        <f t="shared" si="41"/>
        <v>0</v>
      </c>
      <c r="AO27">
        <f t="shared" si="42"/>
        <v>0</v>
      </c>
      <c r="AP27">
        <f t="shared" si="43"/>
        <v>266.86861258239105</v>
      </c>
      <c r="AQ27" s="12">
        <f t="shared" si="44"/>
        <v>-0.84225463305893467</v>
      </c>
      <c r="AR27" s="2">
        <f t="shared" si="45"/>
        <v>0</v>
      </c>
      <c r="AS27" s="2">
        <f t="shared" si="46"/>
        <v>-15.39559690066269</v>
      </c>
      <c r="AT27" s="2">
        <f t="shared" si="47"/>
        <v>0</v>
      </c>
      <c r="AU27">
        <f t="shared" si="48"/>
        <v>-0.84225463305893467</v>
      </c>
      <c r="AV27">
        <f t="shared" si="49"/>
        <v>-15.39559690066269</v>
      </c>
      <c r="AW27">
        <f t="shared" si="50"/>
        <v>86.868612582391066</v>
      </c>
      <c r="AX27">
        <f t="shared" si="51"/>
        <v>86.868612582391066</v>
      </c>
      <c r="AY27">
        <f t="shared" si="9"/>
        <v>0</v>
      </c>
      <c r="AZ27" s="50">
        <v>1</v>
      </c>
      <c r="BA27" s="46">
        <f>_xlfn.IFS(AZ27=1,Références!$B$80,AZ27=2,Références!$B$81,AZ27=3,Références!$B$82,AZ27=4,Références!$B$83,AZ27=5,Références!$B$84,AZ27=6,Références!$B$85,AZ27=7,Références!$B$86,AZ27=8,Références!$B$87,AZ27=9,Références!$B$88,AZ27=10,Références!$B$89,AZ27=11,Références!$B$90,AZ27=12,Références!$B$91)</f>
        <v>1</v>
      </c>
      <c r="BB27" s="46" t="s">
        <v>69</v>
      </c>
      <c r="BC27" s="51" cm="1">
        <f t="array" ref="BC27">_xlfn.IFS(BB27="Beam", -0.0000000868778*BA27^5-0.0000459619*BA27^4+0.00347366*BA27^3-0.0884721*BA27^2+0.510463*BA27+14.9932,BB27="Following",0.000652681*BA27^3-0.0356523*BA27^2+0.29714*BA27+15.2038,BB27="Head",-0.00000154449*BA27^5+0.0000797696*BA27^4+0.000148965*BA27^3-0.0570448*BA27^2+0.244115*BA27+15.0029)</f>
        <v>15.418618511222199</v>
      </c>
      <c r="BD27" s="67"/>
      <c r="BE27" s="72">
        <v>250</v>
      </c>
      <c r="BF27" s="73">
        <v>0</v>
      </c>
      <c r="BG27" s="74">
        <f t="shared" si="52"/>
        <v>15.418618511222199</v>
      </c>
      <c r="BH27" s="84">
        <f t="shared" si="53"/>
        <v>266.86861258239105</v>
      </c>
      <c r="BI27" s="110">
        <f t="shared" si="54"/>
        <v>266.86861258239105</v>
      </c>
      <c r="BJ27" s="67"/>
      <c r="BK27" s="18">
        <f t="shared" si="55"/>
        <v>145.03927340398511</v>
      </c>
      <c r="BL27" s="3">
        <f t="shared" si="56"/>
        <v>9</v>
      </c>
      <c r="BM27" s="22">
        <f t="shared" si="57"/>
        <v>0.375</v>
      </c>
      <c r="BN27" s="81">
        <f t="shared" si="58"/>
        <v>0.10072171764165633</v>
      </c>
      <c r="BO27" s="78">
        <f t="shared" si="59"/>
        <v>44952.392571635181</v>
      </c>
      <c r="BP27" s="121">
        <f>BP26+BN26</f>
        <v>44952.600904968516</v>
      </c>
      <c r="BQ27" s="86"/>
      <c r="BS27" s="3"/>
      <c r="BT27" s="14"/>
    </row>
    <row r="28" spans="1:172" x14ac:dyDescent="0.25">
      <c r="A28">
        <v>17</v>
      </c>
      <c r="B28" s="57">
        <v>41</v>
      </c>
      <c r="C28" s="58">
        <v>38.200000000000003</v>
      </c>
      <c r="D28" s="59" t="s">
        <v>56</v>
      </c>
      <c r="E28" s="58">
        <v>140</v>
      </c>
      <c r="F28" s="58">
        <v>52.64</v>
      </c>
      <c r="G28" s="60" t="s">
        <v>29</v>
      </c>
      <c r="H28">
        <f t="shared" si="13"/>
        <v>41.63666666666667</v>
      </c>
      <c r="I28" s="2">
        <f t="shared" si="14"/>
        <v>0.72669692288870569</v>
      </c>
      <c r="J28" s="2">
        <f t="shared" si="15"/>
        <v>-0.72669692288870569</v>
      </c>
      <c r="K28">
        <f t="shared" si="16"/>
        <v>140.87733333333333</v>
      </c>
      <c r="L28" s="2">
        <f t="shared" si="17"/>
        <v>2.4587733080962249</v>
      </c>
      <c r="M28" s="1">
        <f t="shared" si="18"/>
        <v>2736.9984912481782</v>
      </c>
      <c r="N28" s="5" cm="1">
        <f t="array" ref="N28">_xlfn.IFS(D28&lt;&gt;D29,M28+M29,M29-M28&lt;0,(M29-M28)*-1,M29-M28&gt;0,M29-M28)</f>
        <v>40.885112082165961</v>
      </c>
      <c r="O28">
        <f t="shared" si="19"/>
        <v>-30.795000000000073</v>
      </c>
      <c r="P28" s="1">
        <f t="shared" si="20"/>
        <v>30.795000000000073</v>
      </c>
      <c r="Q28" s="1">
        <f t="shared" si="21"/>
        <v>-63.353999999998898</v>
      </c>
      <c r="R28" s="1" cm="1">
        <f t="array" ref="R28">_xlfn.IFS(AND(G29="E",G29&lt;&gt;G28,L28+L29&gt;(RADIANS(180)),Q28&lt;0),Q28*-1,AND(G29="W",G29&lt;&gt;G28,L29+L28&gt;(RADIANS(180)),Q28&lt;0),Q28,AND(G29="E",G29&lt;&gt;G28,L29+L28&gt;(RADIANS(180)),Q28&gt;0),Q28,AND(G29="W",G29&lt;&gt;G28,L29+L28&gt;(RADIANS(180)),Q28&gt;0),Q28*-1,AND(G29="W",G29=G28,Q28&lt;0),Q28,AND(G29="W",G29=G28,Q28&gt;0),Q28,AND(G29="E",G29=G28,Q28&lt;0),Q28*-1,AND(G29="E",G29=G28,Q28&gt;0),Q28*-1,AND(G29="E",G29&lt;&gt;G28,Q28&gt;0),Q28*-1,AND(G29="E",G29&lt;&gt;G28,Q28&lt;0),Q28,AND(G29="W",G29&lt;&gt;G28,Q28&gt;0),Q28,AND(G29="W",G29&lt;&gt;G28,Q28&lt;0),Q28*-1)</f>
        <v>63.353999999998898</v>
      </c>
      <c r="S28" s="4">
        <f t="shared" si="22"/>
        <v>30.795000000000073</v>
      </c>
      <c r="T28" s="4">
        <f t="shared" si="23"/>
        <v>63.353999999998898</v>
      </c>
      <c r="U28">
        <f t="shared" si="24"/>
        <v>57.164074502966258</v>
      </c>
      <c r="V28" s="8">
        <f t="shared" si="25"/>
        <v>237.16407450296626</v>
      </c>
      <c r="W28" s="6">
        <f t="shared" si="26"/>
        <v>56.79270286006988</v>
      </c>
      <c r="X28">
        <f t="shared" si="27"/>
        <v>41.380041666666671</v>
      </c>
      <c r="Y28">
        <f t="shared" si="28"/>
        <v>47.537128079043242</v>
      </c>
      <c r="Z28">
        <f t="shared" si="29"/>
        <v>57.064452926385435</v>
      </c>
      <c r="AA28" s="7">
        <f t="shared" si="30"/>
        <v>237.06445292638543</v>
      </c>
      <c r="AB28" s="6">
        <f t="shared" si="31"/>
        <v>56.640185125080279</v>
      </c>
      <c r="AC28" s="1">
        <f t="shared" si="32"/>
        <v>57.414290997012074</v>
      </c>
      <c r="AD28" s="7">
        <f t="shared" si="33"/>
        <v>237.41429099701207</v>
      </c>
      <c r="AE28" s="6">
        <f t="shared" si="34"/>
        <v>56.639494391988222</v>
      </c>
      <c r="AF28" s="72" t="s">
        <v>102</v>
      </c>
      <c r="AG28" s="113" cm="1">
        <f t="array" ref="AG28">_xlfn.IFS(AH28=W28,V28,AH28=AB28,AA28,AH28=AE28,AD28)</f>
        <v>237.06445292638543</v>
      </c>
      <c r="AH28" s="88">
        <f t="shared" si="35"/>
        <v>56.640185125080279</v>
      </c>
      <c r="AI28">
        <f t="shared" si="36"/>
        <v>487.06445292638546</v>
      </c>
      <c r="AJ28" s="11">
        <f t="shared" si="37"/>
        <v>127.06445292638546</v>
      </c>
      <c r="AK28" s="11">
        <f t="shared" si="38"/>
        <v>37.064452926385457</v>
      </c>
      <c r="AL28" s="1">
        <f t="shared" si="39"/>
        <v>12.940579931920514</v>
      </c>
      <c r="AM28">
        <f t="shared" si="40"/>
        <v>8.3830297518367392</v>
      </c>
      <c r="AN28">
        <f t="shared" si="41"/>
        <v>0</v>
      </c>
      <c r="AO28">
        <f t="shared" si="42"/>
        <v>0</v>
      </c>
      <c r="AP28">
        <f t="shared" si="43"/>
        <v>237.06445292638543</v>
      </c>
      <c r="AQ28" s="12">
        <f t="shared" si="44"/>
        <v>-8.3830297518367392</v>
      </c>
      <c r="AR28" s="2">
        <f t="shared" si="45"/>
        <v>0</v>
      </c>
      <c r="AS28" s="2">
        <f t="shared" si="46"/>
        <v>-12.940579931920514</v>
      </c>
      <c r="AT28" s="2">
        <f t="shared" si="47"/>
        <v>0</v>
      </c>
      <c r="AU28">
        <f t="shared" si="48"/>
        <v>-8.3830297518367392</v>
      </c>
      <c r="AV28">
        <f t="shared" si="49"/>
        <v>-12.940579931920514</v>
      </c>
      <c r="AW28">
        <f t="shared" si="50"/>
        <v>57.064452926385435</v>
      </c>
      <c r="AX28">
        <f t="shared" si="51"/>
        <v>57.064452926385435</v>
      </c>
      <c r="AY28">
        <f t="shared" si="9"/>
        <v>0</v>
      </c>
      <c r="AZ28" s="50">
        <v>1</v>
      </c>
      <c r="BA28" s="46">
        <f>_xlfn.IFS(AZ28=1,Références!$B$80,AZ28=2,Références!$B$81,AZ28=3,Références!$B$82,AZ28=4,Références!$B$83,AZ28=5,Références!$B$84,AZ28=6,Références!$B$85,AZ28=7,Références!$B$86,AZ28=8,Références!$B$87,AZ28=9,Références!$B$88,AZ28=10,Références!$B$89,AZ28=11,Références!$B$90,AZ28=12,Références!$B$91)</f>
        <v>1</v>
      </c>
      <c r="BB28" s="46" t="s">
        <v>69</v>
      </c>
      <c r="BC28" s="51" cm="1">
        <f t="array" ref="BC28">_xlfn.IFS(BB28="Beam", -0.0000000868778*BA28^5-0.0000459619*BA28^4+0.00347366*BA28^3-0.0884721*BA28^2+0.510463*BA28+14.9932,BB28="Following",0.000652681*BA28^3-0.0356523*BA28^2+0.29714*BA28+15.2038,BB28="Head",-0.00000154449*BA28^5+0.0000797696*BA28^4+0.000148965*BA28^3-0.0570448*BA28^2+0.244115*BA28+15.0029)</f>
        <v>15.418618511222199</v>
      </c>
      <c r="BD28" s="67"/>
      <c r="BE28" s="72">
        <v>250</v>
      </c>
      <c r="BF28" s="73">
        <v>0</v>
      </c>
      <c r="BG28" s="74">
        <f t="shared" si="52"/>
        <v>15.418618511222199</v>
      </c>
      <c r="BH28" s="84">
        <f t="shared" si="53"/>
        <v>237.06445292638543</v>
      </c>
      <c r="BI28" s="110">
        <f t="shared" si="54"/>
        <v>237.06445292638543</v>
      </c>
      <c r="BJ28" s="67"/>
      <c r="BK28" s="18">
        <f t="shared" si="55"/>
        <v>220.40957203989041</v>
      </c>
      <c r="BL28" s="3">
        <f t="shared" si="56"/>
        <v>9</v>
      </c>
      <c r="BM28" s="22">
        <f t="shared" si="57"/>
        <v>0.375</v>
      </c>
      <c r="BN28" s="81">
        <f t="shared" si="58"/>
        <v>0.15306220280547944</v>
      </c>
      <c r="BO28" s="78">
        <f t="shared" si="59"/>
        <v>44952.493293352825</v>
      </c>
      <c r="BP28" s="121">
        <f>BP27+BN27</f>
        <v>44952.701626686161</v>
      </c>
      <c r="BS28" s="3"/>
      <c r="BT28" s="14"/>
    </row>
    <row r="29" spans="1:172" x14ac:dyDescent="0.25">
      <c r="A29">
        <v>18</v>
      </c>
      <c r="B29" s="57">
        <v>41</v>
      </c>
      <c r="C29" s="58">
        <v>7.4050000000000002</v>
      </c>
      <c r="D29" s="59" t="s">
        <v>56</v>
      </c>
      <c r="E29" s="58">
        <v>139</v>
      </c>
      <c r="F29" s="58">
        <v>49.286000000000001</v>
      </c>
      <c r="G29" s="60" t="s">
        <v>29</v>
      </c>
      <c r="H29">
        <f t="shared" si="13"/>
        <v>41.123416666666664</v>
      </c>
      <c r="I29" s="2">
        <f t="shared" si="14"/>
        <v>0.71773902050284477</v>
      </c>
      <c r="J29" s="2">
        <f t="shared" si="15"/>
        <v>-0.71773902050284477</v>
      </c>
      <c r="K29">
        <f t="shared" si="16"/>
        <v>139.82143333333335</v>
      </c>
      <c r="L29" s="2">
        <f t="shared" si="17"/>
        <v>2.440344376524417</v>
      </c>
      <c r="M29" s="1">
        <f t="shared" si="18"/>
        <v>2696.1133791660122</v>
      </c>
      <c r="N29" s="5" cm="1">
        <f t="array" ref="N29">_xlfn.IFS(D29&lt;&gt;D30,M29+M30,M30-M29&lt;0,(M30-M29)*-1,M30-M29&gt;0,M30-M29)</f>
        <v>18.471221515916113</v>
      </c>
      <c r="O29">
        <f t="shared" si="19"/>
        <v>13.943000000000334</v>
      </c>
      <c r="P29" s="1">
        <f t="shared" si="20"/>
        <v>-13.943000000000334</v>
      </c>
      <c r="Q29" s="1">
        <f t="shared" si="21"/>
        <v>-46.183000000000639</v>
      </c>
      <c r="R29" s="1" cm="1">
        <f t="array" ref="R29">_xlfn.IFS(AND(G30="E",G30&lt;&gt;G29,L29+L30&gt;(RADIANS(180)),Q29&lt;0),Q29*-1,AND(G30="W",G30&lt;&gt;G29,L30+L29&gt;(RADIANS(180)),Q29&lt;0),Q29,AND(G30="E",G30&lt;&gt;G29,L30+L29&gt;(RADIANS(180)),Q29&gt;0),Q29,AND(G30="W",G30&lt;&gt;G29,L30+L29&gt;(RADIANS(180)),Q29&gt;0),Q29*-1,AND(G30="W",G30=G29,Q29&lt;0),Q29,AND(G30="W",G30=G29,Q29&gt;0),Q29,AND(G30="E",G30=G29,Q29&lt;0),Q29*-1,AND(G30="E",G30=G29,Q29&gt;0),Q29*-1,AND(G30="E",G30&lt;&gt;G29,Q29&gt;0),Q29*-1,AND(G30="E",G30&lt;&gt;G29,Q29&lt;0),Q29,AND(G30="W",G30&lt;&gt;G29,Q29&gt;0),Q29,AND(G30="W",G30&lt;&gt;G29,Q29&lt;0),Q29*-1)</f>
        <v>46.183000000000639</v>
      </c>
      <c r="S29" s="4">
        <f t="shared" si="22"/>
        <v>13.943000000000334</v>
      </c>
      <c r="T29" s="4">
        <f t="shared" si="23"/>
        <v>46.183000000000639</v>
      </c>
      <c r="U29">
        <f t="shared" si="24"/>
        <v>68.200706541982527</v>
      </c>
      <c r="V29" s="8">
        <f t="shared" si="25"/>
        <v>291.79929345801747</v>
      </c>
      <c r="W29" s="6">
        <f t="shared" si="26"/>
        <v>37.546143082161102</v>
      </c>
      <c r="X29">
        <f t="shared" si="27"/>
        <v>41.239608333333337</v>
      </c>
      <c r="Y29">
        <f t="shared" si="28"/>
        <v>34.727740040563958</v>
      </c>
      <c r="Z29">
        <f t="shared" si="29"/>
        <v>68.124806070270438</v>
      </c>
      <c r="AA29" s="7">
        <f t="shared" si="30"/>
        <v>291.87519392972956</v>
      </c>
      <c r="AB29" s="6">
        <f t="shared" si="31"/>
        <v>37.422228385346052</v>
      </c>
      <c r="AC29" s="1">
        <f t="shared" si="32"/>
        <v>112.12858733530882</v>
      </c>
      <c r="AD29" s="7">
        <f t="shared" si="33"/>
        <v>292.12858733530879</v>
      </c>
      <c r="AE29" s="6">
        <f t="shared" si="34"/>
        <v>37.422050055587832</v>
      </c>
      <c r="AF29" s="72" t="s">
        <v>102</v>
      </c>
      <c r="AG29" s="113" cm="1">
        <f t="array" ref="AG29">_xlfn.IFS(AH29=W29,V29,AH29=AB29,AA29,AH29=AE29,AD29)</f>
        <v>291.87519392972956</v>
      </c>
      <c r="AH29" s="88">
        <f t="shared" si="35"/>
        <v>37.422228385346052</v>
      </c>
      <c r="AI29">
        <f t="shared" si="36"/>
        <v>541.87519392972956</v>
      </c>
      <c r="AJ29" s="11">
        <f t="shared" si="37"/>
        <v>181.87519392972956</v>
      </c>
      <c r="AK29" s="11">
        <f t="shared" si="38"/>
        <v>88.124806070270438</v>
      </c>
      <c r="AL29" s="1">
        <f t="shared" si="39"/>
        <v>14.30844176163564</v>
      </c>
      <c r="AM29">
        <f t="shared" si="40"/>
        <v>5.7447620619556607</v>
      </c>
      <c r="AN29">
        <f t="shared" si="41"/>
        <v>0</v>
      </c>
      <c r="AO29">
        <f t="shared" si="42"/>
        <v>0</v>
      </c>
      <c r="AP29">
        <f t="shared" si="43"/>
        <v>291.87519392972956</v>
      </c>
      <c r="AQ29" s="12">
        <f t="shared" si="44"/>
        <v>5.7447620619556607</v>
      </c>
      <c r="AR29" s="2">
        <f t="shared" si="45"/>
        <v>0</v>
      </c>
      <c r="AS29" s="2">
        <f t="shared" si="46"/>
        <v>-14.30844176163564</v>
      </c>
      <c r="AT29" s="2">
        <f t="shared" si="47"/>
        <v>0</v>
      </c>
      <c r="AU29">
        <f t="shared" si="48"/>
        <v>5.7447620619556607</v>
      </c>
      <c r="AV29">
        <f t="shared" si="49"/>
        <v>-14.30844176163564</v>
      </c>
      <c r="AW29">
        <f t="shared" si="50"/>
        <v>-68.124806070270452</v>
      </c>
      <c r="AX29">
        <f t="shared" si="51"/>
        <v>68.124806070270452</v>
      </c>
      <c r="AY29">
        <f t="shared" si="9"/>
        <v>0</v>
      </c>
      <c r="AZ29" s="50">
        <v>1</v>
      </c>
      <c r="BA29" s="46">
        <f>_xlfn.IFS(AZ29=1,Références!$B$80,AZ29=2,Références!$B$81,AZ29=3,Références!$B$82,AZ29=4,Références!$B$83,AZ29=5,Références!$B$84,AZ29=6,Références!$B$85,AZ29=7,Références!$B$86,AZ29=8,Références!$B$87,AZ29=9,Références!$B$88,AZ29=10,Références!$B$89,AZ29=11,Références!$B$90,AZ29=12,Références!$B$91)</f>
        <v>1</v>
      </c>
      <c r="BB29" s="46" t="s">
        <v>69</v>
      </c>
      <c r="BC29" s="51" cm="1">
        <f t="array" ref="BC29">_xlfn.IFS(BB29="Beam", -0.0000000868778*BA29^5-0.0000459619*BA29^4+0.00347366*BA29^3-0.0884721*BA29^2+0.510463*BA29+14.9932,BB29="Following",0.000652681*BA29^3-0.0356523*BA29^2+0.29714*BA29+15.2038,BB29="Head",-0.00000154449*BA29^5+0.0000797696*BA29^4+0.000148965*BA29^3-0.0570448*BA29^2+0.244115*BA29+15.0029)</f>
        <v>15.418618511222199</v>
      </c>
      <c r="BD29" s="67"/>
      <c r="BE29" s="72">
        <v>250</v>
      </c>
      <c r="BF29" s="73">
        <v>0</v>
      </c>
      <c r="BG29" s="74">
        <f t="shared" si="52"/>
        <v>15.418618511222199</v>
      </c>
      <c r="BH29" s="84">
        <f t="shared" si="53"/>
        <v>291.87519392972956</v>
      </c>
      <c r="BI29" s="110">
        <f t="shared" si="54"/>
        <v>291.87519392972956</v>
      </c>
      <c r="BJ29" s="67"/>
      <c r="BK29" s="18">
        <f t="shared" si="55"/>
        <v>145.62483023278202</v>
      </c>
      <c r="BL29" s="3">
        <f t="shared" si="56"/>
        <v>9</v>
      </c>
      <c r="BM29" s="22">
        <f t="shared" si="57"/>
        <v>0.375</v>
      </c>
      <c r="BN29" s="81">
        <f t="shared" si="58"/>
        <v>0.10112835432832085</v>
      </c>
      <c r="BO29" s="78">
        <f t="shared" si="59"/>
        <v>44952.646355555633</v>
      </c>
      <c r="BP29" s="121">
        <f>BP28+BN28</f>
        <v>44952.854688888969</v>
      </c>
      <c r="BS29" s="3"/>
      <c r="BT29" s="14"/>
    </row>
    <row r="30" spans="1:172" x14ac:dyDescent="0.25">
      <c r="A30">
        <v>19</v>
      </c>
      <c r="B30" s="57">
        <v>41</v>
      </c>
      <c r="C30" s="58">
        <v>21.347999999999999</v>
      </c>
      <c r="D30" s="59" t="s">
        <v>56</v>
      </c>
      <c r="E30" s="58">
        <v>139</v>
      </c>
      <c r="F30" s="58">
        <v>3.1030000000000002</v>
      </c>
      <c r="G30" s="60" t="s">
        <v>29</v>
      </c>
      <c r="H30">
        <f t="shared" si="13"/>
        <v>41.355800000000002</v>
      </c>
      <c r="I30" s="2">
        <f t="shared" si="14"/>
        <v>0.72179487479627102</v>
      </c>
      <c r="J30" s="2">
        <f t="shared" si="15"/>
        <v>-0.72179487479627102</v>
      </c>
      <c r="K30">
        <f t="shared" si="16"/>
        <v>139.05171666666666</v>
      </c>
      <c r="L30" s="2">
        <f t="shared" si="17"/>
        <v>2.4269102863836078</v>
      </c>
      <c r="M30" s="1">
        <f t="shared" si="18"/>
        <v>2714.5846006819284</v>
      </c>
      <c r="N30" s="5" cm="1">
        <f t="array" ref="N30">_xlfn.IFS(D30&lt;&gt;D31,M30+M31,M31-M30&lt;0,(M31-M30)*-1,M31-M30&gt;0,M31-M30)</f>
        <v>7.3140026524170025</v>
      </c>
      <c r="O30">
        <f t="shared" si="19"/>
        <v>-5.5150000000003185</v>
      </c>
      <c r="P30" s="1">
        <f t="shared" si="20"/>
        <v>5.5150000000003185</v>
      </c>
      <c r="Q30" s="1">
        <f t="shared" si="21"/>
        <v>3.8349999999997357</v>
      </c>
      <c r="R30" s="1" cm="1">
        <f t="array" ref="R30">_xlfn.IFS(AND(G31="E",G31&lt;&gt;G30,L30+L31&gt;(RADIANS(180)),Q30&lt;0),Q30*-1,AND(G31="W",G31&lt;&gt;G30,L31+L30&gt;(RADIANS(180)),Q30&lt;0),Q30,AND(G31="E",G31&lt;&gt;G30,L31+L30&gt;(RADIANS(180)),Q30&gt;0),Q30,AND(G31="W",G31&lt;&gt;G30,L31+L30&gt;(RADIANS(180)),Q30&gt;0),Q30*-1,AND(G31="W",G31=G30,Q30&lt;0),Q30,AND(G31="W",G31=G30,Q30&gt;0),Q30,AND(G31="E",G31=G30,Q30&lt;0),Q30*-1,AND(G31="E",G31=G30,Q30&gt;0),Q30*-1,AND(G31="E",G31&lt;&gt;G30,Q30&gt;0),Q30*-1,AND(G31="E",G31&lt;&gt;G30,Q30&lt;0),Q30,AND(G31="W",G31&lt;&gt;G30,Q30&gt;0),Q30,AND(G31="W",G31&lt;&gt;G30,Q30&lt;0),Q30*-1)</f>
        <v>-3.8349999999997357</v>
      </c>
      <c r="S30" s="4">
        <f t="shared" si="22"/>
        <v>5.5150000000003185</v>
      </c>
      <c r="T30" s="4">
        <f t="shared" si="23"/>
        <v>3.8349999999997357</v>
      </c>
      <c r="U30">
        <f t="shared" si="24"/>
        <v>27.669671903513176</v>
      </c>
      <c r="V30" s="8">
        <f t="shared" si="25"/>
        <v>152.33032809648682</v>
      </c>
      <c r="W30" s="6">
        <f t="shared" si="26"/>
        <v>6.2271383129931985</v>
      </c>
      <c r="X30">
        <f t="shared" si="27"/>
        <v>41.309841666666671</v>
      </c>
      <c r="Y30">
        <f t="shared" si="28"/>
        <v>2.8806631426370162</v>
      </c>
      <c r="Z30">
        <f t="shared" si="29"/>
        <v>27.579523420850915</v>
      </c>
      <c r="AA30" s="7">
        <f t="shared" si="30"/>
        <v>152.4204765791491</v>
      </c>
      <c r="AB30" s="6">
        <f t="shared" si="31"/>
        <v>6.2220129493075538</v>
      </c>
      <c r="AC30" s="1">
        <f t="shared" si="32"/>
        <v>27.600625065998742</v>
      </c>
      <c r="AD30" s="7">
        <f t="shared" si="33"/>
        <v>152.39937493400126</v>
      </c>
      <c r="AE30" s="6">
        <f t="shared" si="34"/>
        <v>6.2220124448065119</v>
      </c>
      <c r="AF30" s="72" t="s">
        <v>102</v>
      </c>
      <c r="AG30" s="113" cm="1">
        <f t="array" ref="AG30">_xlfn.IFS(AH30=W30,V30,AH30=AB30,AA30,AH30=AE30,AD30)</f>
        <v>152.4204765791491</v>
      </c>
      <c r="AH30" s="88">
        <f t="shared" si="35"/>
        <v>6.2220129493075538</v>
      </c>
      <c r="AI30">
        <f t="shared" si="36"/>
        <v>402.42047657914907</v>
      </c>
      <c r="AJ30" s="11">
        <f t="shared" si="37"/>
        <v>42.420476579149067</v>
      </c>
      <c r="AK30" s="11">
        <f t="shared" si="38"/>
        <v>47.579523420850933</v>
      </c>
      <c r="AL30" s="1">
        <f t="shared" si="39"/>
        <v>7.1385010634864781</v>
      </c>
      <c r="AM30">
        <f t="shared" si="40"/>
        <v>13.666586968267033</v>
      </c>
      <c r="AN30">
        <f t="shared" si="41"/>
        <v>0</v>
      </c>
      <c r="AO30">
        <f t="shared" si="42"/>
        <v>0</v>
      </c>
      <c r="AP30">
        <f t="shared" si="43"/>
        <v>152.4204765791491</v>
      </c>
      <c r="AQ30" s="12">
        <f t="shared" si="44"/>
        <v>-13.666586968267033</v>
      </c>
      <c r="AR30" s="2">
        <f t="shared" si="45"/>
        <v>0</v>
      </c>
      <c r="AS30" s="2">
        <f t="shared" si="46"/>
        <v>7.1385010634864781</v>
      </c>
      <c r="AT30" s="2">
        <f t="shared" si="47"/>
        <v>0</v>
      </c>
      <c r="AU30">
        <f t="shared" si="48"/>
        <v>-13.666586968267033</v>
      </c>
      <c r="AV30">
        <f t="shared" si="49"/>
        <v>7.1385010634864781</v>
      </c>
      <c r="AW30">
        <f t="shared" si="50"/>
        <v>-27.579523420850908</v>
      </c>
      <c r="AX30">
        <f t="shared" si="51"/>
        <v>27.579523420850908</v>
      </c>
      <c r="AY30">
        <f t="shared" si="9"/>
        <v>0</v>
      </c>
      <c r="AZ30" s="50">
        <v>1</v>
      </c>
      <c r="BA30" s="46">
        <f>_xlfn.IFS(AZ30=1,Références!$B$80,AZ30=2,Références!$B$81,AZ30=3,Références!$B$82,AZ30=4,Références!$B$83,AZ30=5,Références!$B$84,AZ30=6,Références!$B$85,AZ30=7,Références!$B$86,AZ30=8,Références!$B$87,AZ30=9,Références!$B$88,AZ30=10,Références!$B$89,AZ30=11,Références!$B$90,AZ30=12,Références!$B$91)</f>
        <v>1</v>
      </c>
      <c r="BB30" s="46" t="s">
        <v>69</v>
      </c>
      <c r="BC30" s="51" cm="1">
        <f t="array" ref="BC30">_xlfn.IFS(BB30="Beam", -0.0000000868778*BA30^5-0.0000459619*BA30^4+0.00347366*BA30^3-0.0884721*BA30^2+0.510463*BA30+14.9932,BB30="Following",0.000652681*BA30^3-0.0356523*BA30^2+0.29714*BA30+15.2038,BB30="Head",-0.00000154449*BA30^5+0.0000797696*BA30^4+0.000148965*BA30^3-0.0570448*BA30^2+0.244115*BA30+15.0029)</f>
        <v>15.418618511222199</v>
      </c>
      <c r="BD30" s="67"/>
      <c r="BE30" s="72">
        <v>250</v>
      </c>
      <c r="BF30" s="73">
        <v>0</v>
      </c>
      <c r="BG30" s="74">
        <f t="shared" si="52"/>
        <v>15.418618511222199</v>
      </c>
      <c r="BH30" s="84">
        <f t="shared" si="53"/>
        <v>152.4204765791491</v>
      </c>
      <c r="BI30" s="110">
        <f t="shared" si="54"/>
        <v>152.4204765791491</v>
      </c>
      <c r="BJ30" s="67"/>
      <c r="BK30" s="18">
        <f t="shared" si="55"/>
        <v>24.212336318376227</v>
      </c>
      <c r="BL30" s="3">
        <f t="shared" si="56"/>
        <v>9</v>
      </c>
      <c r="BM30" s="22">
        <f t="shared" si="57"/>
        <v>0.375</v>
      </c>
      <c r="BN30" s="81">
        <f t="shared" si="58"/>
        <v>1.6814122443316825E-2</v>
      </c>
      <c r="BO30" s="78">
        <f t="shared" si="59"/>
        <v>44952.74748390996</v>
      </c>
      <c r="BP30" s="121">
        <f>BP29+BN29</f>
        <v>44952.955817243295</v>
      </c>
      <c r="BS30" s="3"/>
      <c r="BT30" s="14"/>
    </row>
    <row r="31" spans="1:172" x14ac:dyDescent="0.25">
      <c r="A31">
        <v>20</v>
      </c>
      <c r="B31" s="57">
        <v>41</v>
      </c>
      <c r="C31" s="58">
        <v>15.833</v>
      </c>
      <c r="D31" s="59" t="s">
        <v>56</v>
      </c>
      <c r="E31" s="58">
        <v>139</v>
      </c>
      <c r="F31" s="58">
        <v>6.9379999999999997</v>
      </c>
      <c r="G31" s="60" t="s">
        <v>29</v>
      </c>
      <c r="H31">
        <f t="shared" si="13"/>
        <v>41.263883333333332</v>
      </c>
      <c r="I31" s="2">
        <f t="shared" si="14"/>
        <v>0.72019062632547948</v>
      </c>
      <c r="J31" s="2">
        <f t="shared" si="15"/>
        <v>-0.72019062632547948</v>
      </c>
      <c r="K31">
        <f t="shared" si="16"/>
        <v>139.11563333333334</v>
      </c>
      <c r="L31" s="2">
        <f t="shared" si="17"/>
        <v>2.4280258426638408</v>
      </c>
      <c r="M31" s="1">
        <f t="shared" si="18"/>
        <v>2707.2705980295113</v>
      </c>
      <c r="N31" s="5" cm="1">
        <f t="array" ref="N31">_xlfn.IFS(D31&lt;&gt;D32,M31+M32,M32-M31&lt;0,(M32-M31)*-1,M32-M31&gt;0,M32-M31)</f>
        <v>42.53497204857922</v>
      </c>
      <c r="O31">
        <f t="shared" si="19"/>
        <v>31.962999999999923</v>
      </c>
      <c r="P31" s="1">
        <f t="shared" si="20"/>
        <v>-31.962999999999923</v>
      </c>
      <c r="Q31" s="1">
        <f t="shared" si="21"/>
        <v>26.468999999999436</v>
      </c>
      <c r="R31" s="1" cm="1">
        <f t="array" ref="R31">_xlfn.IFS(AND(G32="E",G32&lt;&gt;G31,L31+L32&gt;(RADIANS(180)),Q31&lt;0),Q31*-1,AND(G32="W",G32&lt;&gt;G31,L32+L31&gt;(RADIANS(180)),Q31&lt;0),Q31,AND(G32="E",G32&lt;&gt;G31,L32+L31&gt;(RADIANS(180)),Q31&gt;0),Q31,AND(G32="W",G32&lt;&gt;G31,L32+L31&gt;(RADIANS(180)),Q31&gt;0),Q31*-1,AND(G32="W",G32=G31,Q31&lt;0),Q31,AND(G32="W",G32=G31,Q31&gt;0),Q31,AND(G32="E",G32=G31,Q31&lt;0),Q31*-1,AND(G32="E",G32=G31,Q31&gt;0),Q31*-1,AND(G32="E",G32&lt;&gt;G31,Q31&gt;0),Q31*-1,AND(G32="E",G32&lt;&gt;G31,Q31&lt;0),Q31,AND(G32="W",G32&lt;&gt;G31,Q31&gt;0),Q31,AND(G32="W",G32&lt;&gt;G31,Q31&lt;0),Q31*-1)</f>
        <v>-26.468999999999436</v>
      </c>
      <c r="S31" s="4">
        <f t="shared" si="22"/>
        <v>31.962999999999923</v>
      </c>
      <c r="T31" s="4">
        <f t="shared" si="23"/>
        <v>26.468999999999436</v>
      </c>
      <c r="U31">
        <f t="shared" si="24"/>
        <v>31.893506022545886</v>
      </c>
      <c r="V31" s="8">
        <f t="shared" si="25"/>
        <v>31.893506022545886</v>
      </c>
      <c r="W31" s="6">
        <f t="shared" si="26"/>
        <v>37.646420817963424</v>
      </c>
      <c r="X31">
        <f t="shared" si="27"/>
        <v>41.530241666666669</v>
      </c>
      <c r="Y31">
        <f t="shared" si="28"/>
        <v>19.814848894314849</v>
      </c>
      <c r="Z31">
        <f t="shared" si="29"/>
        <v>31.79604972465129</v>
      </c>
      <c r="AA31" s="7">
        <f t="shared" si="30"/>
        <v>31.79604972465129</v>
      </c>
      <c r="AB31" s="6">
        <f t="shared" si="31"/>
        <v>37.606669697070032</v>
      </c>
      <c r="AC31" s="1">
        <f t="shared" si="32"/>
        <v>148.34997767334218</v>
      </c>
      <c r="AD31" s="7">
        <f t="shared" si="33"/>
        <v>31.650022326657819</v>
      </c>
      <c r="AE31" s="6">
        <f t="shared" si="34"/>
        <v>37.606532259828448</v>
      </c>
      <c r="AF31" s="72" t="s">
        <v>102</v>
      </c>
      <c r="AG31" s="113" cm="1">
        <f t="array" ref="AG31">_xlfn.IFS(AH31=W31,V31,AH31=AB31,AA31,AH31=AE31,AD31)</f>
        <v>31.79604972465129</v>
      </c>
      <c r="AH31" s="88">
        <f t="shared" si="35"/>
        <v>37.606669697070032</v>
      </c>
      <c r="AI31">
        <f t="shared" si="36"/>
        <v>281.79604972465131</v>
      </c>
      <c r="AJ31" s="11">
        <f t="shared" si="37"/>
        <v>281.79604972465131</v>
      </c>
      <c r="AK31" s="11">
        <f t="shared" si="38"/>
        <v>11.796049724651311</v>
      </c>
      <c r="AL31" s="1">
        <f t="shared" si="39"/>
        <v>8.1240268925689225</v>
      </c>
      <c r="AM31">
        <f t="shared" si="40"/>
        <v>13.104731353347951</v>
      </c>
      <c r="AN31">
        <f t="shared" si="41"/>
        <v>0</v>
      </c>
      <c r="AO31">
        <f t="shared" si="42"/>
        <v>0</v>
      </c>
      <c r="AP31">
        <f t="shared" si="43"/>
        <v>31.79604972465129</v>
      </c>
      <c r="AQ31" s="12">
        <f t="shared" si="44"/>
        <v>13.104731353347951</v>
      </c>
      <c r="AR31" s="2">
        <f t="shared" si="45"/>
        <v>0</v>
      </c>
      <c r="AS31" s="2">
        <f t="shared" si="46"/>
        <v>8.1240268925689225</v>
      </c>
      <c r="AT31" s="2">
        <f t="shared" si="47"/>
        <v>0</v>
      </c>
      <c r="AU31">
        <f t="shared" si="48"/>
        <v>13.104731353347951</v>
      </c>
      <c r="AV31">
        <f t="shared" si="49"/>
        <v>8.1240268925689225</v>
      </c>
      <c r="AW31">
        <f t="shared" si="50"/>
        <v>31.796049724651294</v>
      </c>
      <c r="AX31">
        <f t="shared" si="51"/>
        <v>31.796049724651294</v>
      </c>
      <c r="AY31">
        <f t="shared" si="9"/>
        <v>3.5527136788005009E-15</v>
      </c>
      <c r="AZ31" s="50">
        <v>1</v>
      </c>
      <c r="BA31" s="46">
        <f>_xlfn.IFS(AZ31=1,Références!$B$80,AZ31=2,Références!$B$81,AZ31=3,Références!$B$82,AZ31=4,Références!$B$83,AZ31=5,Références!$B$84,AZ31=6,Références!$B$85,AZ31=7,Références!$B$86,AZ31=8,Références!$B$87,AZ31=9,Références!$B$88,AZ31=10,Références!$B$89,AZ31=11,Références!$B$90,AZ31=12,Références!$B$91)</f>
        <v>1</v>
      </c>
      <c r="BB31" s="46" t="s">
        <v>69</v>
      </c>
      <c r="BC31" s="51" cm="1">
        <f t="array" ref="BC31">_xlfn.IFS(BB31="Beam", -0.0000000868778*BA31^5-0.0000459619*BA31^4+0.00347366*BA31^3-0.0884721*BA31^2+0.510463*BA31+14.9932,BB31="Following",0.000652681*BA31^3-0.0356523*BA31^2+0.29714*BA31+15.2038,BB31="Head",-0.00000154449*BA31^5+0.0000797696*BA31^4+0.000148965*BA31^3-0.0570448*BA31^2+0.244115*BA31+15.0029)</f>
        <v>15.418618511222199</v>
      </c>
      <c r="BD31" s="67"/>
      <c r="BE31" s="72">
        <v>250</v>
      </c>
      <c r="BF31" s="73">
        <v>0</v>
      </c>
      <c r="BG31" s="74">
        <f t="shared" si="52"/>
        <v>15.418618511222199</v>
      </c>
      <c r="BH31" s="84">
        <f t="shared" si="53"/>
        <v>31.796049724651294</v>
      </c>
      <c r="BI31" s="110">
        <f t="shared" si="54"/>
        <v>31.796049724651287</v>
      </c>
      <c r="BJ31" s="67"/>
      <c r="BK31" s="18">
        <f t="shared" si="55"/>
        <v>146.34256500878575</v>
      </c>
      <c r="BL31" s="3">
        <f t="shared" si="56"/>
        <v>9</v>
      </c>
      <c r="BM31" s="22">
        <f t="shared" si="57"/>
        <v>0.375</v>
      </c>
      <c r="BN31" s="81">
        <f t="shared" si="58"/>
        <v>0.10162678125610122</v>
      </c>
      <c r="BO31" s="78">
        <f t="shared" si="59"/>
        <v>44952.764298032402</v>
      </c>
      <c r="BP31" s="121">
        <f>BP30+BN30</f>
        <v>44952.972631365737</v>
      </c>
      <c r="BS31" s="3"/>
      <c r="BT31" s="14"/>
    </row>
    <row r="32" spans="1:172" x14ac:dyDescent="0.25">
      <c r="A32">
        <v>21</v>
      </c>
      <c r="B32" s="57">
        <v>41</v>
      </c>
      <c r="C32" s="58">
        <v>47.795999999999999</v>
      </c>
      <c r="D32" s="59" t="s">
        <v>56</v>
      </c>
      <c r="E32" s="58">
        <v>139</v>
      </c>
      <c r="F32" s="58">
        <v>33.406999999999996</v>
      </c>
      <c r="G32" s="60" t="s">
        <v>29</v>
      </c>
      <c r="H32">
        <f t="shared" si="13"/>
        <v>41.796599999999998</v>
      </c>
      <c r="I32" s="2">
        <f t="shared" si="14"/>
        <v>0.72948828613906191</v>
      </c>
      <c r="J32" s="2">
        <f t="shared" si="15"/>
        <v>-0.72948828613906191</v>
      </c>
      <c r="K32">
        <f t="shared" si="16"/>
        <v>139.55678333333333</v>
      </c>
      <c r="L32" s="2">
        <f t="shared" si="17"/>
        <v>2.4357253626590136</v>
      </c>
      <c r="M32" s="1">
        <f t="shared" si="18"/>
        <v>2749.8055700780906</v>
      </c>
      <c r="N32" s="5" cm="1">
        <f t="array" ref="N32">_xlfn.IFS(D32&lt;&gt;D33,M32+M33,M33-M32&lt;0,(M33-M32)*-1,M33-M32&gt;0,M33-M32)</f>
        <v>22.34348934839818</v>
      </c>
      <c r="O32">
        <f t="shared" si="19"/>
        <v>-16.756999999999792</v>
      </c>
      <c r="P32" s="1">
        <f t="shared" si="20"/>
        <v>16.756999999999792</v>
      </c>
      <c r="Q32" s="1">
        <f t="shared" si="21"/>
        <v>34.638999999999896</v>
      </c>
      <c r="R32" s="1" cm="1">
        <f t="array" ref="R32">_xlfn.IFS(AND(G33="E",G33&lt;&gt;G32,L32+L33&gt;(RADIANS(180)),Q32&lt;0),Q32*-1,AND(G33="W",G33&lt;&gt;G32,L33+L32&gt;(RADIANS(180)),Q32&lt;0),Q32,AND(G33="E",G33&lt;&gt;G32,L33+L32&gt;(RADIANS(180)),Q32&gt;0),Q32,AND(G33="W",G33&lt;&gt;G32,L33+L32&gt;(RADIANS(180)),Q32&gt;0),Q32*-1,AND(G33="W",G33=G32,Q32&lt;0),Q32,AND(G33="W",G33=G32,Q32&gt;0),Q32,AND(G33="E",G33=G32,Q32&lt;0),Q32*-1,AND(G33="E",G33=G32,Q32&gt;0),Q32*-1,AND(G33="E",G33&lt;&gt;G32,Q32&gt;0),Q32*-1,AND(G33="E",G33&lt;&gt;G32,Q32&lt;0),Q32,AND(G33="W",G33&lt;&gt;G32,Q32&gt;0),Q32,AND(G33="W",G33&lt;&gt;G32,Q32&lt;0),Q32*-1)</f>
        <v>-34.638999999999896</v>
      </c>
      <c r="S32" s="4">
        <f t="shared" si="22"/>
        <v>16.756999999999792</v>
      </c>
      <c r="T32" s="4">
        <f t="shared" si="23"/>
        <v>34.638999999999896</v>
      </c>
      <c r="U32">
        <f t="shared" si="24"/>
        <v>57.176425275990773</v>
      </c>
      <c r="V32" s="8">
        <f t="shared" si="25"/>
        <v>122.82357472400923</v>
      </c>
      <c r="W32" s="6">
        <f t="shared" si="26"/>
        <v>30.913892986784798</v>
      </c>
      <c r="X32">
        <f t="shared" si="27"/>
        <v>41.656958333333336</v>
      </c>
      <c r="Y32">
        <f t="shared" si="28"/>
        <v>25.880102967352169</v>
      </c>
      <c r="Z32">
        <f t="shared" si="29"/>
        <v>57.077515045254529</v>
      </c>
      <c r="AA32" s="7">
        <f t="shared" si="30"/>
        <v>122.92248495474547</v>
      </c>
      <c r="AB32" s="6">
        <f t="shared" si="31"/>
        <v>30.831425179526544</v>
      </c>
      <c r="AC32" s="1">
        <f t="shared" si="32"/>
        <v>57.269625882591754</v>
      </c>
      <c r="AD32" s="7">
        <f t="shared" si="33"/>
        <v>122.73037411740825</v>
      </c>
      <c r="AE32" s="6">
        <f t="shared" si="34"/>
        <v>30.83131201031285</v>
      </c>
      <c r="AF32" s="72" t="s">
        <v>102</v>
      </c>
      <c r="AG32" s="113" cm="1">
        <f t="array" ref="AG32">_xlfn.IFS(AH32=W32,V32,AH32=AB32,AA32,AH32=AE32,AD32)</f>
        <v>122.92248495474547</v>
      </c>
      <c r="AH32" s="88">
        <f t="shared" si="35"/>
        <v>30.831425179526544</v>
      </c>
      <c r="AI32">
        <f t="shared" si="36"/>
        <v>372.92248495474547</v>
      </c>
      <c r="AJ32" s="11">
        <f t="shared" si="37"/>
        <v>12.922484954745471</v>
      </c>
      <c r="AK32" s="11">
        <f t="shared" si="38"/>
        <v>77.077515045254529</v>
      </c>
      <c r="AL32" s="1">
        <f t="shared" si="39"/>
        <v>12.942490733439406</v>
      </c>
      <c r="AM32">
        <f t="shared" si="40"/>
        <v>8.3800793796621615</v>
      </c>
      <c r="AN32">
        <f t="shared" si="41"/>
        <v>0</v>
      </c>
      <c r="AO32">
        <f t="shared" si="42"/>
        <v>0</v>
      </c>
      <c r="AP32">
        <f t="shared" si="43"/>
        <v>122.92248495474547</v>
      </c>
      <c r="AQ32" s="12">
        <f t="shared" si="44"/>
        <v>-8.3800793796621615</v>
      </c>
      <c r="AR32" s="2">
        <f t="shared" si="45"/>
        <v>0</v>
      </c>
      <c r="AS32" s="2">
        <f t="shared" si="46"/>
        <v>12.942490733439406</v>
      </c>
      <c r="AT32" s="2">
        <f t="shared" si="47"/>
        <v>0</v>
      </c>
      <c r="AU32">
        <f t="shared" si="48"/>
        <v>-8.3800793796621615</v>
      </c>
      <c r="AV32">
        <f t="shared" si="49"/>
        <v>12.942490733439406</v>
      </c>
      <c r="AW32">
        <f t="shared" si="50"/>
        <v>-57.077515045254536</v>
      </c>
      <c r="AX32">
        <f t="shared" si="51"/>
        <v>57.077515045254536</v>
      </c>
      <c r="AY32">
        <f t="shared" si="9"/>
        <v>0</v>
      </c>
      <c r="AZ32" s="50">
        <v>1</v>
      </c>
      <c r="BA32" s="46">
        <f>_xlfn.IFS(AZ32=1,Références!$B$80,AZ32=2,Références!$B$81,AZ32=3,Références!$B$82,AZ32=4,Références!$B$83,AZ32=5,Références!$B$84,AZ32=6,Références!$B$85,AZ32=7,Références!$B$86,AZ32=8,Références!$B$87,AZ32=9,Références!$B$88,AZ32=10,Références!$B$89,AZ32=11,Références!$B$90,AZ32=12,Références!$B$91)</f>
        <v>1</v>
      </c>
      <c r="BB32" s="46" t="s">
        <v>69</v>
      </c>
      <c r="BC32" s="51" cm="1">
        <f t="array" ref="BC32">_xlfn.IFS(BB32="Beam", -0.0000000868778*BA32^5-0.0000459619*BA32^4+0.00347366*BA32^3-0.0884721*BA32^2+0.510463*BA32+14.9932,BB32="Following",0.000652681*BA32^3-0.0356523*BA32^2+0.29714*BA32+15.2038,BB32="Head",-0.00000154449*BA32^5+0.0000797696*BA32^4+0.000148965*BA32^3-0.0570448*BA32^2+0.244115*BA32+15.0029)</f>
        <v>15.418618511222199</v>
      </c>
      <c r="BD32" s="67"/>
      <c r="BE32" s="72">
        <v>250</v>
      </c>
      <c r="BF32" s="73">
        <v>0</v>
      </c>
      <c r="BG32" s="74">
        <f t="shared" si="52"/>
        <v>15.418618511222199</v>
      </c>
      <c r="BH32" s="84">
        <f t="shared" si="53"/>
        <v>122.92248495474547</v>
      </c>
      <c r="BI32" s="110">
        <f t="shared" si="54"/>
        <v>122.92248495474547</v>
      </c>
      <c r="BJ32" s="67"/>
      <c r="BK32" s="18">
        <f t="shared" si="55"/>
        <v>119.97738379902081</v>
      </c>
      <c r="BL32" s="3">
        <f t="shared" si="56"/>
        <v>9</v>
      </c>
      <c r="BM32" s="22">
        <f t="shared" si="57"/>
        <v>0.375</v>
      </c>
      <c r="BN32" s="81">
        <f t="shared" si="58"/>
        <v>8.3317627638208894E-2</v>
      </c>
      <c r="BO32" s="78">
        <f t="shared" si="59"/>
        <v>44952.865924813661</v>
      </c>
      <c r="BP32" s="121">
        <f>BP31+BN31</f>
        <v>44953.074258146997</v>
      </c>
      <c r="BS32" s="3"/>
      <c r="BT32" s="14"/>
    </row>
    <row r="33" spans="1:72" x14ac:dyDescent="0.25">
      <c r="A33">
        <v>22</v>
      </c>
      <c r="B33" s="57">
        <v>41</v>
      </c>
      <c r="C33" s="58">
        <v>31.039000000000001</v>
      </c>
      <c r="D33" s="59" t="s">
        <v>56</v>
      </c>
      <c r="E33" s="58">
        <v>140</v>
      </c>
      <c r="F33" s="58">
        <v>8.0459999999999994</v>
      </c>
      <c r="G33" s="60" t="s">
        <v>29</v>
      </c>
      <c r="H33">
        <f t="shared" si="13"/>
        <v>41.517316666666666</v>
      </c>
      <c r="I33" s="2">
        <f t="shared" si="14"/>
        <v>0.72461387242645048</v>
      </c>
      <c r="J33" s="2">
        <f t="shared" si="15"/>
        <v>-0.72461387242645048</v>
      </c>
      <c r="K33">
        <f t="shared" si="16"/>
        <v>140.13409999999999</v>
      </c>
      <c r="L33" s="2">
        <f t="shared" si="17"/>
        <v>2.4458014393189855</v>
      </c>
      <c r="M33" s="1">
        <f t="shared" si="18"/>
        <v>2727.4620807296924</v>
      </c>
      <c r="N33" s="5" cm="1">
        <f t="array" ref="N33">_xlfn.IFS(D33&lt;&gt;D34,M33+M34,M34-M33&lt;0,(M34-M33)*-1,M34-M33&gt;0,M34-M33)</f>
        <v>0.42710070647035536</v>
      </c>
      <c r="O33">
        <f t="shared" si="19"/>
        <v>0.3209999999998121</v>
      </c>
      <c r="P33" s="1">
        <f t="shared" si="20"/>
        <v>-0.3209999999998121</v>
      </c>
      <c r="Q33" s="1">
        <f t="shared" si="21"/>
        <v>22.331000000000071</v>
      </c>
      <c r="R33" s="1" cm="1">
        <f t="array" ref="R33">_xlfn.IFS(AND(G34="E",G34&lt;&gt;G33,L33+L34&gt;(RADIANS(180)),Q33&lt;0),Q33*-1,AND(G34="W",G34&lt;&gt;G33,L34+L33&gt;(RADIANS(180)),Q33&lt;0),Q33,AND(G34="E",G34&lt;&gt;G33,L34+L33&gt;(RADIANS(180)),Q33&gt;0),Q33,AND(G34="W",G34&lt;&gt;G33,L34+L33&gt;(RADIANS(180)),Q33&gt;0),Q33*-1,AND(G34="W",G34=G33,Q33&lt;0),Q33,AND(G34="W",G34=G33,Q33&gt;0),Q33,AND(G34="E",G34=G33,Q33&lt;0),Q33*-1,AND(G34="E",G34=G33,Q33&gt;0),Q33*-1,AND(G34="E",G34&lt;&gt;G33,Q33&gt;0),Q33*-1,AND(G34="E",G34&lt;&gt;G33,Q33&lt;0),Q33,AND(G34="W",G34&lt;&gt;G33,Q33&gt;0),Q33,AND(G34="W",G34&lt;&gt;G33,Q33&lt;0),Q33*-1)</f>
        <v>-22.331000000000071</v>
      </c>
      <c r="S33" s="4">
        <f t="shared" si="22"/>
        <v>0.3209999999998121</v>
      </c>
      <c r="T33" s="4">
        <f t="shared" si="23"/>
        <v>22.331000000000071</v>
      </c>
      <c r="U33">
        <f t="shared" si="24"/>
        <v>88.90429964085925</v>
      </c>
      <c r="V33" s="8">
        <f t="shared" si="25"/>
        <v>88.90429964085925</v>
      </c>
      <c r="W33" s="6">
        <f t="shared" si="26"/>
        <v>16.786584162069371</v>
      </c>
      <c r="X33">
        <f t="shared" si="27"/>
        <v>41.51999166666667</v>
      </c>
      <c r="Y33">
        <f t="shared" si="28"/>
        <v>16.71976621876194</v>
      </c>
      <c r="Z33">
        <f t="shared" si="29"/>
        <v>88.900123018755949</v>
      </c>
      <c r="AA33" s="7">
        <f t="shared" si="30"/>
        <v>88.900123018755949</v>
      </c>
      <c r="AB33" s="6">
        <f t="shared" si="31"/>
        <v>16.722847347567669</v>
      </c>
      <c r="AC33" s="1">
        <f t="shared" si="32"/>
        <v>91.223230049786252</v>
      </c>
      <c r="AD33" s="7">
        <f t="shared" si="33"/>
        <v>88.776769950213748</v>
      </c>
      <c r="AE33" s="6">
        <f t="shared" si="34"/>
        <v>16.722834412698433</v>
      </c>
      <c r="AF33" s="72" t="s">
        <v>102</v>
      </c>
      <c r="AG33" s="113" cm="1">
        <f t="array" ref="AG33">_xlfn.IFS(AH33=W33,V33,AH33=AB33,AA33,AH33=AE33,AD33)</f>
        <v>88.900123018755949</v>
      </c>
      <c r="AH33" s="88">
        <f t="shared" si="35"/>
        <v>16.722847347567669</v>
      </c>
      <c r="AI33">
        <f t="shared" si="36"/>
        <v>338.90012301875595</v>
      </c>
      <c r="AJ33" s="11">
        <f t="shared" si="37"/>
        <v>338.90012301875595</v>
      </c>
      <c r="AK33" s="11">
        <f t="shared" si="38"/>
        <v>68.900123018755949</v>
      </c>
      <c r="AL33" s="1">
        <f t="shared" si="39"/>
        <v>15.415777682226221</v>
      </c>
      <c r="AM33">
        <f t="shared" si="40"/>
        <v>0.2959649418087239</v>
      </c>
      <c r="AN33">
        <f t="shared" si="41"/>
        <v>0</v>
      </c>
      <c r="AO33">
        <f t="shared" si="42"/>
        <v>0</v>
      </c>
      <c r="AP33">
        <f t="shared" si="43"/>
        <v>88.900123018755949</v>
      </c>
      <c r="AQ33" s="12">
        <f t="shared" si="44"/>
        <v>0.2959649418087239</v>
      </c>
      <c r="AR33" s="2">
        <f t="shared" si="45"/>
        <v>0</v>
      </c>
      <c r="AS33" s="2">
        <f t="shared" si="46"/>
        <v>15.415777682226221</v>
      </c>
      <c r="AT33" s="2">
        <f t="shared" si="47"/>
        <v>0</v>
      </c>
      <c r="AU33">
        <f t="shared" si="48"/>
        <v>0.2959649418087239</v>
      </c>
      <c r="AV33">
        <f t="shared" si="49"/>
        <v>15.415777682226221</v>
      </c>
      <c r="AW33">
        <f t="shared" si="50"/>
        <v>88.900123018756048</v>
      </c>
      <c r="AX33">
        <f t="shared" si="51"/>
        <v>88.900123018756048</v>
      </c>
      <c r="AY33">
        <f t="shared" si="9"/>
        <v>9.9475983006414026E-14</v>
      </c>
      <c r="AZ33" s="50">
        <v>1</v>
      </c>
      <c r="BA33" s="46">
        <f>_xlfn.IFS(AZ33=1,Références!$B$80,AZ33=2,Références!$B$81,AZ33=3,Références!$B$82,AZ33=4,Références!$B$83,AZ33=5,Références!$B$84,AZ33=6,Références!$B$85,AZ33=7,Références!$B$86,AZ33=8,Références!$B$87,AZ33=9,Références!$B$88,AZ33=10,Références!$B$89,AZ33=11,Références!$B$90,AZ33=12,Références!$B$91)</f>
        <v>1</v>
      </c>
      <c r="BB33" s="46" t="s">
        <v>69</v>
      </c>
      <c r="BC33" s="51" cm="1">
        <f t="array" ref="BC33">_xlfn.IFS(BB33="Beam", -0.0000000868778*BA33^5-0.0000459619*BA33^4+0.00347366*BA33^3-0.0884721*BA33^2+0.510463*BA33+14.9932,BB33="Following",0.000652681*BA33^3-0.0356523*BA33^2+0.29714*BA33+15.2038,BB33="Head",-0.00000154449*BA33^5+0.0000797696*BA33^4+0.000148965*BA33^3-0.0570448*BA33^2+0.244115*BA33+15.0029)</f>
        <v>15.418618511222199</v>
      </c>
      <c r="BD33" s="67"/>
      <c r="BE33" s="72">
        <v>250</v>
      </c>
      <c r="BF33" s="73">
        <v>0</v>
      </c>
      <c r="BG33" s="74">
        <f t="shared" si="52"/>
        <v>15.418618511222199</v>
      </c>
      <c r="BH33" s="84">
        <f t="shared" si="53"/>
        <v>88.900123018756048</v>
      </c>
      <c r="BI33" s="110">
        <f t="shared" si="54"/>
        <v>88.900123018755849</v>
      </c>
      <c r="BJ33" s="67"/>
      <c r="BK33" s="18">
        <f t="shared" si="55"/>
        <v>65.075275072392017</v>
      </c>
      <c r="BL33" s="3">
        <f t="shared" si="56"/>
        <v>9</v>
      </c>
      <c r="BM33" s="22">
        <f t="shared" si="57"/>
        <v>0.375</v>
      </c>
      <c r="BN33" s="81">
        <f t="shared" si="58"/>
        <v>4.5191163244716677E-2</v>
      </c>
      <c r="BO33" s="78">
        <f t="shared" si="59"/>
        <v>44952.949242441297</v>
      </c>
      <c r="BP33" s="121">
        <f>BP32+BN32</f>
        <v>44953.157575774632</v>
      </c>
      <c r="BS33" s="3"/>
      <c r="BT33" s="14"/>
    </row>
    <row r="34" spans="1:72" x14ac:dyDescent="0.25">
      <c r="A34">
        <v>23</v>
      </c>
      <c r="B34" s="57">
        <v>41</v>
      </c>
      <c r="C34" s="58">
        <v>31.36</v>
      </c>
      <c r="D34" s="59" t="s">
        <v>56</v>
      </c>
      <c r="E34" s="58">
        <v>140</v>
      </c>
      <c r="F34" s="58">
        <v>30.376999999999999</v>
      </c>
      <c r="G34" s="60" t="s">
        <v>29</v>
      </c>
      <c r="H34">
        <f t="shared" si="13"/>
        <v>41.522666666666666</v>
      </c>
      <c r="I34" s="2">
        <f t="shared" si="14"/>
        <v>0.72470724754143212</v>
      </c>
      <c r="J34" s="2">
        <f t="shared" si="15"/>
        <v>-0.72470724754143212</v>
      </c>
      <c r="K34">
        <f t="shared" si="16"/>
        <v>140.50628333333333</v>
      </c>
      <c r="L34" s="2">
        <f t="shared" si="17"/>
        <v>2.4522972639066998</v>
      </c>
      <c r="M34" s="1">
        <f t="shared" si="18"/>
        <v>2727.8891814361627</v>
      </c>
      <c r="N34" s="5" cm="1">
        <f t="array" ref="N34">_xlfn.IFS(D34&lt;&gt;D35,M34+M35,M35-M34&lt;0,(M35-M34)*-1,M35-M34&gt;0,M35-M34)</f>
        <v>11.94275022255124</v>
      </c>
      <c r="O34">
        <f t="shared" si="19"/>
        <v>-8.9859999999999349</v>
      </c>
      <c r="P34" s="1">
        <f t="shared" si="20"/>
        <v>8.9859999999999349</v>
      </c>
      <c r="Q34" s="1">
        <f t="shared" si="21"/>
        <v>22.836000000001999</v>
      </c>
      <c r="R34" s="1" cm="1">
        <f t="array" ref="R34">_xlfn.IFS(AND(G35="E",G35&lt;&gt;G34,L34+L35&gt;(RADIANS(180)),Q34&lt;0),Q34*-1,AND(G35="W",G35&lt;&gt;G34,L35+L34&gt;(RADIANS(180)),Q34&lt;0),Q34,AND(G35="E",G35&lt;&gt;G34,L35+L34&gt;(RADIANS(180)),Q34&gt;0),Q34,AND(G35="W",G35&lt;&gt;G34,L35+L34&gt;(RADIANS(180)),Q34&gt;0),Q34*-1,AND(G35="W",G35=G34,Q34&lt;0),Q34,AND(G35="W",G35=G34,Q34&gt;0),Q34,AND(G35="E",G35=G34,Q34&lt;0),Q34*-1,AND(G35="E",G35=G34,Q34&gt;0),Q34*-1,AND(G35="E",G35&lt;&gt;G34,Q34&gt;0),Q34*-1,AND(G35="E",G35&lt;&gt;G34,Q34&lt;0),Q34,AND(G35="W",G35&lt;&gt;G34,Q34&gt;0),Q34,AND(G35="W",G35&lt;&gt;G34,Q34&lt;0),Q34*-1)</f>
        <v>-22.836000000001999</v>
      </c>
      <c r="S34" s="4">
        <f t="shared" si="22"/>
        <v>8.9859999999999349</v>
      </c>
      <c r="T34" s="4">
        <f t="shared" si="23"/>
        <v>22.836000000001999</v>
      </c>
      <c r="U34">
        <f t="shared" si="24"/>
        <v>62.391374108628398</v>
      </c>
      <c r="V34" s="8">
        <f t="shared" si="25"/>
        <v>117.6086258913716</v>
      </c>
      <c r="W34" s="6">
        <f t="shared" si="26"/>
        <v>19.390222263138586</v>
      </c>
      <c r="X34">
        <f t="shared" si="27"/>
        <v>41.447783333333334</v>
      </c>
      <c r="Y34">
        <f t="shared" si="28"/>
        <v>17.116935952971193</v>
      </c>
      <c r="Z34">
        <f t="shared" si="29"/>
        <v>62.301554193487931</v>
      </c>
      <c r="AA34" s="7">
        <f t="shared" si="30"/>
        <v>117.69844580651207</v>
      </c>
      <c r="AB34" s="6">
        <f t="shared" si="31"/>
        <v>19.332296615201116</v>
      </c>
      <c r="AC34" s="1">
        <f t="shared" si="32"/>
        <v>62.427614633632331</v>
      </c>
      <c r="AD34" s="7">
        <f t="shared" si="33"/>
        <v>117.57238536636767</v>
      </c>
      <c r="AE34" s="6">
        <f t="shared" si="34"/>
        <v>19.332269996928794</v>
      </c>
      <c r="AF34" s="72" t="s">
        <v>102</v>
      </c>
      <c r="AG34" s="113" cm="1">
        <f t="array" ref="AG34">_xlfn.IFS(AH34=W34,V34,AH34=AB34,AA34,AH34=AE34,AD34)</f>
        <v>117.69844580651207</v>
      </c>
      <c r="AH34" s="88">
        <f t="shared" si="35"/>
        <v>19.332296615201116</v>
      </c>
      <c r="AI34">
        <f t="shared" si="36"/>
        <v>367.69844580651204</v>
      </c>
      <c r="AJ34" s="11">
        <f t="shared" si="37"/>
        <v>7.6984458065120407</v>
      </c>
      <c r="AK34" s="11">
        <f t="shared" si="38"/>
        <v>82.301554193487959</v>
      </c>
      <c r="AL34" s="1">
        <f t="shared" si="39"/>
        <v>13.651740959341824</v>
      </c>
      <c r="AM34">
        <f t="shared" si="40"/>
        <v>7.1668518593335433</v>
      </c>
      <c r="AN34">
        <f t="shared" si="41"/>
        <v>0</v>
      </c>
      <c r="AO34">
        <f t="shared" si="42"/>
        <v>0</v>
      </c>
      <c r="AP34">
        <f t="shared" si="43"/>
        <v>117.69844580651207</v>
      </c>
      <c r="AQ34" s="12">
        <f t="shared" si="44"/>
        <v>-7.1668518593335433</v>
      </c>
      <c r="AR34" s="2">
        <f t="shared" si="45"/>
        <v>0</v>
      </c>
      <c r="AS34" s="2">
        <f t="shared" si="46"/>
        <v>13.651740959341824</v>
      </c>
      <c r="AT34" s="2">
        <f t="shared" si="47"/>
        <v>0</v>
      </c>
      <c r="AU34">
        <f t="shared" si="48"/>
        <v>-7.1668518593335433</v>
      </c>
      <c r="AV34">
        <f t="shared" si="49"/>
        <v>13.651740959341824</v>
      </c>
      <c r="AW34">
        <f t="shared" si="50"/>
        <v>-62.301554193487931</v>
      </c>
      <c r="AX34">
        <f t="shared" si="51"/>
        <v>62.301554193487931</v>
      </c>
      <c r="AY34">
        <f t="shared" si="9"/>
        <v>0</v>
      </c>
      <c r="AZ34" s="50">
        <v>1</v>
      </c>
      <c r="BA34" s="46">
        <f>_xlfn.IFS(AZ34=1,Références!$B$80,AZ34=2,Références!$B$81,AZ34=3,Références!$B$82,AZ34=4,Références!$B$83,AZ34=5,Références!$B$84,AZ34=6,Références!$B$85,AZ34=7,Références!$B$86,AZ34=8,Références!$B$87,AZ34=9,Références!$B$88,AZ34=10,Références!$B$89,AZ34=11,Références!$B$90,AZ34=12,Références!$B$91)</f>
        <v>1</v>
      </c>
      <c r="BB34" s="46" t="s">
        <v>69</v>
      </c>
      <c r="BC34" s="51" cm="1">
        <f t="array" ref="BC34">_xlfn.IFS(BB34="Beam", -0.0000000868778*BA34^5-0.0000459619*BA34^4+0.00347366*BA34^3-0.0884721*BA34^2+0.510463*BA34+14.9932,BB34="Following",0.000652681*BA34^3-0.0356523*BA34^2+0.29714*BA34+15.2038,BB34="Head",-0.00000154449*BA34^5+0.0000797696*BA34^4+0.000148965*BA34^3-0.0570448*BA34^2+0.244115*BA34+15.0029)</f>
        <v>15.418618511222199</v>
      </c>
      <c r="BD34" s="67"/>
      <c r="BE34" s="72">
        <v>250</v>
      </c>
      <c r="BF34" s="73">
        <v>0</v>
      </c>
      <c r="BG34" s="74">
        <f t="shared" si="52"/>
        <v>15.418618511222199</v>
      </c>
      <c r="BH34" s="84">
        <f t="shared" si="53"/>
        <v>117.69844580651207</v>
      </c>
      <c r="BI34" s="110">
        <f t="shared" si="54"/>
        <v>117.69844580651207</v>
      </c>
      <c r="BJ34" s="67"/>
      <c r="BK34" s="18">
        <f t="shared" si="55"/>
        <v>75.229683908958805</v>
      </c>
      <c r="BL34" s="3">
        <f t="shared" si="56"/>
        <v>9</v>
      </c>
      <c r="BM34" s="22">
        <f t="shared" si="57"/>
        <v>0.375</v>
      </c>
      <c r="BN34" s="81">
        <f t="shared" si="58"/>
        <v>5.2242836047888055E-2</v>
      </c>
      <c r="BO34" s="78">
        <f t="shared" si="59"/>
        <v>44952.994433604545</v>
      </c>
      <c r="BP34" s="121">
        <f>BP33+BN33</f>
        <v>44953.20276693788</v>
      </c>
      <c r="BS34" s="3"/>
      <c r="BT34" s="14"/>
    </row>
    <row r="35" spans="1:72" x14ac:dyDescent="0.25">
      <c r="A35">
        <v>24</v>
      </c>
      <c r="B35" s="57">
        <v>41</v>
      </c>
      <c r="C35" s="58">
        <v>22.373999999999999</v>
      </c>
      <c r="D35" s="59" t="s">
        <v>56</v>
      </c>
      <c r="E35" s="58">
        <v>140</v>
      </c>
      <c r="F35" s="58">
        <v>53.213000000000001</v>
      </c>
      <c r="G35" s="60" t="s">
        <v>29</v>
      </c>
      <c r="H35">
        <f t="shared" si="13"/>
        <v>41.372900000000001</v>
      </c>
      <c r="I35" s="2">
        <f t="shared" si="14"/>
        <v>0.72209332609836197</v>
      </c>
      <c r="J35" s="2">
        <f t="shared" si="15"/>
        <v>-0.72209332609836197</v>
      </c>
      <c r="K35">
        <f t="shared" si="16"/>
        <v>140.88688333333334</v>
      </c>
      <c r="L35" s="2">
        <f t="shared" si="17"/>
        <v>2.4589399870397908</v>
      </c>
      <c r="M35" s="1">
        <f t="shared" si="18"/>
        <v>2715.9464312136115</v>
      </c>
      <c r="N35" s="5" cm="1">
        <f t="array" ref="N35">_xlfn.IFS(D35&lt;&gt;D36,M35+M36,M36-M35&lt;0,(M36-M35)*-1,M36-M35&gt;0,M36-M35)</f>
        <v>13.339964626726669</v>
      </c>
      <c r="O35">
        <f t="shared" si="19"/>
        <v>-10.062000000000259</v>
      </c>
      <c r="P35" s="1">
        <f t="shared" si="20"/>
        <v>10.062000000000259</v>
      </c>
      <c r="Q35" s="1">
        <f t="shared" si="21"/>
        <v>22.697999999999841</v>
      </c>
      <c r="R35" s="1" cm="1">
        <f t="array" ref="R35">_xlfn.IFS(AND(G36="E",G36&lt;&gt;G35,L35+L36&gt;(RADIANS(180)),Q35&lt;0),Q35*-1,AND(G36="W",G36&lt;&gt;G35,L36+L35&gt;(RADIANS(180)),Q35&lt;0),Q35,AND(G36="E",G36&lt;&gt;G35,L36+L35&gt;(RADIANS(180)),Q35&gt;0),Q35,AND(G36="W",G36&lt;&gt;G35,L36+L35&gt;(RADIANS(180)),Q35&gt;0),Q35*-1,AND(G36="W",G36=G35,Q35&lt;0),Q35,AND(G36="W",G36=G35,Q35&gt;0),Q35,AND(G36="E",G36=G35,Q35&lt;0),Q35*-1,AND(G36="E",G36=G35,Q35&gt;0),Q35*-1,AND(G36="E",G36&lt;&gt;G35,Q35&gt;0),Q35*-1,AND(G36="E",G36&lt;&gt;G35,Q35&lt;0),Q35,AND(G36="W",G36&lt;&gt;G35,Q35&gt;0),Q35,AND(G36="W",G36&lt;&gt;G35,Q35&lt;0),Q35*-1)</f>
        <v>-22.697999999999841</v>
      </c>
      <c r="S35" s="4">
        <f t="shared" si="22"/>
        <v>10.062000000000259</v>
      </c>
      <c r="T35" s="4">
        <f t="shared" si="23"/>
        <v>22.697999999999841</v>
      </c>
      <c r="U35">
        <f t="shared" si="24"/>
        <v>59.556589435048174</v>
      </c>
      <c r="V35" s="8">
        <f t="shared" si="25"/>
        <v>120.44341056495182</v>
      </c>
      <c r="W35" s="6">
        <f t="shared" si="26"/>
        <v>19.858409321142819</v>
      </c>
      <c r="X35">
        <f t="shared" si="27"/>
        <v>41.289050000000003</v>
      </c>
      <c r="Y35">
        <f t="shared" si="28"/>
        <v>17.05505600905266</v>
      </c>
      <c r="Z35">
        <f t="shared" si="29"/>
        <v>59.460598912387759</v>
      </c>
      <c r="AA35" s="7">
        <f t="shared" si="30"/>
        <v>120.53940108761225</v>
      </c>
      <c r="AB35" s="6">
        <f t="shared" si="31"/>
        <v>19.801989280674011</v>
      </c>
      <c r="AC35" s="1">
        <f t="shared" si="32"/>
        <v>59.585511502192553</v>
      </c>
      <c r="AD35" s="7">
        <f t="shared" si="33"/>
        <v>120.41448849780744</v>
      </c>
      <c r="AE35" s="6">
        <f t="shared" si="34"/>
        <v>19.801960288682821</v>
      </c>
      <c r="AF35" s="72" t="s">
        <v>102</v>
      </c>
      <c r="AG35" s="113" cm="1">
        <f t="array" ref="AG35">_xlfn.IFS(AH35=W35,V35,AH35=AB35,AA35,AH35=AE35,AD35)</f>
        <v>120.53940108761225</v>
      </c>
      <c r="AH35" s="88">
        <f t="shared" si="35"/>
        <v>19.801989280674011</v>
      </c>
      <c r="AI35">
        <f t="shared" si="36"/>
        <v>370.53940108761225</v>
      </c>
      <c r="AJ35" s="11">
        <f t="shared" si="37"/>
        <v>10.539401087612248</v>
      </c>
      <c r="AK35" s="11">
        <f t="shared" si="38"/>
        <v>79.460598912387752</v>
      </c>
      <c r="AL35" s="1">
        <f t="shared" si="39"/>
        <v>13.279746724626044</v>
      </c>
      <c r="AM35">
        <f t="shared" si="40"/>
        <v>7.8346744491642868</v>
      </c>
      <c r="AN35">
        <f t="shared" si="41"/>
        <v>0</v>
      </c>
      <c r="AO35">
        <f t="shared" si="42"/>
        <v>0</v>
      </c>
      <c r="AP35">
        <f t="shared" si="43"/>
        <v>120.53940108761225</v>
      </c>
      <c r="AQ35" s="12">
        <f t="shared" si="44"/>
        <v>-7.8346744491642868</v>
      </c>
      <c r="AR35" s="2">
        <f t="shared" si="45"/>
        <v>0</v>
      </c>
      <c r="AS35" s="2">
        <f t="shared" si="46"/>
        <v>13.279746724626044</v>
      </c>
      <c r="AT35" s="2">
        <f t="shared" si="47"/>
        <v>0</v>
      </c>
      <c r="AU35">
        <f t="shared" si="48"/>
        <v>-7.8346744491642868</v>
      </c>
      <c r="AV35">
        <f t="shared" si="49"/>
        <v>13.279746724626044</v>
      </c>
      <c r="AW35">
        <f t="shared" si="50"/>
        <v>-59.460598912387759</v>
      </c>
      <c r="AX35">
        <f t="shared" si="51"/>
        <v>59.460598912387759</v>
      </c>
      <c r="AY35">
        <f t="shared" si="9"/>
        <v>0</v>
      </c>
      <c r="AZ35" s="50">
        <v>1</v>
      </c>
      <c r="BA35" s="46">
        <f>_xlfn.IFS(AZ35=1,Références!$B$80,AZ35=2,Références!$B$81,AZ35=3,Références!$B$82,AZ35=4,Références!$B$83,AZ35=5,Références!$B$84,AZ35=6,Références!$B$85,AZ35=7,Références!$B$86,AZ35=8,Références!$B$87,AZ35=9,Références!$B$88,AZ35=10,Références!$B$89,AZ35=11,Références!$B$90,AZ35=12,Références!$B$91)</f>
        <v>1</v>
      </c>
      <c r="BB35" s="46" t="s">
        <v>69</v>
      </c>
      <c r="BC35" s="51" cm="1">
        <f t="array" ref="BC35">_xlfn.IFS(BB35="Beam", -0.0000000868778*BA35^5-0.0000459619*BA35^4+0.00347366*BA35^3-0.0884721*BA35^2+0.510463*BA35+14.9932,BB35="Following",0.000652681*BA35^3-0.0356523*BA35^2+0.29714*BA35+15.2038,BB35="Head",-0.00000154449*BA35^5+0.0000797696*BA35^4+0.000148965*BA35^3-0.0570448*BA35^2+0.244115*BA35+15.0029)</f>
        <v>15.418618511222199</v>
      </c>
      <c r="BD35" s="67"/>
      <c r="BE35" s="72">
        <v>250</v>
      </c>
      <c r="BF35" s="73">
        <v>0</v>
      </c>
      <c r="BG35" s="74">
        <f t="shared" si="52"/>
        <v>15.418618511222199</v>
      </c>
      <c r="BH35" s="84">
        <f t="shared" si="53"/>
        <v>120.53940108761225</v>
      </c>
      <c r="BI35" s="110">
        <f t="shared" si="54"/>
        <v>120.53940108761225</v>
      </c>
      <c r="BJ35" s="67"/>
      <c r="BK35" s="18">
        <f t="shared" si="55"/>
        <v>77.057445579556088</v>
      </c>
      <c r="BL35" s="3">
        <f t="shared" si="56"/>
        <v>9</v>
      </c>
      <c r="BM35" s="22">
        <f t="shared" si="57"/>
        <v>0.375</v>
      </c>
      <c r="BN35" s="81">
        <f t="shared" si="58"/>
        <v>5.3512114985802842E-2</v>
      </c>
      <c r="BO35" s="78">
        <f t="shared" si="59"/>
        <v>44953.046676440594</v>
      </c>
      <c r="BP35" s="121">
        <f>BP34+BN34</f>
        <v>44953.255009773929</v>
      </c>
      <c r="BS35" s="3"/>
      <c r="BT35" s="14"/>
    </row>
    <row r="36" spans="1:72" ht="15.75" thickBot="1" x14ac:dyDescent="0.3">
      <c r="A36">
        <v>25</v>
      </c>
      <c r="B36" s="61">
        <v>41</v>
      </c>
      <c r="C36" s="62">
        <v>12.311999999999999</v>
      </c>
      <c r="D36" s="63" t="s">
        <v>56</v>
      </c>
      <c r="E36" s="62">
        <v>141</v>
      </c>
      <c r="F36" s="62">
        <v>15.911</v>
      </c>
      <c r="G36" s="64" t="s">
        <v>29</v>
      </c>
      <c r="H36">
        <f t="shared" si="13"/>
        <v>41.205199999999998</v>
      </c>
      <c r="I36" s="2">
        <f t="shared" si="14"/>
        <v>0.7191664089427674</v>
      </c>
      <c r="J36" s="2">
        <f t="shared" si="15"/>
        <v>-0.7191664089427674</v>
      </c>
      <c r="K36">
        <f t="shared" si="16"/>
        <v>141.26518333333334</v>
      </c>
      <c r="L36" s="2">
        <f t="shared" si="17"/>
        <v>2.4655425676000853</v>
      </c>
      <c r="M36" s="1">
        <f t="shared" si="18"/>
        <v>2702.6064665868848</v>
      </c>
      <c r="N36" s="5" cm="1">
        <f t="array" ref="N36">_xlfn.IFS(D36&lt;&gt;D37,M36+M37,M37-M36&lt;0,(M37-M36)*-1,M37-M36&gt;0,M37-M36)</f>
        <v>2702.6064665868848</v>
      </c>
      <c r="O36">
        <f t="shared" si="19"/>
        <v>2472.3119999999999</v>
      </c>
      <c r="P36" s="1" t="e">
        <f t="shared" si="20"/>
        <v>#N/A</v>
      </c>
      <c r="Q36" s="1">
        <f t="shared" si="21"/>
        <v>8475.9110000000001</v>
      </c>
      <c r="R36" s="1" t="e" cm="1">
        <f t="array" ref="R36">_xlfn.IFS(AND(G37="E",G37&lt;&gt;G36,L36+L37&gt;(RADIANS(180)),Q36&lt;0),Q36*-1,AND(G37="W",G37&lt;&gt;G36,L37+L36&gt;(RADIANS(180)),Q36&lt;0),Q36,AND(G37="E",G37&lt;&gt;G36,L37+L36&gt;(RADIANS(180)),Q36&gt;0),Q36,AND(G37="W",G37&lt;&gt;G36,L37+L36&gt;(RADIANS(180)),Q36&gt;0),Q36*-1,AND(G37="W",G37=G36,Q36&lt;0),Q36,AND(G37="W",G37=G36,Q36&gt;0),Q36,AND(G37="E",G37=G36,Q36&lt;0),Q36*-1,AND(G37="E",G37=G36,Q36&gt;0),Q36*-1,AND(G37="E",G37&lt;&gt;G36,Q36&gt;0),Q36*-1,AND(G37="E",G37&lt;&gt;G36,Q36&lt;0),Q36,AND(G37="W",G37&lt;&gt;G36,Q36&gt;0),Q36,AND(G37="W",G37&lt;&gt;G36,Q36&lt;0),Q36*-1)</f>
        <v>#N/A</v>
      </c>
      <c r="S36" s="4">
        <f t="shared" si="22"/>
        <v>2472.3119999999999</v>
      </c>
      <c r="T36" s="4">
        <f t="shared" si="23"/>
        <v>8475.9110000000001</v>
      </c>
      <c r="U36">
        <f t="shared" si="24"/>
        <v>72.314736107619041</v>
      </c>
      <c r="V36" s="8" t="e">
        <f t="shared" si="25"/>
        <v>#N/A</v>
      </c>
      <c r="W36" s="6">
        <f t="shared" si="26"/>
        <v>8138.2797740460428</v>
      </c>
      <c r="X36">
        <f t="shared" si="27"/>
        <v>41.205199999999998</v>
      </c>
      <c r="Y36">
        <f t="shared" si="28"/>
        <v>6376.8950802154386</v>
      </c>
      <c r="Z36">
        <f t="shared" si="29"/>
        <v>68.808767888594531</v>
      </c>
      <c r="AA36" s="7" t="e">
        <f t="shared" si="30"/>
        <v>#N/A</v>
      </c>
      <c r="AB36" s="6">
        <f t="shared" si="31"/>
        <v>6839.3799053291286</v>
      </c>
      <c r="AC36" s="1">
        <f t="shared" si="32"/>
        <v>129.39423841918145</v>
      </c>
      <c r="AD36" s="7" t="e">
        <f t="shared" si="33"/>
        <v>#N/A</v>
      </c>
      <c r="AE36" s="6">
        <f t="shared" si="34"/>
        <v>7556.1330584711432</v>
      </c>
      <c r="AF36" s="75" t="s">
        <v>102</v>
      </c>
      <c r="AG36" s="114" t="e" cm="1">
        <f t="array" ref="AG36">_xlfn.IFS(AH36=W36,V36,AH36=AB36,AA36,AH36=AE36,AD36)</f>
        <v>#N/A</v>
      </c>
      <c r="AH36" s="89">
        <f t="shared" si="35"/>
        <v>8138.2797740460428</v>
      </c>
      <c r="AI36" t="e">
        <f t="shared" si="36"/>
        <v>#N/A</v>
      </c>
      <c r="AJ36" s="11" t="e">
        <f t="shared" si="37"/>
        <v>#N/A</v>
      </c>
      <c r="AK36" s="11" t="e">
        <f t="shared" si="38"/>
        <v>#N/A</v>
      </c>
      <c r="AL36" s="1">
        <f t="shared" si="39"/>
        <v>14.689929128324126</v>
      </c>
      <c r="AM36">
        <f t="shared" si="40"/>
        <v>4.6839917804601541</v>
      </c>
      <c r="AN36" t="e">
        <f t="shared" si="41"/>
        <v>#N/A</v>
      </c>
      <c r="AO36" t="e">
        <f t="shared" si="42"/>
        <v>#N/A</v>
      </c>
      <c r="AP36" t="e">
        <f t="shared" si="43"/>
        <v>#N/A</v>
      </c>
      <c r="AQ36" s="12" t="e">
        <f t="shared" si="44"/>
        <v>#N/A</v>
      </c>
      <c r="AR36" s="2" t="e">
        <f t="shared" si="45"/>
        <v>#N/A</v>
      </c>
      <c r="AS36" s="2" t="e">
        <f t="shared" si="46"/>
        <v>#N/A</v>
      </c>
      <c r="AT36" s="2" t="e">
        <f t="shared" si="47"/>
        <v>#N/A</v>
      </c>
      <c r="AU36" t="e">
        <f t="shared" si="48"/>
        <v>#N/A</v>
      </c>
      <c r="AV36" t="e">
        <f t="shared" si="49"/>
        <v>#N/A</v>
      </c>
      <c r="AW36" t="e">
        <f t="shared" si="50"/>
        <v>#N/A</v>
      </c>
      <c r="AX36" t="e">
        <f t="shared" si="51"/>
        <v>#N/A</v>
      </c>
      <c r="AY36" t="e">
        <f t="shared" si="9"/>
        <v>#N/A</v>
      </c>
      <c r="AZ36" s="52">
        <v>1</v>
      </c>
      <c r="BA36" s="53">
        <f>_xlfn.IFS(AZ36=1,Références!$B$80,AZ36=2,Références!$B$81,AZ36=3,Références!$B$82,AZ36=4,Références!$B$83,AZ36=5,Références!$B$84,AZ36=6,Références!$B$85,AZ36=7,Références!$B$86,AZ36=8,Références!$B$87,AZ36=9,Références!$B$88,AZ36=10,Références!$B$89,AZ36=11,Références!$B$90,AZ36=12,Références!$B$91)</f>
        <v>1</v>
      </c>
      <c r="BB36" s="53" t="s">
        <v>69</v>
      </c>
      <c r="BC36" s="54" cm="1">
        <f t="array" ref="BC36">_xlfn.IFS(BB36="Beam", -0.0000000868778*BA36^5-0.0000459619*BA36^4+0.00347366*BA36^3-0.0884721*BA36^2+0.510463*BA36+14.9932,BB36="Following",0.000652681*BA36^3-0.0356523*BA36^2+0.29714*BA36+15.2038,BB36="Head",-0.00000154449*BA36^5+0.0000797696*BA36^4+0.000148965*BA36^3-0.0570448*BA36^2+0.244115*BA36+15.0029)</f>
        <v>15.418618511222199</v>
      </c>
      <c r="BD36" s="68"/>
      <c r="BE36" s="75">
        <v>250</v>
      </c>
      <c r="BF36" s="76">
        <v>0</v>
      </c>
      <c r="BG36" s="77" t="e">
        <f t="shared" si="52"/>
        <v>#N/A</v>
      </c>
      <c r="BH36" s="85" t="e">
        <f t="shared" si="53"/>
        <v>#N/A</v>
      </c>
      <c r="BI36" s="111" t="e">
        <f t="shared" si="54"/>
        <v>#N/A</v>
      </c>
      <c r="BJ36" s="68"/>
      <c r="BK36" s="18" t="e">
        <f t="shared" si="55"/>
        <v>#N/A</v>
      </c>
      <c r="BL36" s="3">
        <f t="shared" si="56"/>
        <v>9</v>
      </c>
      <c r="BM36" s="22">
        <f t="shared" si="57"/>
        <v>0.375</v>
      </c>
      <c r="BN36" s="82" t="e">
        <f t="shared" si="58"/>
        <v>#N/A</v>
      </c>
      <c r="BO36" s="79">
        <f>BO35+BN35</f>
        <v>44953.100188555582</v>
      </c>
      <c r="BP36" s="122">
        <f>BP35+BN35</f>
        <v>44953.308521888917</v>
      </c>
    </row>
    <row r="37" spans="1:72" ht="15.75" thickBot="1" x14ac:dyDescent="0.3">
      <c r="BQ37" s="23"/>
      <c r="BR37" s="23"/>
      <c r="BS37" s="23"/>
    </row>
    <row r="38" spans="1:72" ht="15.75" thickBot="1" x14ac:dyDescent="0.3">
      <c r="BK38" s="17"/>
      <c r="BM38" s="28" t="s">
        <v>131</v>
      </c>
      <c r="BO38" s="97"/>
      <c r="BP38" s="23"/>
    </row>
    <row r="39" spans="1:72" ht="15.75" thickBot="1" x14ac:dyDescent="0.3">
      <c r="C39" s="25" t="s">
        <v>76</v>
      </c>
      <c r="D39" s="27"/>
      <c r="E39" s="27"/>
      <c r="F39" s="26"/>
      <c r="O39" s="1"/>
      <c r="P39" s="1"/>
      <c r="AG39" s="29" t="s">
        <v>62</v>
      </c>
      <c r="AH39" s="115">
        <f>SUM(AH4:AH35)</f>
        <v>9239.9615111044877</v>
      </c>
      <c r="BN39" s="31">
        <f>SUM(BN4:BN35)</f>
        <v>25.668244111132378</v>
      </c>
    </row>
    <row r="40" spans="1:72" x14ac:dyDescent="0.25">
      <c r="C40" s="41" t="s">
        <v>66</v>
      </c>
      <c r="D40" s="42" t="s">
        <v>74</v>
      </c>
      <c r="E40" s="42" t="s">
        <v>67</v>
      </c>
      <c r="F40" s="43" t="s">
        <v>75</v>
      </c>
    </row>
    <row r="41" spans="1:72" ht="15.75" thickBot="1" x14ac:dyDescent="0.3">
      <c r="C41" s="137">
        <v>5</v>
      </c>
      <c r="D41" s="138">
        <f>_xlfn.IFS(C41=1,Références!B80,C41=2,Références!B81,C41=3,Références!B82,C41=4,Références!B83,C41=5,Références!B84,C41=6,Références!B85,C41=7,Références!B86,C41=8,Références!B87,C41=9,Références!B88,C41=10,Références!B89,C41=11,Références!B90,C41=12,Références!B91)</f>
        <v>9</v>
      </c>
      <c r="E41" s="65" t="s">
        <v>69</v>
      </c>
      <c r="F41" s="139" cm="1">
        <f t="array" ref="F41">_xlfn.IFS(E41="Beam", -0.0000000868778*D41^5-0.0000459619*D41^4+0.00347366*D41^3-0.0884721*D41^2+0.510463*D41+14.9932,E41="Following",0.000652681*D41^3-0.0356523*D41^2+0.29714*D41+15.2038,E41="Head",-0.00000154449*D41^5+0.0000797696*D41^4+0.000148965*D41^3-0.0570448*D41^2+0.244115*D41+15.0029)</f>
        <v>14.646738966887799</v>
      </c>
    </row>
    <row r="42" spans="1:72" x14ac:dyDescent="0.25">
      <c r="AD42" s="1"/>
      <c r="AF42" s="1"/>
      <c r="AG42" s="1"/>
      <c r="BK42" s="16"/>
    </row>
    <row r="43" spans="1:72" ht="15.75" thickBot="1" x14ac:dyDescent="0.3">
      <c r="BK43" s="15"/>
    </row>
    <row r="44" spans="1:72" ht="15.75" thickBot="1" x14ac:dyDescent="0.3">
      <c r="C44" s="25" t="s">
        <v>81</v>
      </c>
      <c r="D44" s="27"/>
      <c r="E44" s="27"/>
      <c r="F44" s="26"/>
      <c r="AC44" s="1"/>
    </row>
    <row r="45" spans="1:72" x14ac:dyDescent="0.25">
      <c r="C45" s="41" t="s">
        <v>97</v>
      </c>
      <c r="D45" s="44" t="s">
        <v>80</v>
      </c>
      <c r="E45" s="44"/>
      <c r="F45" s="45" t="s">
        <v>82</v>
      </c>
      <c r="R45" s="3"/>
      <c r="AF45" s="1"/>
      <c r="AG45" s="1"/>
    </row>
    <row r="46" spans="1:72" ht="15.75" thickBot="1" x14ac:dyDescent="0.3">
      <c r="C46" s="137">
        <v>250</v>
      </c>
      <c r="D46" s="140">
        <v>3</v>
      </c>
      <c r="E46" s="140"/>
      <c r="F46" s="141">
        <f>SQRT(((F41^2)+(D46^2))-(2*F41*D46*(COS(RADIANS(Références!A95)))))</f>
        <v>13.909352386070953</v>
      </c>
      <c r="R46" s="3"/>
    </row>
    <row r="47" spans="1:72" x14ac:dyDescent="0.25">
      <c r="BK47" s="15"/>
    </row>
    <row r="48" spans="1:72" ht="15.75" thickBot="1" x14ac:dyDescent="0.3">
      <c r="D48" s="10"/>
    </row>
    <row r="49" spans="3:33" ht="15.75" thickBot="1" x14ac:dyDescent="0.3">
      <c r="C49" s="25" t="s">
        <v>106</v>
      </c>
      <c r="D49" s="27"/>
      <c r="E49" s="26"/>
    </row>
    <row r="50" spans="3:33" ht="15.75" thickBot="1" x14ac:dyDescent="0.3">
      <c r="C50" s="32" t="s">
        <v>110</v>
      </c>
      <c r="D50" s="35" t="s">
        <v>109</v>
      </c>
      <c r="E50" s="33" t="s">
        <v>111</v>
      </c>
      <c r="F50" s="3"/>
      <c r="H50" s="3"/>
      <c r="AA50" s="14"/>
    </row>
    <row r="51" spans="3:33" ht="15.75" thickBot="1" x14ac:dyDescent="0.3">
      <c r="C51" s="38">
        <v>44927.431944444441</v>
      </c>
      <c r="D51" s="39"/>
      <c r="E51" s="40"/>
      <c r="H51" s="13"/>
      <c r="AF51" s="15"/>
      <c r="AG51" s="15"/>
    </row>
    <row r="52" spans="3:33" ht="15.75" thickBot="1" x14ac:dyDescent="0.3">
      <c r="F52" s="15"/>
    </row>
    <row r="53" spans="3:33" ht="15.75" thickBot="1" x14ac:dyDescent="0.3">
      <c r="C53" s="25" t="s">
        <v>128</v>
      </c>
      <c r="D53" s="27"/>
      <c r="E53" s="26"/>
      <c r="F53" s="3"/>
    </row>
    <row r="54" spans="3:33" ht="15.75" thickBot="1" x14ac:dyDescent="0.3">
      <c r="C54" s="36" t="s">
        <v>129</v>
      </c>
      <c r="D54" s="34"/>
      <c r="E54" s="37"/>
    </row>
    <row r="55" spans="3:33" ht="15.75" thickBot="1" x14ac:dyDescent="0.3"/>
    <row r="56" spans="3:33" ht="15.75" thickBot="1" x14ac:dyDescent="0.3">
      <c r="C56" s="25" t="s">
        <v>130</v>
      </c>
      <c r="D56" s="27"/>
      <c r="E56" s="26"/>
    </row>
    <row r="57" spans="3:33" ht="15.75" thickBot="1" x14ac:dyDescent="0.3">
      <c r="C57" s="38" cm="1">
        <f t="array" ref="C57">_xlfn.IFS(AND(C54="oui",BL36&gt;0),(BP36+1)+BM36,AND(C54="oui",BL36&lt;0),(BP36-1)-BM36,AND(C54="non",BL36&gt;0),BP36+BM36,AND(C54="non",BL36&lt;0),BP36-BM36)</f>
        <v>44954.683521888917</v>
      </c>
      <c r="D57" s="39"/>
      <c r="E57" s="40"/>
    </row>
  </sheetData>
  <mergeCells count="10">
    <mergeCell ref="C44:F44"/>
    <mergeCell ref="C57:E57"/>
    <mergeCell ref="C54:E54"/>
    <mergeCell ref="C56:E56"/>
    <mergeCell ref="C49:E49"/>
    <mergeCell ref="C39:F39"/>
    <mergeCell ref="D45:E45"/>
    <mergeCell ref="D46:E46"/>
    <mergeCell ref="C51:E51"/>
    <mergeCell ref="C53:E53"/>
  </mergeCells>
  <dataValidations count="2">
    <dataValidation type="whole" allowBlank="1" showInputMessage="1" showErrorMessage="1" sqref="C46" xr:uid="{00EDDC2F-85AB-4282-AE25-F55FF7DF16EE}">
      <formula1>0</formula1>
      <formula2>360</formula2>
    </dataValidation>
    <dataValidation type="decimal" allowBlank="1" showInputMessage="1" showErrorMessage="1" errorTitle="Valeur trop élevé" sqref="D46" xr:uid="{92C8829F-8D31-49DE-886B-D0C17E9B7222}">
      <formula1>0</formula1>
      <formula2>15</formula2>
    </dataValidation>
  </dataValidations>
  <pageMargins left="0.7" right="0.7" top="0.75" bottom="0.75" header="0.3" footer="0.3"/>
  <pageSetup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F49A4EE0-C46C-4EF2-A9E9-2F7895AB2C0F}">
          <x14:formula1>
            <xm:f>Références!$A$79:$A$91</xm:f>
          </x14:formula1>
          <xm:sqref>C41 AZ4:AZ36</xm:sqref>
        </x14:dataValidation>
        <x14:dataValidation type="list" allowBlank="1" showInputMessage="1" showErrorMessage="1" xr:uid="{F3ECDA64-E48B-4738-9574-94E76AC3E57C}">
          <x14:formula1>
            <xm:f>Références!$D$79:$D$81</xm:f>
          </x14:formula1>
          <xm:sqref>E41 BB4:BB36</xm:sqref>
        </x14:dataValidation>
        <x14:dataValidation type="list" allowBlank="1" showInputMessage="1" showErrorMessage="1" xr:uid="{E3CD9BC9-56CC-407C-9431-6730697754F4}">
          <x14:formula1>
            <xm:f>Références!$C$101:$C$102</xm:f>
          </x14:formula1>
          <xm:sqref>AF4:AF37 AG37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109"/>
  <sheetViews>
    <sheetView topLeftCell="A83" workbookViewId="0">
      <selection activeCell="B109" sqref="B109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D1" t="s">
        <v>6</v>
      </c>
      <c r="F1" t="s">
        <v>7</v>
      </c>
    </row>
    <row r="2" spans="1:6" x14ac:dyDescent="0.25">
      <c r="A2">
        <v>0</v>
      </c>
      <c r="B2">
        <v>15</v>
      </c>
      <c r="D2">
        <f xml:space="preserve"> 0.000652681*A2^3-0.0356523*A2^2+0.29714*A2+15.2038</f>
        <v>15.203799999999999</v>
      </c>
      <c r="F2" s="1" t="s">
        <v>8</v>
      </c>
    </row>
    <row r="3" spans="1:6" x14ac:dyDescent="0.25">
      <c r="A3">
        <v>2.5</v>
      </c>
      <c r="B3">
        <v>15.9</v>
      </c>
      <c r="D3">
        <f t="shared" ref="D3:D14" si="0" xml:space="preserve"> 0.000652681*A3^3-0.0356523*A3^2+0.29714*A3+15.2038</f>
        <v>15.734021265625</v>
      </c>
    </row>
    <row r="4" spans="1:6" x14ac:dyDescent="0.25">
      <c r="A4">
        <v>5</v>
      </c>
      <c r="B4">
        <v>16.100000000000001</v>
      </c>
      <c r="D4">
        <f t="shared" si="0"/>
        <v>15.879777624999999</v>
      </c>
    </row>
    <row r="5" spans="1:6" x14ac:dyDescent="0.25">
      <c r="A5">
        <v>7.5</v>
      </c>
      <c r="B5">
        <v>15.8</v>
      </c>
      <c r="D5">
        <f t="shared" si="0"/>
        <v>15.702257921874999</v>
      </c>
    </row>
    <row r="6" spans="1:6" x14ac:dyDescent="0.25">
      <c r="A6">
        <v>10</v>
      </c>
      <c r="B6">
        <v>15</v>
      </c>
      <c r="D6">
        <f t="shared" si="0"/>
        <v>15.262651</v>
      </c>
    </row>
    <row r="7" spans="1:6" x14ac:dyDescent="0.25">
      <c r="A7">
        <v>12.5</v>
      </c>
      <c r="B7">
        <v>14.6</v>
      </c>
      <c r="D7">
        <f t="shared" si="0"/>
        <v>14.622145703125</v>
      </c>
    </row>
    <row r="8" spans="1:6" x14ac:dyDescent="0.25">
      <c r="A8">
        <v>15</v>
      </c>
      <c r="B8">
        <v>13.8</v>
      </c>
      <c r="D8">
        <f t="shared" si="0"/>
        <v>13.841930875000001</v>
      </c>
    </row>
    <row r="9" spans="1:6" x14ac:dyDescent="0.25">
      <c r="A9">
        <v>17.5</v>
      </c>
      <c r="B9">
        <v>12.9</v>
      </c>
      <c r="D9">
        <f t="shared" si="0"/>
        <v>12.983195359374999</v>
      </c>
    </row>
    <row r="10" spans="1:6" x14ac:dyDescent="0.25">
      <c r="A10">
        <v>20</v>
      </c>
      <c r="B10">
        <v>12.1</v>
      </c>
      <c r="D10">
        <f t="shared" si="0"/>
        <v>12.107127999999999</v>
      </c>
    </row>
    <row r="11" spans="1:6" x14ac:dyDescent="0.25">
      <c r="A11">
        <v>22.5</v>
      </c>
      <c r="B11">
        <v>11.3</v>
      </c>
      <c r="D11">
        <f t="shared" si="0"/>
        <v>11.274917640625002</v>
      </c>
    </row>
    <row r="12" spans="1:6" x14ac:dyDescent="0.25">
      <c r="A12">
        <v>25</v>
      </c>
      <c r="B12">
        <v>10.7</v>
      </c>
      <c r="D12">
        <f t="shared" si="0"/>
        <v>10.547753125000003</v>
      </c>
    </row>
    <row r="13" spans="1:6" x14ac:dyDescent="0.25">
      <c r="A13">
        <v>27.5</v>
      </c>
      <c r="B13">
        <v>10.1</v>
      </c>
      <c r="D13">
        <f t="shared" si="0"/>
        <v>9.9868232968750039</v>
      </c>
    </row>
    <row r="14" spans="1:6" x14ac:dyDescent="0.25">
      <c r="A14">
        <v>30</v>
      </c>
      <c r="B14">
        <v>9.5</v>
      </c>
      <c r="D14">
        <f t="shared" si="0"/>
        <v>9.653317000000003</v>
      </c>
    </row>
    <row r="16" spans="1:6" x14ac:dyDescent="0.25">
      <c r="A16" t="s">
        <v>2</v>
      </c>
      <c r="B16" t="s">
        <v>3</v>
      </c>
      <c r="D16" t="s">
        <v>6</v>
      </c>
      <c r="F16" t="s">
        <v>7</v>
      </c>
    </row>
    <row r="17" spans="1:6" ht="17.25" x14ac:dyDescent="0.25">
      <c r="A17">
        <v>0</v>
      </c>
      <c r="B17">
        <v>15</v>
      </c>
      <c r="D17">
        <f xml:space="preserve"> -0.0000000868778*A17^5-0.0000459619*A17^4+0.00347366*A17^3-0.0884721*A17^2+0.510463*A17+14.9932</f>
        <v>14.9932</v>
      </c>
      <c r="F17" s="1" t="s">
        <v>10</v>
      </c>
    </row>
    <row r="18" spans="1:6" x14ac:dyDescent="0.25">
      <c r="A18">
        <v>2.5</v>
      </c>
      <c r="B18">
        <v>15.7</v>
      </c>
      <c r="D18">
        <f t="shared" ref="D18:D29" si="1" xml:space="preserve"> -0.0000000868778*A18^5-0.0000459619*A18^4+0.00347366*A18^3-0.0884721*A18^2+0.510463*A18+14.9932</f>
        <v>15.768878941621093</v>
      </c>
    </row>
    <row r="19" spans="1:6" x14ac:dyDescent="0.25">
      <c r="A19">
        <v>5</v>
      </c>
      <c r="B19">
        <v>15.9</v>
      </c>
      <c r="D19">
        <f t="shared" si="1"/>
        <v>15.738922319375</v>
      </c>
    </row>
    <row r="20" spans="1:6" x14ac:dyDescent="0.25">
      <c r="A20">
        <v>7.5</v>
      </c>
      <c r="B20">
        <v>15.1</v>
      </c>
      <c r="D20">
        <f t="shared" si="1"/>
        <v>15.163079212363282</v>
      </c>
    </row>
    <row r="21" spans="1:6" x14ac:dyDescent="0.25">
      <c r="A21">
        <v>10</v>
      </c>
      <c r="B21">
        <v>14.1</v>
      </c>
      <c r="D21">
        <f t="shared" si="1"/>
        <v>14.25597322</v>
      </c>
    </row>
    <row r="22" spans="1:6" x14ac:dyDescent="0.25">
      <c r="A22">
        <v>12.5</v>
      </c>
      <c r="B22">
        <v>13.3</v>
      </c>
      <c r="D22">
        <f t="shared" si="1"/>
        <v>13.186084362792968</v>
      </c>
    </row>
    <row r="23" spans="1:6" x14ac:dyDescent="0.25">
      <c r="A23">
        <v>15</v>
      </c>
      <c r="B23">
        <v>12.1</v>
      </c>
      <c r="D23">
        <f t="shared" si="1"/>
        <v>12.074730983125002</v>
      </c>
    </row>
    <row r="24" spans="1:6" x14ac:dyDescent="0.25">
      <c r="A24">
        <v>17.5</v>
      </c>
      <c r="B24">
        <v>11</v>
      </c>
      <c r="D24">
        <f t="shared" si="1"/>
        <v>10.995051646035156</v>
      </c>
    </row>
    <row r="25" spans="1:6" x14ac:dyDescent="0.25">
      <c r="A25">
        <v>20</v>
      </c>
      <c r="B25">
        <v>10</v>
      </c>
      <c r="D25">
        <f t="shared" si="1"/>
        <v>9.9709870399999954</v>
      </c>
    </row>
    <row r="26" spans="1:6" x14ac:dyDescent="0.25">
      <c r="A26">
        <v>22.5</v>
      </c>
      <c r="B26">
        <v>8.9</v>
      </c>
      <c r="D26">
        <f t="shared" si="1"/>
        <v>8.9762618777148422</v>
      </c>
    </row>
    <row r="27" spans="1:6" x14ac:dyDescent="0.25">
      <c r="A27">
        <v>25</v>
      </c>
      <c r="B27">
        <v>7.9</v>
      </c>
      <c r="D27">
        <f t="shared" si="1"/>
        <v>7.9333667968749975</v>
      </c>
    </row>
    <row r="28" spans="1:6" x14ac:dyDescent="0.25">
      <c r="A28">
        <v>27.5</v>
      </c>
      <c r="B28">
        <v>6.8</v>
      </c>
      <c r="D28">
        <f t="shared" si="1"/>
        <v>6.712540260957029</v>
      </c>
    </row>
    <row r="29" spans="1:6" x14ac:dyDescent="0.25">
      <c r="A29">
        <v>30</v>
      </c>
      <c r="B29">
        <v>5.0999999999999996</v>
      </c>
      <c r="D29">
        <f t="shared" si="1"/>
        <v>5.130750460000014</v>
      </c>
    </row>
    <row r="31" spans="1:6" x14ac:dyDescent="0.25">
      <c r="A31" t="s">
        <v>4</v>
      </c>
      <c r="B31" t="s">
        <v>5</v>
      </c>
      <c r="D31" t="s">
        <v>9</v>
      </c>
      <c r="F31" t="s">
        <v>7</v>
      </c>
    </row>
    <row r="32" spans="1:6" x14ac:dyDescent="0.25">
      <c r="A32">
        <v>0</v>
      </c>
      <c r="B32">
        <v>15</v>
      </c>
      <c r="D32">
        <f>-0.00000154449*A32^5+0.0000797696*A32^4+0.000148965*A32^3-0.0570448*A32^2+0.244115*A32+15.0029</f>
        <v>15.0029</v>
      </c>
      <c r="F32" s="1" t="s">
        <v>11</v>
      </c>
    </row>
    <row r="33" spans="1:4" x14ac:dyDescent="0.25">
      <c r="A33">
        <v>2.5</v>
      </c>
      <c r="B33">
        <v>15.3</v>
      </c>
      <c r="D33">
        <f t="shared" ref="D33:D44" si="2">-0.00000154449*A33^5+0.0000797696*A33^4+0.000148965*A33^3-0.0570448*A33^2+0.244115*A33+15.0029</f>
        <v>15.261950249023437</v>
      </c>
    </row>
    <row r="34" spans="1:4" x14ac:dyDescent="0.25">
      <c r="A34">
        <v>5</v>
      </c>
      <c r="B34">
        <v>14.8</v>
      </c>
      <c r="D34">
        <f t="shared" si="2"/>
        <v>14.86100509375</v>
      </c>
    </row>
    <row r="35" spans="1:4" x14ac:dyDescent="0.25">
      <c r="A35">
        <v>7.5</v>
      </c>
      <c r="B35">
        <v>13.8</v>
      </c>
      <c r="D35">
        <f t="shared" si="2"/>
        <v>13.903581637695313</v>
      </c>
    </row>
    <row r="36" spans="1:4" x14ac:dyDescent="0.25">
      <c r="A36">
        <v>10</v>
      </c>
      <c r="B36">
        <v>12.8</v>
      </c>
      <c r="D36">
        <f t="shared" si="2"/>
        <v>12.531782</v>
      </c>
    </row>
    <row r="37" spans="1:4" x14ac:dyDescent="0.25">
      <c r="A37">
        <v>12.5</v>
      </c>
      <c r="B37">
        <v>10.9</v>
      </c>
      <c r="D37">
        <f t="shared" si="2"/>
        <v>10.908193823242188</v>
      </c>
    </row>
    <row r="38" spans="1:4" x14ac:dyDescent="0.25">
      <c r="A38">
        <v>15</v>
      </c>
      <c r="B38">
        <v>8.9</v>
      </c>
      <c r="D38">
        <f t="shared" si="2"/>
        <v>9.1977907812500028</v>
      </c>
    </row>
    <row r="39" spans="1:4" x14ac:dyDescent="0.25">
      <c r="A39">
        <v>17.5</v>
      </c>
      <c r="B39">
        <v>7.7</v>
      </c>
      <c r="D39">
        <f t="shared" si="2"/>
        <v>7.549833086914064</v>
      </c>
    </row>
    <row r="40" spans="1:4" x14ac:dyDescent="0.25">
      <c r="A40">
        <v>20</v>
      </c>
      <c r="B40">
        <v>6.1</v>
      </c>
      <c r="D40">
        <f t="shared" si="2"/>
        <v>6.0797680000000014</v>
      </c>
    </row>
    <row r="41" spans="1:4" x14ac:dyDescent="0.25">
      <c r="A41">
        <v>22.5</v>
      </c>
      <c r="B41">
        <v>4.9000000000000004</v>
      </c>
      <c r="D41">
        <f t="shared" si="2"/>
        <v>4.8511303349609385</v>
      </c>
    </row>
    <row r="42" spans="1:4" x14ac:dyDescent="0.25">
      <c r="A42">
        <v>25</v>
      </c>
      <c r="B42">
        <v>3.8</v>
      </c>
      <c r="D42">
        <f t="shared" si="2"/>
        <v>3.8574429687500036</v>
      </c>
    </row>
    <row r="43" spans="1:4" x14ac:dyDescent="0.25">
      <c r="A43">
        <v>27.5</v>
      </c>
      <c r="B43">
        <v>3</v>
      </c>
      <c r="D43">
        <f t="shared" si="2"/>
        <v>3.0041173486328105</v>
      </c>
    </row>
    <row r="44" spans="1:4" x14ac:dyDescent="0.25">
      <c r="A44">
        <v>30</v>
      </c>
      <c r="B44">
        <v>2.1</v>
      </c>
      <c r="D44">
        <f t="shared" si="2"/>
        <v>2.0903540000000085</v>
      </c>
    </row>
    <row r="49" spans="1:7" x14ac:dyDescent="0.25">
      <c r="B49">
        <f>RADIANS(20)</f>
        <v>0.3490658503988659</v>
      </c>
      <c r="D49" s="1">
        <f>7915.704468*LOG((TAN((RADIANS(45)+(B49/2)))))-23.268932*SIN(B49)-0.0525*(SIN(B49)^3)*(SIN(B49)^5)</f>
        <v>1217.1806005213464</v>
      </c>
      <c r="F49" s="1" t="s">
        <v>20</v>
      </c>
    </row>
    <row r="53" spans="1:7" x14ac:dyDescent="0.25">
      <c r="A53">
        <v>160</v>
      </c>
      <c r="B53" t="s">
        <v>29</v>
      </c>
      <c r="D53">
        <f>RADIANS(A53)</f>
        <v>2.7925268031909272</v>
      </c>
      <c r="F53">
        <f>RADIANS(360)</f>
        <v>6.2831853071795862</v>
      </c>
      <c r="G53">
        <f>RADIANS(180)</f>
        <v>3.1415926535897931</v>
      </c>
    </row>
    <row r="54" spans="1:7" x14ac:dyDescent="0.25">
      <c r="A54">
        <v>140</v>
      </c>
      <c r="B54" t="s">
        <v>18</v>
      </c>
      <c r="D54">
        <f t="shared" ref="D54:D56" si="3">RADIANS(A54)</f>
        <v>2.4434609527920612</v>
      </c>
      <c r="F54">
        <f>(360-(A53+A54))</f>
        <v>60</v>
      </c>
    </row>
    <row r="55" spans="1:7" x14ac:dyDescent="0.25">
      <c r="A55">
        <f>(A53+A54)</f>
        <v>300</v>
      </c>
      <c r="B55" t="s">
        <v>18</v>
      </c>
      <c r="D55">
        <f t="shared" si="3"/>
        <v>5.2359877559829888</v>
      </c>
      <c r="F55" cm="1">
        <f t="array" ref="F55">_xlfn.IFS(B53=B54,A54-A53,(A53+A54)&gt;180,360-(A53+A54),B53&lt;&gt;B54,A53+A54)</f>
        <v>60</v>
      </c>
    </row>
    <row r="56" spans="1:7" x14ac:dyDescent="0.25">
      <c r="A56">
        <f>(360-A55)</f>
        <v>60</v>
      </c>
      <c r="D56">
        <f t="shared" si="3"/>
        <v>1.0471975511965976</v>
      </c>
      <c r="F56" s="1" cm="1">
        <f t="array" ref="F56">_xlfn.IFS(B53=B54,D54-D53,(D53+D54)&gt;(RADIANS(180)),RADIANS(360)-(D53+D54),B53&lt;&gt;B54,D53+D54)</f>
        <v>1.0471975511965983</v>
      </c>
      <c r="G56">
        <f>DEGREES(F56)</f>
        <v>60.000000000000036</v>
      </c>
    </row>
    <row r="57" spans="1:7" x14ac:dyDescent="0.25">
      <c r="F57" s="1" t="s">
        <v>30</v>
      </c>
    </row>
    <row r="58" spans="1:7" x14ac:dyDescent="0.25">
      <c r="F58" s="1" t="s">
        <v>32</v>
      </c>
    </row>
    <row r="60" spans="1:7" x14ac:dyDescent="0.25">
      <c r="A60" t="s">
        <v>35</v>
      </c>
      <c r="B60" t="s">
        <v>36</v>
      </c>
      <c r="C60" t="s">
        <v>38</v>
      </c>
    </row>
    <row r="61" spans="1:7" x14ac:dyDescent="0.25">
      <c r="A61">
        <v>4200</v>
      </c>
      <c r="B61">
        <v>121.8</v>
      </c>
      <c r="C61">
        <v>696</v>
      </c>
      <c r="F61" s="1">
        <f>DEGREES(ATAN(A61/B61))</f>
        <v>88.338887954810119</v>
      </c>
    </row>
    <row r="62" spans="1:7" x14ac:dyDescent="0.25">
      <c r="F62" s="1" t="s">
        <v>37</v>
      </c>
    </row>
    <row r="64" spans="1:7" x14ac:dyDescent="0.25">
      <c r="F64">
        <f>(C61/(COS(RADIANS(F61))))</f>
        <v>24010.089879048992</v>
      </c>
    </row>
    <row r="65" spans="1:6" x14ac:dyDescent="0.25">
      <c r="F65" t="s">
        <v>39</v>
      </c>
    </row>
    <row r="67" spans="1:6" x14ac:dyDescent="0.25">
      <c r="A67" t="s">
        <v>46</v>
      </c>
      <c r="B67" t="s">
        <v>47</v>
      </c>
      <c r="F67" t="s">
        <v>77</v>
      </c>
    </row>
    <row r="68" spans="1:6" x14ac:dyDescent="0.25">
      <c r="A68">
        <v>130.6</v>
      </c>
      <c r="B68">
        <v>420</v>
      </c>
      <c r="F68">
        <f>DEGREES(ATAN(A68/B68))</f>
        <v>17.273206012669817</v>
      </c>
    </row>
    <row r="73" spans="1:6" x14ac:dyDescent="0.25">
      <c r="A73" t="s">
        <v>53</v>
      </c>
      <c r="B73" t="s">
        <v>54</v>
      </c>
      <c r="C73" t="s">
        <v>55</v>
      </c>
      <c r="F73" t="s">
        <v>40</v>
      </c>
    </row>
    <row r="74" spans="1:6" x14ac:dyDescent="0.25">
      <c r="A74">
        <f>RADIANS(35.9333)</f>
        <v>0.62715439610687851</v>
      </c>
      <c r="B74">
        <f>RADIANS(36.9666)</f>
        <v>0.64518888326773582</v>
      </c>
      <c r="C74">
        <v>97.3</v>
      </c>
      <c r="F74">
        <f>(DEGREES(ACOS((SIN(A74)*SIN(B74)+(COS(A74)*COS(B74)*COS(RADIANS(C74)))))))*60</f>
        <v>4457.6639290232724</v>
      </c>
    </row>
    <row r="75" spans="1:6" x14ac:dyDescent="0.25">
      <c r="F75">
        <v>4457.6610000000001</v>
      </c>
    </row>
    <row r="76" spans="1:6" x14ac:dyDescent="0.25">
      <c r="F76" s="1"/>
    </row>
    <row r="77" spans="1:6" x14ac:dyDescent="0.25">
      <c r="A77" s="24" t="s">
        <v>63</v>
      </c>
      <c r="B77" s="24"/>
    </row>
    <row r="78" spans="1:6" x14ac:dyDescent="0.25">
      <c r="A78" t="s">
        <v>64</v>
      </c>
      <c r="B78" t="s">
        <v>65</v>
      </c>
      <c r="D78" t="s">
        <v>79</v>
      </c>
    </row>
    <row r="79" spans="1:6" x14ac:dyDescent="0.25">
      <c r="A79">
        <v>0</v>
      </c>
      <c r="B79">
        <v>0</v>
      </c>
      <c r="D79" t="s">
        <v>68</v>
      </c>
      <c r="E79" t="s">
        <v>73</v>
      </c>
    </row>
    <row r="80" spans="1:6" x14ac:dyDescent="0.25">
      <c r="A80">
        <v>1</v>
      </c>
      <c r="B80">
        <v>1</v>
      </c>
      <c r="D80" t="s">
        <v>69</v>
      </c>
      <c r="E80" t="s">
        <v>71</v>
      </c>
    </row>
    <row r="81" spans="1:5" x14ac:dyDescent="0.25">
      <c r="A81">
        <v>2</v>
      </c>
      <c r="B81">
        <v>2</v>
      </c>
      <c r="D81" t="s">
        <v>70</v>
      </c>
      <c r="E81" t="s">
        <v>72</v>
      </c>
    </row>
    <row r="82" spans="1:5" x14ac:dyDescent="0.25">
      <c r="A82">
        <v>3</v>
      </c>
      <c r="B82">
        <v>3.5</v>
      </c>
    </row>
    <row r="83" spans="1:5" x14ac:dyDescent="0.25">
      <c r="A83">
        <v>4</v>
      </c>
      <c r="B83">
        <v>6</v>
      </c>
    </row>
    <row r="84" spans="1:5" x14ac:dyDescent="0.25">
      <c r="A84">
        <v>5</v>
      </c>
      <c r="B84">
        <v>9</v>
      </c>
    </row>
    <row r="85" spans="1:5" x14ac:dyDescent="0.25">
      <c r="A85">
        <v>6</v>
      </c>
      <c r="B85">
        <v>13</v>
      </c>
    </row>
    <row r="86" spans="1:5" x14ac:dyDescent="0.25">
      <c r="A86">
        <v>7</v>
      </c>
      <c r="B86">
        <v>19</v>
      </c>
    </row>
    <row r="87" spans="1:5" x14ac:dyDescent="0.25">
      <c r="A87">
        <v>8</v>
      </c>
      <c r="B87">
        <v>25</v>
      </c>
    </row>
    <row r="88" spans="1:5" x14ac:dyDescent="0.25">
      <c r="A88">
        <v>9</v>
      </c>
      <c r="B88">
        <v>32</v>
      </c>
    </row>
    <row r="89" spans="1:5" x14ac:dyDescent="0.25">
      <c r="A89">
        <v>10</v>
      </c>
      <c r="B89">
        <v>41</v>
      </c>
    </row>
    <row r="90" spans="1:5" x14ac:dyDescent="0.25">
      <c r="A90">
        <v>11</v>
      </c>
      <c r="B90">
        <v>52</v>
      </c>
    </row>
    <row r="91" spans="1:5" x14ac:dyDescent="0.25">
      <c r="A91">
        <v>12</v>
      </c>
      <c r="B91">
        <v>60</v>
      </c>
    </row>
    <row r="93" spans="1:5" x14ac:dyDescent="0.25">
      <c r="A93" t="s">
        <v>78</v>
      </c>
    </row>
    <row r="95" spans="1:5" x14ac:dyDescent="0.25">
      <c r="A95" s="1">
        <f>_xlfn.IFS(Feuil2!C46=180,0,Feuil2!C46&gt;180,Feuil2!C46-180,Feuil2!C46&lt;180,180-Feuil2!C46)</f>
        <v>70</v>
      </c>
    </row>
    <row r="97" spans="1:3" x14ac:dyDescent="0.25">
      <c r="A97" s="1" t="s">
        <v>96</v>
      </c>
    </row>
    <row r="101" spans="1:3" x14ac:dyDescent="0.25">
      <c r="A101" t="s">
        <v>51</v>
      </c>
      <c r="C101" t="s">
        <v>101</v>
      </c>
    </row>
    <row r="102" spans="1:3" x14ac:dyDescent="0.25">
      <c r="A102" t="s">
        <v>52</v>
      </c>
      <c r="C102" t="s">
        <v>102</v>
      </c>
    </row>
    <row r="105" spans="1:3" x14ac:dyDescent="0.25">
      <c r="A105" t="s">
        <v>123</v>
      </c>
    </row>
    <row r="109" spans="1:3" x14ac:dyDescent="0.25">
      <c r="A109" t="s">
        <v>120</v>
      </c>
      <c r="B109" s="1" t="s">
        <v>127</v>
      </c>
    </row>
  </sheetData>
  <mergeCells count="1">
    <mergeCell ref="A77:B77"/>
  </mergeCells>
  <dataValidations count="1">
    <dataValidation type="list" allowBlank="1" showInputMessage="1" showErrorMessage="1" sqref="B77:B91 A77:A78" xr:uid="{607B9829-3E5F-4094-A69D-6DE189B13F4E}">
      <formula1>$A$79:$A$91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Références</vt:lpstr>
      <vt:lpstr>Références!Loxo</vt:lpstr>
    </vt:vector>
  </TitlesOfParts>
  <Company>Institut maritime du Québec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Institut maritime du Québec</dc:creator>
  <cp:lastModifiedBy>william elias</cp:lastModifiedBy>
  <dcterms:created xsi:type="dcterms:W3CDTF">2023-01-19T18:47:51Z</dcterms:created>
  <dcterms:modified xsi:type="dcterms:W3CDTF">2023-02-09T21:09:47Z</dcterms:modified>
</cp:coreProperties>
</file>