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00294\Downloads\"/>
    </mc:Choice>
  </mc:AlternateContent>
  <xr:revisionPtr revIDLastSave="0" documentId="8_{0B9C794F-872B-4079-B104-59421FC02AEB}" xr6:coauthVersionLast="47" xr6:coauthVersionMax="47" xr10:uidLastSave="{00000000-0000-0000-0000-000000000000}"/>
  <bookViews>
    <workbookView xWindow="-120" yWindow="-120" windowWidth="29040" windowHeight="15990" activeTab="3" xr2:uid="{00000000-000D-0000-FFFF-FFFF00000000}"/>
  </bookViews>
  <sheets>
    <sheet name="Feuil1" sheetId="1" r:id="rId1"/>
    <sheet name="Feuil3" sheetId="3" state="hidden" r:id="rId2"/>
    <sheet name="Feuil2" sheetId="2" state="hidden" r:id="rId3"/>
    <sheet name="Feuil4" sheetId="4" r:id="rId4"/>
  </sheets>
  <definedNames>
    <definedName name="tableau_tarification">Tableau3[]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0" i="2" l="1" a="1"/>
  <c r="G30" i="2" s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70" i="1"/>
  <c r="I10" i="4"/>
  <c r="E69" i="4"/>
  <c r="D10" i="4" l="1"/>
  <c r="B10" i="4"/>
  <c r="H66" i="4" l="1"/>
  <c r="D18" i="4" s="1"/>
  <c r="D13" i="2"/>
  <c r="D17" i="2" s="1"/>
  <c r="G66" i="4"/>
  <c r="C13" i="2"/>
  <c r="H17" i="2" s="1"/>
  <c r="J65" i="4"/>
  <c r="I65" i="4"/>
  <c r="H65" i="4"/>
  <c r="G65" i="4"/>
  <c r="D12" i="2"/>
  <c r="C12" i="2"/>
  <c r="C16" i="2"/>
  <c r="D15" i="4"/>
  <c r="F16" i="2"/>
  <c r="B15" i="4"/>
  <c r="E16" i="2"/>
  <c r="D16" i="2"/>
  <c r="E12" i="2"/>
  <c r="F12" i="2"/>
  <c r="G12" i="2" s="1"/>
  <c r="H18" i="2" s="1"/>
  <c r="B34" i="4" l="1"/>
  <c r="C17" i="2"/>
  <c r="B18" i="4"/>
  <c r="B19" i="4"/>
  <c r="C18" i="2"/>
  <c r="K65" i="4"/>
  <c r="B23" i="4" s="1"/>
  <c r="N23" i="2"/>
  <c r="S22" i="2"/>
  <c r="L9" i="2"/>
  <c r="L10" i="2"/>
  <c r="P65" i="2"/>
  <c r="P63" i="2"/>
  <c r="P61" i="2"/>
  <c r="P59" i="2"/>
  <c r="P57" i="2"/>
  <c r="P55" i="2"/>
  <c r="P53" i="2"/>
  <c r="P51" i="2"/>
  <c r="P49" i="2"/>
  <c r="P37" i="2"/>
  <c r="P35" i="2"/>
  <c r="P33" i="2"/>
  <c r="P31" i="2"/>
  <c r="P30" i="2"/>
  <c r="G83" i="2"/>
  <c r="G96" i="2"/>
  <c r="G93" i="2"/>
  <c r="G94" i="2"/>
  <c r="G91" i="2"/>
  <c r="G88" i="2"/>
  <c r="G89" i="2"/>
  <c r="G86" i="2"/>
  <c r="G84" i="2"/>
  <c r="G81" i="2"/>
  <c r="G79" i="2"/>
  <c r="G78" i="2"/>
  <c r="H47" i="1"/>
  <c r="I47" i="1"/>
  <c r="H63" i="1"/>
  <c r="I63" i="1"/>
  <c r="H64" i="1"/>
  <c r="I64" i="1"/>
  <c r="H65" i="1"/>
  <c r="I65" i="1"/>
  <c r="H53" i="1"/>
  <c r="I53" i="1"/>
  <c r="H54" i="1"/>
  <c r="I54" i="1"/>
  <c r="H55" i="1"/>
  <c r="I55" i="1"/>
  <c r="H38" i="1"/>
  <c r="H39" i="1"/>
  <c r="T23" i="2"/>
  <c r="R23" i="2"/>
  <c r="S23" i="2" s="1"/>
  <c r="D22" i="4" l="1"/>
  <c r="H106" i="2"/>
  <c r="P67" i="2"/>
  <c r="Q70" i="2" s="1"/>
  <c r="P41" i="2"/>
  <c r="P39" i="2"/>
  <c r="Q45" i="2" l="1"/>
  <c r="S11" i="2"/>
  <c r="S10" i="2"/>
  <c r="S9" i="2"/>
  <c r="L11" i="2"/>
  <c r="H62" i="2" l="1"/>
  <c r="T13" i="2"/>
  <c r="N13" i="2"/>
  <c r="I4" i="1" l="1"/>
  <c r="I5" i="1"/>
  <c r="I6" i="1"/>
  <c r="I7" i="1"/>
  <c r="H23" i="1"/>
  <c r="E24" i="1"/>
  <c r="I24" i="1" s="1"/>
  <c r="E25" i="1"/>
  <c r="I25" i="1" s="1"/>
  <c r="E26" i="1"/>
  <c r="I26" i="1" s="1"/>
  <c r="E27" i="1"/>
  <c r="I27" i="1" s="1"/>
  <c r="E28" i="1"/>
  <c r="I28" i="1" s="1"/>
  <c r="E23" i="1"/>
  <c r="I23" i="1" s="1"/>
  <c r="E21" i="2" s="1"/>
  <c r="E35" i="1"/>
  <c r="I35" i="1" s="1"/>
  <c r="E36" i="1"/>
  <c r="I36" i="1" s="1"/>
  <c r="E37" i="1"/>
  <c r="I37" i="1" s="1"/>
  <c r="E38" i="1"/>
  <c r="E39" i="1"/>
  <c r="E34" i="1"/>
  <c r="I34" i="1" s="1"/>
  <c r="F21" i="2" s="1"/>
  <c r="G16" i="2"/>
  <c r="H70" i="2" s="1"/>
  <c r="I12" i="1"/>
  <c r="I13" i="1"/>
  <c r="I14" i="1"/>
  <c r="I11" i="1"/>
  <c r="F20" i="2" s="1"/>
  <c r="H12" i="1"/>
  <c r="D20" i="2" s="1"/>
  <c r="H13" i="1"/>
  <c r="H14" i="1"/>
  <c r="H11" i="1"/>
  <c r="I8" i="1"/>
  <c r="E20" i="2" s="1"/>
  <c r="H5" i="1"/>
  <c r="H6" i="1"/>
  <c r="H7" i="1"/>
  <c r="H8" i="1"/>
  <c r="C20" i="2" s="1"/>
  <c r="H4" i="1"/>
  <c r="I58" i="1"/>
  <c r="I59" i="1"/>
  <c r="I60" i="1"/>
  <c r="I61" i="1"/>
  <c r="I62" i="1"/>
  <c r="I57" i="1"/>
  <c r="I48" i="1"/>
  <c r="I49" i="1"/>
  <c r="I50" i="1"/>
  <c r="I51" i="1"/>
  <c r="I52" i="1"/>
  <c r="H58" i="1"/>
  <c r="H59" i="1"/>
  <c r="H60" i="1"/>
  <c r="H61" i="1"/>
  <c r="H62" i="1"/>
  <c r="H57" i="1"/>
  <c r="H48" i="1"/>
  <c r="H49" i="1"/>
  <c r="H50" i="1"/>
  <c r="H51" i="1"/>
  <c r="H52" i="1"/>
  <c r="H34" i="1"/>
  <c r="D21" i="2" s="1"/>
  <c r="H35" i="1"/>
  <c r="H36" i="1"/>
  <c r="H37" i="1"/>
  <c r="H24" i="1"/>
  <c r="C21" i="2" s="1"/>
  <c r="H25" i="1"/>
  <c r="H26" i="1"/>
  <c r="H27" i="1"/>
  <c r="H28" i="1"/>
  <c r="I39" i="1" l="1"/>
  <c r="I38" i="1"/>
  <c r="G21" i="2"/>
  <c r="G18" i="2" l="1"/>
  <c r="G17" i="2"/>
  <c r="G22" i="2"/>
  <c r="C22" i="2"/>
  <c r="E22" i="2"/>
  <c r="F22" i="2"/>
  <c r="D22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<sst xmlns="http://schemas.openxmlformats.org/spreadsheetml/2006/main" count="387" uniqueCount="179">
  <si>
    <t>COPIES</t>
  </si>
  <si>
    <t xml:space="preserve">COUT A LA PAGE  </t>
  </si>
  <si>
    <t xml:space="preserve">N/B </t>
  </si>
  <si>
    <t>A4</t>
  </si>
  <si>
    <t>A3</t>
  </si>
  <si>
    <t xml:space="preserve">liste de traitement du fichier </t>
  </si>
  <si>
    <t>OUI</t>
  </si>
  <si>
    <t>NON</t>
  </si>
  <si>
    <t xml:space="preserve">Regles de calcules  </t>
  </si>
  <si>
    <t>A4 N/B</t>
  </si>
  <si>
    <t>1 unité</t>
  </si>
  <si>
    <t xml:space="preserve"> </t>
  </si>
  <si>
    <t>A4 CMYK</t>
  </si>
  <si>
    <t xml:space="preserve">10 unités </t>
  </si>
  <si>
    <t>CMYK</t>
  </si>
  <si>
    <t xml:space="preserve">A4 R/V </t>
  </si>
  <si>
    <t xml:space="preserve">2 recto A4 </t>
  </si>
  <si>
    <t>1 A3</t>
  </si>
  <si>
    <t xml:space="preserve">2 A4 </t>
  </si>
  <si>
    <t xml:space="preserve">FORFAIT </t>
  </si>
  <si>
    <t xml:space="preserve">CMYK </t>
  </si>
  <si>
    <t>LS</t>
  </si>
  <si>
    <t>N/B</t>
  </si>
  <si>
    <t>PLASTIFICATION A4</t>
  </si>
  <si>
    <t>PLASTIFICATION A3</t>
  </si>
  <si>
    <t>80 microns</t>
  </si>
  <si>
    <t>125 microns</t>
  </si>
  <si>
    <t>175 microns</t>
  </si>
  <si>
    <t>RELIURES</t>
  </si>
  <si>
    <t>PLASTIQUE</t>
  </si>
  <si>
    <t>METAL</t>
  </si>
  <si>
    <t>6 mm</t>
  </si>
  <si>
    <t>8 mm</t>
  </si>
  <si>
    <t>10 mm</t>
  </si>
  <si>
    <t>12 mm</t>
  </si>
  <si>
    <t>14 mm</t>
  </si>
  <si>
    <t>16 mm</t>
  </si>
  <si>
    <t>19 mm</t>
  </si>
  <si>
    <t>THERMO</t>
  </si>
  <si>
    <t>22 mm</t>
  </si>
  <si>
    <t>3 mm</t>
  </si>
  <si>
    <t>25 mm</t>
  </si>
  <si>
    <t>5 mm</t>
  </si>
  <si>
    <t>28 mm</t>
  </si>
  <si>
    <t>7 mm</t>
  </si>
  <si>
    <t>32 mm</t>
  </si>
  <si>
    <t>9 mm</t>
  </si>
  <si>
    <t>38 mm</t>
  </si>
  <si>
    <t>45 mm</t>
  </si>
  <si>
    <t>15 mm</t>
  </si>
  <si>
    <t>51 mm</t>
  </si>
  <si>
    <t>18 mm</t>
  </si>
  <si>
    <t>TRANSPARENT</t>
  </si>
  <si>
    <t>24 mm</t>
  </si>
  <si>
    <t>CUIR</t>
  </si>
  <si>
    <t>36 mm</t>
  </si>
  <si>
    <t>NUMERISATION A4 - 3A</t>
  </si>
  <si>
    <t>NUMERISATION GF</t>
  </si>
  <si>
    <t>FORFAIT NUMERISATION</t>
  </si>
  <si>
    <t>PACK SCAN</t>
  </si>
  <si>
    <t>GRAND FORMAT</t>
  </si>
  <si>
    <t>90 GR N&amp;B</t>
  </si>
  <si>
    <t>A2</t>
  </si>
  <si>
    <t>-</t>
  </si>
  <si>
    <t>A1</t>
  </si>
  <si>
    <t>A0</t>
  </si>
  <si>
    <t>90 GR COULEUR</t>
  </si>
  <si>
    <t>120 GR</t>
  </si>
  <si>
    <t>190 GR</t>
  </si>
  <si>
    <t>PLASTIFICATION</t>
  </si>
  <si>
    <t>Noir blanc</t>
  </si>
  <si>
    <t>Couleur</t>
  </si>
  <si>
    <t>Noir Blanc</t>
  </si>
  <si>
    <t xml:space="preserve">couleur </t>
  </si>
  <si>
    <t>TOTAL</t>
  </si>
  <si>
    <t xml:space="preserve">Nombre de pages  </t>
  </si>
  <si>
    <t>80 MICRONS</t>
  </si>
  <si>
    <t>125 MICRONS</t>
  </si>
  <si>
    <t>175 MICRONS</t>
  </si>
  <si>
    <t>NOMBRE D'UNITES  LS</t>
  </si>
  <si>
    <t>Nombre D'UNITES PACK</t>
  </si>
  <si>
    <t>1A3=2A4</t>
  </si>
  <si>
    <t>PRISE EN CHARGE</t>
  </si>
  <si>
    <t xml:space="preserve">COPIES ATELIER </t>
  </si>
  <si>
    <t>PACK</t>
  </si>
  <si>
    <t>NUMÉRISATION</t>
  </si>
  <si>
    <t>CARTE LIBRE SERVICE</t>
  </si>
  <si>
    <t>CAUTION CARTE</t>
  </si>
  <si>
    <t>A4 - A3</t>
  </si>
  <si>
    <t>UNITÉ</t>
  </si>
  <si>
    <t>FORFAIT</t>
  </si>
  <si>
    <t>100 NUMERISATIONS A4/A3 = 29,99 €TTC                        500 NUMERISATIONS A4/A3 = 119,99 €TTC</t>
  </si>
  <si>
    <t>SPIRALE PLASTIQUE</t>
  </si>
  <si>
    <t>SPIRALE MÉTAL</t>
  </si>
  <si>
    <t>6 mm de 1 à 20 feuilles</t>
  </si>
  <si>
    <t>6 mm de 1 à 35 feuilles</t>
  </si>
  <si>
    <t>8 mm de 21 à 40 feuilles</t>
  </si>
  <si>
    <t>8 mm de 36 à 50 feuilles</t>
  </si>
  <si>
    <t>10 mm de 41 à 55 feuilles</t>
  </si>
  <si>
    <t>10 mm de 51 à 80 feuilles</t>
  </si>
  <si>
    <t>12 mm de 56 à 80 feuilles</t>
  </si>
  <si>
    <t>12 mm de 81 à 100 feuilles</t>
  </si>
  <si>
    <t>14 mm de 81 à 100 feuilles</t>
  </si>
  <si>
    <t>14 mm de 101 à 130 feuilles</t>
  </si>
  <si>
    <t>16 mm de 101 à 120 feuilles</t>
  </si>
  <si>
    <t>19 mm de 121 à 150 feuilles</t>
  </si>
  <si>
    <t>GRAIN CUIR</t>
  </si>
  <si>
    <t>22 mm de 151 à 180 feuilles</t>
  </si>
  <si>
    <t>25 mm de 181 à 200 feuilles</t>
  </si>
  <si>
    <t>28 mm de 201 à 240 feuilles</t>
  </si>
  <si>
    <t>THÉRMOCOLLÉE</t>
  </si>
  <si>
    <t>32 mm de 241 à 280 feuilles</t>
  </si>
  <si>
    <t>3 mm de 1 à 15 feuilles</t>
  </si>
  <si>
    <t>38 mm de 281 à 340 feuilles</t>
  </si>
  <si>
    <t>5 mm de 16 à 40 feuilles</t>
  </si>
  <si>
    <t>45 mm de 341 à 410 feuilles</t>
  </si>
  <si>
    <t>7 mm de 41 à 60 feuilles</t>
  </si>
  <si>
    <t>51 mm de 411 à 500 feuilles</t>
  </si>
  <si>
    <t>9 mm de 61 à 80 feuilles</t>
  </si>
  <si>
    <t>15 mm de 100 à 120 feuilles</t>
  </si>
  <si>
    <t>18 mm de 121 à 160 feuilles</t>
  </si>
  <si>
    <t>24 mm de 161 à 220 feuilles</t>
  </si>
  <si>
    <t>36 mm de 221 à 340 feuilles</t>
  </si>
  <si>
    <t>TOTAL IMPRESSION + RELIURE</t>
  </si>
  <si>
    <t>IMPRESSIOND GRAND FORMAT</t>
  </si>
  <si>
    <t>PAPIER</t>
  </si>
  <si>
    <t>80 GR N&amp;B</t>
  </si>
  <si>
    <t>350GR - 0,16 €TTC l'unité</t>
  </si>
  <si>
    <t>80 GR COULEUR</t>
  </si>
  <si>
    <t>TOTAL GRAND FORMAT</t>
  </si>
  <si>
    <t>A4 N&amp;B</t>
  </si>
  <si>
    <t>A4 COULEUR</t>
  </si>
  <si>
    <t>A3 COULEUR</t>
  </si>
  <si>
    <t>A3 N&amp;B</t>
  </si>
  <si>
    <t>PACK N&amp;B</t>
  </si>
  <si>
    <t>PACK COULEUR</t>
  </si>
  <si>
    <t>CAUTION</t>
  </si>
  <si>
    <t>1 à 20 feuilles</t>
  </si>
  <si>
    <t>21 à 40 feuilles</t>
  </si>
  <si>
    <t>41 à 55 feuilles</t>
  </si>
  <si>
    <t>56 à 80 feuilles</t>
  </si>
  <si>
    <t>81 à 100 feuilles</t>
  </si>
  <si>
    <t>101 à 120 feuilles</t>
  </si>
  <si>
    <t>121 à 150 feuilles</t>
  </si>
  <si>
    <t>151 à 180 feuilles</t>
  </si>
  <si>
    <t>181 à 200 feuilles</t>
  </si>
  <si>
    <t>201 à 240 feuilles</t>
  </si>
  <si>
    <t>241 à 280 feuilles</t>
  </si>
  <si>
    <t>281 à 340 feuilles</t>
  </si>
  <si>
    <t>341 à 410 feuilles</t>
  </si>
  <si>
    <t>411 à 500 feuilles</t>
  </si>
  <si>
    <t>RELIURE PLASTIQUE</t>
  </si>
  <si>
    <t>TAILLES</t>
  </si>
  <si>
    <t>QUANTITE</t>
  </si>
  <si>
    <t>PRIX</t>
  </si>
  <si>
    <t xml:space="preserve"> 241 à 280 feuilles</t>
  </si>
  <si>
    <t>+21</t>
  </si>
  <si>
    <t>CLÉ</t>
  </si>
  <si>
    <t>1_à_20_feuilles</t>
  </si>
  <si>
    <t>plages de quantité</t>
  </si>
  <si>
    <t>tarifs</t>
  </si>
  <si>
    <t xml:space="preserve">101 à 120 feuilles </t>
  </si>
  <si>
    <t>produits</t>
  </si>
  <si>
    <t>1-20</t>
  </si>
  <si>
    <t>21+</t>
  </si>
  <si>
    <t>MÉTAL</t>
  </si>
  <si>
    <t>THERMOCOLLÉ</t>
  </si>
  <si>
    <t>1 à 35 feuilles</t>
  </si>
  <si>
    <t>36 à 50 feuilles</t>
  </si>
  <si>
    <t>51 à 80 feuilles</t>
  </si>
  <si>
    <t>101 à 130 feuilles</t>
  </si>
  <si>
    <t>1 à 15 feuilles</t>
  </si>
  <si>
    <t>41 à 60 feuilles</t>
  </si>
  <si>
    <t>16 à 40 feuilles</t>
  </si>
  <si>
    <t>61 à 80 feuilles</t>
  </si>
  <si>
    <t>100 à 120 feuilles</t>
  </si>
  <si>
    <t>161 à 220 feuilles</t>
  </si>
  <si>
    <t>121 à 160 feuilles</t>
  </si>
  <si>
    <t>221 à 340 feuilles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</si>
</sst>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.00\ _€_-;\-* #,##0.00\ _€_-;_-* &quot;-&quot;??\ _€_-;_-@_-"/>
    <numFmt numFmtId="165" formatCode="_-* #,##0.00\ [$€-40C]_-;\-* #,##0.00\ [$€-40C]_-;_-* &quot;-&quot;??\ [$€-40C]_-;_-@_-"/>
    <numFmt numFmtId="166" formatCode="_-* #,##0_-;\-* #,##0_-;_-* &quot;-&quot;??_-;_-@_-"/>
    <numFmt numFmtId="167" formatCode="_-* #,##0.00000\ &quot;€&quot;_-;\-* #,##0.00000\ &quot;€&quot;_-;_-* &quot;-&quot;??\ &quot;€&quot;_-;_-@_-"/>
    <numFmt numFmtId="168" formatCode="_-* #,##0.0000\ [$€-40C]_-;\-* #,##0.0000\ [$€-40C]_-;_-* &quot;-&quot;??\ [$€-40C]_-;_-@_-"/>
    <numFmt numFmtId="169" formatCode="_-* #,##0.00000\ [$€-40C]_-;\-* #,##0.00000\ [$€-40C]_-;_-* &quot;-&quot;??\ [$€-40C]_-;_-@_-"/>
    <numFmt numFmtId="170" formatCode="_-* #,##0.0000\ &quot;€&quot;_-;\-* #,##0.0000\ &quot;€&quot;_-;_-* &quot;-&quot;??\ &quot;€&quot;_-;_-@_-"/>
    <numFmt numFmtId="171" formatCode="_-* #,##0.00000\ _€_-;\-* #,##0.00000\ _€_-;_-* &quot;-&quot;?????\ _€_-;_-@_-"/>
    <numFmt numFmtId="172" formatCode="_-* #,##0.00000\ &quot;€&quot;_-;\-* #,##0.00000\ &quot;€&quot;_-;_-* &quot;-&quot;?????\ &quot;€&quot;_-;_-@_-"/>
    <numFmt numFmtId="173" formatCode="#,##0.00\ &quot;€&quot;"/>
    <numFmt numFmtId="174" formatCode="_-* #,##0.000\ [$€-40C]_-;\-* #,##0.000\ [$€-40C]_-;_-* &quot;-&quot;???\ [$€-40C]_-;_-@_-"/>
    <numFmt numFmtId="175" formatCode="_-* #,##0.000\ &quot;€&quot;_-;\-* #,##0.000\ &quot;€&quot;_-;_-* &quot;-&quot;???\ &quot;€&quot;_-;_-@_-"/>
  </numFmts>
  <fonts count="3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444444"/>
      <name val="Calibri"/>
      <family val="2"/>
      <charset val="1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1"/>
      <color rgb="FF000000"/>
      <name val="Calibri"/>
      <family val="2"/>
      <scheme val="minor"/>
    </font>
    <font>
      <b/>
      <sz val="48"/>
      <color rgb="FFFF0000"/>
      <name val="Calibri"/>
      <family val="2"/>
      <charset val="1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name val="Calibri"/>
      <family val="2"/>
      <charset val="1"/>
    </font>
    <font>
      <sz val="11"/>
      <name val="Calibri"/>
      <family val="2"/>
    </font>
    <font>
      <sz val="14"/>
      <name val="Calibri"/>
      <family val="2"/>
      <scheme val="minor"/>
    </font>
    <font>
      <sz val="11"/>
      <name val="Calibri"/>
      <family val="2"/>
      <charset val="1"/>
    </font>
    <font>
      <sz val="11"/>
      <name val="Calibri"/>
      <family val="2"/>
      <charset val="1"/>
      <scheme val="minor"/>
    </font>
    <font>
      <b/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4"/>
      <name val="Calibri"/>
      <family val="2"/>
    </font>
    <font>
      <b/>
      <sz val="14"/>
      <name val="Calibri"/>
      <family val="2"/>
      <charset val="1"/>
    </font>
    <font>
      <sz val="36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Gotham"/>
    </font>
    <font>
      <b/>
      <sz val="15"/>
      <color theme="0"/>
      <name val="Gotham"/>
    </font>
    <font>
      <b/>
      <sz val="10"/>
      <color theme="0"/>
      <name val="Gotham"/>
    </font>
    <font>
      <b/>
      <sz val="8"/>
      <color rgb="FFFF0000"/>
      <name val="Gotham"/>
    </font>
    <font>
      <b/>
      <sz val="9"/>
      <color rgb="FFFCEE1D"/>
      <name val="Gotham"/>
    </font>
    <font>
      <b/>
      <sz val="8"/>
      <color rgb="FFFCEE1D"/>
      <name val="Gotham"/>
    </font>
    <font>
      <b/>
      <sz val="26"/>
      <color theme="0"/>
      <name val="Gotham"/>
    </font>
  </fonts>
  <fills count="17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E7E6E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8E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D0CECE"/>
        <bgColor indexed="64"/>
      </patternFill>
    </fill>
    <fill>
      <patternFill patternType="solid">
        <fgColor rgb="FF42126B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B69FFF"/>
        <bgColor indexed="64"/>
      </patternFill>
    </fill>
    <fill>
      <patternFill patternType="solid">
        <fgColor rgb="FFFCEE1D"/>
        <bgColor indexed="64"/>
      </patternFill>
    </fill>
  </fills>
  <borders count="7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000000"/>
      </left>
      <right/>
      <top style="medium">
        <color indexed="64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 style="medium">
        <color indexed="64"/>
      </top>
      <bottom/>
      <diagonal/>
    </border>
    <border>
      <left style="medium">
        <color rgb="FF000000"/>
      </left>
      <right/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 style="medium">
        <color indexed="64"/>
      </bottom>
      <diagonal/>
    </border>
    <border>
      <left style="medium">
        <color rgb="FF000000"/>
      </left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rgb="FF000000"/>
      </bottom>
      <diagonal/>
    </border>
    <border>
      <left style="medium">
        <color rgb="FF000000"/>
      </left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 style="medium">
        <color rgb="FF000000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indexed="64"/>
      </right>
      <top/>
      <bottom/>
      <diagonal/>
    </border>
    <border>
      <left style="medium">
        <color rgb="FF42126B"/>
      </left>
      <right/>
      <top/>
      <bottom/>
      <diagonal/>
    </border>
    <border>
      <left/>
      <right/>
      <top style="medium">
        <color rgb="FF42126B"/>
      </top>
      <bottom/>
      <diagonal/>
    </border>
    <border>
      <left style="medium">
        <color rgb="FF42126B"/>
      </left>
      <right/>
      <top style="medium">
        <color rgb="FF42126B"/>
      </top>
      <bottom/>
      <diagonal/>
    </border>
    <border>
      <left style="medium">
        <color rgb="FF42126B"/>
      </left>
      <right/>
      <top/>
      <bottom style="medium">
        <color rgb="FF42126B"/>
      </bottom>
      <diagonal/>
    </border>
    <border>
      <left/>
      <right/>
      <top/>
      <bottom style="medium">
        <color rgb="FF42126B"/>
      </bottom>
      <diagonal/>
    </border>
    <border>
      <left/>
      <right style="medium">
        <color rgb="FF42126B"/>
      </right>
      <top/>
      <bottom style="medium">
        <color rgb="FF42126B"/>
      </bottom>
      <diagonal/>
    </border>
    <border>
      <left/>
      <right style="medium">
        <color rgb="FF42126B"/>
      </right>
      <top style="medium">
        <color rgb="FF42126B"/>
      </top>
      <bottom/>
      <diagonal/>
    </border>
    <border>
      <left style="medium">
        <color rgb="FF42126B"/>
      </left>
      <right/>
      <top style="medium">
        <color rgb="FF42126B"/>
      </top>
      <bottom style="medium">
        <color rgb="FF42126B"/>
      </bottom>
      <diagonal/>
    </border>
    <border>
      <left/>
      <right/>
      <top style="medium">
        <color rgb="FF42126B"/>
      </top>
      <bottom style="medium">
        <color rgb="FF42126B"/>
      </bottom>
      <diagonal/>
    </border>
    <border>
      <left/>
      <right/>
      <top style="medium">
        <color rgb="FF000000"/>
      </top>
      <bottom style="medium">
        <color indexed="64"/>
      </bottom>
      <diagonal/>
    </border>
    <border>
      <left/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 style="medium">
        <color indexed="64"/>
      </left>
      <right/>
      <top style="medium">
        <color rgb="FF42126B"/>
      </top>
      <bottom style="medium">
        <color rgb="FF42126B"/>
      </bottom>
      <diagonal/>
    </border>
    <border>
      <left style="medium">
        <color indexed="64"/>
      </left>
      <right style="medium">
        <color rgb="FF42126B"/>
      </right>
      <top style="medium">
        <color rgb="FF42126B"/>
      </top>
      <bottom style="medium">
        <color rgb="FF42126B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14" borderId="0" applyNumberFormat="0" applyFont="0" applyBorder="0" applyAlignment="0" applyProtection="0"/>
  </cellStyleXfs>
  <cellXfs count="355">
    <xf numFmtId="0" fontId="0" fillId="0" borderId="0" xfId="0"/>
    <xf numFmtId="165" fontId="0" fillId="0" borderId="0" xfId="1" applyNumberFormat="1" applyFont="1" applyAlignment="1">
      <alignment horizontal="right"/>
    </xf>
    <xf numFmtId="165" fontId="0" fillId="0" borderId="0" xfId="0" applyNumberFormat="1" applyAlignment="1">
      <alignment horizontal="right"/>
    </xf>
    <xf numFmtId="165" fontId="0" fillId="0" borderId="0" xfId="0" applyNumberFormat="1"/>
    <xf numFmtId="166" fontId="0" fillId="0" borderId="0" xfId="1" applyNumberFormat="1" applyFont="1"/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166" fontId="0" fillId="3" borderId="0" xfId="1" applyNumberFormat="1" applyFont="1" applyFill="1"/>
    <xf numFmtId="165" fontId="0" fillId="3" borderId="0" xfId="1" applyNumberFormat="1" applyFont="1" applyFill="1" applyAlignment="1">
      <alignment horizontal="right"/>
    </xf>
    <xf numFmtId="165" fontId="0" fillId="3" borderId="0" xfId="0" applyNumberFormat="1" applyFill="1" applyAlignment="1">
      <alignment horizontal="right"/>
    </xf>
    <xf numFmtId="0" fontId="0" fillId="3" borderId="0" xfId="0" applyFill="1"/>
    <xf numFmtId="166" fontId="0" fillId="0" borderId="5" xfId="1" applyNumberFormat="1" applyFont="1" applyBorder="1"/>
    <xf numFmtId="165" fontId="0" fillId="0" borderId="5" xfId="1" applyNumberFormat="1" applyFont="1" applyBorder="1" applyAlignment="1">
      <alignment horizontal="right"/>
    </xf>
    <xf numFmtId="165" fontId="0" fillId="0" borderId="5" xfId="0" applyNumberFormat="1" applyBorder="1" applyAlignment="1">
      <alignment horizontal="right"/>
    </xf>
    <xf numFmtId="166" fontId="0" fillId="3" borderId="5" xfId="1" applyNumberFormat="1" applyFont="1" applyFill="1" applyBorder="1"/>
    <xf numFmtId="0" fontId="0" fillId="3" borderId="5" xfId="0" applyFill="1" applyBorder="1"/>
    <xf numFmtId="165" fontId="0" fillId="3" borderId="5" xfId="0" applyNumberFormat="1" applyFill="1" applyBorder="1" applyAlignment="1">
      <alignment horizontal="right"/>
    </xf>
    <xf numFmtId="165" fontId="0" fillId="3" borderId="5" xfId="0" applyNumberFormat="1" applyFill="1" applyBorder="1"/>
    <xf numFmtId="166" fontId="0" fillId="3" borderId="5" xfId="0" applyNumberFormat="1" applyFill="1" applyBorder="1"/>
    <xf numFmtId="165" fontId="0" fillId="0" borderId="5" xfId="0" applyNumberFormat="1" applyBorder="1"/>
    <xf numFmtId="0" fontId="0" fillId="4" borderId="0" xfId="0" applyFill="1"/>
    <xf numFmtId="0" fontId="0" fillId="0" borderId="0" xfId="0" applyAlignment="1">
      <alignment horizontal="right"/>
    </xf>
    <xf numFmtId="169" fontId="0" fillId="0" borderId="0" xfId="0" applyNumberFormat="1" applyAlignment="1">
      <alignment horizontal="right"/>
    </xf>
    <xf numFmtId="168" fontId="0" fillId="0" borderId="0" xfId="0" applyNumberFormat="1" applyAlignment="1">
      <alignment horizontal="right"/>
    </xf>
    <xf numFmtId="0" fontId="5" fillId="0" borderId="0" xfId="0" applyFont="1" applyAlignment="1">
      <alignment wrapText="1"/>
    </xf>
    <xf numFmtId="44" fontId="0" fillId="0" borderId="0" xfId="0" applyNumberFormat="1" applyAlignment="1">
      <alignment horizontal="right" vertical="center"/>
    </xf>
    <xf numFmtId="0" fontId="2" fillId="0" borderId="0" xfId="0" applyFont="1" applyAlignment="1">
      <alignment vertical="center"/>
    </xf>
    <xf numFmtId="0" fontId="6" fillId="2" borderId="2" xfId="0" applyFont="1" applyFill="1" applyBorder="1" applyAlignment="1">
      <alignment horizontal="right" vertical="center"/>
    </xf>
    <xf numFmtId="171" fontId="0" fillId="0" borderId="0" xfId="0" applyNumberFormat="1" applyAlignment="1">
      <alignment vertical="center"/>
    </xf>
    <xf numFmtId="166" fontId="7" fillId="0" borderId="0" xfId="1" applyNumberFormat="1" applyFont="1" applyFill="1" applyBorder="1" applyAlignment="1">
      <alignment horizontal="right" vertical="center"/>
    </xf>
    <xf numFmtId="166" fontId="7" fillId="0" borderId="0" xfId="0" applyNumberFormat="1" applyFont="1" applyAlignment="1">
      <alignment horizontal="right" vertical="center"/>
    </xf>
    <xf numFmtId="0" fontId="7" fillId="0" borderId="0" xfId="0" applyFont="1" applyAlignment="1">
      <alignment horizontal="right" vertical="center"/>
    </xf>
    <xf numFmtId="0" fontId="2" fillId="0" borderId="0" xfId="0" applyFont="1" applyAlignment="1">
      <alignment horizontal="right" vertical="center"/>
    </xf>
    <xf numFmtId="172" fontId="0" fillId="0" borderId="0" xfId="0" applyNumberFormat="1" applyAlignment="1">
      <alignment vertical="center"/>
    </xf>
    <xf numFmtId="166" fontId="6" fillId="0" borderId="0" xfId="0" applyNumberFormat="1" applyFont="1" applyAlignment="1">
      <alignment horizontal="right" vertical="center"/>
    </xf>
    <xf numFmtId="0" fontId="6" fillId="2" borderId="7" xfId="0" applyFont="1" applyFill="1" applyBorder="1" applyAlignment="1">
      <alignment horizontal="right" vertical="center"/>
    </xf>
    <xf numFmtId="0" fontId="0" fillId="5" borderId="0" xfId="0" applyFill="1"/>
    <xf numFmtId="166" fontId="0" fillId="0" borderId="0" xfId="1" applyNumberFormat="1" applyFont="1" applyAlignment="1"/>
    <xf numFmtId="43" fontId="0" fillId="0" borderId="0" xfId="1" applyFont="1" applyAlignment="1"/>
    <xf numFmtId="168" fontId="0" fillId="0" borderId="0" xfId="0" applyNumberFormat="1" applyAlignment="1">
      <alignment vertical="center"/>
    </xf>
    <xf numFmtId="166" fontId="7" fillId="0" borderId="9" xfId="0" applyNumberFormat="1" applyFont="1" applyBorder="1" applyAlignment="1">
      <alignment horizontal="right" vertical="center"/>
    </xf>
    <xf numFmtId="166" fontId="7" fillId="0" borderId="1" xfId="1" applyNumberFormat="1" applyFont="1" applyFill="1" applyBorder="1" applyAlignment="1">
      <alignment horizontal="right" vertical="center"/>
    </xf>
    <xf numFmtId="166" fontId="7" fillId="0" borderId="3" xfId="1" applyNumberFormat="1" applyFont="1" applyFill="1" applyBorder="1" applyAlignment="1">
      <alignment horizontal="right" vertical="center"/>
    </xf>
    <xf numFmtId="166" fontId="7" fillId="0" borderId="8" xfId="1" applyNumberFormat="1" applyFont="1" applyFill="1" applyBorder="1" applyAlignment="1">
      <alignment horizontal="right" vertical="center"/>
    </xf>
    <xf numFmtId="166" fontId="7" fillId="0" borderId="11" xfId="1" applyNumberFormat="1" applyFont="1" applyFill="1" applyBorder="1" applyAlignment="1">
      <alignment horizontal="right" vertical="center"/>
    </xf>
    <xf numFmtId="165" fontId="7" fillId="0" borderId="6" xfId="1" applyNumberFormat="1" applyFont="1" applyFill="1" applyBorder="1" applyAlignment="1" applyProtection="1">
      <alignment horizontal="right" vertical="center"/>
    </xf>
    <xf numFmtId="44" fontId="0" fillId="0" borderId="1" xfId="2" applyFont="1" applyFill="1" applyBorder="1" applyAlignment="1">
      <alignment horizontal="right" vertical="center"/>
    </xf>
    <xf numFmtId="168" fontId="5" fillId="0" borderId="1" xfId="0" quotePrefix="1" applyNumberFormat="1" applyFont="1" applyBorder="1" applyAlignment="1">
      <alignment horizontal="center" vertical="center" wrapText="1"/>
    </xf>
    <xf numFmtId="168" fontId="5" fillId="0" borderId="1" xfId="0" applyNumberFormat="1" applyFont="1" applyBorder="1" applyAlignment="1">
      <alignment horizontal="center" vertical="center" wrapText="1"/>
    </xf>
    <xf numFmtId="168" fontId="8" fillId="0" borderId="1" xfId="0" quotePrefix="1" applyNumberFormat="1" applyFont="1" applyBorder="1" applyAlignment="1">
      <alignment horizontal="center" vertical="center" wrapText="1"/>
    </xf>
    <xf numFmtId="170" fontId="9" fillId="0" borderId="1" xfId="2" applyNumberFormat="1" applyFont="1" applyBorder="1" applyAlignment="1">
      <alignment horizontal="center" vertical="center"/>
    </xf>
    <xf numFmtId="168" fontId="9" fillId="0" borderId="1" xfId="2" applyNumberFormat="1" applyFont="1" applyBorder="1" applyAlignment="1">
      <alignment horizontal="center" vertical="center"/>
    </xf>
    <xf numFmtId="0" fontId="6" fillId="2" borderId="1" xfId="0" applyFont="1" applyFill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44" fontId="0" fillId="0" borderId="0" xfId="0" applyNumberFormat="1"/>
    <xf numFmtId="166" fontId="0" fillId="0" borderId="0" xfId="0" applyNumberFormat="1"/>
    <xf numFmtId="166" fontId="0" fillId="0" borderId="0" xfId="1" applyNumberFormat="1" applyFont="1" applyBorder="1"/>
    <xf numFmtId="165" fontId="0" fillId="0" borderId="0" xfId="1" applyNumberFormat="1" applyFont="1" applyBorder="1" applyAlignment="1">
      <alignment horizontal="right"/>
    </xf>
    <xf numFmtId="166" fontId="0" fillId="0" borderId="17" xfId="1" applyNumberFormat="1" applyFont="1" applyBorder="1"/>
    <xf numFmtId="166" fontId="0" fillId="0" borderId="18" xfId="1" applyNumberFormat="1" applyFont="1" applyBorder="1"/>
    <xf numFmtId="165" fontId="0" fillId="0" borderId="16" xfId="1" applyNumberFormat="1" applyFont="1" applyBorder="1" applyAlignment="1">
      <alignment horizontal="right"/>
    </xf>
    <xf numFmtId="0" fontId="0" fillId="0" borderId="0" xfId="0" applyAlignment="1">
      <alignment horizontal="center" vertical="center"/>
    </xf>
    <xf numFmtId="166" fontId="0" fillId="0" borderId="22" xfId="1" applyNumberFormat="1" applyFont="1" applyBorder="1"/>
    <xf numFmtId="166" fontId="0" fillId="0" borderId="23" xfId="1" applyNumberFormat="1" applyFont="1" applyBorder="1"/>
    <xf numFmtId="165" fontId="0" fillId="0" borderId="24" xfId="1" applyNumberFormat="1" applyFont="1" applyBorder="1" applyAlignment="1">
      <alignment horizontal="right"/>
    </xf>
    <xf numFmtId="166" fontId="0" fillId="0" borderId="16" xfId="1" applyNumberFormat="1" applyFont="1" applyBorder="1"/>
    <xf numFmtId="0" fontId="0" fillId="0" borderId="0" xfId="1" applyNumberFormat="1" applyFont="1" applyBorder="1" applyAlignment="1">
      <alignment horizontal="right"/>
    </xf>
    <xf numFmtId="166" fontId="0" fillId="0" borderId="0" xfId="1" applyNumberFormat="1" applyFont="1" applyFill="1" applyBorder="1"/>
    <xf numFmtId="165" fontId="0" fillId="0" borderId="0" xfId="1" applyNumberFormat="1" applyFont="1" applyFill="1" applyBorder="1" applyAlignment="1">
      <alignment horizontal="right"/>
    </xf>
    <xf numFmtId="0" fontId="3" fillId="6" borderId="0" xfId="0" applyFont="1" applyFill="1" applyAlignment="1">
      <alignment horizontal="right" vertical="center"/>
    </xf>
    <xf numFmtId="168" fontId="5" fillId="6" borderId="0" xfId="0" applyNumberFormat="1" applyFont="1" applyFill="1" applyAlignment="1">
      <alignment horizontal="center" vertical="center" wrapText="1"/>
    </xf>
    <xf numFmtId="170" fontId="9" fillId="6" borderId="0" xfId="2" applyNumberFormat="1" applyFont="1" applyFill="1" applyBorder="1" applyAlignment="1">
      <alignment horizontal="center" vertical="center"/>
    </xf>
    <xf numFmtId="167" fontId="9" fillId="6" borderId="0" xfId="2" applyNumberFormat="1" applyFont="1" applyFill="1" applyBorder="1" applyAlignment="1">
      <alignment horizontal="center" vertical="center"/>
    </xf>
    <xf numFmtId="44" fontId="0" fillId="6" borderId="0" xfId="0" applyNumberFormat="1" applyFill="1" applyAlignment="1">
      <alignment horizontal="right" vertical="center"/>
    </xf>
    <xf numFmtId="164" fontId="0" fillId="6" borderId="0" xfId="0" applyNumberFormat="1" applyFill="1" applyAlignment="1">
      <alignment vertical="center"/>
    </xf>
    <xf numFmtId="44" fontId="10" fillId="0" borderId="0" xfId="0" applyNumberFormat="1" applyFont="1" applyAlignment="1">
      <alignment vertical="center" wrapText="1"/>
    </xf>
    <xf numFmtId="44" fontId="2" fillId="0" borderId="0" xfId="0" applyNumberFormat="1" applyFont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17" fillId="6" borderId="0" xfId="0" applyFont="1" applyFill="1" applyAlignment="1">
      <alignment horizontal="center" vertical="center"/>
    </xf>
    <xf numFmtId="166" fontId="13" fillId="0" borderId="1" xfId="0" applyNumberFormat="1" applyFont="1" applyBorder="1" applyAlignment="1">
      <alignment horizontal="center" vertical="center"/>
    </xf>
    <xf numFmtId="166" fontId="19" fillId="0" borderId="1" xfId="0" applyNumberFormat="1" applyFont="1" applyBorder="1" applyAlignment="1">
      <alignment horizontal="center" vertical="center" wrapText="1"/>
    </xf>
    <xf numFmtId="166" fontId="0" fillId="0" borderId="1" xfId="0" applyNumberFormat="1" applyBorder="1" applyAlignment="1">
      <alignment horizontal="center" vertical="center"/>
    </xf>
    <xf numFmtId="44" fontId="15" fillId="6" borderId="0" xfId="0" applyNumberFormat="1" applyFont="1" applyFill="1" applyAlignment="1">
      <alignment horizontal="center" vertical="center"/>
    </xf>
    <xf numFmtId="0" fontId="0" fillId="6" borderId="0" xfId="0" applyFill="1" applyAlignment="1">
      <alignment vertical="center"/>
    </xf>
    <xf numFmtId="44" fontId="18" fillId="0" borderId="1" xfId="0" applyNumberFormat="1" applyFont="1" applyBorder="1" applyAlignment="1">
      <alignment horizontal="center" vertical="center" wrapText="1"/>
    </xf>
    <xf numFmtId="44" fontId="18" fillId="0" borderId="0" xfId="0" applyNumberFormat="1" applyFont="1" applyAlignment="1">
      <alignment horizontal="center" vertical="center" wrapText="1"/>
    </xf>
    <xf numFmtId="44" fontId="18" fillId="6" borderId="0" xfId="0" applyNumberFormat="1" applyFont="1" applyFill="1" applyAlignment="1">
      <alignment horizontal="center" vertical="center" wrapText="1"/>
    </xf>
    <xf numFmtId="0" fontId="12" fillId="0" borderId="0" xfId="0" applyFont="1" applyAlignment="1">
      <alignment vertical="center"/>
    </xf>
    <xf numFmtId="0" fontId="2" fillId="6" borderId="0" xfId="0" applyFont="1" applyFill="1" applyAlignment="1">
      <alignment horizontal="center" vertical="center"/>
    </xf>
    <xf numFmtId="166" fontId="6" fillId="6" borderId="0" xfId="0" applyNumberFormat="1" applyFont="1" applyFill="1" applyAlignment="1">
      <alignment horizontal="right" vertical="center"/>
    </xf>
    <xf numFmtId="0" fontId="2" fillId="6" borderId="0" xfId="0" applyFont="1" applyFill="1" applyAlignment="1">
      <alignment vertical="center"/>
    </xf>
    <xf numFmtId="0" fontId="20" fillId="6" borderId="0" xfId="0" applyFont="1" applyFill="1" applyAlignment="1">
      <alignment horizontal="center" vertical="center"/>
    </xf>
    <xf numFmtId="166" fontId="6" fillId="6" borderId="1" xfId="1" applyNumberFormat="1" applyFont="1" applyFill="1" applyBorder="1" applyAlignment="1">
      <alignment horizontal="right" vertical="center"/>
    </xf>
    <xf numFmtId="44" fontId="22" fillId="2" borderId="8" xfId="2" applyFont="1" applyFill="1" applyBorder="1" applyAlignment="1">
      <alignment horizontal="right" vertical="center"/>
    </xf>
    <xf numFmtId="44" fontId="11" fillId="2" borderId="1" xfId="0" applyNumberFormat="1" applyFont="1" applyFill="1" applyBorder="1" applyAlignment="1">
      <alignment horizontal="center" vertical="center"/>
    </xf>
    <xf numFmtId="164" fontId="2" fillId="6" borderId="0" xfId="0" applyNumberFormat="1" applyFont="1" applyFill="1" applyAlignment="1">
      <alignment vertical="center"/>
    </xf>
    <xf numFmtId="0" fontId="17" fillId="6" borderId="0" xfId="0" applyFont="1" applyFill="1" applyAlignment="1">
      <alignment vertical="center"/>
    </xf>
    <xf numFmtId="166" fontId="2" fillId="6" borderId="1" xfId="0" applyNumberFormat="1" applyFont="1" applyFill="1" applyBorder="1" applyAlignment="1">
      <alignment horizontal="center" vertical="center"/>
    </xf>
    <xf numFmtId="0" fontId="25" fillId="6" borderId="0" xfId="0" applyFont="1" applyFill="1" applyAlignment="1">
      <alignment vertical="center"/>
    </xf>
    <xf numFmtId="0" fontId="23" fillId="6" borderId="0" xfId="0" applyFont="1" applyFill="1" applyAlignment="1">
      <alignment vertical="center"/>
    </xf>
    <xf numFmtId="173" fontId="25" fillId="6" borderId="0" xfId="0" applyNumberFormat="1" applyFont="1" applyFill="1" applyAlignment="1">
      <alignment vertical="center"/>
    </xf>
    <xf numFmtId="44" fontId="11" fillId="9" borderId="1" xfId="0" applyNumberFormat="1" applyFont="1" applyFill="1" applyBorder="1" applyAlignment="1">
      <alignment horizontal="right" vertical="center"/>
    </xf>
    <xf numFmtId="44" fontId="26" fillId="9" borderId="1" xfId="0" applyNumberFormat="1" applyFont="1" applyFill="1" applyBorder="1" applyAlignment="1">
      <alignment horizontal="center" vertical="center" wrapText="1"/>
    </xf>
    <xf numFmtId="44" fontId="27" fillId="9" borderId="1" xfId="0" applyNumberFormat="1" applyFont="1" applyFill="1" applyBorder="1" applyAlignment="1">
      <alignment horizontal="center" vertical="center" wrapText="1"/>
    </xf>
    <xf numFmtId="44" fontId="11" fillId="8" borderId="12" xfId="0" applyNumberFormat="1" applyFont="1" applyFill="1" applyBorder="1" applyAlignment="1">
      <alignment horizontal="center" vertical="center"/>
    </xf>
    <xf numFmtId="44" fontId="26" fillId="8" borderId="1" xfId="0" applyNumberFormat="1" applyFont="1" applyFill="1" applyBorder="1" applyAlignment="1">
      <alignment horizontal="center" vertical="center" wrapText="1"/>
    </xf>
    <xf numFmtId="0" fontId="2" fillId="0" borderId="0" xfId="0" applyFont="1"/>
    <xf numFmtId="164" fontId="2" fillId="6" borderId="0" xfId="0" applyNumberFormat="1" applyFont="1" applyFill="1" applyAlignment="1">
      <alignment horizontal="center" vertical="center"/>
    </xf>
    <xf numFmtId="0" fontId="28" fillId="6" borderId="0" xfId="0" applyFont="1" applyFill="1" applyAlignment="1">
      <alignment vertical="center"/>
    </xf>
    <xf numFmtId="166" fontId="0" fillId="6" borderId="0" xfId="1" applyNumberFormat="1" applyFont="1" applyFill="1" applyBorder="1" applyAlignment="1"/>
    <xf numFmtId="166" fontId="0" fillId="6" borderId="16" xfId="1" applyNumberFormat="1" applyFont="1" applyFill="1" applyBorder="1" applyAlignment="1"/>
    <xf numFmtId="166" fontId="1" fillId="6" borderId="0" xfId="1" applyNumberFormat="1" applyFont="1" applyFill="1" applyBorder="1" applyAlignment="1"/>
    <xf numFmtId="0" fontId="0" fillId="0" borderId="16" xfId="0" applyBorder="1"/>
    <xf numFmtId="166" fontId="0" fillId="0" borderId="16" xfId="1" applyNumberFormat="1" applyFont="1" applyFill="1" applyBorder="1"/>
    <xf numFmtId="44" fontId="26" fillId="6" borderId="0" xfId="0" applyNumberFormat="1" applyFont="1" applyFill="1" applyAlignment="1">
      <alignment horizontal="center" vertical="center" wrapText="1"/>
    </xf>
    <xf numFmtId="0" fontId="6" fillId="6" borderId="0" xfId="0" applyFont="1" applyFill="1" applyAlignment="1">
      <alignment horizontal="center" vertical="center"/>
    </xf>
    <xf numFmtId="0" fontId="0" fillId="0" borderId="0" xfId="1" applyNumberFormat="1" applyFont="1" applyBorder="1"/>
    <xf numFmtId="166" fontId="6" fillId="6" borderId="26" xfId="1" applyNumberFormat="1" applyFont="1" applyFill="1" applyBorder="1" applyAlignment="1">
      <alignment horizontal="right" vertical="center"/>
    </xf>
    <xf numFmtId="166" fontId="6" fillId="6" borderId="8" xfId="1" applyNumberFormat="1" applyFont="1" applyFill="1" applyBorder="1" applyAlignment="1">
      <alignment horizontal="right" vertical="center"/>
    </xf>
    <xf numFmtId="0" fontId="4" fillId="0" borderId="20" xfId="0" applyFont="1" applyBorder="1" applyAlignment="1">
      <alignment horizontal="center" vertical="center"/>
    </xf>
    <xf numFmtId="0" fontId="6" fillId="11" borderId="0" xfId="0" applyFont="1" applyFill="1" applyAlignment="1">
      <alignment horizontal="right" vertical="center"/>
    </xf>
    <xf numFmtId="166" fontId="6" fillId="11" borderId="0" xfId="1" applyNumberFormat="1" applyFont="1" applyFill="1" applyBorder="1" applyAlignment="1">
      <alignment horizontal="right" vertical="center"/>
    </xf>
    <xf numFmtId="0" fontId="6" fillId="2" borderId="27" xfId="0" applyFont="1" applyFill="1" applyBorder="1" applyAlignment="1">
      <alignment horizontal="right" vertical="center"/>
    </xf>
    <xf numFmtId="174" fontId="0" fillId="0" borderId="0" xfId="0" applyNumberFormat="1"/>
    <xf numFmtId="175" fontId="0" fillId="0" borderId="5" xfId="1" applyNumberFormat="1" applyFont="1" applyBorder="1" applyAlignment="1">
      <alignment horizontal="right"/>
    </xf>
    <xf numFmtId="166" fontId="0" fillId="0" borderId="28" xfId="1" applyNumberFormat="1" applyFont="1" applyBorder="1"/>
    <xf numFmtId="165" fontId="0" fillId="0" borderId="28" xfId="1" applyNumberFormat="1" applyFont="1" applyBorder="1" applyAlignment="1">
      <alignment horizontal="right"/>
    </xf>
    <xf numFmtId="165" fontId="0" fillId="0" borderId="28" xfId="0" applyNumberFormat="1" applyBorder="1" applyAlignment="1">
      <alignment horizontal="right"/>
    </xf>
    <xf numFmtId="166" fontId="0" fillId="0" borderId="29" xfId="1" applyNumberFormat="1" applyFont="1" applyBorder="1"/>
    <xf numFmtId="165" fontId="0" fillId="0" borderId="29" xfId="1" applyNumberFormat="1" applyFont="1" applyBorder="1" applyAlignment="1">
      <alignment horizontal="right"/>
    </xf>
    <xf numFmtId="165" fontId="0" fillId="0" borderId="30" xfId="0" applyNumberFormat="1" applyBorder="1" applyAlignment="1">
      <alignment horizontal="right"/>
    </xf>
    <xf numFmtId="166" fontId="0" fillId="3" borderId="28" xfId="1" applyNumberFormat="1" applyFont="1" applyFill="1" applyBorder="1"/>
    <xf numFmtId="165" fontId="0" fillId="3" borderId="28" xfId="0" applyNumberFormat="1" applyFill="1" applyBorder="1"/>
    <xf numFmtId="165" fontId="0" fillId="3" borderId="28" xfId="0" applyNumberFormat="1" applyFill="1" applyBorder="1" applyAlignment="1">
      <alignment horizontal="right"/>
    </xf>
    <xf numFmtId="166" fontId="0" fillId="3" borderId="28" xfId="0" applyNumberFormat="1" applyFill="1" applyBorder="1"/>
    <xf numFmtId="166" fontId="0" fillId="3" borderId="31" xfId="1" applyNumberFormat="1" applyFont="1" applyFill="1" applyBorder="1"/>
    <xf numFmtId="165" fontId="0" fillId="3" borderId="31" xfId="0" applyNumberFormat="1" applyFill="1" applyBorder="1"/>
    <xf numFmtId="165" fontId="0" fillId="3" borderId="31" xfId="0" applyNumberFormat="1" applyFill="1" applyBorder="1" applyAlignment="1">
      <alignment horizontal="right"/>
    </xf>
    <xf numFmtId="166" fontId="0" fillId="3" borderId="31" xfId="0" applyNumberFormat="1" applyFill="1" applyBorder="1"/>
    <xf numFmtId="166" fontId="0" fillId="3" borderId="17" xfId="1" applyNumberFormat="1" applyFont="1" applyFill="1" applyBorder="1"/>
    <xf numFmtId="166" fontId="0" fillId="3" borderId="29" xfId="1" applyNumberFormat="1" applyFont="1" applyFill="1" applyBorder="1"/>
    <xf numFmtId="165" fontId="0" fillId="3" borderId="29" xfId="0" applyNumberFormat="1" applyFill="1" applyBorder="1"/>
    <xf numFmtId="165" fontId="0" fillId="3" borderId="29" xfId="0" applyNumberFormat="1" applyFill="1" applyBorder="1" applyAlignment="1">
      <alignment horizontal="right"/>
    </xf>
    <xf numFmtId="166" fontId="0" fillId="3" borderId="30" xfId="0" applyNumberFormat="1" applyFill="1" applyBorder="1"/>
    <xf numFmtId="166" fontId="0" fillId="6" borderId="0" xfId="1" applyNumberFormat="1" applyFont="1" applyFill="1" applyBorder="1"/>
    <xf numFmtId="165" fontId="0" fillId="6" borderId="0" xfId="0" applyNumberFormat="1" applyFill="1"/>
    <xf numFmtId="165" fontId="0" fillId="6" borderId="0" xfId="0" applyNumberFormat="1" applyFill="1" applyAlignment="1">
      <alignment horizontal="right"/>
    </xf>
    <xf numFmtId="166" fontId="0" fillId="6" borderId="0" xfId="0" applyNumberFormat="1" applyFill="1"/>
    <xf numFmtId="166" fontId="0" fillId="6" borderId="32" xfId="1" applyNumberFormat="1" applyFont="1" applyFill="1" applyBorder="1"/>
    <xf numFmtId="165" fontId="0" fillId="6" borderId="32" xfId="0" applyNumberFormat="1" applyFill="1" applyBorder="1"/>
    <xf numFmtId="165" fontId="0" fillId="6" borderId="32" xfId="0" applyNumberFormat="1" applyFill="1" applyBorder="1" applyAlignment="1">
      <alignment horizontal="right"/>
    </xf>
    <xf numFmtId="166" fontId="0" fillId="6" borderId="32" xfId="0" applyNumberFormat="1" applyFill="1" applyBorder="1"/>
    <xf numFmtId="44" fontId="11" fillId="9" borderId="2" xfId="0" applyNumberFormat="1" applyFont="1" applyFill="1" applyBorder="1" applyAlignment="1">
      <alignment horizontal="right" vertical="center"/>
    </xf>
    <xf numFmtId="167" fontId="9" fillId="0" borderId="2" xfId="2" applyNumberFormat="1" applyFont="1" applyBorder="1" applyAlignment="1">
      <alignment horizontal="center" vertical="center"/>
    </xf>
    <xf numFmtId="168" fontId="8" fillId="0" borderId="2" xfId="0" quotePrefix="1" applyNumberFormat="1" applyFont="1" applyBorder="1" applyAlignment="1">
      <alignment horizontal="center" vertical="center" wrapText="1"/>
    </xf>
    <xf numFmtId="44" fontId="0" fillId="0" borderId="10" xfId="2" applyFont="1" applyFill="1" applyBorder="1" applyAlignment="1">
      <alignment vertical="center"/>
    </xf>
    <xf numFmtId="44" fontId="0" fillId="0" borderId="20" xfId="2" applyFont="1" applyFill="1" applyBorder="1" applyAlignment="1">
      <alignment horizontal="right" vertical="center"/>
    </xf>
    <xf numFmtId="0" fontId="21" fillId="2" borderId="14" xfId="0" quotePrefix="1" applyFont="1" applyFill="1" applyBorder="1" applyAlignment="1">
      <alignment horizontal="right" vertical="center" wrapText="1"/>
    </xf>
    <xf numFmtId="0" fontId="29" fillId="2" borderId="26" xfId="0" applyFont="1" applyFill="1" applyBorder="1" applyAlignment="1">
      <alignment horizontal="center" vertical="center"/>
    </xf>
    <xf numFmtId="0" fontId="0" fillId="0" borderId="5" xfId="0" applyBorder="1"/>
    <xf numFmtId="0" fontId="0" fillId="0" borderId="28" xfId="0" applyBorder="1"/>
    <xf numFmtId="0" fontId="0" fillId="0" borderId="43" xfId="0" applyBorder="1"/>
    <xf numFmtId="44" fontId="0" fillId="0" borderId="5" xfId="0" applyNumberFormat="1" applyBorder="1"/>
    <xf numFmtId="44" fontId="0" fillId="0" borderId="28" xfId="0" applyNumberFormat="1" applyBorder="1"/>
    <xf numFmtId="0" fontId="0" fillId="0" borderId="44" xfId="0" applyBorder="1"/>
    <xf numFmtId="0" fontId="0" fillId="0" borderId="45" xfId="0" applyBorder="1"/>
    <xf numFmtId="44" fontId="0" fillId="0" borderId="45" xfId="0" applyNumberFormat="1" applyBorder="1"/>
    <xf numFmtId="166" fontId="0" fillId="0" borderId="46" xfId="1" applyNumberFormat="1" applyFont="1" applyBorder="1"/>
    <xf numFmtId="166" fontId="0" fillId="0" borderId="45" xfId="1" applyNumberFormat="1" applyFont="1" applyBorder="1"/>
    <xf numFmtId="166" fontId="0" fillId="0" borderId="47" xfId="1" applyNumberFormat="1" applyFont="1" applyBorder="1"/>
    <xf numFmtId="44" fontId="11" fillId="2" borderId="8" xfId="0" applyNumberFormat="1" applyFont="1" applyFill="1" applyBorder="1" applyAlignment="1">
      <alignment horizontal="center" vertical="center"/>
    </xf>
    <xf numFmtId="44" fontId="11" fillId="2" borderId="15" xfId="0" applyNumberFormat="1" applyFont="1" applyFill="1" applyBorder="1" applyAlignment="1">
      <alignment horizontal="center" vertical="center"/>
    </xf>
    <xf numFmtId="0" fontId="16" fillId="12" borderId="26" xfId="0" applyFont="1" applyFill="1" applyBorder="1" applyAlignment="1">
      <alignment horizontal="center" vertical="center"/>
    </xf>
    <xf numFmtId="0" fontId="0" fillId="11" borderId="0" xfId="0" applyFill="1" applyAlignment="1">
      <alignment vertical="center"/>
    </xf>
    <xf numFmtId="173" fontId="25" fillId="11" borderId="0" xfId="0" applyNumberFormat="1" applyFont="1" applyFill="1" applyAlignment="1">
      <alignment vertical="center"/>
    </xf>
    <xf numFmtId="166" fontId="0" fillId="0" borderId="0" xfId="0" applyNumberFormat="1" applyAlignment="1">
      <alignment horizontal="center" vertical="center"/>
    </xf>
    <xf numFmtId="0" fontId="6" fillId="8" borderId="26" xfId="0" applyFont="1" applyFill="1" applyBorder="1" applyAlignment="1">
      <alignment horizontal="right" vertical="center"/>
    </xf>
    <xf numFmtId="44" fontId="0" fillId="0" borderId="26" xfId="0" applyNumberFormat="1" applyBorder="1" applyAlignment="1">
      <alignment horizontal="center" vertical="center"/>
    </xf>
    <xf numFmtId="0" fontId="6" fillId="8" borderId="13" xfId="0" applyFont="1" applyFill="1" applyBorder="1" applyAlignment="1">
      <alignment horizontal="right" vertical="center"/>
    </xf>
    <xf numFmtId="44" fontId="26" fillId="9" borderId="26" xfId="0" applyNumberFormat="1" applyFont="1" applyFill="1" applyBorder="1" applyAlignment="1">
      <alignment horizontal="center" vertical="center" wrapText="1"/>
    </xf>
    <xf numFmtId="44" fontId="18" fillId="0" borderId="20" xfId="0" applyNumberFormat="1" applyFont="1" applyBorder="1" applyAlignment="1">
      <alignment horizontal="center" vertical="center" wrapText="1"/>
    </xf>
    <xf numFmtId="44" fontId="26" fillId="9" borderId="12" xfId="0" applyNumberFormat="1" applyFont="1" applyFill="1" applyBorder="1" applyAlignment="1">
      <alignment horizontal="center" vertical="center" wrapText="1"/>
    </xf>
    <xf numFmtId="0" fontId="0" fillId="13" borderId="0" xfId="0" applyFont="1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16" fillId="0" borderId="2" xfId="0" applyFont="1" applyBorder="1" applyAlignment="1">
      <alignment horizontal="center" vertical="center"/>
    </xf>
    <xf numFmtId="166" fontId="0" fillId="0" borderId="14" xfId="0" applyNumberFormat="1" applyBorder="1" applyAlignment="1">
      <alignment horizontal="center" vertical="center"/>
    </xf>
    <xf numFmtId="44" fontId="15" fillId="9" borderId="20" xfId="0" applyNumberFormat="1" applyFont="1" applyFill="1" applyBorder="1" applyAlignment="1">
      <alignment horizontal="center" vertical="center"/>
    </xf>
    <xf numFmtId="44" fontId="15" fillId="9" borderId="4" xfId="0" applyNumberFormat="1" applyFont="1" applyFill="1" applyBorder="1" applyAlignment="1">
      <alignment horizontal="center" vertical="center"/>
    </xf>
    <xf numFmtId="0" fontId="16" fillId="12" borderId="6" xfId="0" applyFont="1" applyFill="1" applyBorder="1" applyAlignment="1">
      <alignment horizontal="center" vertical="center"/>
    </xf>
    <xf numFmtId="0" fontId="16" fillId="12" borderId="39" xfId="0" applyFont="1" applyFill="1" applyBorder="1" applyAlignment="1">
      <alignment horizontal="center" vertical="center"/>
    </xf>
    <xf numFmtId="44" fontId="11" fillId="11" borderId="6" xfId="0" applyNumberFormat="1" applyFont="1" applyFill="1" applyBorder="1" applyAlignment="1">
      <alignment horizontal="center" vertical="center"/>
    </xf>
    <xf numFmtId="44" fontId="11" fillId="11" borderId="39" xfId="0" applyNumberFormat="1" applyFont="1" applyFill="1" applyBorder="1" applyAlignment="1">
      <alignment horizontal="center" vertical="center"/>
    </xf>
    <xf numFmtId="44" fontId="11" fillId="2" borderId="6" xfId="0" applyNumberFormat="1" applyFont="1" applyFill="1" applyBorder="1" applyAlignment="1">
      <alignment horizontal="center" vertical="center"/>
    </xf>
    <xf numFmtId="44" fontId="11" fillId="2" borderId="39" xfId="0" applyNumberFormat="1" applyFont="1" applyFill="1" applyBorder="1" applyAlignment="1">
      <alignment horizontal="center" vertical="center"/>
    </xf>
    <xf numFmtId="166" fontId="16" fillId="0" borderId="14" xfId="0" applyNumberFormat="1" applyFont="1" applyBorder="1" applyAlignment="1">
      <alignment horizontal="center" vertical="center"/>
    </xf>
    <xf numFmtId="166" fontId="16" fillId="0" borderId="21" xfId="0" applyNumberFormat="1" applyFont="1" applyBorder="1" applyAlignment="1">
      <alignment horizontal="center" vertical="center"/>
    </xf>
    <xf numFmtId="166" fontId="0" fillId="0" borderId="27" xfId="0" applyNumberFormat="1" applyBorder="1" applyAlignment="1">
      <alignment horizontal="center" vertical="center"/>
    </xf>
    <xf numFmtId="166" fontId="0" fillId="0" borderId="9" xfId="0" applyNumberFormat="1" applyBorder="1" applyAlignment="1">
      <alignment horizontal="center" vertical="center"/>
    </xf>
    <xf numFmtId="166" fontId="16" fillId="0" borderId="7" xfId="0" applyNumberFormat="1" applyFont="1" applyBorder="1" applyAlignment="1">
      <alignment horizontal="center" vertical="center"/>
    </xf>
    <xf numFmtId="166" fontId="16" fillId="0" borderId="34" xfId="0" applyNumberFormat="1" applyFont="1" applyBorder="1" applyAlignment="1">
      <alignment horizontal="center" vertical="center"/>
    </xf>
    <xf numFmtId="166" fontId="16" fillId="0" borderId="35" xfId="0" applyNumberFormat="1" applyFont="1" applyBorder="1" applyAlignment="1">
      <alignment horizontal="center" vertical="center"/>
    </xf>
    <xf numFmtId="166" fontId="16" fillId="0" borderId="36" xfId="0" applyNumberFormat="1" applyFont="1" applyBorder="1" applyAlignment="1">
      <alignment horizontal="center" vertical="center"/>
    </xf>
    <xf numFmtId="166" fontId="0" fillId="0" borderId="7" xfId="0" applyNumberFormat="1" applyBorder="1" applyAlignment="1">
      <alignment horizontal="center" vertical="center"/>
    </xf>
    <xf numFmtId="166" fontId="0" fillId="0" borderId="33" xfId="0" applyNumberFormat="1" applyBorder="1" applyAlignment="1">
      <alignment horizontal="center" vertical="center"/>
    </xf>
    <xf numFmtId="166" fontId="0" fillId="0" borderId="35" xfId="0" applyNumberFormat="1" applyBorder="1" applyAlignment="1">
      <alignment horizontal="center" vertical="center"/>
    </xf>
    <xf numFmtId="166" fontId="0" fillId="0" borderId="11" xfId="0" applyNumberFormat="1" applyBorder="1" applyAlignment="1">
      <alignment horizontal="center" vertical="center"/>
    </xf>
    <xf numFmtId="44" fontId="11" fillId="2" borderId="40" xfId="0" applyNumberFormat="1" applyFont="1" applyFill="1" applyBorder="1" applyAlignment="1">
      <alignment horizontal="center" vertical="center"/>
    </xf>
    <xf numFmtId="166" fontId="16" fillId="0" borderId="37" xfId="0" applyNumberFormat="1" applyFont="1" applyBorder="1" applyAlignment="1">
      <alignment horizontal="center" vertical="center"/>
    </xf>
    <xf numFmtId="166" fontId="16" fillId="0" borderId="38" xfId="0" applyNumberFormat="1" applyFont="1" applyBorder="1" applyAlignment="1">
      <alignment horizontal="center" vertical="center"/>
    </xf>
    <xf numFmtId="0" fontId="23" fillId="7" borderId="7" xfId="0" applyFont="1" applyFill="1" applyBorder="1" applyAlignment="1">
      <alignment horizontal="center" vertical="center"/>
    </xf>
    <xf numFmtId="0" fontId="23" fillId="7" borderId="33" xfId="0" applyFont="1" applyFill="1" applyBorder="1" applyAlignment="1">
      <alignment horizontal="center" vertical="center"/>
    </xf>
    <xf numFmtId="0" fontId="23" fillId="7" borderId="34" xfId="0" applyFont="1" applyFill="1" applyBorder="1" applyAlignment="1">
      <alignment horizontal="center" vertical="center"/>
    </xf>
    <xf numFmtId="0" fontId="23" fillId="7" borderId="35" xfId="0" applyFont="1" applyFill="1" applyBorder="1" applyAlignment="1">
      <alignment horizontal="center" vertical="center"/>
    </xf>
    <xf numFmtId="0" fontId="23" fillId="7" borderId="11" xfId="0" applyFont="1" applyFill="1" applyBorder="1" applyAlignment="1">
      <alignment horizontal="center" vertical="center"/>
    </xf>
    <xf numFmtId="0" fontId="23" fillId="7" borderId="36" xfId="0" applyFont="1" applyFill="1" applyBorder="1" applyAlignment="1">
      <alignment horizontal="center" vertical="center"/>
    </xf>
    <xf numFmtId="44" fontId="11" fillId="2" borderId="20" xfId="0" applyNumberFormat="1" applyFont="1" applyFill="1" applyBorder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166" fontId="0" fillId="0" borderId="48" xfId="0" applyNumberFormat="1" applyBorder="1" applyAlignment="1">
      <alignment horizontal="center" vertical="center"/>
    </xf>
    <xf numFmtId="0" fontId="17" fillId="7" borderId="2" xfId="0" applyFont="1" applyFill="1" applyBorder="1" applyAlignment="1">
      <alignment horizontal="center" vertical="center"/>
    </xf>
    <xf numFmtId="0" fontId="17" fillId="7" borderId="3" xfId="0" applyFont="1" applyFill="1" applyBorder="1" applyAlignment="1">
      <alignment horizontal="center" vertical="center"/>
    </xf>
    <xf numFmtId="0" fontId="17" fillId="7" borderId="8" xfId="0" applyFont="1" applyFill="1" applyBorder="1" applyAlignment="1">
      <alignment horizontal="center" vertical="center"/>
    </xf>
    <xf numFmtId="0" fontId="16" fillId="6" borderId="14" xfId="0" applyFont="1" applyFill="1" applyBorder="1" applyAlignment="1">
      <alignment horizontal="center" vertical="center"/>
    </xf>
    <xf numFmtId="0" fontId="16" fillId="0" borderId="14" xfId="0" applyFont="1" applyBorder="1" applyAlignment="1">
      <alignment horizontal="center" vertical="center"/>
    </xf>
    <xf numFmtId="166" fontId="0" fillId="6" borderId="19" xfId="0" applyNumberFormat="1" applyFill="1" applyBorder="1" applyAlignment="1">
      <alignment horizontal="center" vertical="center"/>
    </xf>
    <xf numFmtId="0" fontId="23" fillId="7" borderId="14" xfId="0" applyFont="1" applyFill="1" applyBorder="1" applyAlignment="1">
      <alignment horizontal="center" vertical="center"/>
    </xf>
    <xf numFmtId="0" fontId="25" fillId="6" borderId="7" xfId="0" applyFont="1" applyFill="1" applyBorder="1" applyAlignment="1">
      <alignment horizontal="center" vertical="center"/>
    </xf>
    <xf numFmtId="0" fontId="25" fillId="6" borderId="33" xfId="0" applyFont="1" applyFill="1" applyBorder="1" applyAlignment="1">
      <alignment horizontal="center" vertical="center"/>
    </xf>
    <xf numFmtId="0" fontId="25" fillId="6" borderId="34" xfId="0" applyFont="1" applyFill="1" applyBorder="1" applyAlignment="1">
      <alignment horizontal="center" vertical="center"/>
    </xf>
    <xf numFmtId="0" fontId="25" fillId="6" borderId="37" xfId="0" applyFont="1" applyFill="1" applyBorder="1" applyAlignment="1">
      <alignment horizontal="center" vertical="center"/>
    </xf>
    <xf numFmtId="0" fontId="25" fillId="6" borderId="0" xfId="0" applyFont="1" applyFill="1" applyAlignment="1">
      <alignment horizontal="center" vertical="center"/>
    </xf>
    <xf numFmtId="0" fontId="25" fillId="6" borderId="38" xfId="0" applyFont="1" applyFill="1" applyBorder="1" applyAlignment="1">
      <alignment horizontal="center" vertical="center"/>
    </xf>
    <xf numFmtId="0" fontId="25" fillId="6" borderId="35" xfId="0" applyFont="1" applyFill="1" applyBorder="1" applyAlignment="1">
      <alignment horizontal="center" vertical="center"/>
    </xf>
    <xf numFmtId="0" fontId="25" fillId="6" borderId="11" xfId="0" applyFont="1" applyFill="1" applyBorder="1" applyAlignment="1">
      <alignment horizontal="center" vertical="center"/>
    </xf>
    <xf numFmtId="0" fontId="25" fillId="6" borderId="36" xfId="0" applyFont="1" applyFill="1" applyBorder="1" applyAlignment="1">
      <alignment horizontal="center" vertical="center"/>
    </xf>
    <xf numFmtId="0" fontId="17" fillId="7" borderId="14" xfId="0" applyFont="1" applyFill="1" applyBorder="1" applyAlignment="1">
      <alignment horizontal="center" vertical="center"/>
    </xf>
    <xf numFmtId="0" fontId="17" fillId="7" borderId="20" xfId="0" applyFont="1" applyFill="1" applyBorder="1" applyAlignment="1">
      <alignment horizontal="center" vertical="center"/>
    </xf>
    <xf numFmtId="0" fontId="17" fillId="7" borderId="1" xfId="0" applyFont="1" applyFill="1" applyBorder="1" applyAlignment="1">
      <alignment horizontal="center" vertical="center"/>
    </xf>
    <xf numFmtId="164" fontId="2" fillId="10" borderId="2" xfId="0" applyNumberFormat="1" applyFont="1" applyFill="1" applyBorder="1" applyAlignment="1">
      <alignment horizontal="center" vertical="center"/>
    </xf>
    <xf numFmtId="164" fontId="2" fillId="10" borderId="1" xfId="0" applyNumberFormat="1" applyFont="1" applyFill="1" applyBorder="1" applyAlignment="1">
      <alignment horizontal="center" vertical="center"/>
    </xf>
    <xf numFmtId="0" fontId="18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14" fillId="10" borderId="14" xfId="0" applyFont="1" applyFill="1" applyBorder="1" applyAlignment="1">
      <alignment horizontal="center" vertical="center"/>
    </xf>
    <xf numFmtId="0" fontId="14" fillId="10" borderId="41" xfId="0" applyFont="1" applyFill="1" applyBorder="1" applyAlignment="1">
      <alignment horizontal="center" vertical="center"/>
    </xf>
    <xf numFmtId="0" fontId="14" fillId="10" borderId="49" xfId="0" applyFont="1" applyFill="1" applyBorder="1" applyAlignment="1">
      <alignment horizontal="center" vertical="center"/>
    </xf>
    <xf numFmtId="166" fontId="14" fillId="10" borderId="50" xfId="0" applyNumberFormat="1" applyFont="1" applyFill="1" applyBorder="1" applyAlignment="1">
      <alignment horizontal="center" vertical="center"/>
    </xf>
    <xf numFmtId="0" fontId="2" fillId="10" borderId="52" xfId="0" applyFont="1" applyFill="1" applyBorder="1" applyAlignment="1">
      <alignment horizontal="center" vertical="center"/>
    </xf>
    <xf numFmtId="0" fontId="2" fillId="10" borderId="25" xfId="0" applyFont="1" applyFill="1" applyBorder="1" applyAlignment="1">
      <alignment horizontal="center" vertical="center"/>
    </xf>
    <xf numFmtId="0" fontId="2" fillId="10" borderId="53" xfId="0" applyFont="1" applyFill="1" applyBorder="1" applyAlignment="1">
      <alignment horizontal="center" vertical="center"/>
    </xf>
    <xf numFmtId="164" fontId="2" fillId="10" borderId="13" xfId="0" applyNumberFormat="1" applyFont="1" applyFill="1" applyBorder="1" applyAlignment="1">
      <alignment horizontal="center" vertical="center"/>
    </xf>
    <xf numFmtId="164" fontId="2" fillId="10" borderId="42" xfId="0" applyNumberFormat="1" applyFont="1" applyFill="1" applyBorder="1" applyAlignment="1">
      <alignment horizontal="center" vertical="center"/>
    </xf>
    <xf numFmtId="164" fontId="2" fillId="10" borderId="54" xfId="0" applyNumberFormat="1" applyFont="1" applyFill="1" applyBorder="1" applyAlignment="1">
      <alignment horizontal="center" vertical="center"/>
    </xf>
    <xf numFmtId="0" fontId="24" fillId="6" borderId="2" xfId="0" applyFont="1" applyFill="1" applyBorder="1" applyAlignment="1">
      <alignment horizontal="center" vertical="center"/>
    </xf>
    <xf numFmtId="0" fontId="24" fillId="6" borderId="1" xfId="0" applyFont="1" applyFill="1" applyBorder="1" applyAlignment="1">
      <alignment horizontal="center" vertical="center"/>
    </xf>
    <xf numFmtId="44" fontId="4" fillId="0" borderId="2" xfId="0" applyNumberFormat="1" applyFont="1" applyBorder="1" applyAlignment="1">
      <alignment horizontal="center" vertical="center"/>
    </xf>
    <xf numFmtId="44" fontId="4" fillId="0" borderId="1" xfId="0" applyNumberFormat="1" applyFont="1" applyBorder="1" applyAlignment="1">
      <alignment horizontal="center" vertical="center"/>
    </xf>
    <xf numFmtId="0" fontId="23" fillId="7" borderId="2" xfId="0" applyFont="1" applyFill="1" applyBorder="1" applyAlignment="1">
      <alignment horizontal="center" vertical="center"/>
    </xf>
    <xf numFmtId="0" fontId="23" fillId="7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44" fontId="11" fillId="8" borderId="2" xfId="0" applyNumberFormat="1" applyFont="1" applyFill="1" applyBorder="1" applyAlignment="1">
      <alignment horizontal="center" vertical="center"/>
    </xf>
    <xf numFmtId="44" fontId="11" fillId="8" borderId="1" xfId="0" applyNumberFormat="1" applyFont="1" applyFill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44" fontId="2" fillId="0" borderId="2" xfId="0" applyNumberFormat="1" applyFont="1" applyBorder="1" applyAlignment="1">
      <alignment horizontal="center" vertical="center"/>
    </xf>
    <xf numFmtId="44" fontId="2" fillId="0" borderId="1" xfId="0" applyNumberFormat="1" applyFont="1" applyBorder="1" applyAlignment="1">
      <alignment horizontal="center" vertical="center"/>
    </xf>
    <xf numFmtId="44" fontId="30" fillId="6" borderId="0" xfId="0" applyNumberFormat="1" applyFont="1" applyFill="1" applyAlignment="1">
      <alignment horizontal="center" vertical="center"/>
    </xf>
    <xf numFmtId="44" fontId="0" fillId="0" borderId="27" xfId="2" applyFont="1" applyBorder="1" applyAlignment="1">
      <alignment horizontal="center" vertical="center"/>
    </xf>
    <xf numFmtId="166" fontId="2" fillId="6" borderId="2" xfId="0" applyNumberFormat="1" applyFont="1" applyFill="1" applyBorder="1" applyAlignment="1">
      <alignment horizontal="center" vertical="center"/>
    </xf>
    <xf numFmtId="166" fontId="2" fillId="6" borderId="3" xfId="0" applyNumberFormat="1" applyFont="1" applyFill="1" applyBorder="1" applyAlignment="1">
      <alignment horizontal="center" vertical="center"/>
    </xf>
    <xf numFmtId="166" fontId="2" fillId="6" borderId="8" xfId="0" applyNumberFormat="1" applyFont="1" applyFill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44" fontId="15" fillId="9" borderId="1" xfId="0" applyNumberFormat="1" applyFont="1" applyFill="1" applyBorder="1" applyAlignment="1">
      <alignment horizontal="center" vertical="center"/>
    </xf>
    <xf numFmtId="44" fontId="11" fillId="2" borderId="1" xfId="0" applyNumberFormat="1" applyFont="1" applyFill="1" applyBorder="1" applyAlignment="1">
      <alignment horizontal="center" vertical="center"/>
    </xf>
    <xf numFmtId="44" fontId="2" fillId="6" borderId="0" xfId="0" applyNumberFormat="1" applyFont="1" applyFill="1" applyAlignment="1">
      <alignment horizontal="center" vertical="center"/>
    </xf>
    <xf numFmtId="0" fontId="23" fillId="7" borderId="20" xfId="0" applyFont="1" applyFill="1" applyBorder="1" applyAlignment="1">
      <alignment horizontal="center" vertical="center"/>
    </xf>
    <xf numFmtId="166" fontId="0" fillId="0" borderId="6" xfId="0" applyNumberFormat="1" applyBorder="1" applyAlignment="1">
      <alignment horizontal="center" vertical="center"/>
    </xf>
    <xf numFmtId="166" fontId="0" fillId="0" borderId="55" xfId="0" applyNumberFormat="1" applyBorder="1" applyAlignment="1">
      <alignment horizontal="center" vertical="center"/>
    </xf>
    <xf numFmtId="166" fontId="0" fillId="0" borderId="26" xfId="0" applyNumberFormat="1" applyBorder="1" applyAlignment="1">
      <alignment horizontal="center" vertical="center"/>
    </xf>
    <xf numFmtId="44" fontId="11" fillId="2" borderId="34" xfId="0" applyNumberFormat="1" applyFont="1" applyFill="1" applyBorder="1" applyAlignment="1">
      <alignment horizontal="center" vertical="center"/>
    </xf>
    <xf numFmtId="166" fontId="0" fillId="0" borderId="37" xfId="0" applyNumberFormat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0" fillId="0" borderId="49" xfId="0" applyNumberFormat="1" applyBorder="1" applyAlignment="1">
      <alignment horizontal="center" vertical="center"/>
    </xf>
    <xf numFmtId="166" fontId="16" fillId="0" borderId="49" xfId="0" applyNumberFormat="1" applyFont="1" applyBorder="1" applyAlignment="1">
      <alignment horizontal="center" vertical="center"/>
    </xf>
    <xf numFmtId="166" fontId="16" fillId="0" borderId="50" xfId="0" applyNumberFormat="1" applyFont="1" applyBorder="1" applyAlignment="1">
      <alignment horizontal="center" vertical="center"/>
    </xf>
    <xf numFmtId="166" fontId="16" fillId="0" borderId="51" xfId="0" applyNumberFormat="1" applyFont="1" applyBorder="1" applyAlignment="1">
      <alignment horizontal="center" vertical="center"/>
    </xf>
    <xf numFmtId="0" fontId="0" fillId="16" borderId="0" xfId="0" applyFill="1"/>
    <xf numFmtId="166" fontId="33" fillId="14" borderId="58" xfId="0" applyNumberFormat="1" applyFont="1" applyFill="1" applyBorder="1" applyAlignment="1">
      <alignment horizontal="center" vertical="center"/>
    </xf>
    <xf numFmtId="166" fontId="33" fillId="14" borderId="59" xfId="1" applyNumberFormat="1" applyFont="1" applyFill="1" applyBorder="1" applyAlignment="1">
      <alignment horizontal="center" vertical="center"/>
    </xf>
    <xf numFmtId="166" fontId="33" fillId="14" borderId="58" xfId="1" applyNumberFormat="1" applyFont="1" applyFill="1" applyBorder="1" applyAlignment="1">
      <alignment horizontal="center" vertical="center"/>
    </xf>
    <xf numFmtId="166" fontId="33" fillId="14" borderId="63" xfId="0" applyNumberFormat="1" applyFont="1" applyFill="1" applyBorder="1" applyAlignment="1">
      <alignment horizontal="center" vertical="center"/>
    </xf>
    <xf numFmtId="0" fontId="34" fillId="14" borderId="61" xfId="0" applyFont="1" applyFill="1" applyBorder="1" applyAlignment="1">
      <alignment horizontal="center" vertical="center"/>
    </xf>
    <xf numFmtId="0" fontId="34" fillId="14" borderId="62" xfId="0" applyFont="1" applyFill="1" applyBorder="1" applyAlignment="1">
      <alignment horizontal="center" vertical="center"/>
    </xf>
    <xf numFmtId="0" fontId="34" fillId="14" borderId="60" xfId="0" applyFont="1" applyFill="1" applyBorder="1" applyAlignment="1">
      <alignment horizontal="center" vertical="center"/>
    </xf>
    <xf numFmtId="166" fontId="7" fillId="13" borderId="11" xfId="1" applyNumberFormat="1" applyFont="1" applyFill="1" applyBorder="1" applyAlignment="1">
      <alignment horizontal="right" vertical="center"/>
    </xf>
    <xf numFmtId="166" fontId="7" fillId="13" borderId="1" xfId="1" applyNumberFormat="1" applyFont="1" applyFill="1" applyBorder="1" applyAlignment="1">
      <alignment horizontal="right" vertical="center"/>
    </xf>
    <xf numFmtId="166" fontId="7" fillId="0" borderId="19" xfId="0" applyNumberFormat="1" applyFont="1" applyBorder="1" applyAlignment="1">
      <alignment horizontal="center" vertical="center"/>
    </xf>
    <xf numFmtId="166" fontId="7" fillId="0" borderId="0" xfId="0" applyNumberFormat="1" applyFont="1" applyBorder="1" applyAlignment="1">
      <alignment horizontal="center" vertical="center"/>
    </xf>
    <xf numFmtId="166" fontId="7" fillId="0" borderId="0" xfId="0" applyNumberFormat="1" applyFont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6" fillId="2" borderId="56" xfId="0" applyFont="1" applyFill="1" applyBorder="1" applyAlignment="1">
      <alignment horizontal="center" vertical="center"/>
    </xf>
    <xf numFmtId="44" fontId="32" fillId="14" borderId="59" xfId="2" applyFont="1" applyFill="1" applyBorder="1" applyAlignment="1">
      <alignment horizontal="center"/>
    </xf>
    <xf numFmtId="44" fontId="32" fillId="14" borderId="63" xfId="2" applyFont="1" applyFill="1" applyBorder="1" applyAlignment="1">
      <alignment horizontal="center"/>
    </xf>
    <xf numFmtId="44" fontId="32" fillId="14" borderId="58" xfId="2" applyFont="1" applyFill="1" applyBorder="1" applyAlignment="1">
      <alignment horizontal="center"/>
    </xf>
    <xf numFmtId="166" fontId="33" fillId="14" borderId="60" xfId="1" applyNumberFormat="1" applyFont="1" applyFill="1" applyBorder="1" applyAlignment="1">
      <alignment horizontal="center" vertical="center"/>
    </xf>
    <xf numFmtId="166" fontId="33" fillId="14" borderId="61" xfId="1" applyNumberFormat="1" applyFont="1" applyFill="1" applyBorder="1" applyAlignment="1">
      <alignment horizontal="center" vertical="center"/>
    </xf>
    <xf numFmtId="166" fontId="33" fillId="14" borderId="61" xfId="0" applyNumberFormat="1" applyFont="1" applyFill="1" applyBorder="1" applyAlignment="1">
      <alignment horizontal="center" vertical="center"/>
    </xf>
    <xf numFmtId="166" fontId="33" fillId="14" borderId="62" xfId="0" applyNumberFormat="1" applyFont="1" applyFill="1" applyBorder="1" applyAlignment="1">
      <alignment horizontal="center" vertical="center"/>
    </xf>
    <xf numFmtId="44" fontId="32" fillId="14" borderId="0" xfId="2" applyFont="1" applyFill="1" applyBorder="1" applyAlignment="1"/>
    <xf numFmtId="0" fontId="35" fillId="14" borderId="0" xfId="0" applyFont="1" applyFill="1"/>
    <xf numFmtId="165" fontId="32" fillId="14" borderId="58" xfId="2" applyNumberFormat="1" applyFont="1" applyFill="1" applyBorder="1" applyAlignment="1">
      <alignment horizontal="center"/>
    </xf>
    <xf numFmtId="165" fontId="32" fillId="14" borderId="63" xfId="2" applyNumberFormat="1" applyFont="1" applyFill="1" applyBorder="1" applyAlignment="1">
      <alignment horizontal="center"/>
    </xf>
    <xf numFmtId="44" fontId="32" fillId="14" borderId="64" xfId="2" applyFont="1" applyFill="1" applyBorder="1" applyAlignment="1">
      <alignment horizontal="center"/>
    </xf>
    <xf numFmtId="44" fontId="32" fillId="14" borderId="65" xfId="2" applyFont="1" applyFill="1" applyBorder="1" applyAlignment="1">
      <alignment horizontal="center"/>
    </xf>
    <xf numFmtId="0" fontId="37" fillId="14" borderId="58" xfId="0" applyFont="1" applyFill="1" applyBorder="1" applyAlignment="1">
      <alignment horizontal="center"/>
    </xf>
    <xf numFmtId="0" fontId="36" fillId="14" borderId="58" xfId="0" applyFont="1" applyFill="1" applyBorder="1" applyAlignment="1">
      <alignment horizontal="center" vertical="center" wrapText="1"/>
    </xf>
    <xf numFmtId="0" fontId="36" fillId="14" borderId="0" xfId="0" applyFont="1" applyFill="1" applyBorder="1" applyAlignment="1">
      <alignment horizontal="center" vertical="center" wrapText="1"/>
    </xf>
    <xf numFmtId="166" fontId="14" fillId="10" borderId="66" xfId="0" applyNumberFormat="1" applyFont="1" applyFill="1" applyBorder="1" applyAlignment="1">
      <alignment horizontal="center" vertical="center"/>
    </xf>
    <xf numFmtId="166" fontId="14" fillId="10" borderId="67" xfId="0" applyNumberFormat="1" applyFont="1" applyFill="1" applyBorder="1" applyAlignment="1">
      <alignment horizontal="center" vertical="center"/>
    </xf>
    <xf numFmtId="0" fontId="34" fillId="15" borderId="61" xfId="0" applyFont="1" applyFill="1" applyBorder="1" applyAlignment="1">
      <alignment horizontal="center" vertical="center"/>
    </xf>
    <xf numFmtId="0" fontId="0" fillId="15" borderId="58" xfId="0" applyFill="1" applyBorder="1" applyAlignment="1">
      <alignment horizontal="center"/>
    </xf>
    <xf numFmtId="0" fontId="16" fillId="0" borderId="0" xfId="0" applyFont="1" applyBorder="1" applyAlignment="1">
      <alignment vertical="center"/>
    </xf>
    <xf numFmtId="0" fontId="32" fillId="15" borderId="58" xfId="0" applyFont="1" applyFill="1" applyBorder="1" applyAlignment="1">
      <alignment horizontal="center" vertical="center"/>
    </xf>
    <xf numFmtId="0" fontId="32" fillId="15" borderId="0" xfId="0" applyFont="1" applyFill="1" applyAlignment="1">
      <alignment horizontal="center" vertical="center"/>
    </xf>
    <xf numFmtId="0" fontId="32" fillId="15" borderId="61" xfId="0" applyFont="1" applyFill="1" applyBorder="1" applyAlignment="1">
      <alignment horizontal="center" vertical="center"/>
    </xf>
    <xf numFmtId="166" fontId="32" fillId="15" borderId="0" xfId="0" applyNumberFormat="1" applyFont="1" applyFill="1" applyAlignment="1">
      <alignment horizontal="center"/>
    </xf>
    <xf numFmtId="173" fontId="38" fillId="14" borderId="0" xfId="0" applyNumberFormat="1" applyFont="1" applyFill="1" applyAlignment="1">
      <alignment horizontal="center" vertical="center"/>
    </xf>
    <xf numFmtId="44" fontId="0" fillId="0" borderId="0" xfId="2" applyFont="1"/>
    <xf numFmtId="173" fontId="0" fillId="0" borderId="0" xfId="2" applyNumberFormat="1" applyFont="1"/>
    <xf numFmtId="175" fontId="32" fillId="15" borderId="58" xfId="0" applyNumberFormat="1" applyFont="1" applyFill="1" applyBorder="1" applyAlignment="1">
      <alignment horizontal="center" vertical="center"/>
    </xf>
    <xf numFmtId="175" fontId="32" fillId="15" borderId="61" xfId="0" applyNumberFormat="1" applyFont="1" applyFill="1" applyBorder="1" applyAlignment="1">
      <alignment horizontal="center" vertical="center"/>
    </xf>
    <xf numFmtId="44" fontId="32" fillId="15" borderId="57" xfId="2" applyFont="1" applyFill="1" applyBorder="1" applyAlignment="1">
      <alignment horizontal="center"/>
    </xf>
    <xf numFmtId="44" fontId="32" fillId="15" borderId="0" xfId="2" applyFont="1" applyFill="1" applyBorder="1" applyAlignment="1">
      <alignment horizontal="center"/>
    </xf>
    <xf numFmtId="0" fontId="16" fillId="0" borderId="0" xfId="0" applyFont="1" applyBorder="1" applyAlignment="1">
      <alignment horizontal="center" vertical="center"/>
    </xf>
    <xf numFmtId="0" fontId="16" fillId="0" borderId="64" xfId="0" applyFont="1" applyBorder="1" applyAlignment="1">
      <alignment horizontal="center" vertical="center"/>
    </xf>
    <xf numFmtId="0" fontId="16" fillId="0" borderId="68" xfId="0" applyFont="1" applyBorder="1" applyAlignment="1">
      <alignment horizontal="center" vertical="center"/>
    </xf>
    <xf numFmtId="0" fontId="16" fillId="0" borderId="69" xfId="0" applyFont="1" applyBorder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44" fontId="11" fillId="6" borderId="0" xfId="0" applyNumberFormat="1" applyFont="1" applyFill="1" applyBorder="1" applyAlignment="1">
      <alignment horizontal="center" vertical="center"/>
    </xf>
    <xf numFmtId="49" fontId="0" fillId="0" borderId="0" xfId="1" applyNumberFormat="1" applyFont="1"/>
    <xf numFmtId="0" fontId="0" fillId="0" borderId="64" xfId="0" applyNumberFormat="1" applyBorder="1" applyAlignment="1">
      <alignment horizontal="center" vertical="center"/>
    </xf>
    <xf numFmtId="0" fontId="0" fillId="0" borderId="68" xfId="0" applyNumberFormat="1" applyBorder="1" applyAlignment="1">
      <alignment horizontal="center" vertical="center"/>
    </xf>
    <xf numFmtId="173" fontId="11" fillId="2" borderId="69" xfId="0" quotePrefix="1" applyNumberFormat="1" applyFont="1" applyFill="1" applyBorder="1" applyAlignment="1">
      <alignment horizontal="center" vertical="center"/>
    </xf>
    <xf numFmtId="0" fontId="0" fillId="0" borderId="0" xfId="0" applyNumberFormat="1"/>
    <xf numFmtId="49" fontId="0" fillId="0" borderId="0" xfId="0" applyNumberFormat="1"/>
    <xf numFmtId="44" fontId="16" fillId="0" borderId="0" xfId="2" applyFont="1" applyBorder="1" applyAlignment="1">
      <alignment vertical="center"/>
    </xf>
    <xf numFmtId="0" fontId="0" fillId="15" borderId="63" xfId="0" applyFill="1" applyBorder="1" applyAlignment="1">
      <alignment horizontal="center"/>
    </xf>
    <xf numFmtId="0" fontId="0" fillId="15" borderId="59" xfId="0" applyFill="1" applyBorder="1" applyAlignment="1">
      <alignment horizontal="center"/>
    </xf>
    <xf numFmtId="0" fontId="16" fillId="6" borderId="0" xfId="0" applyFont="1" applyFill="1" applyBorder="1" applyAlignment="1">
      <alignment vertical="center"/>
    </xf>
  </cellXfs>
  <cellStyles count="4">
    <cellStyle name="Milliers" xfId="1" builtinId="3"/>
    <cellStyle name="Monétaire" xfId="2" builtinId="4"/>
    <cellStyle name="Normal" xfId="0" builtinId="0"/>
    <cellStyle name="Style 1" xfId="3" xr:uid="{53992A95-4BF4-437B-9D95-177BB6FA4FA8}"/>
  </cellStyles>
  <dxfs count="2">
    <dxf>
      <numFmt numFmtId="30" formatCode="@"/>
    </dxf>
    <dxf>
      <numFmt numFmtId="0" formatCode="General"/>
    </dxf>
  </dxfs>
  <tableStyles count="0" defaultTableStyle="TableStyleMedium2" defaultPivotStyle="PivotStyleLight16"/>
  <colors>
    <mruColors>
      <color rgb="FF42126B"/>
      <color rgb="FFB69FFF"/>
      <color rgb="FFFCEE1D"/>
      <color rgb="FF9C7DFF"/>
      <color rgb="FF84D6FF"/>
      <color rgb="FF1A1E62"/>
      <color rgb="FF242988"/>
      <color rgb="FF7911FF"/>
      <color rgb="FF791119"/>
      <color rgb="FFFFF8E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13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5</xdr:col>
      <xdr:colOff>0</xdr:colOff>
      <xdr:row>5</xdr:row>
      <xdr:rowOff>1</xdr:rowOff>
    </xdr:to>
    <xdr:sp macro="" textlink="">
      <xdr:nvSpPr>
        <xdr:cNvPr id="38" name="Rectangle : avec coins arrondis en haut 37">
          <a:extLst>
            <a:ext uri="{FF2B5EF4-FFF2-40B4-BE49-F238E27FC236}">
              <a16:creationId xmlns:a16="http://schemas.microsoft.com/office/drawing/2014/main" id="{69A2EFF5-5CA9-3F4A-5500-BF80FBFFE62F}"/>
            </a:ext>
          </a:extLst>
        </xdr:cNvPr>
        <xdr:cNvSpPr/>
      </xdr:nvSpPr>
      <xdr:spPr>
        <a:xfrm>
          <a:off x="781050" y="381000"/>
          <a:ext cx="2343150" cy="571501"/>
        </a:xfrm>
        <a:prstGeom prst="round2SameRect">
          <a:avLst/>
        </a:prstGeom>
        <a:solidFill>
          <a:srgbClr val="7030A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Gotham Black" pitchFamily="50" charset="0"/>
            </a:rPr>
            <a:t>IMPRESSION A4</a:t>
          </a:r>
          <a:r>
            <a:rPr lang="fr-FR" sz="1400" baseline="0">
              <a:latin typeface="Gotham Black" pitchFamily="50" charset="0"/>
            </a:rPr>
            <a:t> - A3</a:t>
          </a:r>
          <a:endParaRPr lang="fr-FR" sz="1400">
            <a:latin typeface="Gotham Black" pitchFamily="50" charset="0"/>
          </a:endParaRPr>
        </a:p>
      </xdr:txBody>
    </xdr:sp>
    <xdr:clientData/>
  </xdr:twoCellAnchor>
  <xdr:twoCellAnchor>
    <xdr:from>
      <xdr:col>6</xdr:col>
      <xdr:colOff>0</xdr:colOff>
      <xdr:row>2</xdr:row>
      <xdr:rowOff>0</xdr:rowOff>
    </xdr:from>
    <xdr:to>
      <xdr:col>10</xdr:col>
      <xdr:colOff>0</xdr:colOff>
      <xdr:row>5</xdr:row>
      <xdr:rowOff>1</xdr:rowOff>
    </xdr:to>
    <xdr:sp macro="" textlink="">
      <xdr:nvSpPr>
        <xdr:cNvPr id="39" name="Rectangle : avec coins arrondis en haut 38">
          <a:extLst>
            <a:ext uri="{FF2B5EF4-FFF2-40B4-BE49-F238E27FC236}">
              <a16:creationId xmlns:a16="http://schemas.microsoft.com/office/drawing/2014/main" id="{7FEA4007-3761-1E2E-8490-615AE395E2C0}"/>
            </a:ext>
          </a:extLst>
        </xdr:cNvPr>
        <xdr:cNvSpPr/>
      </xdr:nvSpPr>
      <xdr:spPr>
        <a:xfrm>
          <a:off x="3124200" y="381000"/>
          <a:ext cx="2343150" cy="571501"/>
        </a:xfrm>
        <a:prstGeom prst="round2SameRect">
          <a:avLst/>
        </a:prstGeom>
        <a:solidFill>
          <a:srgbClr val="B69F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chemeClr val="lt1"/>
              </a:solidFill>
              <a:latin typeface="Gotham Black" pitchFamily="50" charset="0"/>
              <a:ea typeface="+mn-ea"/>
              <a:cs typeface="+mn-cs"/>
            </a:rPr>
            <a:t>RELIURE</a:t>
          </a:r>
        </a:p>
      </xdr:txBody>
    </xdr:sp>
    <xdr:clientData/>
  </xdr:twoCellAnchor>
  <xdr:twoCellAnchor>
    <xdr:from>
      <xdr:col>11</xdr:col>
      <xdr:colOff>0</xdr:colOff>
      <xdr:row>1</xdr:row>
      <xdr:rowOff>190499</xdr:rowOff>
    </xdr:from>
    <xdr:to>
      <xdr:col>15</xdr:col>
      <xdr:colOff>0</xdr:colOff>
      <xdr:row>5</xdr:row>
      <xdr:rowOff>0</xdr:rowOff>
    </xdr:to>
    <xdr:sp macro="" textlink="">
      <xdr:nvSpPr>
        <xdr:cNvPr id="44" name="Rectangle : avec coins arrondis en haut 43">
          <a:extLst>
            <a:ext uri="{FF2B5EF4-FFF2-40B4-BE49-F238E27FC236}">
              <a16:creationId xmlns:a16="http://schemas.microsoft.com/office/drawing/2014/main" id="{5F1AB5A6-F016-5512-19AD-1D9AB3FD63AB}"/>
            </a:ext>
          </a:extLst>
        </xdr:cNvPr>
        <xdr:cNvSpPr/>
      </xdr:nvSpPr>
      <xdr:spPr>
        <a:xfrm>
          <a:off x="5467350" y="380999"/>
          <a:ext cx="2343150" cy="571501"/>
        </a:xfrm>
        <a:prstGeom prst="round2SameRect">
          <a:avLst/>
        </a:prstGeom>
        <a:solidFill>
          <a:srgbClr val="7030A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chemeClr val="lt1"/>
              </a:solidFill>
              <a:latin typeface="Gotham Black" pitchFamily="50" charset="0"/>
              <a:ea typeface="+mn-ea"/>
              <a:cs typeface="+mn-cs"/>
            </a:rPr>
            <a:t>NUMÉRISATION</a:t>
          </a:r>
        </a:p>
      </xdr:txBody>
    </xdr:sp>
    <xdr:clientData/>
  </xdr:twoCellAnchor>
  <xdr:twoCellAnchor>
    <xdr:from>
      <xdr:col>16</xdr:col>
      <xdr:colOff>0</xdr:colOff>
      <xdr:row>1</xdr:row>
      <xdr:rowOff>190499</xdr:rowOff>
    </xdr:from>
    <xdr:to>
      <xdr:col>20</xdr:col>
      <xdr:colOff>0</xdr:colOff>
      <xdr:row>5</xdr:row>
      <xdr:rowOff>0</xdr:rowOff>
    </xdr:to>
    <xdr:sp macro="" textlink="">
      <xdr:nvSpPr>
        <xdr:cNvPr id="45" name="Rectangle : avec coins arrondis en haut 44">
          <a:extLst>
            <a:ext uri="{FF2B5EF4-FFF2-40B4-BE49-F238E27FC236}">
              <a16:creationId xmlns:a16="http://schemas.microsoft.com/office/drawing/2014/main" id="{75B19575-9622-B8ED-16CF-2AA959BBD9DA}"/>
            </a:ext>
          </a:extLst>
        </xdr:cNvPr>
        <xdr:cNvSpPr/>
      </xdr:nvSpPr>
      <xdr:spPr>
        <a:xfrm>
          <a:off x="7810500" y="380999"/>
          <a:ext cx="2343150" cy="571501"/>
        </a:xfrm>
        <a:prstGeom prst="round2SameRect">
          <a:avLst/>
        </a:prstGeom>
        <a:solidFill>
          <a:srgbClr val="B69F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chemeClr val="lt1"/>
              </a:solidFill>
              <a:latin typeface="Gotham Black" pitchFamily="50" charset="0"/>
              <a:ea typeface="+mn-ea"/>
              <a:cs typeface="+mn-cs"/>
            </a:rPr>
            <a:t>PLASTIFICATION</a:t>
          </a:r>
        </a:p>
      </xdr:txBody>
    </xdr:sp>
    <xdr:clientData/>
  </xdr:twoCellAnchor>
  <xdr:twoCellAnchor>
    <xdr:from>
      <xdr:col>21</xdr:col>
      <xdr:colOff>0</xdr:colOff>
      <xdr:row>2</xdr:row>
      <xdr:rowOff>0</xdr:rowOff>
    </xdr:from>
    <xdr:to>
      <xdr:col>25</xdr:col>
      <xdr:colOff>0</xdr:colOff>
      <xdr:row>5</xdr:row>
      <xdr:rowOff>1</xdr:rowOff>
    </xdr:to>
    <xdr:sp macro="" textlink="">
      <xdr:nvSpPr>
        <xdr:cNvPr id="46" name="Rectangle : avec coins arrondis en haut 45">
          <a:extLst>
            <a:ext uri="{FF2B5EF4-FFF2-40B4-BE49-F238E27FC236}">
              <a16:creationId xmlns:a16="http://schemas.microsoft.com/office/drawing/2014/main" id="{4567B19C-CF16-6DBA-ACC8-B976994AB860}"/>
            </a:ext>
          </a:extLst>
        </xdr:cNvPr>
        <xdr:cNvSpPr/>
      </xdr:nvSpPr>
      <xdr:spPr>
        <a:xfrm>
          <a:off x="10153650" y="381000"/>
          <a:ext cx="2343150" cy="571501"/>
        </a:xfrm>
        <a:prstGeom prst="round2SameRect">
          <a:avLst/>
        </a:prstGeom>
        <a:solidFill>
          <a:srgbClr val="7030A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chemeClr val="lt1"/>
              </a:solidFill>
              <a:latin typeface="Gotham Black" pitchFamily="50" charset="0"/>
              <a:ea typeface="+mn-ea"/>
              <a:cs typeface="+mn-cs"/>
            </a:rPr>
            <a:t>GRAND</a:t>
          </a:r>
          <a:r>
            <a:rPr lang="fr-FR" sz="1100"/>
            <a:t> </a:t>
          </a:r>
          <a:r>
            <a:rPr lang="fr-FR" sz="1400">
              <a:solidFill>
                <a:schemeClr val="lt1"/>
              </a:solidFill>
              <a:latin typeface="Gotham Black" pitchFamily="50" charset="0"/>
              <a:ea typeface="+mn-ea"/>
              <a:cs typeface="+mn-cs"/>
            </a:rPr>
            <a:t>FORMAT</a:t>
          </a:r>
        </a:p>
      </xdr:txBody>
    </xdr:sp>
    <xdr:clientData/>
  </xdr:twoCellAnchor>
  <xdr:twoCellAnchor>
    <xdr:from>
      <xdr:col>26</xdr:col>
      <xdr:colOff>0</xdr:colOff>
      <xdr:row>2</xdr:row>
      <xdr:rowOff>0</xdr:rowOff>
    </xdr:from>
    <xdr:to>
      <xdr:col>30</xdr:col>
      <xdr:colOff>0</xdr:colOff>
      <xdr:row>5</xdr:row>
      <xdr:rowOff>1</xdr:rowOff>
    </xdr:to>
    <xdr:sp macro="" textlink="">
      <xdr:nvSpPr>
        <xdr:cNvPr id="47" name="Rectangle : avec coins arrondis en haut 46">
          <a:extLst>
            <a:ext uri="{FF2B5EF4-FFF2-40B4-BE49-F238E27FC236}">
              <a16:creationId xmlns:a16="http://schemas.microsoft.com/office/drawing/2014/main" id="{EE5FF737-DB20-C1D5-ADA6-0A8AA03FD339}"/>
            </a:ext>
          </a:extLst>
        </xdr:cNvPr>
        <xdr:cNvSpPr/>
      </xdr:nvSpPr>
      <xdr:spPr>
        <a:xfrm>
          <a:off x="12496800" y="381000"/>
          <a:ext cx="2343150" cy="571501"/>
        </a:xfrm>
        <a:prstGeom prst="round2SameRect">
          <a:avLst/>
        </a:prstGeom>
        <a:solidFill>
          <a:srgbClr val="B69F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chemeClr val="lt1"/>
              </a:solidFill>
              <a:latin typeface="Gotham Black" pitchFamily="50" charset="0"/>
              <a:ea typeface="+mn-ea"/>
              <a:cs typeface="+mn-cs"/>
            </a:rPr>
            <a:t>PAPIER</a:t>
          </a:r>
        </a:p>
      </xdr:txBody>
    </xdr:sp>
    <xdr:clientData/>
  </xdr:twoCellAnchor>
  <xdr:twoCellAnchor>
    <xdr:from>
      <xdr:col>31</xdr:col>
      <xdr:colOff>0</xdr:colOff>
      <xdr:row>29</xdr:row>
      <xdr:rowOff>190499</xdr:rowOff>
    </xdr:from>
    <xdr:to>
      <xdr:col>34</xdr:col>
      <xdr:colOff>0</xdr:colOff>
      <xdr:row>33</xdr:row>
      <xdr:rowOff>0</xdr:rowOff>
    </xdr:to>
    <xdr:sp macro="" textlink="">
      <xdr:nvSpPr>
        <xdr:cNvPr id="48" name="Rectangle : avec coins arrondis en haut 47">
          <a:extLst>
            <a:ext uri="{FF2B5EF4-FFF2-40B4-BE49-F238E27FC236}">
              <a16:creationId xmlns:a16="http://schemas.microsoft.com/office/drawing/2014/main" id="{D139F187-C1F2-9E17-73BB-99DC303A268F}"/>
            </a:ext>
          </a:extLst>
        </xdr:cNvPr>
        <xdr:cNvSpPr/>
      </xdr:nvSpPr>
      <xdr:spPr>
        <a:xfrm>
          <a:off x="15668625" y="5714999"/>
          <a:ext cx="2000250" cy="571501"/>
        </a:xfrm>
        <a:prstGeom prst="round2SameRect">
          <a:avLst/>
        </a:prstGeom>
        <a:solidFill>
          <a:srgbClr val="FCEE1D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lt1"/>
              </a:solidFill>
              <a:latin typeface="Gotham Black" pitchFamily="50" charset="0"/>
              <a:ea typeface="+mn-ea"/>
              <a:cs typeface="+mn-cs"/>
            </a:rPr>
            <a:t>TOTAL</a:t>
          </a:r>
          <a:endParaRPr lang="fr-FR" sz="1400">
            <a:solidFill>
              <a:schemeClr val="lt1"/>
            </a:solidFill>
            <a:latin typeface="Gotham Black" pitchFamily="50" charset="0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29</xdr:row>
      <xdr:rowOff>190499</xdr:rowOff>
    </xdr:from>
    <xdr:to>
      <xdr:col>5</xdr:col>
      <xdr:colOff>0</xdr:colOff>
      <xdr:row>33</xdr:row>
      <xdr:rowOff>0</xdr:rowOff>
    </xdr:to>
    <xdr:sp macro="" textlink="">
      <xdr:nvSpPr>
        <xdr:cNvPr id="9" name="Rectangle : avec coins arrondis en haut 8">
          <a:extLst>
            <a:ext uri="{FF2B5EF4-FFF2-40B4-BE49-F238E27FC236}">
              <a16:creationId xmlns:a16="http://schemas.microsoft.com/office/drawing/2014/main" id="{48D9F07E-2F37-4868-23BB-83B1C1E02F80}"/>
            </a:ext>
          </a:extLst>
        </xdr:cNvPr>
        <xdr:cNvSpPr/>
      </xdr:nvSpPr>
      <xdr:spPr>
        <a:xfrm>
          <a:off x="180975" y="5714999"/>
          <a:ext cx="2400300" cy="571501"/>
        </a:xfrm>
        <a:prstGeom prst="round2SameRect">
          <a:avLst/>
        </a:prstGeom>
        <a:solidFill>
          <a:srgbClr val="7030A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latin typeface="Gotham Black" pitchFamily="50" charset="0"/>
            </a:rPr>
            <a:t>TOTAL IMPRESSION</a:t>
          </a:r>
        </a:p>
      </xdr:txBody>
    </xdr:sp>
    <xdr:clientData/>
  </xdr:twoCellAnchor>
  <xdr:twoCellAnchor>
    <xdr:from>
      <xdr:col>6</xdr:col>
      <xdr:colOff>0</xdr:colOff>
      <xdr:row>29</xdr:row>
      <xdr:rowOff>190499</xdr:rowOff>
    </xdr:from>
    <xdr:to>
      <xdr:col>10</xdr:col>
      <xdr:colOff>0</xdr:colOff>
      <xdr:row>33</xdr:row>
      <xdr:rowOff>0</xdr:rowOff>
    </xdr:to>
    <xdr:sp macro="" textlink="">
      <xdr:nvSpPr>
        <xdr:cNvPr id="10" name="Rectangle : avec coins arrondis en haut 9">
          <a:extLst>
            <a:ext uri="{FF2B5EF4-FFF2-40B4-BE49-F238E27FC236}">
              <a16:creationId xmlns:a16="http://schemas.microsoft.com/office/drawing/2014/main" id="{9FF6CB9C-8E27-EEC3-5E26-05BA5123CE0E}"/>
            </a:ext>
          </a:extLst>
        </xdr:cNvPr>
        <xdr:cNvSpPr/>
      </xdr:nvSpPr>
      <xdr:spPr>
        <a:xfrm>
          <a:off x="2762250" y="5714999"/>
          <a:ext cx="2400300" cy="571501"/>
        </a:xfrm>
        <a:prstGeom prst="round2SameRect">
          <a:avLst/>
        </a:prstGeom>
        <a:solidFill>
          <a:srgbClr val="B69F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lt1"/>
              </a:solidFill>
              <a:latin typeface="Gotham Black" pitchFamily="50" charset="0"/>
              <a:ea typeface="+mn-ea"/>
              <a:cs typeface="+mn-cs"/>
            </a:rPr>
            <a:t>TOTAL RELIURE</a:t>
          </a:r>
        </a:p>
      </xdr:txBody>
    </xdr:sp>
    <xdr:clientData/>
  </xdr:twoCellAnchor>
  <xdr:twoCellAnchor>
    <xdr:from>
      <xdr:col>11</xdr:col>
      <xdr:colOff>0</xdr:colOff>
      <xdr:row>29</xdr:row>
      <xdr:rowOff>190498</xdr:rowOff>
    </xdr:from>
    <xdr:to>
      <xdr:col>15</xdr:col>
      <xdr:colOff>0</xdr:colOff>
      <xdr:row>32</xdr:row>
      <xdr:rowOff>190499</xdr:rowOff>
    </xdr:to>
    <xdr:sp macro="" textlink="">
      <xdr:nvSpPr>
        <xdr:cNvPr id="11" name="Rectangle : avec coins arrondis en haut 10">
          <a:extLst>
            <a:ext uri="{FF2B5EF4-FFF2-40B4-BE49-F238E27FC236}">
              <a16:creationId xmlns:a16="http://schemas.microsoft.com/office/drawing/2014/main" id="{4717EF1B-E064-94AC-DC02-99444214136F}"/>
            </a:ext>
          </a:extLst>
        </xdr:cNvPr>
        <xdr:cNvSpPr/>
      </xdr:nvSpPr>
      <xdr:spPr>
        <a:xfrm>
          <a:off x="5343525" y="5714998"/>
          <a:ext cx="2400300" cy="571501"/>
        </a:xfrm>
        <a:prstGeom prst="round2SameRect">
          <a:avLst/>
        </a:prstGeom>
        <a:solidFill>
          <a:srgbClr val="7030A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lt1"/>
              </a:solidFill>
              <a:latin typeface="Gotham Black" pitchFamily="50" charset="0"/>
              <a:ea typeface="+mn-ea"/>
              <a:cs typeface="+mn-cs"/>
            </a:rPr>
            <a:t>TOTAL NUMÉRISATION</a:t>
          </a:r>
        </a:p>
      </xdr:txBody>
    </xdr:sp>
    <xdr:clientData/>
  </xdr:twoCellAnchor>
  <xdr:twoCellAnchor>
    <xdr:from>
      <xdr:col>16</xdr:col>
      <xdr:colOff>0</xdr:colOff>
      <xdr:row>29</xdr:row>
      <xdr:rowOff>190498</xdr:rowOff>
    </xdr:from>
    <xdr:to>
      <xdr:col>20</xdr:col>
      <xdr:colOff>0</xdr:colOff>
      <xdr:row>32</xdr:row>
      <xdr:rowOff>190499</xdr:rowOff>
    </xdr:to>
    <xdr:sp macro="" textlink="">
      <xdr:nvSpPr>
        <xdr:cNvPr id="12" name="Rectangle : avec coins arrondis en haut 11">
          <a:extLst>
            <a:ext uri="{FF2B5EF4-FFF2-40B4-BE49-F238E27FC236}">
              <a16:creationId xmlns:a16="http://schemas.microsoft.com/office/drawing/2014/main" id="{AF22C0CF-3B18-83FB-0C70-474A14BADAAC}"/>
            </a:ext>
          </a:extLst>
        </xdr:cNvPr>
        <xdr:cNvSpPr/>
      </xdr:nvSpPr>
      <xdr:spPr>
        <a:xfrm>
          <a:off x="7924800" y="5714998"/>
          <a:ext cx="2400300" cy="571501"/>
        </a:xfrm>
        <a:prstGeom prst="round2SameRect">
          <a:avLst/>
        </a:prstGeom>
        <a:solidFill>
          <a:srgbClr val="B69F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lt1"/>
              </a:solidFill>
              <a:latin typeface="Gotham Black" pitchFamily="50" charset="0"/>
              <a:ea typeface="+mn-ea"/>
              <a:cs typeface="+mn-cs"/>
            </a:rPr>
            <a:t>TOTAL PLASTIFICATION</a:t>
          </a:r>
        </a:p>
      </xdr:txBody>
    </xdr:sp>
    <xdr:clientData/>
  </xdr:twoCellAnchor>
  <xdr:twoCellAnchor>
    <xdr:from>
      <xdr:col>21</xdr:col>
      <xdr:colOff>0</xdr:colOff>
      <xdr:row>29</xdr:row>
      <xdr:rowOff>190499</xdr:rowOff>
    </xdr:from>
    <xdr:to>
      <xdr:col>25</xdr:col>
      <xdr:colOff>0</xdr:colOff>
      <xdr:row>33</xdr:row>
      <xdr:rowOff>0</xdr:rowOff>
    </xdr:to>
    <xdr:sp macro="" textlink="">
      <xdr:nvSpPr>
        <xdr:cNvPr id="13" name="Rectangle : avec coins arrondis en haut 12">
          <a:extLst>
            <a:ext uri="{FF2B5EF4-FFF2-40B4-BE49-F238E27FC236}">
              <a16:creationId xmlns:a16="http://schemas.microsoft.com/office/drawing/2014/main" id="{CA315290-AEB6-3831-041B-E2D3D1714B8B}"/>
            </a:ext>
          </a:extLst>
        </xdr:cNvPr>
        <xdr:cNvSpPr/>
      </xdr:nvSpPr>
      <xdr:spPr>
        <a:xfrm>
          <a:off x="10506075" y="5714999"/>
          <a:ext cx="2400300" cy="571501"/>
        </a:xfrm>
        <a:prstGeom prst="round2SameRect">
          <a:avLst/>
        </a:prstGeom>
        <a:solidFill>
          <a:srgbClr val="7030A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lt1"/>
              </a:solidFill>
              <a:latin typeface="Gotham Black" pitchFamily="50" charset="0"/>
              <a:ea typeface="+mn-ea"/>
              <a:cs typeface="+mn-cs"/>
            </a:rPr>
            <a:t>TOTAL GRAND</a:t>
          </a:r>
          <a:r>
            <a:rPr lang="fr-FR" sz="1050"/>
            <a:t> </a:t>
          </a:r>
          <a:r>
            <a:rPr lang="fr-FR" sz="1200">
              <a:solidFill>
                <a:schemeClr val="lt1"/>
              </a:solidFill>
              <a:latin typeface="Gotham Black" pitchFamily="50" charset="0"/>
              <a:ea typeface="+mn-ea"/>
              <a:cs typeface="+mn-cs"/>
            </a:rPr>
            <a:t>FORMAT</a:t>
          </a:r>
        </a:p>
      </xdr:txBody>
    </xdr:sp>
    <xdr:clientData/>
  </xdr:twoCellAnchor>
  <xdr:twoCellAnchor>
    <xdr:from>
      <xdr:col>26</xdr:col>
      <xdr:colOff>0</xdr:colOff>
      <xdr:row>29</xdr:row>
      <xdr:rowOff>190499</xdr:rowOff>
    </xdr:from>
    <xdr:to>
      <xdr:col>30</xdr:col>
      <xdr:colOff>0</xdr:colOff>
      <xdr:row>33</xdr:row>
      <xdr:rowOff>0</xdr:rowOff>
    </xdr:to>
    <xdr:sp macro="" textlink="">
      <xdr:nvSpPr>
        <xdr:cNvPr id="14" name="Rectangle : avec coins arrondis en haut 13">
          <a:extLst>
            <a:ext uri="{FF2B5EF4-FFF2-40B4-BE49-F238E27FC236}">
              <a16:creationId xmlns:a16="http://schemas.microsoft.com/office/drawing/2014/main" id="{59FCF961-F6AA-059F-CD44-D5A84A90A669}"/>
            </a:ext>
          </a:extLst>
        </xdr:cNvPr>
        <xdr:cNvSpPr/>
      </xdr:nvSpPr>
      <xdr:spPr>
        <a:xfrm>
          <a:off x="13087350" y="5714999"/>
          <a:ext cx="2400300" cy="571501"/>
        </a:xfrm>
        <a:prstGeom prst="round2SameRect">
          <a:avLst/>
        </a:prstGeom>
        <a:solidFill>
          <a:srgbClr val="B69F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lt1"/>
              </a:solidFill>
              <a:latin typeface="Gotham Black" pitchFamily="50" charset="0"/>
              <a:ea typeface="+mn-ea"/>
              <a:cs typeface="+mn-cs"/>
            </a:rPr>
            <a:t>TOTAL PAPIER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93250AB-0034-4074-BC9F-5F5B70037530}" name="Tableau3" displayName="Tableau3" ref="K69:M99" totalsRowShown="0">
  <autoFilter ref="K69:M99" xr:uid="{893250AB-0034-4074-BC9F-5F5B70037530}"/>
  <tableColumns count="3">
    <tableColumn id="1" xr3:uid="{5FC52E52-5032-439F-BF85-1D769B76B831}" name="produits"/>
    <tableColumn id="2" xr3:uid="{DAA157A8-8AB3-496B-BF15-5F5F14C30397}" name="plages de quantité" dataDxfId="0"/>
    <tableColumn id="3" xr3:uid="{5E2EE86B-B2AC-46CF-87DD-E23E17C8E757}" name="tarif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N124"/>
  <sheetViews>
    <sheetView showGridLines="0" topLeftCell="A67" zoomScale="85" zoomScaleNormal="85" workbookViewId="0">
      <selection activeCell="A118" sqref="A118"/>
    </sheetView>
  </sheetViews>
  <sheetFormatPr baseColWidth="10" defaultColWidth="11.42578125" defaultRowHeight="15" x14ac:dyDescent="0.25"/>
  <cols>
    <col min="1" max="1" width="36.42578125" style="4" customWidth="1"/>
    <col min="2" max="2" width="18.7109375" style="4" customWidth="1"/>
    <col min="3" max="3" width="11.5703125" style="1"/>
    <col min="4" max="4" width="13" style="2" customWidth="1"/>
    <col min="5" max="5" width="15" customWidth="1"/>
    <col min="6" max="6" width="1.42578125" style="20" customWidth="1"/>
    <col min="7" max="7" width="16.42578125" bestFit="1" customWidth="1"/>
    <col min="10" max="10" width="1.7109375" style="36" customWidth="1"/>
    <col min="11" max="11" width="24.140625" customWidth="1"/>
    <col min="12" max="12" width="30.42578125" customWidth="1"/>
    <col min="13" max="13" width="16.42578125" customWidth="1"/>
    <col min="15" max="15" width="2.28515625" customWidth="1"/>
    <col min="16" max="16" width="39" customWidth="1"/>
  </cols>
  <sheetData>
    <row r="2" spans="1:14" x14ac:dyDescent="0.25">
      <c r="A2" s="11" t="s">
        <v>0</v>
      </c>
      <c r="B2" s="11"/>
      <c r="C2" s="12"/>
      <c r="D2" s="13"/>
      <c r="G2" t="s">
        <v>1</v>
      </c>
    </row>
    <row r="3" spans="1:14" x14ac:dyDescent="0.25">
      <c r="A3" s="11" t="s">
        <v>2</v>
      </c>
      <c r="B3" s="11"/>
      <c r="C3" s="12" t="s">
        <v>3</v>
      </c>
      <c r="D3" s="13" t="s">
        <v>4</v>
      </c>
      <c r="H3" s="21" t="s">
        <v>3</v>
      </c>
      <c r="I3" s="21" t="s">
        <v>4</v>
      </c>
      <c r="K3" t="s">
        <v>5</v>
      </c>
    </row>
    <row r="4" spans="1:14" x14ac:dyDescent="0.25">
      <c r="A4" s="11">
        <v>1</v>
      </c>
      <c r="B4" s="11">
        <v>49</v>
      </c>
      <c r="C4" s="12">
        <v>0.2</v>
      </c>
      <c r="D4" s="13">
        <v>0.4</v>
      </c>
      <c r="E4" s="3"/>
      <c r="H4" s="23">
        <f>C4</f>
        <v>0.2</v>
      </c>
      <c r="I4" s="23">
        <f t="shared" ref="I4:I8" si="0">D4</f>
        <v>0.4</v>
      </c>
      <c r="K4" t="s">
        <v>6</v>
      </c>
    </row>
    <row r="5" spans="1:14" x14ac:dyDescent="0.25">
      <c r="A5" s="11">
        <v>50</v>
      </c>
      <c r="B5" s="11">
        <v>499</v>
      </c>
      <c r="C5" s="12">
        <v>0.09</v>
      </c>
      <c r="D5" s="13">
        <v>0.2</v>
      </c>
      <c r="E5" s="3"/>
      <c r="H5" s="23">
        <f t="shared" ref="H5:H8" si="1">C5</f>
        <v>0.09</v>
      </c>
      <c r="I5" s="23">
        <f t="shared" si="0"/>
        <v>0.2</v>
      </c>
      <c r="K5" t="s">
        <v>7</v>
      </c>
    </row>
    <row r="6" spans="1:14" x14ac:dyDescent="0.25">
      <c r="A6" s="11">
        <v>500</v>
      </c>
      <c r="B6" s="11">
        <v>999</v>
      </c>
      <c r="C6" s="128">
        <v>8.5000000000000006E-2</v>
      </c>
      <c r="D6" s="13">
        <v>0.17</v>
      </c>
      <c r="E6" s="3"/>
      <c r="H6" s="23">
        <f t="shared" si="1"/>
        <v>8.5000000000000006E-2</v>
      </c>
      <c r="I6" s="23">
        <f t="shared" si="0"/>
        <v>0.17</v>
      </c>
      <c r="K6" s="36"/>
      <c r="L6" s="36"/>
      <c r="M6" s="36"/>
      <c r="N6" s="36"/>
    </row>
    <row r="7" spans="1:14" x14ac:dyDescent="0.25">
      <c r="A7" s="11">
        <v>1000</v>
      </c>
      <c r="B7" s="11">
        <v>2499</v>
      </c>
      <c r="C7" s="12">
        <v>0.08</v>
      </c>
      <c r="D7" s="13">
        <v>0.15</v>
      </c>
      <c r="E7" s="3"/>
      <c r="H7" s="23">
        <f t="shared" si="1"/>
        <v>0.08</v>
      </c>
      <c r="I7" s="23">
        <f t="shared" si="0"/>
        <v>0.15</v>
      </c>
      <c r="K7" t="s">
        <v>8</v>
      </c>
    </row>
    <row r="8" spans="1:14" x14ac:dyDescent="0.25">
      <c r="A8" s="11">
        <v>2500</v>
      </c>
      <c r="B8" s="11"/>
      <c r="C8" s="12">
        <v>7.0000000000000007E-2</v>
      </c>
      <c r="D8" s="13">
        <v>0.13</v>
      </c>
      <c r="E8" s="3"/>
      <c r="H8" s="23">
        <f t="shared" si="1"/>
        <v>7.0000000000000007E-2</v>
      </c>
      <c r="I8" s="23">
        <f t="shared" si="0"/>
        <v>0.13</v>
      </c>
      <c r="K8" s="37">
        <v>1</v>
      </c>
      <c r="L8" t="s">
        <v>9</v>
      </c>
      <c r="M8" t="s">
        <v>10</v>
      </c>
      <c r="N8" t="s">
        <v>11</v>
      </c>
    </row>
    <row r="9" spans="1:14" x14ac:dyDescent="0.25">
      <c r="A9" s="11"/>
      <c r="B9" s="11"/>
      <c r="C9" s="12"/>
      <c r="D9" s="13"/>
      <c r="E9" s="127"/>
      <c r="H9" s="22" t="s">
        <v>11</v>
      </c>
      <c r="I9" s="22"/>
      <c r="K9" s="37">
        <v>1</v>
      </c>
      <c r="L9" t="s">
        <v>12</v>
      </c>
      <c r="M9" t="s">
        <v>13</v>
      </c>
      <c r="N9" t="s">
        <v>11</v>
      </c>
    </row>
    <row r="10" spans="1:14" x14ac:dyDescent="0.25">
      <c r="A10" s="11" t="s">
        <v>14</v>
      </c>
      <c r="B10" s="11"/>
      <c r="C10" s="12" t="s">
        <v>3</v>
      </c>
      <c r="D10" s="13" t="s">
        <v>4</v>
      </c>
      <c r="E10" s="3"/>
      <c r="H10" s="21" t="s">
        <v>3</v>
      </c>
      <c r="I10" s="21" t="s">
        <v>4</v>
      </c>
      <c r="K10">
        <v>1</v>
      </c>
      <c r="L10" s="38" t="s">
        <v>15</v>
      </c>
      <c r="M10" t="s">
        <v>16</v>
      </c>
    </row>
    <row r="11" spans="1:14" x14ac:dyDescent="0.25">
      <c r="A11" s="11">
        <v>1</v>
      </c>
      <c r="B11" s="11">
        <v>9</v>
      </c>
      <c r="C11" s="12">
        <v>0.7</v>
      </c>
      <c r="D11" s="13">
        <v>1.5</v>
      </c>
      <c r="E11" s="3"/>
      <c r="H11" s="23">
        <f>C11</f>
        <v>0.7</v>
      </c>
      <c r="I11" s="23">
        <f>D11</f>
        <v>1.5</v>
      </c>
      <c r="K11" s="3"/>
      <c r="L11" t="s">
        <v>17</v>
      </c>
      <c r="M11" t="s">
        <v>18</v>
      </c>
    </row>
    <row r="12" spans="1:14" x14ac:dyDescent="0.25">
      <c r="A12" s="11">
        <v>10</v>
      </c>
      <c r="B12" s="11">
        <v>49</v>
      </c>
      <c r="C12" s="12">
        <v>0.65</v>
      </c>
      <c r="D12" s="13">
        <v>1.32</v>
      </c>
      <c r="E12" s="3"/>
      <c r="H12" s="23">
        <f t="shared" ref="H12:H14" si="2">C12</f>
        <v>0.65</v>
      </c>
      <c r="I12" s="23">
        <f t="shared" ref="I12:I14" si="3">D12</f>
        <v>1.32</v>
      </c>
      <c r="K12" s="36"/>
      <c r="L12" s="36"/>
      <c r="M12" s="36"/>
      <c r="N12" s="36"/>
    </row>
    <row r="13" spans="1:14" x14ac:dyDescent="0.25">
      <c r="A13" s="129">
        <v>50</v>
      </c>
      <c r="B13" s="129">
        <v>99</v>
      </c>
      <c r="C13" s="130">
        <v>0.56000000000000005</v>
      </c>
      <c r="D13" s="131">
        <v>1.1000000000000001</v>
      </c>
      <c r="E13" s="3"/>
      <c r="H13" s="23">
        <f t="shared" si="2"/>
        <v>0.56000000000000005</v>
      </c>
      <c r="I13" s="23">
        <f t="shared" si="3"/>
        <v>1.1000000000000001</v>
      </c>
    </row>
    <row r="14" spans="1:14" x14ac:dyDescent="0.25">
      <c r="A14" s="62">
        <v>100</v>
      </c>
      <c r="B14" s="132"/>
      <c r="C14" s="133">
        <v>0.49</v>
      </c>
      <c r="D14" s="134">
        <v>0.95</v>
      </c>
      <c r="E14" s="3"/>
      <c r="H14" s="23">
        <f t="shared" si="2"/>
        <v>0.49</v>
      </c>
      <c r="I14" s="23">
        <f t="shared" si="3"/>
        <v>0.95</v>
      </c>
    </row>
    <row r="15" spans="1:14" x14ac:dyDescent="0.25">
      <c r="A15" s="60"/>
      <c r="B15" s="60"/>
      <c r="C15" s="61"/>
      <c r="E15" s="3"/>
      <c r="H15" s="23"/>
      <c r="I15" s="23"/>
    </row>
    <row r="16" spans="1:14" x14ac:dyDescent="0.25">
      <c r="A16" s="60"/>
      <c r="B16" s="60"/>
      <c r="C16" s="61"/>
      <c r="E16" s="3"/>
      <c r="H16" s="23"/>
      <c r="I16" s="23"/>
    </row>
    <row r="17" spans="1:9" x14ac:dyDescent="0.25">
      <c r="A17" s="60"/>
      <c r="B17" s="60"/>
      <c r="C17" s="61"/>
      <c r="E17" s="3"/>
      <c r="H17" s="23"/>
      <c r="I17" s="23"/>
    </row>
    <row r="18" spans="1:9" x14ac:dyDescent="0.25">
      <c r="A18" s="60"/>
      <c r="B18" s="60"/>
      <c r="C18" s="61"/>
      <c r="E18" s="3"/>
      <c r="H18" s="23"/>
      <c r="I18" s="23"/>
    </row>
    <row r="19" spans="1:9" x14ac:dyDescent="0.25">
      <c r="A19" s="60"/>
      <c r="B19" s="60"/>
      <c r="C19" s="61"/>
      <c r="E19" s="3"/>
      <c r="H19" s="23"/>
      <c r="I19" s="23"/>
    </row>
    <row r="21" spans="1:9" x14ac:dyDescent="0.25">
      <c r="A21" s="7" t="s">
        <v>19</v>
      </c>
      <c r="B21" s="7"/>
      <c r="C21" s="8"/>
      <c r="D21" s="9"/>
      <c r="E21" s="10"/>
    </row>
    <row r="22" spans="1:9" x14ac:dyDescent="0.25">
      <c r="A22" s="14" t="s">
        <v>2</v>
      </c>
      <c r="B22" s="14"/>
      <c r="C22" s="15" t="s">
        <v>3</v>
      </c>
      <c r="D22" s="16"/>
      <c r="E22" s="15"/>
      <c r="H22" s="21" t="s">
        <v>3</v>
      </c>
      <c r="I22" s="21" t="s">
        <v>4</v>
      </c>
    </row>
    <row r="23" spans="1:9" x14ac:dyDescent="0.25">
      <c r="A23" s="14">
        <v>0</v>
      </c>
      <c r="B23" s="14">
        <v>500</v>
      </c>
      <c r="C23" s="17">
        <v>29.99</v>
      </c>
      <c r="D23" s="16"/>
      <c r="E23" s="18">
        <f>B23/2</f>
        <v>250</v>
      </c>
      <c r="H23" s="23">
        <f>C23/B23</f>
        <v>5.9979999999999999E-2</v>
      </c>
      <c r="I23" s="23">
        <f>C23/E23</f>
        <v>0.11996</v>
      </c>
    </row>
    <row r="24" spans="1:9" x14ac:dyDescent="0.25">
      <c r="A24" s="14">
        <v>501</v>
      </c>
      <c r="B24" s="14">
        <v>1000</v>
      </c>
      <c r="C24" s="17">
        <v>54.99</v>
      </c>
      <c r="D24" s="16"/>
      <c r="E24" s="18">
        <f t="shared" ref="E24:E28" si="4">B24/2</f>
        <v>500</v>
      </c>
      <c r="H24" s="23">
        <f t="shared" ref="H24:H28" si="5">C24/B24</f>
        <v>5.4990000000000004E-2</v>
      </c>
      <c r="I24" s="23">
        <f t="shared" ref="I24:I28" si="6">C24/E24</f>
        <v>0.10998000000000001</v>
      </c>
    </row>
    <row r="25" spans="1:9" x14ac:dyDescent="0.25">
      <c r="A25" s="14">
        <v>1001</v>
      </c>
      <c r="B25" s="14">
        <v>2500</v>
      </c>
      <c r="C25" s="17">
        <v>124.99</v>
      </c>
      <c r="D25" s="16"/>
      <c r="E25" s="18">
        <f t="shared" si="4"/>
        <v>1250</v>
      </c>
      <c r="H25" s="23">
        <f t="shared" si="5"/>
        <v>4.9995999999999999E-2</v>
      </c>
      <c r="I25" s="23">
        <f t="shared" si="6"/>
        <v>9.9991999999999998E-2</v>
      </c>
    </row>
    <row r="26" spans="1:9" x14ac:dyDescent="0.25">
      <c r="A26" s="14">
        <v>2002</v>
      </c>
      <c r="B26" s="14">
        <v>5000</v>
      </c>
      <c r="C26" s="17">
        <v>224.99</v>
      </c>
      <c r="D26" s="16"/>
      <c r="E26" s="18">
        <f t="shared" si="4"/>
        <v>2500</v>
      </c>
      <c r="H26" s="23">
        <f t="shared" si="5"/>
        <v>4.4998000000000003E-2</v>
      </c>
      <c r="I26" s="23">
        <f t="shared" si="6"/>
        <v>8.9996000000000007E-2</v>
      </c>
    </row>
    <row r="27" spans="1:9" x14ac:dyDescent="0.25">
      <c r="A27" s="135">
        <v>5001</v>
      </c>
      <c r="B27" s="135">
        <v>10000</v>
      </c>
      <c r="C27" s="136">
        <v>399.99</v>
      </c>
      <c r="D27" s="137"/>
      <c r="E27" s="138">
        <f t="shared" si="4"/>
        <v>5000</v>
      </c>
      <c r="H27" s="23">
        <f t="shared" si="5"/>
        <v>3.9999E-2</v>
      </c>
      <c r="I27" s="23">
        <f t="shared" si="6"/>
        <v>7.9998E-2</v>
      </c>
    </row>
    <row r="28" spans="1:9" x14ac:dyDescent="0.25">
      <c r="A28" s="143">
        <v>10001</v>
      </c>
      <c r="B28" s="144">
        <v>25000</v>
      </c>
      <c r="C28" s="145">
        <v>874.99</v>
      </c>
      <c r="D28" s="146"/>
      <c r="E28" s="147">
        <f t="shared" si="4"/>
        <v>12500</v>
      </c>
      <c r="H28" s="23">
        <f t="shared" si="5"/>
        <v>3.4999599999999999E-2</v>
      </c>
      <c r="I28" s="23">
        <f t="shared" si="6"/>
        <v>6.9999199999999998E-2</v>
      </c>
    </row>
    <row r="29" spans="1:9" x14ac:dyDescent="0.25">
      <c r="A29" s="148"/>
      <c r="B29" s="148"/>
      <c r="C29" s="149"/>
      <c r="D29" s="150"/>
      <c r="E29" s="151"/>
      <c r="H29" s="23"/>
      <c r="I29" s="23"/>
    </row>
    <row r="30" spans="1:9" x14ac:dyDescent="0.25">
      <c r="A30" s="148"/>
      <c r="B30" s="148"/>
      <c r="C30" s="149"/>
      <c r="D30" s="150"/>
      <c r="E30" s="151"/>
      <c r="H30" s="23"/>
      <c r="I30" s="23"/>
    </row>
    <row r="31" spans="1:9" x14ac:dyDescent="0.25">
      <c r="A31" s="148"/>
      <c r="B31" s="148"/>
      <c r="C31" s="149"/>
      <c r="D31" s="150"/>
      <c r="E31" s="151"/>
      <c r="H31" s="23"/>
      <c r="I31" s="23"/>
    </row>
    <row r="32" spans="1:9" x14ac:dyDescent="0.25">
      <c r="A32" s="152"/>
      <c r="B32" s="152"/>
      <c r="C32" s="153"/>
      <c r="D32" s="154"/>
      <c r="E32" s="155"/>
      <c r="H32" s="23"/>
      <c r="I32" s="23"/>
    </row>
    <row r="33" spans="1:9" x14ac:dyDescent="0.25">
      <c r="A33" s="139" t="s">
        <v>20</v>
      </c>
      <c r="B33" s="139"/>
      <c r="C33" s="140"/>
      <c r="D33" s="141"/>
      <c r="E33" s="142" t="s">
        <v>11</v>
      </c>
      <c r="H33" s="21" t="s">
        <v>3</v>
      </c>
      <c r="I33" s="21" t="s">
        <v>4</v>
      </c>
    </row>
    <row r="34" spans="1:9" x14ac:dyDescent="0.25">
      <c r="A34" s="14">
        <v>0</v>
      </c>
      <c r="B34" s="14">
        <v>100</v>
      </c>
      <c r="C34" s="17">
        <v>44.99</v>
      </c>
      <c r="D34" s="16"/>
      <c r="E34" s="18">
        <f>B34/2</f>
        <v>50</v>
      </c>
      <c r="H34" s="23">
        <f t="shared" ref="H34:H37" si="7">C34/B34</f>
        <v>0.44990000000000002</v>
      </c>
      <c r="I34" s="23">
        <f t="shared" ref="I34:I37" si="8">C34/E34</f>
        <v>0.89980000000000004</v>
      </c>
    </row>
    <row r="35" spans="1:9" x14ac:dyDescent="0.25">
      <c r="A35" s="14">
        <v>101</v>
      </c>
      <c r="B35" s="14">
        <v>250</v>
      </c>
      <c r="C35" s="17">
        <v>99.99</v>
      </c>
      <c r="D35" s="16"/>
      <c r="E35" s="18">
        <f t="shared" ref="E35:E37" si="9">B35/2</f>
        <v>125</v>
      </c>
      <c r="H35" s="23">
        <f t="shared" si="7"/>
        <v>0.39995999999999998</v>
      </c>
      <c r="I35" s="23">
        <f t="shared" si="8"/>
        <v>0.79991999999999996</v>
      </c>
    </row>
    <row r="36" spans="1:9" x14ac:dyDescent="0.25">
      <c r="A36" s="14">
        <v>251</v>
      </c>
      <c r="B36" s="14">
        <v>500</v>
      </c>
      <c r="C36" s="17">
        <v>154.99</v>
      </c>
      <c r="D36" s="16"/>
      <c r="E36" s="18">
        <f t="shared" si="9"/>
        <v>250</v>
      </c>
      <c r="H36" s="23">
        <f t="shared" si="7"/>
        <v>0.30998000000000003</v>
      </c>
      <c r="I36" s="23">
        <f t="shared" si="8"/>
        <v>0.61996000000000007</v>
      </c>
    </row>
    <row r="37" spans="1:9" x14ac:dyDescent="0.25">
      <c r="A37" s="14">
        <v>501</v>
      </c>
      <c r="B37" s="14">
        <v>1000</v>
      </c>
      <c r="C37" s="17">
        <v>279.99</v>
      </c>
      <c r="D37" s="16"/>
      <c r="E37" s="18">
        <f t="shared" si="9"/>
        <v>500</v>
      </c>
      <c r="H37" s="23">
        <f t="shared" si="7"/>
        <v>0.27999000000000002</v>
      </c>
      <c r="I37" s="23">
        <f t="shared" si="8"/>
        <v>0.55998000000000003</v>
      </c>
    </row>
    <row r="38" spans="1:9" x14ac:dyDescent="0.25">
      <c r="A38" s="135">
        <v>1001</v>
      </c>
      <c r="B38" s="135">
        <v>2500</v>
      </c>
      <c r="C38" s="136">
        <v>649.99</v>
      </c>
      <c r="D38" s="137"/>
      <c r="E38" s="138">
        <f>B38/2</f>
        <v>1250</v>
      </c>
      <c r="H38" s="23">
        <f>C38/B38</f>
        <v>0.259996</v>
      </c>
      <c r="I38" s="23">
        <f>C38/E38</f>
        <v>0.51999200000000001</v>
      </c>
    </row>
    <row r="39" spans="1:9" x14ac:dyDescent="0.25">
      <c r="A39" s="143">
        <v>2501</v>
      </c>
      <c r="B39" s="144">
        <v>5000</v>
      </c>
      <c r="C39" s="145">
        <v>1199.99</v>
      </c>
      <c r="D39" s="146"/>
      <c r="E39" s="147">
        <f>B39/2</f>
        <v>2500</v>
      </c>
      <c r="H39" s="23">
        <f>C38/B38</f>
        <v>0.259996</v>
      </c>
      <c r="I39" s="23">
        <f>C38/E38</f>
        <v>0.51999200000000001</v>
      </c>
    </row>
    <row r="40" spans="1:9" x14ac:dyDescent="0.25">
      <c r="A40"/>
      <c r="B40" s="60"/>
      <c r="C40" s="61"/>
      <c r="H40" s="23"/>
      <c r="I40" s="23"/>
    </row>
    <row r="41" spans="1:9" x14ac:dyDescent="0.25">
      <c r="A41" s="148"/>
      <c r="B41" s="148"/>
      <c r="C41" s="149"/>
      <c r="D41" s="150"/>
      <c r="E41" s="151"/>
      <c r="H41" s="23"/>
      <c r="I41" s="23"/>
    </row>
    <row r="42" spans="1:9" x14ac:dyDescent="0.25">
      <c r="A42" s="148"/>
      <c r="B42" s="148"/>
      <c r="C42" s="149"/>
      <c r="D42" s="150"/>
      <c r="E42" s="151"/>
      <c r="H42" s="23"/>
      <c r="I42" s="23"/>
    </row>
    <row r="43" spans="1:9" x14ac:dyDescent="0.25">
      <c r="A43" s="148"/>
      <c r="B43" s="148"/>
      <c r="C43" s="149"/>
      <c r="D43" s="150"/>
      <c r="E43" s="151"/>
      <c r="H43" s="23"/>
      <c r="I43" s="23"/>
    </row>
    <row r="44" spans="1:9" x14ac:dyDescent="0.25">
      <c r="H44" s="23"/>
      <c r="I44" s="23"/>
    </row>
    <row r="45" spans="1:9" x14ac:dyDescent="0.25">
      <c r="H45" s="23"/>
      <c r="I45" s="23"/>
    </row>
    <row r="46" spans="1:9" x14ac:dyDescent="0.25">
      <c r="A46" s="4" t="s">
        <v>21</v>
      </c>
      <c r="G46" t="s">
        <v>22</v>
      </c>
      <c r="H46" s="23" t="s">
        <v>3</v>
      </c>
      <c r="I46" s="23" t="s">
        <v>4</v>
      </c>
    </row>
    <row r="47" spans="1:9" x14ac:dyDescent="0.25">
      <c r="A47" s="11">
        <v>1</v>
      </c>
      <c r="B47" s="11">
        <v>50</v>
      </c>
      <c r="C47" s="19">
        <v>3.49</v>
      </c>
      <c r="D47" s="11">
        <v>50</v>
      </c>
      <c r="H47" s="23">
        <f>C47/B47</f>
        <v>6.9800000000000001E-2</v>
      </c>
      <c r="I47" s="23">
        <f>C47/(B47/2)</f>
        <v>0.1396</v>
      </c>
    </row>
    <row r="48" spans="1:9" x14ac:dyDescent="0.25">
      <c r="A48" s="11">
        <v>51</v>
      </c>
      <c r="B48" s="11">
        <v>100</v>
      </c>
      <c r="C48" s="19">
        <v>6.99</v>
      </c>
      <c r="D48" s="11">
        <v>100</v>
      </c>
      <c r="H48" s="23">
        <f t="shared" ref="H48:H52" si="10">C48/B48</f>
        <v>6.9900000000000004E-2</v>
      </c>
      <c r="I48" s="23">
        <f t="shared" ref="I48:I52" si="11">C48/(B48/2)</f>
        <v>0.13980000000000001</v>
      </c>
    </row>
    <row r="49" spans="1:9" x14ac:dyDescent="0.25">
      <c r="A49" s="11">
        <v>101</v>
      </c>
      <c r="B49" s="11">
        <v>250</v>
      </c>
      <c r="C49" s="19">
        <v>16.29</v>
      </c>
      <c r="D49" s="11">
        <v>250</v>
      </c>
      <c r="H49" s="23">
        <f t="shared" si="10"/>
        <v>6.5159999999999996E-2</v>
      </c>
      <c r="I49" s="23">
        <f t="shared" si="11"/>
        <v>0.13031999999999999</v>
      </c>
    </row>
    <row r="50" spans="1:9" x14ac:dyDescent="0.25">
      <c r="A50" s="11">
        <v>251</v>
      </c>
      <c r="B50" s="11">
        <v>500</v>
      </c>
      <c r="C50" s="19">
        <v>32.49</v>
      </c>
      <c r="D50" s="11">
        <v>500</v>
      </c>
      <c r="H50" s="23">
        <f t="shared" si="10"/>
        <v>6.498000000000001E-2</v>
      </c>
      <c r="I50" s="23">
        <f t="shared" si="11"/>
        <v>0.12996000000000002</v>
      </c>
    </row>
    <row r="51" spans="1:9" x14ac:dyDescent="0.25">
      <c r="A51" s="11">
        <v>501</v>
      </c>
      <c r="B51" s="11">
        <v>1000</v>
      </c>
      <c r="C51" s="19">
        <v>59.99</v>
      </c>
      <c r="D51" s="11">
        <v>1000</v>
      </c>
      <c r="H51" s="23">
        <f t="shared" si="10"/>
        <v>5.9990000000000002E-2</v>
      </c>
      <c r="I51" s="23">
        <f t="shared" si="11"/>
        <v>0.11998</v>
      </c>
    </row>
    <row r="52" spans="1:9" x14ac:dyDescent="0.25">
      <c r="A52" s="11">
        <v>1001</v>
      </c>
      <c r="B52" s="11">
        <v>2500</v>
      </c>
      <c r="C52" s="19">
        <v>137.49</v>
      </c>
      <c r="D52" s="11">
        <v>2000</v>
      </c>
      <c r="E52" s="2"/>
      <c r="H52" s="23">
        <f t="shared" si="10"/>
        <v>5.4996000000000003E-2</v>
      </c>
      <c r="I52" s="23">
        <f t="shared" si="11"/>
        <v>0.10999200000000001</v>
      </c>
    </row>
    <row r="53" spans="1:9" x14ac:dyDescent="0.25">
      <c r="A53" s="11"/>
      <c r="B53" s="11"/>
      <c r="C53" s="19"/>
      <c r="D53" s="11"/>
      <c r="E53" s="2"/>
      <c r="H53" s="23" t="e">
        <f>C53/B53</f>
        <v>#DIV/0!</v>
      </c>
      <c r="I53" s="23" t="e">
        <f>C53/(B53/2)</f>
        <v>#DIV/0!</v>
      </c>
    </row>
    <row r="54" spans="1:9" x14ac:dyDescent="0.25">
      <c r="A54" s="11"/>
      <c r="B54" s="11"/>
      <c r="C54" s="19"/>
      <c r="D54" s="11"/>
      <c r="E54" s="2"/>
      <c r="H54" s="23" t="e">
        <f>C54/B54</f>
        <v>#DIV/0!</v>
      </c>
      <c r="I54" s="23" t="e">
        <f>C54/(B54/2)</f>
        <v>#DIV/0!</v>
      </c>
    </row>
    <row r="55" spans="1:9" x14ac:dyDescent="0.25">
      <c r="A55" s="11"/>
      <c r="B55" s="11"/>
      <c r="C55" s="19"/>
      <c r="D55" s="11"/>
      <c r="E55" s="2"/>
      <c r="H55" s="23" t="e">
        <f>C55/B55</f>
        <v>#DIV/0!</v>
      </c>
      <c r="I55" s="23" t="e">
        <f>C55/(B55/2)</f>
        <v>#DIV/0!</v>
      </c>
    </row>
    <row r="56" spans="1:9" x14ac:dyDescent="0.25">
      <c r="A56" s="11" t="s">
        <v>11</v>
      </c>
      <c r="B56" s="11" t="s">
        <v>11</v>
      </c>
      <c r="C56" s="12"/>
      <c r="D56" s="11"/>
      <c r="E56" s="2"/>
      <c r="G56" t="s">
        <v>14</v>
      </c>
      <c r="H56" s="23" t="s">
        <v>3</v>
      </c>
      <c r="I56" s="23" t="s">
        <v>4</v>
      </c>
    </row>
    <row r="57" spans="1:9" x14ac:dyDescent="0.25">
      <c r="A57" s="11">
        <v>1</v>
      </c>
      <c r="B57" s="11">
        <v>50</v>
      </c>
      <c r="C57" s="19">
        <v>3.49</v>
      </c>
      <c r="D57" s="11">
        <v>50</v>
      </c>
      <c r="E57" s="2"/>
      <c r="H57" s="23">
        <f>C47/(B47/10)</f>
        <v>0.69800000000000006</v>
      </c>
      <c r="I57" s="23">
        <f>C47/(B47/20)</f>
        <v>1.3960000000000001</v>
      </c>
    </row>
    <row r="58" spans="1:9" x14ac:dyDescent="0.25">
      <c r="A58" s="11">
        <v>51</v>
      </c>
      <c r="B58" s="11">
        <v>100</v>
      </c>
      <c r="C58" s="19">
        <v>6.99</v>
      </c>
      <c r="D58" s="11">
        <v>100</v>
      </c>
      <c r="H58" s="23">
        <f t="shared" ref="H58:H62" si="12">C48/(B48/10)</f>
        <v>0.69900000000000007</v>
      </c>
      <c r="I58" s="23">
        <f t="shared" ref="I58:I62" si="13">C48/(B48/20)</f>
        <v>1.3980000000000001</v>
      </c>
    </row>
    <row r="59" spans="1:9" x14ac:dyDescent="0.25">
      <c r="A59" s="11">
        <v>101</v>
      </c>
      <c r="B59" s="11">
        <v>250</v>
      </c>
      <c r="C59" s="19">
        <v>16.29</v>
      </c>
      <c r="D59" s="11">
        <v>250</v>
      </c>
      <c r="H59" s="23">
        <f t="shared" si="12"/>
        <v>0.65159999999999996</v>
      </c>
      <c r="I59" s="23">
        <f t="shared" si="13"/>
        <v>1.3031999999999999</v>
      </c>
    </row>
    <row r="60" spans="1:9" x14ac:dyDescent="0.25">
      <c r="A60" s="11">
        <v>251</v>
      </c>
      <c r="B60" s="11">
        <v>500</v>
      </c>
      <c r="C60" s="19">
        <v>32.49</v>
      </c>
      <c r="D60" s="11">
        <v>500</v>
      </c>
      <c r="H60" s="23">
        <f t="shared" si="12"/>
        <v>0.64980000000000004</v>
      </c>
      <c r="I60" s="23">
        <f t="shared" si="13"/>
        <v>1.2996000000000001</v>
      </c>
    </row>
    <row r="61" spans="1:9" x14ac:dyDescent="0.25">
      <c r="A61" s="11">
        <v>501</v>
      </c>
      <c r="B61" s="11">
        <v>1000</v>
      </c>
      <c r="C61" s="19">
        <v>59.99</v>
      </c>
      <c r="D61" s="11">
        <v>1000</v>
      </c>
      <c r="H61" s="23">
        <f t="shared" si="12"/>
        <v>0.59989999999999999</v>
      </c>
      <c r="I61" s="23">
        <f t="shared" si="13"/>
        <v>1.1998</v>
      </c>
    </row>
    <row r="62" spans="1:9" x14ac:dyDescent="0.25">
      <c r="A62" s="11">
        <v>1001</v>
      </c>
      <c r="B62" s="11">
        <v>2500</v>
      </c>
      <c r="C62" s="19">
        <v>137.49</v>
      </c>
      <c r="D62" s="11">
        <v>2000</v>
      </c>
      <c r="H62" s="23">
        <f t="shared" si="12"/>
        <v>0.54996</v>
      </c>
      <c r="I62" s="23">
        <f t="shared" si="13"/>
        <v>1.09992</v>
      </c>
    </row>
    <row r="63" spans="1:9" x14ac:dyDescent="0.25">
      <c r="A63" s="11"/>
      <c r="B63" s="11"/>
      <c r="C63" s="19"/>
      <c r="D63" s="11"/>
      <c r="H63" s="23" t="e">
        <f>C53/(B53/10)</f>
        <v>#DIV/0!</v>
      </c>
      <c r="I63" s="23" t="e">
        <f>C53/(B53/20)</f>
        <v>#DIV/0!</v>
      </c>
    </row>
    <row r="64" spans="1:9" x14ac:dyDescent="0.25">
      <c r="A64" s="11"/>
      <c r="B64" s="11"/>
      <c r="C64" s="19"/>
      <c r="D64" s="11"/>
      <c r="H64" s="23" t="e">
        <f>C54/(B54/10)</f>
        <v>#DIV/0!</v>
      </c>
      <c r="I64" s="23" t="e">
        <f>C54/(B54/20)</f>
        <v>#DIV/0!</v>
      </c>
    </row>
    <row r="65" spans="1:13" x14ac:dyDescent="0.25">
      <c r="A65" s="11"/>
      <c r="B65" s="11"/>
      <c r="C65" s="19"/>
      <c r="D65" s="11"/>
      <c r="H65" s="23" t="e">
        <f>C55/(B55/10)</f>
        <v>#DIV/0!</v>
      </c>
      <c r="I65" s="23" t="e">
        <f>C55/(B55/20)</f>
        <v>#DIV/0!</v>
      </c>
    </row>
    <row r="66" spans="1:13" x14ac:dyDescent="0.25">
      <c r="H66" s="23" t="s">
        <v>11</v>
      </c>
      <c r="I66" s="23" t="s">
        <v>11</v>
      </c>
    </row>
    <row r="67" spans="1:13" x14ac:dyDescent="0.25">
      <c r="A67" s="4" t="s">
        <v>151</v>
      </c>
    </row>
    <row r="68" spans="1:13" x14ac:dyDescent="0.25">
      <c r="A68" s="4" t="s">
        <v>152</v>
      </c>
      <c r="B68" s="4" t="s">
        <v>157</v>
      </c>
      <c r="C68" s="4" t="s">
        <v>153</v>
      </c>
      <c r="D68" s="1" t="s">
        <v>154</v>
      </c>
    </row>
    <row r="69" spans="1:13" ht="18.75" x14ac:dyDescent="0.25">
      <c r="A69" s="327"/>
      <c r="C69" s="4"/>
      <c r="D69" s="1"/>
      <c r="K69" t="s">
        <v>162</v>
      </c>
      <c r="L69" t="s">
        <v>159</v>
      </c>
      <c r="M69" t="s">
        <v>160</v>
      </c>
    </row>
    <row r="70" spans="1:13" ht="18.75" x14ac:dyDescent="0.25">
      <c r="A70" s="327" t="s">
        <v>158</v>
      </c>
      <c r="B70" s="4" t="str">
        <f>C70&amp;"|"&amp;A70</f>
        <v>1|1_à_20_feuilles</v>
      </c>
      <c r="C70" s="345">
        <v>1</v>
      </c>
      <c r="D70" s="64">
        <v>1.4</v>
      </c>
      <c r="K70" t="s">
        <v>137</v>
      </c>
      <c r="L70" s="345" t="s">
        <v>163</v>
      </c>
      <c r="M70" s="333">
        <v>1.4</v>
      </c>
    </row>
    <row r="71" spans="1:13" ht="18.75" x14ac:dyDescent="0.25">
      <c r="A71" s="327" t="s">
        <v>137</v>
      </c>
      <c r="B71" s="4" t="str">
        <f>C71&amp;"|"&amp;A71</f>
        <v>+21|1 à 20 feuilles</v>
      </c>
      <c r="C71" s="345" t="s">
        <v>156</v>
      </c>
      <c r="D71" s="64">
        <v>1.26</v>
      </c>
      <c r="K71" t="s">
        <v>137</v>
      </c>
      <c r="L71" s="350" t="s">
        <v>164</v>
      </c>
      <c r="M71" s="333">
        <v>1.26</v>
      </c>
    </row>
    <row r="72" spans="1:13" ht="18.75" x14ac:dyDescent="0.25">
      <c r="A72" s="327" t="s">
        <v>138</v>
      </c>
      <c r="B72" s="4" t="str">
        <f>C72&amp;"|"&amp;A72</f>
        <v>1|21 à 40 feuilles</v>
      </c>
      <c r="C72" s="345">
        <v>1</v>
      </c>
      <c r="D72" s="64">
        <v>1.7</v>
      </c>
      <c r="K72" t="s">
        <v>138</v>
      </c>
      <c r="L72" s="350" t="s">
        <v>163</v>
      </c>
      <c r="M72" s="333">
        <v>1.7</v>
      </c>
    </row>
    <row r="73" spans="1:13" ht="18.75" x14ac:dyDescent="0.25">
      <c r="A73" s="327" t="s">
        <v>138</v>
      </c>
      <c r="B73" s="4" t="str">
        <f>C73&amp;"|"&amp;A73</f>
        <v>+21|21 à 40 feuilles</v>
      </c>
      <c r="C73" s="345" t="s">
        <v>156</v>
      </c>
      <c r="D73" s="68">
        <v>1.53</v>
      </c>
      <c r="K73" t="s">
        <v>138</v>
      </c>
      <c r="L73" s="350" t="s">
        <v>164</v>
      </c>
      <c r="M73" s="333">
        <v>1.53</v>
      </c>
    </row>
    <row r="74" spans="1:13" ht="18.75" x14ac:dyDescent="0.25">
      <c r="A74" s="327" t="s">
        <v>139</v>
      </c>
      <c r="B74" s="4" t="str">
        <f>C74&amp;"|"&amp;A74</f>
        <v>1|41 à 55 feuilles</v>
      </c>
      <c r="C74" s="345">
        <v>1</v>
      </c>
      <c r="D74" s="64">
        <v>2</v>
      </c>
      <c r="K74" t="s">
        <v>139</v>
      </c>
      <c r="L74" s="350" t="s">
        <v>163</v>
      </c>
      <c r="M74" s="351">
        <v>2</v>
      </c>
    </row>
    <row r="75" spans="1:13" ht="18.75" x14ac:dyDescent="0.25">
      <c r="A75" s="327" t="s">
        <v>139</v>
      </c>
      <c r="B75" s="4" t="str">
        <f>C75&amp;"|"&amp;A75</f>
        <v>+21|41 à 55 feuilles</v>
      </c>
      <c r="C75" s="345" t="s">
        <v>156</v>
      </c>
      <c r="D75" s="64">
        <v>1.8</v>
      </c>
      <c r="K75" t="s">
        <v>139</v>
      </c>
      <c r="L75" s="350" t="s">
        <v>164</v>
      </c>
      <c r="M75" s="351">
        <v>1.8</v>
      </c>
    </row>
    <row r="76" spans="1:13" ht="18.75" x14ac:dyDescent="0.25">
      <c r="A76" s="327" t="s">
        <v>140</v>
      </c>
      <c r="B76" s="4" t="str">
        <f>C76&amp;"|"&amp;A76</f>
        <v>1|56 à 80 feuilles</v>
      </c>
      <c r="C76" s="345">
        <v>1</v>
      </c>
      <c r="D76" s="64">
        <v>2.2000000000000002</v>
      </c>
      <c r="K76" t="s">
        <v>140</v>
      </c>
      <c r="L76" s="350" t="s">
        <v>163</v>
      </c>
      <c r="M76" s="351">
        <v>2.2000000000000002</v>
      </c>
    </row>
    <row r="77" spans="1:13" ht="18.75" x14ac:dyDescent="0.25">
      <c r="A77" s="327" t="s">
        <v>140</v>
      </c>
      <c r="B77" s="4" t="str">
        <f>C77&amp;"|"&amp;A77</f>
        <v>+21|56 à 80 feuilles</v>
      </c>
      <c r="C77" s="345" t="s">
        <v>156</v>
      </c>
      <c r="D77" s="64">
        <v>1.98</v>
      </c>
      <c r="K77" t="s">
        <v>140</v>
      </c>
      <c r="L77" s="350" t="s">
        <v>164</v>
      </c>
      <c r="M77" s="351">
        <v>1.98</v>
      </c>
    </row>
    <row r="78" spans="1:13" ht="18.75" x14ac:dyDescent="0.25">
      <c r="A78" s="327" t="s">
        <v>141</v>
      </c>
      <c r="B78" s="4" t="str">
        <f>C78&amp;"|"&amp;A78</f>
        <v>1|81 à 100 feuilles</v>
      </c>
      <c r="C78" s="345">
        <v>1</v>
      </c>
      <c r="D78" s="64">
        <v>2.5</v>
      </c>
      <c r="K78" t="s">
        <v>141</v>
      </c>
      <c r="L78" s="350" t="s">
        <v>163</v>
      </c>
      <c r="M78" s="351">
        <v>2.5</v>
      </c>
    </row>
    <row r="79" spans="1:13" ht="18.75" x14ac:dyDescent="0.25">
      <c r="A79" s="327" t="s">
        <v>141</v>
      </c>
      <c r="B79" s="4" t="str">
        <f>C79&amp;"|"&amp;A79</f>
        <v>+21|81 à 100 feuilles</v>
      </c>
      <c r="C79" s="345" t="s">
        <v>156</v>
      </c>
      <c r="D79" s="64">
        <v>2.25</v>
      </c>
      <c r="K79" t="s">
        <v>141</v>
      </c>
      <c r="L79" s="350" t="s">
        <v>164</v>
      </c>
      <c r="M79" s="351">
        <v>2.25</v>
      </c>
    </row>
    <row r="80" spans="1:13" ht="18.75" x14ac:dyDescent="0.25">
      <c r="A80" s="327" t="s">
        <v>142</v>
      </c>
      <c r="B80" s="4" t="str">
        <f>C80&amp;"|"&amp;A80</f>
        <v>1|101 à 120 feuilles</v>
      </c>
      <c r="C80" s="345">
        <v>1</v>
      </c>
      <c r="D80" s="64">
        <v>2.8</v>
      </c>
      <c r="K80" t="s">
        <v>161</v>
      </c>
      <c r="L80" s="350" t="s">
        <v>163</v>
      </c>
      <c r="M80" s="351">
        <v>2.8</v>
      </c>
    </row>
    <row r="81" spans="1:13" ht="18.75" x14ac:dyDescent="0.25">
      <c r="A81" s="327" t="s">
        <v>142</v>
      </c>
      <c r="B81" s="4" t="str">
        <f>C81&amp;"|"&amp;A81</f>
        <v>+21|101 à 120 feuilles</v>
      </c>
      <c r="C81" s="345" t="s">
        <v>156</v>
      </c>
      <c r="D81" s="64">
        <v>2.52</v>
      </c>
      <c r="K81" t="s">
        <v>161</v>
      </c>
      <c r="L81" s="350" t="s">
        <v>164</v>
      </c>
      <c r="M81" s="351">
        <v>2.52</v>
      </c>
    </row>
    <row r="82" spans="1:13" ht="18.75" x14ac:dyDescent="0.25">
      <c r="A82" s="327" t="s">
        <v>143</v>
      </c>
      <c r="B82" s="4" t="str">
        <f>C82&amp;"|"&amp;A82</f>
        <v>1|121 à 150 feuilles</v>
      </c>
      <c r="C82" s="345">
        <v>1</v>
      </c>
      <c r="D82" s="64">
        <v>3.2</v>
      </c>
      <c r="K82" t="s">
        <v>143</v>
      </c>
      <c r="L82" s="350" t="s">
        <v>163</v>
      </c>
      <c r="M82" s="351">
        <v>3.2</v>
      </c>
    </row>
    <row r="83" spans="1:13" ht="18.75" x14ac:dyDescent="0.25">
      <c r="A83" s="327" t="s">
        <v>143</v>
      </c>
      <c r="B83" s="4" t="str">
        <f>C83&amp;"|"&amp;A83</f>
        <v>+21|121 à 150 feuilles</v>
      </c>
      <c r="C83" s="345" t="s">
        <v>156</v>
      </c>
      <c r="D83" s="64">
        <v>2.88</v>
      </c>
      <c r="K83" t="s">
        <v>143</v>
      </c>
      <c r="L83" s="350" t="s">
        <v>164</v>
      </c>
      <c r="M83" s="351">
        <v>2.88</v>
      </c>
    </row>
    <row r="84" spans="1:13" ht="18.75" x14ac:dyDescent="0.25">
      <c r="A84" s="327" t="s">
        <v>144</v>
      </c>
      <c r="B84" s="4" t="str">
        <f>C84&amp;"|"&amp;A84</f>
        <v>1|151 à 180 feuilles</v>
      </c>
      <c r="C84" s="345">
        <v>1</v>
      </c>
      <c r="D84" s="64">
        <v>3.6</v>
      </c>
      <c r="K84" t="s">
        <v>144</v>
      </c>
      <c r="L84" s="350" t="s">
        <v>163</v>
      </c>
      <c r="M84" s="351">
        <v>3.6</v>
      </c>
    </row>
    <row r="85" spans="1:13" ht="18.75" x14ac:dyDescent="0.25">
      <c r="A85" s="327" t="s">
        <v>144</v>
      </c>
      <c r="B85" s="4" t="str">
        <f>C85&amp;"|"&amp;A85</f>
        <v>+21|151 à 180 feuilles</v>
      </c>
      <c r="C85" s="345" t="s">
        <v>156</v>
      </c>
      <c r="D85" s="64">
        <v>3.24</v>
      </c>
      <c r="K85" t="s">
        <v>144</v>
      </c>
      <c r="L85" s="350" t="s">
        <v>164</v>
      </c>
      <c r="M85" s="351">
        <v>3.24</v>
      </c>
    </row>
    <row r="86" spans="1:13" ht="18.75" x14ac:dyDescent="0.25">
      <c r="A86" s="327" t="s">
        <v>145</v>
      </c>
      <c r="B86" s="4" t="str">
        <f>C86&amp;"|"&amp;A86</f>
        <v>1|181 à 200 feuilles</v>
      </c>
      <c r="C86" s="345">
        <v>1</v>
      </c>
      <c r="D86" s="64">
        <v>4</v>
      </c>
      <c r="K86" t="s">
        <v>145</v>
      </c>
      <c r="L86" s="350" t="s">
        <v>163</v>
      </c>
      <c r="M86" s="351">
        <v>4</v>
      </c>
    </row>
    <row r="87" spans="1:13" ht="18.75" x14ac:dyDescent="0.25">
      <c r="A87" s="327" t="s">
        <v>145</v>
      </c>
      <c r="B87" s="4" t="str">
        <f>C87&amp;"|"&amp;A87</f>
        <v>+21|181 à 200 feuilles</v>
      </c>
      <c r="C87" s="345" t="s">
        <v>156</v>
      </c>
      <c r="D87" s="64">
        <v>3.6</v>
      </c>
      <c r="K87" t="s">
        <v>145</v>
      </c>
      <c r="L87" s="350" t="s">
        <v>164</v>
      </c>
      <c r="M87" s="351">
        <v>3.6</v>
      </c>
    </row>
    <row r="88" spans="1:13" ht="18.75" x14ac:dyDescent="0.25">
      <c r="A88" s="327" t="s">
        <v>146</v>
      </c>
      <c r="B88" s="4" t="str">
        <f>C88&amp;"|"&amp;A88</f>
        <v>1|201 à 240 feuilles</v>
      </c>
      <c r="C88" s="345">
        <v>1</v>
      </c>
      <c r="D88" s="64">
        <v>4.5</v>
      </c>
      <c r="K88" t="s">
        <v>146</v>
      </c>
      <c r="L88" s="350" t="s">
        <v>163</v>
      </c>
      <c r="M88" s="333">
        <v>4.5</v>
      </c>
    </row>
    <row r="89" spans="1:13" ht="18.75" x14ac:dyDescent="0.25">
      <c r="A89" s="327" t="s">
        <v>146</v>
      </c>
      <c r="B89" s="4" t="str">
        <f>C89&amp;"|"&amp;A89</f>
        <v>+21|201 à 240 feuilles</v>
      </c>
      <c r="C89" s="345" t="s">
        <v>156</v>
      </c>
      <c r="D89" s="64">
        <v>4.05</v>
      </c>
      <c r="K89" t="s">
        <v>146</v>
      </c>
      <c r="L89" s="350" t="s">
        <v>164</v>
      </c>
      <c r="M89" s="333">
        <v>4.05</v>
      </c>
    </row>
    <row r="90" spans="1:13" ht="18.75" x14ac:dyDescent="0.25">
      <c r="A90" s="327" t="s">
        <v>155</v>
      </c>
      <c r="B90" s="4" t="str">
        <f>C90&amp;"|"&amp;A90</f>
        <v>1| 241 à 280 feuilles</v>
      </c>
      <c r="C90" s="345">
        <v>1</v>
      </c>
      <c r="D90" s="64">
        <v>5.0999999999999996</v>
      </c>
      <c r="K90" t="s">
        <v>147</v>
      </c>
      <c r="L90" s="350" t="s">
        <v>163</v>
      </c>
      <c r="M90" s="333">
        <v>5.0999999999999996</v>
      </c>
    </row>
    <row r="91" spans="1:13" ht="18.75" x14ac:dyDescent="0.25">
      <c r="A91" s="327" t="s">
        <v>155</v>
      </c>
      <c r="B91" s="4" t="str">
        <f>C91&amp;"|"&amp;A91</f>
        <v>+21| 241 à 280 feuilles</v>
      </c>
      <c r="C91" s="345" t="s">
        <v>156</v>
      </c>
      <c r="D91" s="64">
        <v>4.59</v>
      </c>
      <c r="K91" t="s">
        <v>147</v>
      </c>
      <c r="L91" s="350" t="s">
        <v>164</v>
      </c>
      <c r="M91" s="333">
        <v>4.5599999999999996</v>
      </c>
    </row>
    <row r="92" spans="1:13" ht="18.75" x14ac:dyDescent="0.25">
      <c r="A92" s="327" t="s">
        <v>148</v>
      </c>
      <c r="B92" s="4" t="str">
        <f>C92&amp;"|"&amp;A92</f>
        <v>1|281 à 340 feuilles</v>
      </c>
      <c r="C92" s="345">
        <v>1</v>
      </c>
      <c r="D92" s="64">
        <v>5.5</v>
      </c>
      <c r="K92" t="s">
        <v>148</v>
      </c>
      <c r="L92" s="350" t="s">
        <v>163</v>
      </c>
      <c r="M92" s="333">
        <v>5.5</v>
      </c>
    </row>
    <row r="93" spans="1:13" ht="18.75" x14ac:dyDescent="0.25">
      <c r="A93" s="327" t="s">
        <v>148</v>
      </c>
      <c r="B93" s="4" t="str">
        <f>C93&amp;"|"&amp;A93</f>
        <v>+21|281 à 340 feuilles</v>
      </c>
      <c r="C93" s="345" t="s">
        <v>156</v>
      </c>
      <c r="D93" s="64">
        <v>4.95</v>
      </c>
      <c r="K93" t="s">
        <v>148</v>
      </c>
      <c r="L93" s="350" t="s">
        <v>164</v>
      </c>
      <c r="M93" s="333">
        <v>4.95</v>
      </c>
    </row>
    <row r="94" spans="1:13" ht="18.75" x14ac:dyDescent="0.25">
      <c r="A94" s="327" t="s">
        <v>149</v>
      </c>
      <c r="B94" s="4" t="str">
        <f>C94&amp;"|"&amp;A94</f>
        <v>1|341 à 410 feuilles</v>
      </c>
      <c r="C94" s="345">
        <v>1</v>
      </c>
      <c r="D94" s="64">
        <v>5.9</v>
      </c>
      <c r="K94" t="s">
        <v>149</v>
      </c>
      <c r="L94" s="350" t="s">
        <v>163</v>
      </c>
      <c r="M94" s="333">
        <v>5.9</v>
      </c>
    </row>
    <row r="95" spans="1:13" ht="18.75" x14ac:dyDescent="0.25">
      <c r="A95" s="327" t="s">
        <v>149</v>
      </c>
      <c r="B95" s="4" t="str">
        <f>C95&amp;"|"&amp;A95</f>
        <v>+21|341 à 410 feuilles</v>
      </c>
      <c r="C95" s="345" t="s">
        <v>156</v>
      </c>
      <c r="D95" s="64">
        <v>5.31</v>
      </c>
      <c r="K95" t="s">
        <v>149</v>
      </c>
      <c r="L95" s="350" t="s">
        <v>164</v>
      </c>
      <c r="M95" s="333">
        <v>5.31</v>
      </c>
    </row>
    <row r="96" spans="1:13" ht="18.75" x14ac:dyDescent="0.25">
      <c r="A96" s="327" t="s">
        <v>150</v>
      </c>
      <c r="B96" s="4" t="str">
        <f>C96&amp;"|"&amp;A96</f>
        <v>1|411 à 500 feuilles</v>
      </c>
      <c r="C96" s="345">
        <v>1</v>
      </c>
      <c r="D96" s="64">
        <v>6.2</v>
      </c>
      <c r="K96" t="s">
        <v>150</v>
      </c>
      <c r="L96" s="350" t="s">
        <v>163</v>
      </c>
      <c r="M96" s="333">
        <v>6.2</v>
      </c>
    </row>
    <row r="97" spans="1:13" ht="18.75" x14ac:dyDescent="0.25">
      <c r="A97" s="327" t="s">
        <v>150</v>
      </c>
      <c r="B97" s="4" t="str">
        <f>C97&amp;"|"&amp;A97</f>
        <v>+21|411 à 500 feuilles</v>
      </c>
      <c r="C97" s="345" t="s">
        <v>156</v>
      </c>
      <c r="D97" s="64">
        <v>5.58</v>
      </c>
      <c r="K97" t="s">
        <v>150</v>
      </c>
      <c r="L97" s="350" t="s">
        <v>164</v>
      </c>
      <c r="M97" s="333">
        <v>5.58</v>
      </c>
    </row>
    <row r="98" spans="1:13" x14ac:dyDescent="0.25">
      <c r="C98" s="4"/>
      <c r="D98" s="1"/>
      <c r="L98" s="350"/>
      <c r="M98" s="349"/>
    </row>
    <row r="99" spans="1:13" x14ac:dyDescent="0.25">
      <c r="L99" s="350"/>
      <c r="M99" s="349"/>
    </row>
    <row r="100" spans="1:13" ht="18.75" x14ac:dyDescent="0.25">
      <c r="A100" s="327" t="s">
        <v>167</v>
      </c>
      <c r="B100" s="327"/>
      <c r="C100" s="327"/>
      <c r="L100" s="349"/>
      <c r="M100" s="349"/>
    </row>
    <row r="101" spans="1:13" ht="15.75" customHeight="1" x14ac:dyDescent="0.25">
      <c r="A101" s="327" t="s">
        <v>168</v>
      </c>
      <c r="B101" s="327"/>
      <c r="C101" s="327"/>
    </row>
    <row r="102" spans="1:13" ht="15.75" customHeight="1" x14ac:dyDescent="0.25">
      <c r="A102" s="327" t="s">
        <v>169</v>
      </c>
      <c r="B102" s="327"/>
      <c r="C102" s="327"/>
    </row>
    <row r="103" spans="1:13" ht="15.75" customHeight="1" x14ac:dyDescent="0.25">
      <c r="A103" s="327" t="s">
        <v>141</v>
      </c>
      <c r="B103" s="327"/>
      <c r="C103" s="327"/>
    </row>
    <row r="104" spans="1:13" ht="15.75" customHeight="1" x14ac:dyDescent="0.25">
      <c r="A104" s="327" t="s">
        <v>170</v>
      </c>
      <c r="B104" s="327"/>
      <c r="C104" s="327"/>
    </row>
    <row r="105" spans="1:13" ht="15.75" customHeight="1" x14ac:dyDescent="0.25">
      <c r="B105" s="327"/>
      <c r="C105" s="327"/>
    </row>
    <row r="106" spans="1:13" ht="15.75" customHeight="1" x14ac:dyDescent="0.25">
      <c r="A106" s="327"/>
      <c r="B106" s="327"/>
      <c r="C106" s="327"/>
    </row>
    <row r="107" spans="1:13" ht="15.75" customHeight="1" x14ac:dyDescent="0.25">
      <c r="A107" s="327" t="s">
        <v>171</v>
      </c>
      <c r="B107" s="327"/>
      <c r="C107" s="327"/>
    </row>
    <row r="108" spans="1:13" ht="15.75" customHeight="1" x14ac:dyDescent="0.25">
      <c r="A108" s="327" t="s">
        <v>173</v>
      </c>
      <c r="B108" s="327"/>
      <c r="C108" s="327"/>
    </row>
    <row r="109" spans="1:13" ht="15.75" customHeight="1" x14ac:dyDescent="0.25">
      <c r="A109" s="327" t="s">
        <v>172</v>
      </c>
      <c r="B109" s="327"/>
      <c r="C109" s="327"/>
    </row>
    <row r="110" spans="1:13" ht="15.75" customHeight="1" x14ac:dyDescent="0.25">
      <c r="A110" s="327" t="s">
        <v>174</v>
      </c>
      <c r="B110" s="327"/>
      <c r="C110" s="327"/>
    </row>
    <row r="111" spans="1:13" ht="15.75" customHeight="1" x14ac:dyDescent="0.25">
      <c r="A111" s="327" t="s">
        <v>141</v>
      </c>
      <c r="B111" s="327"/>
      <c r="C111" s="327"/>
    </row>
    <row r="112" spans="1:13" ht="15.75" customHeight="1" x14ac:dyDescent="0.25">
      <c r="A112" s="327" t="s">
        <v>175</v>
      </c>
      <c r="B112" s="327"/>
      <c r="C112" s="327"/>
    </row>
    <row r="113" spans="1:3" ht="15.75" customHeight="1" x14ac:dyDescent="0.25">
      <c r="A113" s="327" t="s">
        <v>177</v>
      </c>
      <c r="B113" s="327"/>
      <c r="C113" s="327"/>
    </row>
    <row r="114" spans="1:3" ht="15.75" customHeight="1" x14ac:dyDescent="0.25">
      <c r="A114" s="354" t="s">
        <v>176</v>
      </c>
      <c r="B114" s="327"/>
      <c r="C114" s="327"/>
    </row>
    <row r="115" spans="1:3" ht="15.75" customHeight="1" x14ac:dyDescent="0.25">
      <c r="A115" s="354" t="s">
        <v>178</v>
      </c>
      <c r="B115" s="327"/>
      <c r="C115" s="327"/>
    </row>
    <row r="116" spans="1:3" ht="15.75" customHeight="1" x14ac:dyDescent="0.25">
      <c r="B116" s="327"/>
      <c r="C116" s="327"/>
    </row>
    <row r="117" spans="1:3" ht="15.75" customHeight="1" x14ac:dyDescent="0.25">
      <c r="B117" s="327"/>
      <c r="C117" s="327"/>
    </row>
    <row r="118" spans="1:3" ht="15.75" customHeight="1" x14ac:dyDescent="0.25">
      <c r="B118" s="327"/>
      <c r="C118" s="327"/>
    </row>
    <row r="119" spans="1:3" ht="15.75" customHeight="1" x14ac:dyDescent="0.25">
      <c r="B119" s="327"/>
      <c r="C119" s="327"/>
    </row>
    <row r="120" spans="1:3" ht="15.75" customHeight="1" x14ac:dyDescent="0.25">
      <c r="B120" s="327"/>
      <c r="C120" s="327"/>
    </row>
    <row r="121" spans="1:3" ht="15.75" customHeight="1" x14ac:dyDescent="0.25">
      <c r="B121" s="354"/>
      <c r="C121" s="354"/>
    </row>
    <row r="122" spans="1:3" ht="15.75" customHeight="1" x14ac:dyDescent="0.25">
      <c r="B122" s="354"/>
      <c r="C122" s="354"/>
    </row>
    <row r="123" spans="1:3" ht="15.75" customHeight="1" x14ac:dyDescent="0.25">
      <c r="B123" s="354"/>
      <c r="C123" s="354"/>
    </row>
    <row r="124" spans="1:3" ht="15" customHeight="1" x14ac:dyDescent="0.25">
      <c r="A124" s="354"/>
      <c r="B124" s="354"/>
      <c r="C124" s="35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R129"/>
  <sheetViews>
    <sheetView topLeftCell="A17" zoomScaleNormal="100" workbookViewId="0">
      <selection activeCell="G69" sqref="G69:G82"/>
    </sheetView>
  </sheetViews>
  <sheetFormatPr baseColWidth="10" defaultColWidth="11.42578125" defaultRowHeight="15" x14ac:dyDescent="0.25"/>
  <cols>
    <col min="1" max="1" width="26" customWidth="1"/>
    <col min="2" max="2" width="13.5703125" customWidth="1"/>
    <col min="3" max="3" width="12.5703125" customWidth="1"/>
    <col min="4" max="4" width="22.140625" customWidth="1"/>
    <col min="6" max="6" width="27.85546875" customWidth="1"/>
    <col min="7" max="7" width="16.7109375" customWidth="1"/>
    <col min="8" max="8" width="17" customWidth="1"/>
    <col min="9" max="9" width="22.85546875" customWidth="1"/>
  </cols>
  <sheetData>
    <row r="1" spans="1:9" x14ac:dyDescent="0.25">
      <c r="A1" s="60"/>
      <c r="D1" s="2"/>
      <c r="E1" s="59"/>
      <c r="F1" s="59"/>
      <c r="G1" s="58"/>
    </row>
    <row r="2" spans="1:9" x14ac:dyDescent="0.25">
      <c r="A2" s="69" t="s">
        <v>23</v>
      </c>
      <c r="B2" s="60"/>
      <c r="C2" s="61"/>
      <c r="D2" s="2"/>
      <c r="E2" s="59"/>
      <c r="F2" s="69" t="s">
        <v>24</v>
      </c>
      <c r="G2" s="60"/>
      <c r="H2" s="61"/>
      <c r="I2" s="2"/>
    </row>
    <row r="3" spans="1:9" x14ac:dyDescent="0.25">
      <c r="A3" s="60"/>
      <c r="B3" s="60"/>
      <c r="D3" s="2"/>
      <c r="E3" s="59"/>
      <c r="F3" s="60"/>
      <c r="G3" s="60"/>
      <c r="I3" s="2"/>
    </row>
    <row r="4" spans="1:9" x14ac:dyDescent="0.25">
      <c r="A4" s="69">
        <v>1</v>
      </c>
      <c r="B4" s="69">
        <v>10</v>
      </c>
      <c r="C4" s="64">
        <v>1.7</v>
      </c>
      <c r="D4" s="70" t="s">
        <v>25</v>
      </c>
      <c r="E4" s="59"/>
      <c r="F4" s="69">
        <v>1</v>
      </c>
      <c r="G4" s="69">
        <v>10</v>
      </c>
      <c r="H4" s="64">
        <v>3.2</v>
      </c>
      <c r="I4" s="70" t="s">
        <v>25</v>
      </c>
    </row>
    <row r="5" spans="1:9" x14ac:dyDescent="0.25">
      <c r="A5" s="62">
        <v>11</v>
      </c>
      <c r="B5" s="63">
        <v>10000</v>
      </c>
      <c r="C5" s="64">
        <v>1.36</v>
      </c>
      <c r="E5" s="59"/>
      <c r="F5" s="62">
        <v>11</v>
      </c>
      <c r="G5" s="63">
        <v>10000</v>
      </c>
      <c r="H5" s="64">
        <v>2.56</v>
      </c>
    </row>
    <row r="6" spans="1:9" x14ac:dyDescent="0.25">
      <c r="E6" s="59"/>
    </row>
    <row r="7" spans="1:9" x14ac:dyDescent="0.25">
      <c r="A7" s="62">
        <v>1</v>
      </c>
      <c r="B7" s="63">
        <v>10</v>
      </c>
      <c r="C7" s="64">
        <v>2</v>
      </c>
      <c r="D7" s="21" t="s">
        <v>26</v>
      </c>
      <c r="E7" s="59"/>
      <c r="F7" s="62">
        <v>1</v>
      </c>
      <c r="G7" s="63">
        <v>10</v>
      </c>
      <c r="H7" s="64">
        <v>3.7</v>
      </c>
      <c r="I7" s="21" t="s">
        <v>26</v>
      </c>
    </row>
    <row r="8" spans="1:9" x14ac:dyDescent="0.25">
      <c r="A8" s="62">
        <v>11</v>
      </c>
      <c r="B8" s="63">
        <v>10000</v>
      </c>
      <c r="C8" s="64">
        <v>1.6</v>
      </c>
      <c r="D8" s="58"/>
      <c r="E8" s="59"/>
      <c r="F8" s="62">
        <v>11</v>
      </c>
      <c r="G8" s="63">
        <v>10000</v>
      </c>
      <c r="H8" s="64">
        <v>2.96</v>
      </c>
      <c r="I8" s="58"/>
    </row>
    <row r="9" spans="1:9" x14ac:dyDescent="0.25">
      <c r="B9" s="59"/>
      <c r="C9" s="59"/>
      <c r="D9" s="58"/>
      <c r="E9" s="59"/>
      <c r="G9" s="59"/>
      <c r="H9" s="59"/>
      <c r="I9" s="58"/>
    </row>
    <row r="10" spans="1:9" x14ac:dyDescent="0.25">
      <c r="A10" s="62">
        <v>1</v>
      </c>
      <c r="B10" s="63">
        <v>10</v>
      </c>
      <c r="C10" s="64">
        <v>2.08</v>
      </c>
      <c r="D10" s="21" t="s">
        <v>27</v>
      </c>
      <c r="E10" s="59"/>
      <c r="F10" s="62">
        <v>1</v>
      </c>
      <c r="G10" s="63">
        <v>10</v>
      </c>
      <c r="H10" s="64">
        <v>4.7</v>
      </c>
      <c r="I10" s="21" t="s">
        <v>27</v>
      </c>
    </row>
    <row r="11" spans="1:9" x14ac:dyDescent="0.25">
      <c r="A11" s="62">
        <v>11</v>
      </c>
      <c r="B11" s="63">
        <v>10000</v>
      </c>
      <c r="C11" s="64">
        <v>2</v>
      </c>
      <c r="D11" s="58"/>
      <c r="E11" s="59"/>
      <c r="F11" s="62">
        <v>11</v>
      </c>
      <c r="G11" s="63">
        <v>10000</v>
      </c>
      <c r="H11" s="64">
        <v>3.76</v>
      </c>
      <c r="I11" s="58"/>
    </row>
    <row r="12" spans="1:9" x14ac:dyDescent="0.25">
      <c r="B12" s="59"/>
      <c r="C12" s="59"/>
      <c r="D12" s="58"/>
      <c r="E12" s="59"/>
      <c r="F12" s="59"/>
      <c r="G12" s="58"/>
    </row>
    <row r="13" spans="1:9" x14ac:dyDescent="0.25">
      <c r="B13" s="59"/>
      <c r="C13" s="59"/>
      <c r="D13" s="58"/>
      <c r="E13" s="59"/>
      <c r="F13" s="59"/>
      <c r="G13" s="58"/>
    </row>
    <row r="14" spans="1:9" x14ac:dyDescent="0.25">
      <c r="B14" s="59"/>
      <c r="C14" s="59"/>
      <c r="D14" s="58"/>
      <c r="E14" s="59"/>
      <c r="F14" s="59"/>
      <c r="G14" s="58"/>
    </row>
    <row r="16" spans="1:9" x14ac:dyDescent="0.25">
      <c r="A16" s="69" t="s">
        <v>28</v>
      </c>
      <c r="D16" s="2"/>
      <c r="F16" s="69" t="s">
        <v>28</v>
      </c>
      <c r="I16" s="2"/>
    </row>
    <row r="17" spans="1:18" x14ac:dyDescent="0.25">
      <c r="A17" s="69" t="s">
        <v>29</v>
      </c>
      <c r="B17" s="60"/>
      <c r="C17" s="61"/>
      <c r="D17" s="2"/>
      <c r="F17" s="69" t="s">
        <v>30</v>
      </c>
      <c r="G17" s="60"/>
      <c r="H17" s="61"/>
      <c r="I17" s="2"/>
    </row>
    <row r="18" spans="1:18" ht="15.75" thickBot="1" x14ac:dyDescent="0.3">
      <c r="A18" s="60"/>
      <c r="B18" s="60"/>
      <c r="D18" s="2"/>
      <c r="F18" s="60"/>
      <c r="G18" s="60"/>
      <c r="I18" s="2"/>
    </row>
    <row r="19" spans="1:18" ht="19.5" thickBot="1" x14ac:dyDescent="0.3">
      <c r="A19" s="69">
        <v>1</v>
      </c>
      <c r="B19" s="69">
        <v>20</v>
      </c>
      <c r="C19" s="64">
        <v>1.4</v>
      </c>
      <c r="D19" s="70" t="s">
        <v>31</v>
      </c>
      <c r="F19" s="69">
        <v>1</v>
      </c>
      <c r="G19" s="69">
        <v>20</v>
      </c>
      <c r="H19" s="64">
        <v>2.7</v>
      </c>
      <c r="I19" s="70" t="s">
        <v>31</v>
      </c>
      <c r="K19" s="64">
        <v>1.4</v>
      </c>
      <c r="M19" s="59" t="s">
        <v>137</v>
      </c>
      <c r="N19" s="334">
        <v>1.4</v>
      </c>
      <c r="P19" s="190"/>
      <c r="Q19" s="190"/>
      <c r="R19" s="190"/>
    </row>
    <row r="20" spans="1:18" ht="15.75" thickBot="1" x14ac:dyDescent="0.3">
      <c r="A20" s="62">
        <v>21</v>
      </c>
      <c r="B20" s="63">
        <v>10000</v>
      </c>
      <c r="C20" s="64">
        <v>1.26</v>
      </c>
      <c r="D20" s="2"/>
      <c r="F20" s="62">
        <v>21</v>
      </c>
      <c r="G20" s="63">
        <v>10000</v>
      </c>
      <c r="H20" s="64">
        <v>2.4300000000000002</v>
      </c>
      <c r="I20" s="2"/>
      <c r="K20" s="64">
        <v>1.26</v>
      </c>
      <c r="M20" s="59" t="s">
        <v>138</v>
      </c>
      <c r="N20" s="334">
        <v>1.7</v>
      </c>
      <c r="P20" s="190"/>
      <c r="Q20" s="190"/>
      <c r="R20" s="190"/>
    </row>
    <row r="21" spans="1:18" ht="15.75" thickBot="1" x14ac:dyDescent="0.3">
      <c r="A21" s="60"/>
      <c r="B21" s="60"/>
      <c r="C21" s="61"/>
      <c r="D21" s="2"/>
      <c r="F21" s="60"/>
      <c r="G21" s="60"/>
      <c r="H21" s="61"/>
      <c r="I21" s="2"/>
      <c r="K21" s="64">
        <v>1.7</v>
      </c>
      <c r="M21" s="59" t="s">
        <v>139</v>
      </c>
      <c r="N21" s="334">
        <v>2</v>
      </c>
      <c r="P21" s="190"/>
      <c r="Q21" s="190"/>
      <c r="R21" s="190"/>
    </row>
    <row r="22" spans="1:18" ht="15.75" thickBot="1" x14ac:dyDescent="0.3">
      <c r="A22" s="62">
        <v>1</v>
      </c>
      <c r="B22" s="63">
        <v>20</v>
      </c>
      <c r="C22" s="64">
        <v>1.7</v>
      </c>
      <c r="D22" s="2" t="s">
        <v>32</v>
      </c>
      <c r="F22" s="62">
        <v>1</v>
      </c>
      <c r="G22" s="63">
        <v>20</v>
      </c>
      <c r="H22" s="64">
        <v>3</v>
      </c>
      <c r="I22" s="2" t="s">
        <v>32</v>
      </c>
      <c r="K22" s="68">
        <v>1.53</v>
      </c>
      <c r="M22" s="59" t="s">
        <v>140</v>
      </c>
      <c r="N22" s="334">
        <v>2.2000000000000002</v>
      </c>
      <c r="P22" s="190"/>
      <c r="Q22" s="190"/>
      <c r="R22" s="190"/>
    </row>
    <row r="23" spans="1:18" ht="15.75" thickBot="1" x14ac:dyDescent="0.3">
      <c r="A23" s="66">
        <v>21</v>
      </c>
      <c r="B23" s="67">
        <v>10000</v>
      </c>
      <c r="C23" s="68">
        <v>1.53</v>
      </c>
      <c r="D23" s="2"/>
      <c r="F23" s="66">
        <v>21</v>
      </c>
      <c r="G23" s="67">
        <v>10000</v>
      </c>
      <c r="H23" s="68">
        <v>2.7</v>
      </c>
      <c r="I23" s="2"/>
      <c r="K23" s="64">
        <v>2</v>
      </c>
      <c r="M23" s="59" t="s">
        <v>141</v>
      </c>
      <c r="N23" s="334">
        <v>2.5</v>
      </c>
      <c r="P23" s="190"/>
      <c r="Q23" s="190"/>
      <c r="R23" s="190"/>
    </row>
    <row r="24" spans="1:18" ht="15.75" thickBot="1" x14ac:dyDescent="0.3">
      <c r="A24" s="60"/>
      <c r="B24" s="60"/>
      <c r="C24" s="61"/>
      <c r="D24" s="2"/>
      <c r="F24" s="60"/>
      <c r="G24" s="60"/>
      <c r="H24" s="61"/>
      <c r="I24" s="2"/>
      <c r="K24" s="64">
        <v>1.8</v>
      </c>
      <c r="M24" s="59" t="s">
        <v>142</v>
      </c>
      <c r="N24" s="334">
        <v>2.8</v>
      </c>
      <c r="P24" s="190"/>
      <c r="Q24" s="190"/>
      <c r="R24" s="190"/>
    </row>
    <row r="25" spans="1:18" ht="15.75" thickBot="1" x14ac:dyDescent="0.3">
      <c r="A25" s="69">
        <v>1</v>
      </c>
      <c r="B25" s="69">
        <v>20</v>
      </c>
      <c r="C25" s="64">
        <v>2</v>
      </c>
      <c r="D25" s="2" t="s">
        <v>33</v>
      </c>
      <c r="F25" s="69">
        <v>1</v>
      </c>
      <c r="G25" s="69">
        <v>20</v>
      </c>
      <c r="H25" s="64">
        <v>3.2</v>
      </c>
      <c r="I25" s="2" t="s">
        <v>33</v>
      </c>
      <c r="K25" s="64">
        <v>2.2000000000000002</v>
      </c>
      <c r="M25" s="59" t="s">
        <v>143</v>
      </c>
      <c r="N25" s="334">
        <v>3.2</v>
      </c>
      <c r="P25" s="190"/>
      <c r="Q25" s="190"/>
      <c r="R25" s="190"/>
    </row>
    <row r="26" spans="1:18" ht="15.75" thickBot="1" x14ac:dyDescent="0.3">
      <c r="A26" s="69">
        <v>21</v>
      </c>
      <c r="B26" s="69">
        <v>10000</v>
      </c>
      <c r="C26" s="64">
        <v>1.8</v>
      </c>
      <c r="D26" s="2"/>
      <c r="F26" s="69">
        <v>21</v>
      </c>
      <c r="G26" s="69">
        <v>10000</v>
      </c>
      <c r="H26" s="64">
        <v>2.88</v>
      </c>
      <c r="I26" s="2"/>
      <c r="K26" s="64">
        <v>1.98</v>
      </c>
      <c r="M26" s="59" t="s">
        <v>144</v>
      </c>
      <c r="N26" s="334">
        <v>3.6</v>
      </c>
      <c r="P26" s="190"/>
      <c r="Q26" s="190"/>
      <c r="R26" s="190"/>
    </row>
    <row r="27" spans="1:18" ht="15.75" thickBot="1" x14ac:dyDescent="0.3">
      <c r="A27" s="60"/>
      <c r="B27" s="60"/>
      <c r="C27" s="61"/>
      <c r="D27" s="2"/>
      <c r="F27" s="60"/>
      <c r="G27" s="60"/>
      <c r="H27" s="61"/>
      <c r="I27" s="2"/>
      <c r="K27" s="64">
        <v>2.5</v>
      </c>
      <c r="M27" s="59" t="s">
        <v>145</v>
      </c>
      <c r="N27" s="334">
        <v>4</v>
      </c>
      <c r="P27" s="190"/>
      <c r="Q27" s="190"/>
      <c r="R27" s="190"/>
    </row>
    <row r="28" spans="1:18" ht="15.75" thickBot="1" x14ac:dyDescent="0.3">
      <c r="A28" s="69">
        <v>1</v>
      </c>
      <c r="B28" s="69">
        <v>20</v>
      </c>
      <c r="C28" s="64">
        <v>2.2000000000000002</v>
      </c>
      <c r="D28" s="2" t="s">
        <v>34</v>
      </c>
      <c r="F28" s="69">
        <v>1</v>
      </c>
      <c r="G28" s="69">
        <v>20</v>
      </c>
      <c r="H28" s="64">
        <v>3.5</v>
      </c>
      <c r="I28" s="2" t="s">
        <v>34</v>
      </c>
      <c r="K28" s="64">
        <v>2.25</v>
      </c>
      <c r="M28" s="59" t="s">
        <v>146</v>
      </c>
      <c r="N28" s="334">
        <v>4.5</v>
      </c>
      <c r="P28" s="190"/>
      <c r="Q28" s="190"/>
      <c r="R28" s="190"/>
    </row>
    <row r="29" spans="1:18" ht="15.75" thickBot="1" x14ac:dyDescent="0.3">
      <c r="A29" s="69">
        <v>21</v>
      </c>
      <c r="B29" s="69">
        <v>10000</v>
      </c>
      <c r="C29" s="64">
        <v>1.98</v>
      </c>
      <c r="D29" s="2"/>
      <c r="F29" s="69">
        <v>21</v>
      </c>
      <c r="G29" s="69">
        <v>10000</v>
      </c>
      <c r="H29" s="64">
        <v>3.15</v>
      </c>
      <c r="I29" s="2"/>
      <c r="K29" s="64">
        <v>2.8</v>
      </c>
      <c r="M29" s="59" t="s">
        <v>147</v>
      </c>
      <c r="N29" s="334">
        <v>5.0999999999999996</v>
      </c>
      <c r="P29" s="190"/>
      <c r="Q29" s="190"/>
      <c r="R29" s="190"/>
    </row>
    <row r="30" spans="1:18" ht="15.75" thickBot="1" x14ac:dyDescent="0.3">
      <c r="A30" s="60"/>
      <c r="B30" s="60"/>
      <c r="C30" s="61"/>
      <c r="D30" s="2"/>
      <c r="F30" s="60"/>
      <c r="G30" s="60"/>
      <c r="H30" s="61"/>
      <c r="I30" s="2"/>
      <c r="K30" s="64">
        <v>2.52</v>
      </c>
      <c r="M30" s="59" t="s">
        <v>148</v>
      </c>
      <c r="N30" s="334">
        <v>5.5</v>
      </c>
      <c r="P30" s="190"/>
      <c r="Q30" s="190"/>
      <c r="R30" s="190"/>
    </row>
    <row r="31" spans="1:18" ht="15.75" thickBot="1" x14ac:dyDescent="0.3">
      <c r="A31" s="69">
        <v>1</v>
      </c>
      <c r="B31" s="69">
        <v>20</v>
      </c>
      <c r="C31" s="64">
        <v>2.5</v>
      </c>
      <c r="D31" s="2" t="s">
        <v>35</v>
      </c>
      <c r="F31" s="69">
        <v>1</v>
      </c>
      <c r="G31" s="69">
        <v>20</v>
      </c>
      <c r="H31" s="64">
        <v>3.8</v>
      </c>
      <c r="I31" s="2" t="s">
        <v>35</v>
      </c>
      <c r="K31" s="64">
        <v>3.2</v>
      </c>
      <c r="M31" s="59" t="s">
        <v>149</v>
      </c>
      <c r="N31" s="334">
        <v>5.9</v>
      </c>
      <c r="P31" s="190"/>
      <c r="Q31" s="190"/>
      <c r="R31" s="190"/>
    </row>
    <row r="32" spans="1:18" ht="15.75" thickBot="1" x14ac:dyDescent="0.3">
      <c r="A32" s="69">
        <v>21</v>
      </c>
      <c r="B32" s="69">
        <v>10000</v>
      </c>
      <c r="C32" s="64">
        <v>2.25</v>
      </c>
      <c r="D32" s="2"/>
      <c r="F32" s="69">
        <v>21</v>
      </c>
      <c r="G32" s="69">
        <v>10000</v>
      </c>
      <c r="H32" s="64">
        <v>3.42</v>
      </c>
      <c r="I32" s="2"/>
      <c r="K32" s="64">
        <v>2.88</v>
      </c>
      <c r="M32" s="59" t="s">
        <v>150</v>
      </c>
      <c r="N32" s="334">
        <v>6.2</v>
      </c>
      <c r="P32" s="190"/>
      <c r="Q32" s="190"/>
      <c r="R32" s="190"/>
    </row>
    <row r="33" spans="1:18" ht="15.75" thickBot="1" x14ac:dyDescent="0.3">
      <c r="A33" s="60"/>
      <c r="B33" s="60"/>
      <c r="C33" s="61"/>
      <c r="D33" s="2"/>
      <c r="F33" s="60"/>
      <c r="G33" s="60"/>
      <c r="H33" s="61"/>
      <c r="I33" s="21"/>
      <c r="K33" s="64">
        <v>3.6</v>
      </c>
      <c r="N33" s="333"/>
      <c r="P33" s="190"/>
      <c r="Q33" s="190"/>
      <c r="R33" s="190"/>
    </row>
    <row r="34" spans="1:18" ht="15.75" thickBot="1" x14ac:dyDescent="0.3">
      <c r="A34" s="69">
        <v>1</v>
      </c>
      <c r="B34" s="69">
        <v>20</v>
      </c>
      <c r="C34" s="64">
        <v>2.8</v>
      </c>
      <c r="D34" s="21" t="s">
        <v>36</v>
      </c>
      <c r="K34" s="64">
        <v>3.24</v>
      </c>
      <c r="N34" s="333"/>
      <c r="P34" s="190"/>
      <c r="Q34" s="190"/>
      <c r="R34" s="190"/>
    </row>
    <row r="35" spans="1:18" ht="15.75" thickBot="1" x14ac:dyDescent="0.3">
      <c r="A35" s="69">
        <v>21</v>
      </c>
      <c r="B35" s="69">
        <v>10000</v>
      </c>
      <c r="C35" s="64">
        <v>2.52</v>
      </c>
      <c r="D35" s="21"/>
      <c r="K35" s="64">
        <v>4</v>
      </c>
      <c r="N35" s="333"/>
      <c r="P35" s="190"/>
      <c r="Q35" s="190"/>
      <c r="R35" s="190"/>
    </row>
    <row r="36" spans="1:18" ht="15.75" thickBot="1" x14ac:dyDescent="0.3">
      <c r="C36" s="72"/>
      <c r="D36" s="21"/>
      <c r="K36" s="64">
        <v>3.6</v>
      </c>
      <c r="N36" s="333"/>
      <c r="P36" s="190"/>
      <c r="Q36" s="190"/>
      <c r="R36" s="190"/>
    </row>
    <row r="37" spans="1:18" ht="15.75" thickBot="1" x14ac:dyDescent="0.3">
      <c r="A37" s="69">
        <v>1</v>
      </c>
      <c r="B37" s="69">
        <v>20</v>
      </c>
      <c r="C37" s="64">
        <v>3.2</v>
      </c>
      <c r="D37" s="21" t="s">
        <v>37</v>
      </c>
      <c r="F37" s="69" t="s">
        <v>28</v>
      </c>
      <c r="I37" s="2"/>
      <c r="K37" s="64">
        <v>4.5</v>
      </c>
      <c r="N37" s="333"/>
      <c r="P37" s="190"/>
      <c r="Q37" s="190"/>
      <c r="R37" s="190"/>
    </row>
    <row r="38" spans="1:18" ht="15.75" thickBot="1" x14ac:dyDescent="0.3">
      <c r="A38" s="69">
        <v>21</v>
      </c>
      <c r="B38" s="69">
        <v>10000</v>
      </c>
      <c r="C38" s="64">
        <v>2.88</v>
      </c>
      <c r="D38" s="21"/>
      <c r="F38" s="69" t="s">
        <v>38</v>
      </c>
      <c r="G38" s="60"/>
      <c r="H38" s="61"/>
      <c r="I38" s="2"/>
      <c r="K38" s="64">
        <v>4.05</v>
      </c>
      <c r="N38" s="333"/>
      <c r="P38" s="190"/>
      <c r="Q38" s="190"/>
      <c r="R38" s="190"/>
    </row>
    <row r="39" spans="1:18" ht="15.75" thickBot="1" x14ac:dyDescent="0.3">
      <c r="D39" s="21"/>
      <c r="F39" s="60"/>
      <c r="G39" s="60"/>
      <c r="I39" s="2"/>
      <c r="K39" s="64">
        <v>5.0999999999999996</v>
      </c>
      <c r="N39" s="333"/>
      <c r="P39" s="190"/>
      <c r="Q39" s="190"/>
      <c r="R39" s="190"/>
    </row>
    <row r="40" spans="1:18" ht="15.75" thickBot="1" x14ac:dyDescent="0.3">
      <c r="A40" s="69">
        <v>1</v>
      </c>
      <c r="B40" s="69">
        <v>20</v>
      </c>
      <c r="C40" s="64">
        <v>3.6</v>
      </c>
      <c r="D40" s="21" t="s">
        <v>39</v>
      </c>
      <c r="F40" s="69">
        <v>1</v>
      </c>
      <c r="G40" s="69">
        <v>20</v>
      </c>
      <c r="H40" s="64">
        <v>3.2</v>
      </c>
      <c r="I40" s="70" t="s">
        <v>40</v>
      </c>
      <c r="K40" s="64">
        <v>4.59</v>
      </c>
      <c r="N40" s="333"/>
      <c r="P40" s="190"/>
      <c r="Q40" s="190"/>
      <c r="R40" s="190"/>
    </row>
    <row r="41" spans="1:18" ht="15.75" thickBot="1" x14ac:dyDescent="0.3">
      <c r="A41" s="69">
        <v>21</v>
      </c>
      <c r="B41" s="69">
        <v>10000</v>
      </c>
      <c r="C41" s="64">
        <v>3.24</v>
      </c>
      <c r="D41" s="21"/>
      <c r="F41" s="62">
        <v>21</v>
      </c>
      <c r="G41" s="63">
        <v>10000</v>
      </c>
      <c r="H41" s="64">
        <v>2.88</v>
      </c>
      <c r="I41" s="2"/>
      <c r="K41" s="64">
        <v>5.5</v>
      </c>
      <c r="N41" s="333"/>
      <c r="P41" s="190"/>
      <c r="Q41" s="190"/>
      <c r="R41" s="190"/>
    </row>
    <row r="42" spans="1:18" ht="15.75" thickBot="1" x14ac:dyDescent="0.3">
      <c r="D42" s="21"/>
      <c r="F42" s="60"/>
      <c r="G42" s="60"/>
      <c r="H42" s="61"/>
      <c r="I42" s="2"/>
      <c r="K42" s="64">
        <v>4.95</v>
      </c>
      <c r="N42" s="333"/>
      <c r="P42" s="190"/>
      <c r="Q42" s="190"/>
      <c r="R42" s="190"/>
    </row>
    <row r="43" spans="1:18" ht="15.75" thickBot="1" x14ac:dyDescent="0.3">
      <c r="A43" s="69">
        <v>1</v>
      </c>
      <c r="B43" s="69">
        <v>20</v>
      </c>
      <c r="C43" s="64">
        <v>4</v>
      </c>
      <c r="D43" s="21" t="s">
        <v>41</v>
      </c>
      <c r="F43" s="62">
        <v>1</v>
      </c>
      <c r="G43" s="63">
        <v>20</v>
      </c>
      <c r="H43" s="64">
        <v>3.5</v>
      </c>
      <c r="I43" s="2" t="s">
        <v>42</v>
      </c>
      <c r="K43" s="64">
        <v>5.9</v>
      </c>
      <c r="N43" s="333"/>
      <c r="P43" s="190"/>
      <c r="Q43" s="190"/>
      <c r="R43" s="190"/>
    </row>
    <row r="44" spans="1:18" ht="15.75" thickBot="1" x14ac:dyDescent="0.3">
      <c r="A44" s="69">
        <v>21</v>
      </c>
      <c r="B44" s="69">
        <v>10000</v>
      </c>
      <c r="C44" s="64">
        <v>3.6</v>
      </c>
      <c r="D44" s="21"/>
      <c r="F44" s="66">
        <v>21</v>
      </c>
      <c r="G44" s="67">
        <v>10000</v>
      </c>
      <c r="H44" s="68">
        <v>3.15</v>
      </c>
      <c r="I44" s="2"/>
      <c r="K44" s="64">
        <v>5.31</v>
      </c>
      <c r="N44" s="333"/>
      <c r="P44" s="190"/>
      <c r="Q44" s="190"/>
      <c r="R44" s="190"/>
    </row>
    <row r="45" spans="1:18" ht="15.75" thickBot="1" x14ac:dyDescent="0.3">
      <c r="D45" s="21"/>
      <c r="F45" s="60"/>
      <c r="G45" s="60"/>
      <c r="H45" s="61"/>
      <c r="I45" s="2"/>
      <c r="K45" s="64">
        <v>6.2</v>
      </c>
      <c r="N45" s="333"/>
      <c r="P45" s="190"/>
      <c r="Q45" s="190"/>
      <c r="R45" s="190"/>
    </row>
    <row r="46" spans="1:18" x14ac:dyDescent="0.25">
      <c r="A46" s="69">
        <v>1</v>
      </c>
      <c r="B46" s="69">
        <v>20</v>
      </c>
      <c r="C46" s="64">
        <v>4.5</v>
      </c>
      <c r="D46" s="21" t="s">
        <v>43</v>
      </c>
      <c r="F46" s="69">
        <v>1</v>
      </c>
      <c r="G46" s="69">
        <v>20</v>
      </c>
      <c r="H46" s="64">
        <v>3.8</v>
      </c>
      <c r="I46" s="2" t="s">
        <v>44</v>
      </c>
      <c r="K46" s="64">
        <v>5.58</v>
      </c>
      <c r="N46" s="333"/>
    </row>
    <row r="47" spans="1:18" x14ac:dyDescent="0.25">
      <c r="A47" s="69">
        <v>21</v>
      </c>
      <c r="B47" s="69">
        <v>10000</v>
      </c>
      <c r="C47" s="64">
        <v>4.05</v>
      </c>
      <c r="D47" s="21"/>
      <c r="F47" s="69">
        <v>21</v>
      </c>
      <c r="G47" s="69">
        <v>10000</v>
      </c>
      <c r="H47" s="64">
        <v>3.42</v>
      </c>
      <c r="I47" s="2"/>
      <c r="N47" s="333"/>
    </row>
    <row r="48" spans="1:18" x14ac:dyDescent="0.25">
      <c r="D48" s="21"/>
      <c r="F48" s="60"/>
      <c r="G48" s="60"/>
      <c r="H48" s="61"/>
      <c r="I48" s="2"/>
      <c r="K48" s="64">
        <v>0.45</v>
      </c>
      <c r="N48" s="333"/>
    </row>
    <row r="49" spans="1:11" x14ac:dyDescent="0.25">
      <c r="A49" s="69">
        <v>1</v>
      </c>
      <c r="B49" s="69">
        <v>20</v>
      </c>
      <c r="C49" s="64">
        <v>5.0999999999999996</v>
      </c>
      <c r="D49" s="21" t="s">
        <v>45</v>
      </c>
      <c r="F49" s="69">
        <v>1</v>
      </c>
      <c r="G49" s="69">
        <v>20</v>
      </c>
      <c r="H49" s="64">
        <v>4</v>
      </c>
      <c r="I49" s="2" t="s">
        <v>46</v>
      </c>
      <c r="K49" s="64">
        <v>0.45</v>
      </c>
    </row>
    <row r="50" spans="1:11" x14ac:dyDescent="0.25">
      <c r="A50" s="69">
        <v>21</v>
      </c>
      <c r="B50" s="69">
        <v>10000</v>
      </c>
      <c r="C50" s="64">
        <v>4.59</v>
      </c>
      <c r="D50" s="21"/>
      <c r="F50" s="69">
        <v>21</v>
      </c>
      <c r="G50" s="69">
        <v>10000</v>
      </c>
      <c r="H50" s="64">
        <v>3.6</v>
      </c>
      <c r="I50" s="2"/>
    </row>
    <row r="51" spans="1:11" x14ac:dyDescent="0.25">
      <c r="B51" s="71"/>
      <c r="D51" s="21"/>
      <c r="F51" s="60"/>
      <c r="G51" s="60"/>
      <c r="H51" s="61"/>
      <c r="I51" s="2"/>
    </row>
    <row r="52" spans="1:11" x14ac:dyDescent="0.25">
      <c r="A52" s="69">
        <v>1</v>
      </c>
      <c r="B52" s="69">
        <v>20</v>
      </c>
      <c r="C52" s="64">
        <v>5.5</v>
      </c>
      <c r="D52" s="21" t="s">
        <v>47</v>
      </c>
      <c r="F52" s="69">
        <v>1</v>
      </c>
      <c r="G52" s="69">
        <v>20</v>
      </c>
      <c r="H52" s="64">
        <v>4.3</v>
      </c>
      <c r="I52" s="2" t="s">
        <v>34</v>
      </c>
    </row>
    <row r="53" spans="1:11" x14ac:dyDescent="0.25">
      <c r="A53" s="69">
        <v>21</v>
      </c>
      <c r="B53" s="69">
        <v>10000</v>
      </c>
      <c r="C53" s="64">
        <v>4.95</v>
      </c>
      <c r="D53" s="21"/>
      <c r="F53" s="69">
        <v>21</v>
      </c>
      <c r="G53" s="69">
        <v>10000</v>
      </c>
      <c r="H53" s="64">
        <v>3.87</v>
      </c>
      <c r="I53" s="2"/>
    </row>
    <row r="54" spans="1:11" x14ac:dyDescent="0.25">
      <c r="D54" s="21"/>
      <c r="I54" s="21"/>
    </row>
    <row r="55" spans="1:11" x14ac:dyDescent="0.25">
      <c r="A55" s="69">
        <v>1</v>
      </c>
      <c r="B55" s="69">
        <v>20</v>
      </c>
      <c r="C55" s="64">
        <v>5.9</v>
      </c>
      <c r="D55" s="21" t="s">
        <v>48</v>
      </c>
      <c r="F55" s="62">
        <v>1</v>
      </c>
      <c r="G55" s="63">
        <v>20</v>
      </c>
      <c r="H55" s="64">
        <v>4.5999999999999996</v>
      </c>
      <c r="I55" s="2" t="s">
        <v>49</v>
      </c>
    </row>
    <row r="56" spans="1:11" x14ac:dyDescent="0.25">
      <c r="A56" s="69">
        <v>21</v>
      </c>
      <c r="B56" s="69">
        <v>10000</v>
      </c>
      <c r="C56" s="64">
        <v>5.31</v>
      </c>
      <c r="D56" s="21"/>
      <c r="F56" s="66">
        <v>21</v>
      </c>
      <c r="G56" s="67">
        <v>10000</v>
      </c>
      <c r="H56" s="68">
        <v>4.1399999999999997</v>
      </c>
      <c r="I56" s="2"/>
    </row>
    <row r="57" spans="1:11" x14ac:dyDescent="0.25">
      <c r="D57" s="21"/>
      <c r="F57" s="60"/>
      <c r="G57" s="60"/>
      <c r="H57" s="61"/>
      <c r="I57" s="2"/>
    </row>
    <row r="58" spans="1:11" x14ac:dyDescent="0.25">
      <c r="A58" s="69">
        <v>1</v>
      </c>
      <c r="B58" s="69">
        <v>20</v>
      </c>
      <c r="C58" s="64">
        <v>6.2</v>
      </c>
      <c r="D58" s="21" t="s">
        <v>50</v>
      </c>
      <c r="F58" s="69">
        <v>1</v>
      </c>
      <c r="G58" s="69">
        <v>20</v>
      </c>
      <c r="H58" s="64">
        <v>5</v>
      </c>
      <c r="I58" s="2" t="s">
        <v>51</v>
      </c>
    </row>
    <row r="59" spans="1:11" x14ac:dyDescent="0.25">
      <c r="A59" s="69">
        <v>21</v>
      </c>
      <c r="B59" s="69">
        <v>10000</v>
      </c>
      <c r="C59" s="64">
        <v>5.58</v>
      </c>
      <c r="D59" s="21"/>
      <c r="F59" s="69">
        <v>21</v>
      </c>
      <c r="G59" s="69">
        <v>10000</v>
      </c>
      <c r="H59" s="64">
        <v>4.5</v>
      </c>
      <c r="I59" s="2"/>
    </row>
    <row r="60" spans="1:11" x14ac:dyDescent="0.25">
      <c r="F60" s="60"/>
      <c r="G60" s="60"/>
      <c r="H60" s="61"/>
      <c r="I60" s="2"/>
    </row>
    <row r="61" spans="1:11" x14ac:dyDescent="0.25">
      <c r="A61" s="69">
        <v>1</v>
      </c>
      <c r="B61" s="69">
        <v>10000</v>
      </c>
      <c r="C61" s="64">
        <v>0.45</v>
      </c>
      <c r="D61" s="21" t="s">
        <v>52</v>
      </c>
      <c r="F61" s="69">
        <v>1</v>
      </c>
      <c r="G61" s="69">
        <v>20</v>
      </c>
      <c r="H61" s="64">
        <v>5.8</v>
      </c>
      <c r="I61" s="2" t="s">
        <v>53</v>
      </c>
    </row>
    <row r="62" spans="1:11" x14ac:dyDescent="0.25">
      <c r="A62" s="69">
        <v>1</v>
      </c>
      <c r="B62" s="69">
        <v>10000</v>
      </c>
      <c r="C62" s="64">
        <v>0.45</v>
      </c>
      <c r="D62" s="21" t="s">
        <v>54</v>
      </c>
      <c r="F62" s="69">
        <v>21</v>
      </c>
      <c r="G62" s="69">
        <v>10000</v>
      </c>
      <c r="H62" s="64">
        <v>5.22</v>
      </c>
      <c r="I62" s="2"/>
    </row>
    <row r="63" spans="1:11" x14ac:dyDescent="0.25">
      <c r="F63" s="60"/>
      <c r="G63" s="60"/>
      <c r="H63" s="61"/>
      <c r="I63" s="2"/>
    </row>
    <row r="64" spans="1:11" x14ac:dyDescent="0.25">
      <c r="F64" s="69">
        <v>1</v>
      </c>
      <c r="G64" s="69">
        <v>20</v>
      </c>
      <c r="H64" s="64">
        <v>7.3</v>
      </c>
      <c r="I64" s="2" t="s">
        <v>55</v>
      </c>
    </row>
    <row r="65" spans="1:9" x14ac:dyDescent="0.25">
      <c r="F65" s="69">
        <v>21</v>
      </c>
      <c r="G65" s="69">
        <v>10000</v>
      </c>
      <c r="H65" s="64">
        <v>6.57</v>
      </c>
      <c r="I65" s="2"/>
    </row>
    <row r="68" spans="1:9" x14ac:dyDescent="0.25">
      <c r="A68" s="69" t="s">
        <v>56</v>
      </c>
      <c r="D68" s="2"/>
    </row>
    <row r="69" spans="1:9" ht="18.75" x14ac:dyDescent="0.25">
      <c r="A69" s="60"/>
      <c r="B69" s="60"/>
      <c r="D69" s="2"/>
      <c r="G69" s="327" t="s">
        <v>94</v>
      </c>
      <c r="H69" s="327"/>
      <c r="I69" s="327"/>
    </row>
    <row r="70" spans="1:9" ht="15.75" customHeight="1" x14ac:dyDescent="0.25">
      <c r="A70" s="69">
        <v>1</v>
      </c>
      <c r="B70" s="69">
        <v>10000</v>
      </c>
      <c r="C70" s="64">
        <v>0.39</v>
      </c>
      <c r="D70" s="70"/>
      <c r="G70" s="327" t="s">
        <v>96</v>
      </c>
      <c r="H70" s="327"/>
      <c r="I70" s="327"/>
    </row>
    <row r="71" spans="1:9" ht="15.75" customHeight="1" x14ac:dyDescent="0.25">
      <c r="A71" s="60"/>
      <c r="B71" s="60"/>
      <c r="C71" s="61"/>
      <c r="D71" s="2"/>
      <c r="G71" s="327" t="s">
        <v>98</v>
      </c>
      <c r="H71" s="327"/>
      <c r="I71" s="327"/>
    </row>
    <row r="72" spans="1:9" ht="15.75" customHeight="1" x14ac:dyDescent="0.25">
      <c r="A72" s="69" t="s">
        <v>57</v>
      </c>
      <c r="B72" s="60"/>
      <c r="C72" s="61"/>
      <c r="D72" s="2"/>
      <c r="G72" s="327" t="s">
        <v>100</v>
      </c>
      <c r="H72" s="327"/>
      <c r="I72" s="327"/>
    </row>
    <row r="73" spans="1:9" ht="15.75" customHeight="1" x14ac:dyDescent="0.25">
      <c r="A73" s="60"/>
      <c r="B73" s="60"/>
      <c r="C73" s="61"/>
      <c r="D73" s="2"/>
      <c r="E73" s="110"/>
      <c r="G73" s="327" t="s">
        <v>102</v>
      </c>
      <c r="H73" s="327"/>
      <c r="I73" s="327"/>
    </row>
    <row r="74" spans="1:9" ht="15.75" customHeight="1" x14ac:dyDescent="0.25">
      <c r="A74" s="62">
        <v>1</v>
      </c>
      <c r="B74" s="63">
        <v>10000</v>
      </c>
      <c r="C74" s="64">
        <v>6.99</v>
      </c>
      <c r="D74" s="2"/>
      <c r="G74" s="327" t="s">
        <v>104</v>
      </c>
      <c r="H74" s="327"/>
      <c r="I74" s="327"/>
    </row>
    <row r="75" spans="1:9" ht="15.75" customHeight="1" x14ac:dyDescent="0.25">
      <c r="A75" s="113"/>
      <c r="B75" s="113"/>
      <c r="C75" s="113"/>
      <c r="D75" s="113"/>
      <c r="G75" s="327" t="s">
        <v>105</v>
      </c>
      <c r="H75" s="327"/>
      <c r="I75" s="327"/>
    </row>
    <row r="76" spans="1:9" ht="15.75" customHeight="1" x14ac:dyDescent="0.25">
      <c r="A76" s="114" t="s">
        <v>58</v>
      </c>
      <c r="B76" s="113"/>
      <c r="C76" s="113"/>
      <c r="D76" s="113"/>
      <c r="G76" s="327" t="s">
        <v>107</v>
      </c>
      <c r="H76" s="327"/>
      <c r="I76" s="327"/>
    </row>
    <row r="77" spans="1:9" ht="15.75" customHeight="1" x14ac:dyDescent="0.25">
      <c r="A77" s="116" t="s">
        <v>59</v>
      </c>
      <c r="B77" s="113"/>
      <c r="C77" s="113"/>
      <c r="D77" s="115"/>
      <c r="G77" s="327" t="s">
        <v>108</v>
      </c>
      <c r="H77" s="327"/>
      <c r="I77" s="327"/>
    </row>
    <row r="78" spans="1:9" ht="15.75" customHeight="1" x14ac:dyDescent="0.25">
      <c r="A78" s="62">
        <v>0</v>
      </c>
      <c r="B78" s="63">
        <v>15</v>
      </c>
      <c r="C78" s="64">
        <v>85.95</v>
      </c>
      <c r="D78" s="64"/>
      <c r="E78" s="117">
        <v>15</v>
      </c>
      <c r="G78" s="327" t="s">
        <v>109</v>
      </c>
      <c r="H78" s="327"/>
      <c r="I78" s="327"/>
    </row>
    <row r="79" spans="1:9" ht="15.75" customHeight="1" x14ac:dyDescent="0.25">
      <c r="A79" s="62">
        <v>16</v>
      </c>
      <c r="B79" s="63">
        <v>30</v>
      </c>
      <c r="C79" s="64">
        <v>167.7</v>
      </c>
      <c r="D79" s="64"/>
      <c r="E79" s="117">
        <v>30</v>
      </c>
      <c r="G79" s="327" t="s">
        <v>111</v>
      </c>
      <c r="H79" s="327"/>
      <c r="I79" s="327"/>
    </row>
    <row r="80" spans="1:9" ht="15.75" customHeight="1" x14ac:dyDescent="0.25">
      <c r="A80" s="62">
        <v>31</v>
      </c>
      <c r="B80" s="63">
        <v>50</v>
      </c>
      <c r="C80" s="64">
        <v>262</v>
      </c>
      <c r="D80" s="64"/>
      <c r="E80" s="117">
        <v>50</v>
      </c>
      <c r="G80" s="327" t="s">
        <v>113</v>
      </c>
      <c r="H80" s="327"/>
      <c r="I80" s="327"/>
    </row>
    <row r="81" spans="1:11" ht="15.75" customHeight="1" x14ac:dyDescent="0.25">
      <c r="A81" s="62">
        <v>51</v>
      </c>
      <c r="B81" s="63">
        <v>100</v>
      </c>
      <c r="C81" s="64">
        <v>489</v>
      </c>
      <c r="D81" s="64"/>
      <c r="E81" s="117">
        <v>100</v>
      </c>
      <c r="G81" s="327" t="s">
        <v>115</v>
      </c>
      <c r="H81" s="327"/>
      <c r="I81" s="327"/>
    </row>
    <row r="82" spans="1:11" ht="15.75" customHeight="1" x14ac:dyDescent="0.25">
      <c r="G82" s="327" t="s">
        <v>117</v>
      </c>
      <c r="H82" s="327"/>
      <c r="I82" s="327"/>
    </row>
    <row r="83" spans="1:11" ht="15.75" customHeight="1" x14ac:dyDescent="0.25">
      <c r="H83" s="327"/>
      <c r="I83" s="327"/>
    </row>
    <row r="84" spans="1:11" ht="15.75" customHeight="1" x14ac:dyDescent="0.25">
      <c r="A84" s="69" t="s">
        <v>60</v>
      </c>
      <c r="B84" s="60"/>
      <c r="C84" s="61"/>
      <c r="H84" s="327"/>
      <c r="I84" s="327"/>
    </row>
    <row r="85" spans="1:11" ht="15.75" customHeight="1" x14ac:dyDescent="0.25">
      <c r="A85" s="60"/>
      <c r="B85" s="60"/>
      <c r="G85" s="327"/>
      <c r="H85" s="327"/>
      <c r="I85" s="327"/>
    </row>
    <row r="86" spans="1:11" ht="15.75" customHeight="1" x14ac:dyDescent="0.25">
      <c r="A86" s="69" t="s">
        <v>61</v>
      </c>
      <c r="B86" s="60"/>
      <c r="C86" s="61"/>
      <c r="H86" s="327"/>
      <c r="I86" s="327"/>
    </row>
    <row r="87" spans="1:11" ht="15.75" customHeight="1" x14ac:dyDescent="0.25">
      <c r="A87" s="60"/>
      <c r="B87" s="164" t="s">
        <v>62</v>
      </c>
      <c r="C87" s="171">
        <v>1</v>
      </c>
      <c r="D87" s="168" t="s">
        <v>63</v>
      </c>
      <c r="E87" s="167">
        <v>2.99</v>
      </c>
      <c r="H87" s="327"/>
      <c r="I87" s="327"/>
      <c r="K87" s="61"/>
    </row>
    <row r="88" spans="1:11" ht="15.75" customHeight="1" x14ac:dyDescent="0.25">
      <c r="B88" s="164" t="s">
        <v>64</v>
      </c>
      <c r="C88" s="172">
        <v>1</v>
      </c>
      <c r="D88" s="169" t="s">
        <v>63</v>
      </c>
      <c r="E88" s="170">
        <v>4.3899999999999997</v>
      </c>
      <c r="H88" s="327"/>
      <c r="I88" s="327"/>
      <c r="K88" s="61"/>
    </row>
    <row r="89" spans="1:11" ht="15.75" customHeight="1" x14ac:dyDescent="0.25">
      <c r="A89" s="60"/>
      <c r="B89" s="163" t="s">
        <v>65</v>
      </c>
      <c r="C89" s="173">
        <v>1</v>
      </c>
      <c r="D89" s="165" t="s">
        <v>63</v>
      </c>
      <c r="E89" s="166">
        <v>5.79</v>
      </c>
      <c r="H89" s="327"/>
      <c r="I89" s="327"/>
      <c r="K89" s="61"/>
    </row>
    <row r="90" spans="1:11" ht="15.75" customHeight="1" x14ac:dyDescent="0.25">
      <c r="A90" s="120"/>
      <c r="B90" s="120"/>
      <c r="C90" s="70"/>
      <c r="H90" s="327"/>
      <c r="I90" s="327"/>
    </row>
    <row r="91" spans="1:11" ht="15.75" customHeight="1" x14ac:dyDescent="0.25">
      <c r="A91" s="69" t="s">
        <v>66</v>
      </c>
      <c r="B91" s="4"/>
      <c r="C91" s="1"/>
      <c r="H91" s="327"/>
      <c r="I91" s="327"/>
    </row>
    <row r="92" spans="1:11" ht="15.75" customHeight="1" x14ac:dyDescent="0.25">
      <c r="A92" s="4"/>
      <c r="B92" s="164" t="s">
        <v>62</v>
      </c>
      <c r="C92" s="171">
        <v>1</v>
      </c>
      <c r="D92" s="168" t="s">
        <v>63</v>
      </c>
      <c r="E92" s="167">
        <v>5.99</v>
      </c>
      <c r="H92" s="327"/>
      <c r="I92" s="327"/>
    </row>
    <row r="93" spans="1:11" ht="15.75" customHeight="1" x14ac:dyDescent="0.25">
      <c r="B93" s="164" t="s">
        <v>64</v>
      </c>
      <c r="C93" s="172">
        <v>1</v>
      </c>
      <c r="D93" s="169" t="s">
        <v>63</v>
      </c>
      <c r="E93" s="170">
        <v>7.99</v>
      </c>
      <c r="H93" s="327"/>
      <c r="I93" s="327"/>
    </row>
    <row r="94" spans="1:11" ht="15.75" customHeight="1" x14ac:dyDescent="0.25">
      <c r="A94" s="4"/>
      <c r="B94" s="163" t="s">
        <v>65</v>
      </c>
      <c r="C94" s="173">
        <v>1</v>
      </c>
      <c r="D94" s="165" t="s">
        <v>63</v>
      </c>
      <c r="E94" s="166">
        <v>9.99</v>
      </c>
      <c r="H94" s="327"/>
      <c r="I94" s="327"/>
    </row>
    <row r="95" spans="1:11" ht="15.75" customHeight="1" x14ac:dyDescent="0.25">
      <c r="G95" s="327"/>
      <c r="H95" s="327"/>
      <c r="I95" s="327"/>
    </row>
    <row r="96" spans="1:11" ht="15.75" customHeight="1" x14ac:dyDescent="0.25">
      <c r="A96" s="69" t="s">
        <v>67</v>
      </c>
      <c r="B96" s="4"/>
      <c r="C96" s="1"/>
      <c r="G96" s="327" t="s">
        <v>52</v>
      </c>
      <c r="H96" s="327"/>
      <c r="I96" s="327"/>
    </row>
    <row r="97" spans="1:9" ht="15.75" customHeight="1" x14ac:dyDescent="0.25">
      <c r="A97" s="4"/>
      <c r="B97" s="164" t="s">
        <v>62</v>
      </c>
      <c r="C97" s="171">
        <v>1</v>
      </c>
      <c r="D97" s="168" t="s">
        <v>63</v>
      </c>
      <c r="E97" s="167">
        <v>15.99</v>
      </c>
      <c r="G97" s="327"/>
      <c r="H97" s="327"/>
      <c r="I97" s="327"/>
    </row>
    <row r="98" spans="1:9" ht="15.75" customHeight="1" x14ac:dyDescent="0.25">
      <c r="B98" s="164" t="s">
        <v>64</v>
      </c>
      <c r="C98" s="172">
        <v>1</v>
      </c>
      <c r="D98" s="169" t="s">
        <v>63</v>
      </c>
      <c r="E98" s="170">
        <v>20.99</v>
      </c>
      <c r="G98" s="327" t="s">
        <v>106</v>
      </c>
      <c r="H98" s="327"/>
      <c r="I98" s="327"/>
    </row>
    <row r="99" spans="1:9" ht="15.75" customHeight="1" x14ac:dyDescent="0.25">
      <c r="A99" s="4"/>
      <c r="B99" s="163" t="s">
        <v>65</v>
      </c>
      <c r="C99" s="173">
        <v>1</v>
      </c>
      <c r="D99" s="165" t="s">
        <v>63</v>
      </c>
      <c r="E99" s="166">
        <v>26.99</v>
      </c>
      <c r="G99" s="327"/>
      <c r="H99" s="327"/>
      <c r="I99" s="327"/>
    </row>
    <row r="101" spans="1:9" x14ac:dyDescent="0.25">
      <c r="A101" s="69" t="s">
        <v>68</v>
      </c>
      <c r="B101" s="4"/>
      <c r="C101" s="1"/>
    </row>
    <row r="102" spans="1:9" x14ac:dyDescent="0.25">
      <c r="A102" s="4"/>
      <c r="B102" s="164" t="s">
        <v>62</v>
      </c>
      <c r="C102" s="171">
        <v>1</v>
      </c>
      <c r="D102" s="168" t="s">
        <v>63</v>
      </c>
      <c r="E102" s="167">
        <v>21.99</v>
      </c>
    </row>
    <row r="103" spans="1:9" x14ac:dyDescent="0.25">
      <c r="B103" s="164" t="s">
        <v>64</v>
      </c>
      <c r="C103" s="172">
        <v>1</v>
      </c>
      <c r="D103" s="169" t="s">
        <v>63</v>
      </c>
      <c r="E103" s="170">
        <v>25.99</v>
      </c>
    </row>
    <row r="104" spans="1:9" x14ac:dyDescent="0.25">
      <c r="A104" s="4"/>
      <c r="B104" s="163" t="s">
        <v>65</v>
      </c>
      <c r="C104" s="173">
        <v>1</v>
      </c>
      <c r="D104" s="165" t="s">
        <v>63</v>
      </c>
      <c r="E104" s="166">
        <v>30.99</v>
      </c>
    </row>
    <row r="116" spans="1:3" x14ac:dyDescent="0.25">
      <c r="A116" s="60"/>
      <c r="B116" s="60"/>
      <c r="C116" s="61"/>
    </row>
    <row r="117" spans="1:3" x14ac:dyDescent="0.25">
      <c r="A117" s="60"/>
      <c r="B117" s="60"/>
      <c r="C117" s="61"/>
    </row>
    <row r="118" spans="1:3" x14ac:dyDescent="0.25">
      <c r="B118" s="60"/>
      <c r="C118" s="61"/>
    </row>
    <row r="119" spans="1:3" x14ac:dyDescent="0.25">
      <c r="A119" s="60"/>
      <c r="B119" s="60"/>
      <c r="C119" s="61"/>
    </row>
    <row r="120" spans="1:3" x14ac:dyDescent="0.25">
      <c r="B120" s="59"/>
    </row>
    <row r="121" spans="1:3" x14ac:dyDescent="0.25">
      <c r="A121" s="60"/>
      <c r="B121" s="60"/>
      <c r="C121" s="61"/>
    </row>
    <row r="122" spans="1:3" x14ac:dyDescent="0.25">
      <c r="A122" s="60"/>
      <c r="B122" s="60"/>
      <c r="C122" s="61"/>
    </row>
    <row r="123" spans="1:3" x14ac:dyDescent="0.25">
      <c r="B123" s="60"/>
      <c r="C123" s="61"/>
    </row>
    <row r="124" spans="1:3" x14ac:dyDescent="0.25">
      <c r="A124" s="60"/>
      <c r="B124" s="60"/>
      <c r="C124" s="61"/>
    </row>
    <row r="125" spans="1:3" x14ac:dyDescent="0.25">
      <c r="B125" s="59"/>
    </row>
    <row r="126" spans="1:3" x14ac:dyDescent="0.25">
      <c r="A126" s="60"/>
      <c r="B126" s="60"/>
      <c r="C126" s="61"/>
    </row>
    <row r="127" spans="1:3" x14ac:dyDescent="0.25">
      <c r="A127" s="60"/>
      <c r="B127" s="60"/>
      <c r="C127" s="61"/>
    </row>
    <row r="128" spans="1:3" x14ac:dyDescent="0.25">
      <c r="B128" s="60"/>
      <c r="C128" s="61"/>
    </row>
    <row r="129" spans="1:3" x14ac:dyDescent="0.25">
      <c r="A129" s="60"/>
      <c r="B129" s="60"/>
      <c r="C129" s="61"/>
    </row>
  </sheetData>
  <mergeCells count="14">
    <mergeCell ref="P42:R43"/>
    <mergeCell ref="P44:R45"/>
    <mergeCell ref="P30:R31"/>
    <mergeCell ref="P32:R33"/>
    <mergeCell ref="P34:R35"/>
    <mergeCell ref="P36:R37"/>
    <mergeCell ref="P38:R39"/>
    <mergeCell ref="P40:R41"/>
    <mergeCell ref="P19:R19"/>
    <mergeCell ref="P20:R21"/>
    <mergeCell ref="P22:R23"/>
    <mergeCell ref="P24:R25"/>
    <mergeCell ref="P26:R27"/>
    <mergeCell ref="P28:R29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V107"/>
  <sheetViews>
    <sheetView showGridLines="0" topLeftCell="A32" zoomScale="80" zoomScaleNormal="85" workbookViewId="0">
      <selection activeCell="J49" sqref="J49:L66"/>
    </sheetView>
  </sheetViews>
  <sheetFormatPr baseColWidth="10" defaultColWidth="11.5703125" defaultRowHeight="15" x14ac:dyDescent="0.25"/>
  <cols>
    <col min="1" max="1" width="4.7109375" style="5" customWidth="1"/>
    <col min="2" max="2" width="33.5703125" style="5" customWidth="1"/>
    <col min="3" max="3" width="15.85546875" style="5" customWidth="1"/>
    <col min="4" max="4" width="16.85546875" style="5" customWidth="1"/>
    <col min="5" max="5" width="14.28515625" style="5" customWidth="1"/>
    <col min="6" max="6" width="14.140625" style="5" customWidth="1"/>
    <col min="7" max="7" width="15.5703125" style="5" customWidth="1"/>
    <col min="8" max="8" width="14.7109375" style="5" customWidth="1"/>
    <col min="9" max="9" width="13.7109375" style="5" customWidth="1"/>
    <col min="10" max="10" width="17" style="5" customWidth="1"/>
    <col min="11" max="11" width="18.140625" style="5" customWidth="1"/>
    <col min="12" max="12" width="10.85546875" style="5" customWidth="1"/>
    <col min="13" max="13" width="5.7109375" style="5" customWidth="1"/>
    <col min="14" max="14" width="14.140625" style="5" customWidth="1"/>
    <col min="15" max="15" width="16" style="5" customWidth="1"/>
    <col min="16" max="16" width="19" style="5" customWidth="1"/>
    <col min="17" max="17" width="14.5703125" style="5" customWidth="1"/>
    <col min="18" max="18" width="15.5703125" style="5" customWidth="1"/>
    <col min="19" max="19" width="15.28515625" style="5" customWidth="1"/>
    <col min="20" max="20" width="14" style="5" customWidth="1"/>
    <col min="21" max="21" width="3.5703125" style="5" customWidth="1"/>
    <col min="22" max="16384" width="11.5703125" style="5"/>
  </cols>
  <sheetData>
    <row r="1" spans="1:21" ht="15.75" thickBot="1" x14ac:dyDescent="0.3">
      <c r="A1" s="5">
        <v>25</v>
      </c>
    </row>
    <row r="2" spans="1:21" ht="15" customHeight="1" thickBot="1" x14ac:dyDescent="0.3">
      <c r="C2" s="240"/>
      <c r="D2" s="240"/>
      <c r="E2" s="240"/>
      <c r="F2" s="240"/>
      <c r="G2" s="241"/>
      <c r="I2" s="240" t="s">
        <v>69</v>
      </c>
      <c r="J2" s="240"/>
      <c r="K2" s="240"/>
      <c r="L2" s="240"/>
      <c r="M2" s="240"/>
      <c r="N2" s="240"/>
      <c r="O2" s="240"/>
      <c r="P2" s="240"/>
      <c r="Q2" s="240"/>
      <c r="R2" s="240"/>
      <c r="S2" s="240"/>
      <c r="T2" s="240"/>
      <c r="U2" s="241"/>
    </row>
    <row r="3" spans="1:21" ht="15" customHeight="1" thickBot="1" x14ac:dyDescent="0.3">
      <c r="C3" s="240"/>
      <c r="D3" s="240"/>
      <c r="E3" s="240"/>
      <c r="F3" s="240"/>
      <c r="G3" s="241"/>
      <c r="I3" s="240"/>
      <c r="J3" s="240"/>
      <c r="K3" s="240"/>
      <c r="L3" s="240"/>
      <c r="M3" s="240"/>
      <c r="N3" s="240"/>
      <c r="O3" s="240"/>
      <c r="P3" s="240"/>
      <c r="Q3" s="240"/>
      <c r="R3" s="240"/>
      <c r="S3" s="240"/>
      <c r="T3" s="240"/>
      <c r="U3" s="241"/>
    </row>
    <row r="4" spans="1:21" ht="15" customHeight="1" thickBot="1" x14ac:dyDescent="0.3">
      <c r="C4" s="224"/>
      <c r="D4" s="224"/>
      <c r="E4" s="224"/>
      <c r="F4" s="224"/>
      <c r="G4" s="242"/>
      <c r="I4" s="224"/>
      <c r="J4" s="224"/>
      <c r="K4" s="224"/>
      <c r="L4" s="224"/>
      <c r="M4" s="224"/>
      <c r="N4" s="224"/>
      <c r="O4" s="224"/>
      <c r="P4" s="224"/>
      <c r="Q4" s="224"/>
      <c r="R4" s="224"/>
      <c r="S4" s="224"/>
      <c r="T4" s="224"/>
      <c r="U4" s="242"/>
    </row>
    <row r="5" spans="1:21" ht="15.75" customHeight="1" x14ac:dyDescent="0.25">
      <c r="C5" s="87"/>
      <c r="D5" s="87"/>
      <c r="E5" s="87"/>
      <c r="F5" s="87"/>
      <c r="G5" s="87"/>
      <c r="I5" s="100"/>
      <c r="J5" s="100"/>
      <c r="K5" s="100"/>
      <c r="L5" s="100"/>
      <c r="M5" s="100"/>
      <c r="N5" s="100"/>
      <c r="O5" s="100"/>
      <c r="P5" s="100"/>
      <c r="Q5" s="100"/>
      <c r="R5" s="87"/>
    </row>
    <row r="6" spans="1:21" ht="15.75" customHeight="1" thickBot="1" x14ac:dyDescent="0.3">
      <c r="C6" s="81"/>
      <c r="D6" s="81"/>
      <c r="E6" s="81"/>
      <c r="F6" s="81"/>
      <c r="G6" s="81"/>
      <c r="I6" s="82"/>
      <c r="J6" s="82"/>
      <c r="K6" s="82"/>
      <c r="L6" s="82"/>
      <c r="M6" s="82"/>
      <c r="N6" s="82"/>
      <c r="O6" s="82"/>
      <c r="P6" s="82"/>
    </row>
    <row r="7" spans="1:21" ht="20.25" customHeight="1" thickBot="1" x14ac:dyDescent="0.3">
      <c r="B7" s="6"/>
      <c r="C7" s="246" t="s">
        <v>3</v>
      </c>
      <c r="D7" s="266"/>
      <c r="E7" s="246" t="s">
        <v>4</v>
      </c>
      <c r="F7" s="266"/>
      <c r="I7" s="270" t="s">
        <v>3</v>
      </c>
      <c r="J7" s="270"/>
      <c r="K7" s="271"/>
      <c r="L7" s="80"/>
      <c r="M7" s="80"/>
      <c r="P7" s="246" t="s">
        <v>4</v>
      </c>
      <c r="Q7" s="246"/>
      <c r="R7" s="263"/>
      <c r="S7" s="5" t="s">
        <v>11</v>
      </c>
    </row>
    <row r="8" spans="1:21" ht="23.25" customHeight="1" thickBot="1" x14ac:dyDescent="0.3">
      <c r="B8" s="6"/>
      <c r="C8" s="123" t="s">
        <v>70</v>
      </c>
      <c r="D8" s="55" t="s">
        <v>71</v>
      </c>
      <c r="E8" s="54" t="s">
        <v>72</v>
      </c>
      <c r="F8" s="54" t="s">
        <v>73</v>
      </c>
      <c r="G8" s="92"/>
      <c r="H8" s="32"/>
      <c r="I8" s="65"/>
      <c r="J8" s="65"/>
      <c r="L8" s="267" t="s">
        <v>74</v>
      </c>
      <c r="M8" s="268"/>
      <c r="S8" s="101" t="s">
        <v>74</v>
      </c>
    </row>
    <row r="9" spans="1:21" ht="22.5" customHeight="1" thickBot="1" x14ac:dyDescent="0.3">
      <c r="B9" s="126" t="s">
        <v>75</v>
      </c>
      <c r="C9" s="121">
        <v>1000</v>
      </c>
      <c r="D9" s="122">
        <v>5</v>
      </c>
      <c r="E9" s="96">
        <v>100000</v>
      </c>
      <c r="F9" s="96">
        <v>50</v>
      </c>
      <c r="G9" s="93"/>
      <c r="H9" s="34"/>
      <c r="I9" s="246" t="s">
        <v>76</v>
      </c>
      <c r="J9" s="246"/>
      <c r="K9" s="85">
        <v>0</v>
      </c>
      <c r="L9" s="264" t="str">
        <f>IFERROR(K9*(VLOOKUP(K9,Feuil3!A4:C5,3,TRUE)),"")</f>
        <v/>
      </c>
      <c r="M9" s="265"/>
      <c r="P9" s="246" t="s">
        <v>76</v>
      </c>
      <c r="Q9" s="246"/>
      <c r="R9" s="83">
        <v>8</v>
      </c>
      <c r="S9" s="108">
        <f>IFERROR(R9*(VLOOKUP(R9,Feuil3!F4:H5,3,TRUE)),"")</f>
        <v>25.6</v>
      </c>
    </row>
    <row r="10" spans="1:21" ht="22.5" customHeight="1" thickBot="1" x14ac:dyDescent="0.3">
      <c r="B10" s="124"/>
      <c r="C10" s="125"/>
      <c r="D10" s="6"/>
      <c r="E10" s="6"/>
      <c r="F10" s="6"/>
      <c r="G10" s="6"/>
      <c r="H10" s="6"/>
      <c r="I10" s="269" t="s">
        <v>77</v>
      </c>
      <c r="J10" s="269"/>
      <c r="K10" s="85"/>
      <c r="L10" s="264" t="str">
        <f>IFERROR(K10*(VLOOKUP(K10,Feuil3!A7:C8,3,TRUE)),"")</f>
        <v/>
      </c>
      <c r="M10" s="265"/>
      <c r="P10" s="245" t="s">
        <v>77</v>
      </c>
      <c r="Q10" s="245"/>
      <c r="R10" s="84">
        <v>0</v>
      </c>
      <c r="S10" s="109" t="str">
        <f>IFERROR(R10*(VLOOKUP(R10,Feuil3!F7:H8,3,TRUE)),"")</f>
        <v/>
      </c>
    </row>
    <row r="11" spans="1:21" ht="22.5" customHeight="1" thickBot="1" x14ac:dyDescent="0.3">
      <c r="B11" s="6"/>
      <c r="C11" s="6"/>
      <c r="D11" s="6"/>
      <c r="E11" s="6"/>
      <c r="F11" s="6"/>
      <c r="G11" s="56" t="s">
        <v>74</v>
      </c>
      <c r="H11" s="32"/>
      <c r="I11" s="246" t="s">
        <v>78</v>
      </c>
      <c r="J11" s="246"/>
      <c r="K11" s="85"/>
      <c r="L11" s="264" t="str">
        <f>IFERROR(K11*(VLOOKUP(K11,Feuil3!A10:C11,3,TRUE)),"")</f>
        <v/>
      </c>
      <c r="M11" s="265"/>
      <c r="P11" s="245" t="s">
        <v>78</v>
      </c>
      <c r="Q11" s="245"/>
      <c r="R11" s="84"/>
      <c r="S11" s="109" t="str">
        <f>IFERROR(R11*(VLOOKUP(R11,Feuil3!F10:H11,3,TRUE)),"")</f>
        <v/>
      </c>
    </row>
    <row r="12" spans="1:21" ht="22.5" customHeight="1" thickBot="1" x14ac:dyDescent="0.3">
      <c r="B12" s="52" t="s">
        <v>79</v>
      </c>
      <c r="C12" s="41">
        <f>IFERROR(C9*1,0)</f>
        <v>1000</v>
      </c>
      <c r="D12" s="42">
        <f>IFERROR(D9*10,0)</f>
        <v>50</v>
      </c>
      <c r="E12" s="41">
        <f>IFERROR(E9*2,0)</f>
        <v>200000</v>
      </c>
      <c r="F12" s="43">
        <f>IFERROR(F9*20,0)</f>
        <v>1000</v>
      </c>
      <c r="G12" s="40">
        <f>SUM(C12:F12)</f>
        <v>202050</v>
      </c>
      <c r="H12" s="30"/>
      <c r="J12" s="30"/>
      <c r="K12" s="30"/>
      <c r="M12" s="89"/>
      <c r="N12" s="88" t="s">
        <v>74</v>
      </c>
      <c r="P12" s="79"/>
      <c r="Q12" s="79"/>
      <c r="R12" s="79"/>
      <c r="T12" s="88" t="s">
        <v>74</v>
      </c>
    </row>
    <row r="13" spans="1:21" ht="23.25" customHeight="1" thickBot="1" x14ac:dyDescent="0.3">
      <c r="B13" s="52" t="s">
        <v>80</v>
      </c>
      <c r="C13" s="44">
        <f>IFERROR(C9+(E9*2),0)</f>
        <v>201000</v>
      </c>
      <c r="D13" s="41">
        <f>IFERROR(D9+(F9*2),0)</f>
        <v>105</v>
      </c>
      <c r="E13" s="26" t="s">
        <v>81</v>
      </c>
      <c r="F13" s="29"/>
      <c r="G13" s="30"/>
      <c r="H13" s="30"/>
      <c r="I13" s="30"/>
      <c r="J13" s="30"/>
      <c r="K13" s="30"/>
      <c r="L13" s="5" t="s">
        <v>11</v>
      </c>
      <c r="M13" s="90"/>
      <c r="N13" s="106">
        <f>SUM(L9:L11)</f>
        <v>0</v>
      </c>
      <c r="P13" s="79"/>
      <c r="Q13" s="79"/>
      <c r="R13" s="79"/>
      <c r="T13" s="107">
        <f>SUM(S9:S11)</f>
        <v>25.6</v>
      </c>
    </row>
    <row r="14" spans="1:21" ht="24" customHeight="1" thickBot="1" x14ac:dyDescent="0.3">
      <c r="B14" s="31"/>
      <c r="C14" s="29"/>
      <c r="D14" s="29"/>
      <c r="E14" s="29"/>
      <c r="F14" s="29"/>
      <c r="G14" s="30"/>
      <c r="H14" s="30"/>
      <c r="I14" s="30"/>
      <c r="J14" s="30"/>
      <c r="K14" s="30"/>
      <c r="L14" s="26"/>
      <c r="M14" s="26"/>
      <c r="N14" s="26"/>
      <c r="O14" s="26"/>
    </row>
    <row r="15" spans="1:21" ht="21.75" thickBot="1" x14ac:dyDescent="0.3">
      <c r="B15" s="35" t="s">
        <v>82</v>
      </c>
      <c r="C15" s="45">
        <v>1.49</v>
      </c>
      <c r="D15" s="29"/>
      <c r="E15" s="29"/>
      <c r="F15" s="29"/>
      <c r="G15" s="56" t="s">
        <v>74</v>
      </c>
      <c r="H15" s="32"/>
      <c r="I15" s="32"/>
      <c r="J15" s="32"/>
      <c r="K15" s="32"/>
      <c r="L15" s="26" t="s">
        <v>11</v>
      </c>
      <c r="M15" s="26"/>
      <c r="N15" s="26"/>
      <c r="O15" s="26"/>
    </row>
    <row r="16" spans="1:21" ht="21.75" thickBot="1" x14ac:dyDescent="0.3">
      <c r="B16" s="52" t="s">
        <v>83</v>
      </c>
      <c r="C16" s="46">
        <f>IFERROR(C9*(VLOOKUP(C9,Feuil1!A4:C8,3,TRUE)),"")</f>
        <v>80</v>
      </c>
      <c r="D16" s="46">
        <f>IFERROR(D9*(VLOOKUP(D9,Feuil1!A11:C19,3,TRUE)),"")</f>
        <v>3.5</v>
      </c>
      <c r="E16" s="46">
        <f>IFERROR(E9*(VLOOKUP(E9,Feuil1!A4:D8,4,TRUE)),"")</f>
        <v>13000</v>
      </c>
      <c r="F16" s="46">
        <f>IFERROR(F9*(VLOOKUP(F9,Feuil1!A11:D19,4,TRUE)),"")</f>
        <v>55.000000000000007</v>
      </c>
      <c r="G16" s="105">
        <f>SUM(C16:F16)+C15</f>
        <v>13139.99</v>
      </c>
      <c r="H16" s="25"/>
      <c r="I16" s="25"/>
      <c r="J16" s="25"/>
      <c r="K16" s="25"/>
    </row>
    <row r="17" spans="2:21" ht="21.75" customHeight="1" thickBot="1" x14ac:dyDescent="0.3">
      <c r="B17" s="52" t="s">
        <v>84</v>
      </c>
      <c r="C17" s="160">
        <f>IF(Feuil2!C13&gt;0,(IF(Feuil2!C13&gt;500,(VLOOKUP(Feuil2!C13,Feuil1!A23:C31,3,TRUE)),Feuil1!C23)),"")</f>
        <v>874.99</v>
      </c>
      <c r="D17" s="160">
        <f>IF(D13&gt;0,(IF(D13&gt;Feuil1!B34,(VLOOKUP(D13,Feuil1!A34:C43,3,TRUE)),Feuil1!C34)),"")</f>
        <v>99.99</v>
      </c>
      <c r="E17" s="161"/>
      <c r="F17" s="97"/>
      <c r="G17" s="156">
        <f>SUM(C17:F17)</f>
        <v>974.98</v>
      </c>
      <c r="H17" s="247" t="str">
        <f>IF(C13&gt;0,("PACK N/B "&amp;(VLOOKUP((C13),Feuil1!A22:C31,2,TRUE))),"")&amp;IF(D13&gt;0,(" + PACK CMYK "&amp;(VLOOKUP(D13,Feuil1!A34:C43,2,TRUE))),"")</f>
        <v>PACK N/B 25000 + PACK CMYK 250</v>
      </c>
      <c r="I17" s="248"/>
      <c r="J17" s="249"/>
      <c r="K17" s="112"/>
      <c r="L17" s="240" t="s">
        <v>85</v>
      </c>
      <c r="M17" s="240"/>
      <c r="N17" s="240"/>
      <c r="O17" s="240"/>
      <c r="P17" s="240"/>
      <c r="Q17" s="240"/>
      <c r="R17" s="240"/>
      <c r="S17" s="240"/>
      <c r="T17" s="240"/>
      <c r="U17" s="241"/>
    </row>
    <row r="18" spans="2:21" ht="21.75" customHeight="1" thickBot="1" x14ac:dyDescent="0.3">
      <c r="B18" s="27" t="s">
        <v>86</v>
      </c>
      <c r="C18" s="273">
        <f>(ROUNDDOWN(G12/Feuil1!B52,0)*Feuil1!C62)+(IFERROR(VLOOKUP((VLOOKUP((G12-(ROUNDDOWN(G12/25000,0))*Feuil1!B62),Feuil1!A47:B52,2,TRUE)),Feuil1!A47:C52,3,TRUE),0))</f>
        <v>11136.69</v>
      </c>
      <c r="D18" s="273"/>
      <c r="E18" s="162" t="s">
        <v>87</v>
      </c>
      <c r="F18" s="159">
        <v>1</v>
      </c>
      <c r="G18" s="156">
        <f>SUM(C18:C18)+F18</f>
        <v>11137.69</v>
      </c>
      <c r="H18" s="250" t="str">
        <f>IFERROR(IF(G12&lt;Feuil1!B62,"CARTE LIBRE SERVICE "&amp;(VLOOKUP(Feuil2!G12,Feuil1!A47:C52,2,TRUE)),"CARTE LIBRE SERVICE 2500 "&amp;" x"&amp;(ROUNDDOWN(G12/Feuil1!B52,0)))&amp;(IF(G12&gt;2500,IFERROR(" + CARTE LIBRE SERVICE "&amp;(VLOOKUP((G12-(ROUNDDOWN(G12/2500,0))*Feuil1!B62),Feuil1!A47:B52,2,TRUE)),""),"")),"")</f>
        <v>CARTE LIBRE SERVICE 2500  x80 + CARTE LIBRE SERVICE 2500</v>
      </c>
      <c r="I18" s="323"/>
      <c r="J18" s="324"/>
      <c r="K18" s="100"/>
      <c r="L18" s="224"/>
      <c r="M18" s="224"/>
      <c r="N18" s="224"/>
      <c r="O18" s="224"/>
      <c r="P18" s="224"/>
      <c r="Q18" s="224"/>
      <c r="R18" s="224"/>
      <c r="S18" s="224"/>
      <c r="T18" s="224"/>
      <c r="U18" s="242"/>
    </row>
    <row r="19" spans="2:21" ht="24.75" customHeight="1" thickBot="1" x14ac:dyDescent="0.3">
      <c r="B19" s="57"/>
      <c r="G19" s="32" t="s">
        <v>11</v>
      </c>
      <c r="H19" s="32"/>
      <c r="I19" s="32"/>
      <c r="J19" s="32"/>
      <c r="K19" s="32"/>
      <c r="U19" s="78"/>
    </row>
    <row r="20" spans="2:21" ht="21" x14ac:dyDescent="0.25">
      <c r="B20" s="52" t="s">
        <v>83</v>
      </c>
      <c r="C20" s="47">
        <f>IFERROR(IF(C9&gt;0,(VLOOKUP(C9,Feuil1!A4:H8,8,TRUE)),0),0)</f>
        <v>0.08</v>
      </c>
      <c r="D20" s="49">
        <f>IFERROR(IF(D9&gt;0,(VLOOKUP(D9,Feuil1!A11:I19,8,TRUE)),0),0)</f>
        <v>0.7</v>
      </c>
      <c r="E20" s="51">
        <f>IFERROR(IF(E9&gt;0,(VLOOKUP(E9,Feuil1!A4:I8,9,TRUE)),0),0)</f>
        <v>0.13</v>
      </c>
      <c r="F20" s="51">
        <f>IFERROR(IF(F9&gt;0,(VLOOKUP(F9,Feuil1!A11:I19,9,TRUE)),0),0)</f>
        <v>1.1000000000000001</v>
      </c>
      <c r="G20" s="25"/>
      <c r="H20" s="25"/>
      <c r="I20" s="25"/>
      <c r="J20" s="25"/>
      <c r="L20" s="259" t="s">
        <v>88</v>
      </c>
      <c r="M20" s="259"/>
      <c r="N20" s="260"/>
      <c r="P20" s="257" t="s">
        <v>60</v>
      </c>
      <c r="Q20" s="258"/>
    </row>
    <row r="21" spans="2:21" ht="21" x14ac:dyDescent="0.25">
      <c r="B21" s="27" t="s">
        <v>84</v>
      </c>
      <c r="C21" s="47">
        <f>IFERROR(IF(C9&gt;0,(VLOOKUP(C9,Feuil1!A23:H31,8,TRUE)),0),0)</f>
        <v>5.4990000000000004E-2</v>
      </c>
      <c r="D21" s="49">
        <f>IFERROR(IF(D9&gt;0,(VLOOKUP(D9,Feuil1!A34:H43,8,TRUE)),0),0)</f>
        <v>0.44990000000000002</v>
      </c>
      <c r="E21" s="50">
        <f>IFERROR(IF(E9&gt;0,(VLOOKUP(E9,Feuil1!A23:I31,9,TRUE)),0),0)</f>
        <v>6.9999199999999998E-2</v>
      </c>
      <c r="F21" s="158">
        <f>IFERROR(IF(F9&gt;0,(VLOOKUP(F9,Feuil1!A34:I43,9,TRUE)),0),0)</f>
        <v>0.89980000000000004</v>
      </c>
      <c r="G21" s="251" t="str">
        <f>"IL VA RESTE "&amp;(IF(C13&gt;0,((VLOOKUP((C13),Feuil1!A22:C31,2,TRUE))-C13),0))&amp;" PAGES N/B"" + "&amp;(IF(D13&gt;0,((IF(D13&gt;0,(VLOOKUP(D13,Feuil1!A34:C43,2,TRUE)),""))-D13),0))&amp;" PAGES COULEUR"</f>
        <v>IL VA RESTE -176000 PAGES N/B" + 145 PAGES COULEUR</v>
      </c>
      <c r="H21" s="252"/>
      <c r="I21" s="252"/>
      <c r="J21" s="253"/>
      <c r="L21" s="274">
        <v>0</v>
      </c>
      <c r="M21" s="275"/>
      <c r="N21" s="276"/>
      <c r="P21" s="101">
        <v>0</v>
      </c>
      <c r="Q21" s="94"/>
      <c r="S21" s="184" t="s">
        <v>74</v>
      </c>
    </row>
    <row r="22" spans="2:21" ht="21" x14ac:dyDescent="0.25">
      <c r="B22" s="27" t="s">
        <v>86</v>
      </c>
      <c r="C22" s="48">
        <f>IFERROR(IF(C9&gt;0,(VLOOKUP(G12,Feuil1!A47:I55,8,TRUE)),0),0)</f>
        <v>5.4996000000000003E-2</v>
      </c>
      <c r="D22" s="50">
        <f>IFERROR(IF(D9&gt;0,(VLOOKUP(G12,Feuil1!A47:I56,8,TRUE)),0),0)*10</f>
        <v>0.54996</v>
      </c>
      <c r="E22" s="50">
        <f>IFERROR(IF(E9&gt;0,(VLOOKUP(G12,Feuil1!A47:I56,8,TRUE)),0),0)*2</f>
        <v>0.10999200000000001</v>
      </c>
      <c r="F22" s="157">
        <f>IFERROR(IF(F9&gt;0,(VLOOKUP(G12,Feuil1!A47:I56,8,TRUE)),0),0)*20</f>
        <v>1.09992</v>
      </c>
      <c r="G22" s="254" t="str">
        <f>IFERROR("IL RESTE "&amp;(IFERROR(-(G12-(ROUNDDOWN(G12/Feuil1!B55,0)*25000)-((VLOOKUP((G12-(ROUNDDOWN(G12/25000,0))*Feuil1!B65),Feuil1!A47:B55,2,TRUE)))),"0"))&amp;" UNITES SUR LA CARTE",0)</f>
        <v>IL RESTE 0 UNITES SUR LA CARTE</v>
      </c>
      <c r="H22" s="255"/>
      <c r="I22" s="255"/>
      <c r="J22" s="256"/>
      <c r="L22" s="99"/>
      <c r="N22" s="88"/>
      <c r="P22" s="99"/>
      <c r="Q22" s="180" t="s">
        <v>89</v>
      </c>
      <c r="R22" s="179"/>
      <c r="S22" s="183" t="str">
        <f>IFERROR(P21*(VLOOKUP(P21,Feuil3!A74:C75,3,TRUE)),"")</f>
        <v/>
      </c>
    </row>
    <row r="23" spans="2:21" ht="24" thickBot="1" x14ac:dyDescent="0.3">
      <c r="B23" s="73"/>
      <c r="C23" s="74"/>
      <c r="D23" s="75"/>
      <c r="E23" s="75"/>
      <c r="F23" s="76"/>
      <c r="G23" s="77"/>
      <c r="H23" s="77"/>
      <c r="I23" s="77"/>
      <c r="J23" s="77"/>
      <c r="L23" s="77"/>
      <c r="N23" s="106" t="str">
        <f>IFERROR(L21*(VLOOKUP(L21,Feuil3!A70:C70,3,TRUE))+C15,"")</f>
        <v/>
      </c>
      <c r="P23" s="78"/>
      <c r="Q23" s="182" t="s">
        <v>90</v>
      </c>
      <c r="R23" s="181" t="str">
        <f>IF(P21&gt;0,(IF(P21&gt;15,(VLOOKUP(P21,Feuil3!A78:C81,3,TRUE)),Feuil3!C78)),"")</f>
        <v/>
      </c>
      <c r="S23" s="185">
        <f>SUM(R23)</f>
        <v>0</v>
      </c>
      <c r="T23" s="243" t="str">
        <f>IF(P21&gt;0,("PACK SCAN "&amp;(VLOOKUP((P21),Feuil3!A77:C81,2,TRUE))),"")</f>
        <v/>
      </c>
      <c r="U23" s="244"/>
    </row>
    <row r="24" spans="2:21" ht="23.25" x14ac:dyDescent="0.25">
      <c r="B24" s="73"/>
      <c r="C24" s="74"/>
      <c r="D24" s="75"/>
      <c r="F24" s="75"/>
      <c r="G24" s="76"/>
      <c r="H24" s="77"/>
      <c r="J24" s="77"/>
      <c r="L24" s="77"/>
      <c r="M24" s="87"/>
      <c r="N24" s="118"/>
      <c r="O24" s="87"/>
      <c r="P24" s="78"/>
      <c r="Q24" s="119"/>
      <c r="R24" s="81"/>
      <c r="T24" s="111"/>
      <c r="U24" s="99"/>
    </row>
    <row r="25" spans="2:21" ht="24" customHeight="1" x14ac:dyDescent="0.25">
      <c r="B25" s="73"/>
      <c r="C25" s="74"/>
      <c r="D25" s="75"/>
      <c r="E25" s="75"/>
      <c r="F25" s="76"/>
      <c r="G25" s="77"/>
      <c r="I25" s="77"/>
      <c r="J25" s="77"/>
      <c r="L25" s="272" t="s">
        <v>91</v>
      </c>
      <c r="M25" s="272"/>
      <c r="N25" s="272"/>
      <c r="O25" s="272"/>
      <c r="P25" s="272"/>
      <c r="Q25" s="272"/>
      <c r="R25" s="272"/>
      <c r="S25" s="272"/>
      <c r="T25" s="272"/>
      <c r="U25" s="272"/>
    </row>
    <row r="26" spans="2:21" ht="25.5" customHeight="1" thickBot="1" x14ac:dyDescent="0.3">
      <c r="C26" s="39" t="s">
        <v>11</v>
      </c>
      <c r="D26" s="28" t="s">
        <v>11</v>
      </c>
      <c r="E26" s="33" t="s">
        <v>11</v>
      </c>
      <c r="L26" s="24"/>
      <c r="M26" s="24"/>
      <c r="N26" s="24"/>
      <c r="O26" s="24"/>
    </row>
    <row r="27" spans="2:21" ht="47.25" customHeight="1" thickBot="1" x14ac:dyDescent="0.3">
      <c r="B27" s="224" t="s">
        <v>28</v>
      </c>
      <c r="C27" s="224"/>
      <c r="D27" s="224"/>
      <c r="E27" s="224"/>
      <c r="F27" s="224"/>
      <c r="G27" s="224"/>
      <c r="H27" s="224"/>
      <c r="I27" s="224"/>
      <c r="J27" s="224"/>
      <c r="K27" s="224"/>
      <c r="L27" s="224"/>
      <c r="M27" s="224"/>
      <c r="N27" s="224"/>
      <c r="O27" s="224"/>
      <c r="P27" s="224"/>
      <c r="Q27" s="224"/>
      <c r="R27" s="224"/>
      <c r="S27" s="224"/>
      <c r="T27" s="224"/>
      <c r="U27" s="242"/>
    </row>
    <row r="28" spans="2:21" s="87" customFormat="1" ht="27.75" customHeight="1" thickBot="1" x14ac:dyDescent="0.3">
      <c r="B28" s="100"/>
      <c r="C28" s="82"/>
      <c r="D28" s="82"/>
      <c r="E28" s="82"/>
      <c r="F28" s="82"/>
      <c r="G28" s="82"/>
      <c r="H28" s="82"/>
      <c r="I28" s="82"/>
      <c r="J28" s="82"/>
      <c r="K28" s="82"/>
      <c r="L28" s="82"/>
      <c r="M28" s="82"/>
      <c r="N28" s="82"/>
      <c r="O28" s="82"/>
      <c r="P28" s="82"/>
      <c r="Q28" s="82"/>
    </row>
    <row r="29" spans="2:21" ht="27.75" customHeight="1" thickBot="1" x14ac:dyDescent="0.3">
      <c r="B29" s="230" t="s">
        <v>92</v>
      </c>
      <c r="C29" s="230"/>
      <c r="D29" s="281"/>
      <c r="E29" s="26"/>
      <c r="G29" s="92"/>
      <c r="J29" s="261" t="s">
        <v>93</v>
      </c>
      <c r="K29" s="261"/>
      <c r="L29" s="262"/>
      <c r="M29" s="26"/>
      <c r="P29" s="57"/>
    </row>
    <row r="30" spans="2:21" ht="31.5" customHeight="1" thickBot="1" x14ac:dyDescent="0.3">
      <c r="B30" s="340" t="s">
        <v>139</v>
      </c>
      <c r="C30" s="341"/>
      <c r="D30" s="342"/>
      <c r="E30" s="346">
        <v>1</v>
      </c>
      <c r="F30" s="347"/>
      <c r="G30" s="348" t="e" cm="1">
        <f t="array" aca="1" ref="G30" ca="1">_xludf.IF(E30&lt;21,_xludf.VLOOKUP(B30,Feuil1!M70,2,'TRUE'),_xludf.VLOOKUP(B30,Feuil1!M71,2,'TRUE'))</f>
        <v>#NAME?</v>
      </c>
      <c r="J30" s="190" t="s">
        <v>95</v>
      </c>
      <c r="K30" s="190"/>
      <c r="L30" s="190"/>
      <c r="M30" s="222">
        <v>0</v>
      </c>
      <c r="N30" s="222"/>
      <c r="O30" s="222"/>
      <c r="P30" s="98" t="str">
        <f>IFERROR(M30*(VLOOKUP(M30,Feuil3!F19:H20,3,TRUE)+1.1),"")</f>
        <v/>
      </c>
    </row>
    <row r="31" spans="2:21" ht="15" customHeight="1" thickBot="1" x14ac:dyDescent="0.3">
      <c r="B31" s="339"/>
      <c r="C31" s="339"/>
      <c r="D31" s="339"/>
      <c r="E31" s="343"/>
      <c r="F31" s="343"/>
      <c r="G31" s="344"/>
      <c r="J31" s="190" t="s">
        <v>97</v>
      </c>
      <c r="K31" s="190"/>
      <c r="L31" s="190"/>
      <c r="M31" s="191"/>
      <c r="N31" s="191"/>
      <c r="O31" s="191"/>
      <c r="P31" s="221" t="str">
        <f>IFERROR(M31*(VLOOKUP(M31,Feuil3!F22:H23,3,TRUE)+1.3),"")</f>
        <v/>
      </c>
    </row>
    <row r="32" spans="2:21" ht="15.75" customHeight="1" thickBot="1" x14ac:dyDescent="0.3">
      <c r="B32" s="339"/>
      <c r="C32" s="339"/>
      <c r="D32" s="339"/>
      <c r="E32" s="343"/>
      <c r="F32" s="343"/>
      <c r="G32" s="344"/>
      <c r="J32" s="190"/>
      <c r="K32" s="190"/>
      <c r="L32" s="190"/>
      <c r="M32" s="191"/>
      <c r="N32" s="191"/>
      <c r="O32" s="191"/>
      <c r="P32" s="221"/>
    </row>
    <row r="33" spans="2:17" ht="15" customHeight="1" thickBot="1" x14ac:dyDescent="0.3">
      <c r="B33" s="339"/>
      <c r="C33" s="339"/>
      <c r="D33" s="339"/>
      <c r="E33" s="343"/>
      <c r="F33" s="343"/>
      <c r="G33" s="344"/>
      <c r="J33" s="190" t="s">
        <v>99</v>
      </c>
      <c r="K33" s="190"/>
      <c r="L33" s="190"/>
      <c r="M33" s="191">
        <v>0</v>
      </c>
      <c r="N33" s="191"/>
      <c r="O33" s="191"/>
      <c r="P33" s="221" t="str">
        <f>IFERROR(M33*(VLOOKUP(M33,Feuil3!F25:H26,3,TRUE)+1.6),"")</f>
        <v/>
      </c>
    </row>
    <row r="34" spans="2:17" ht="15.75" customHeight="1" thickBot="1" x14ac:dyDescent="0.3">
      <c r="B34" s="339"/>
      <c r="C34" s="339"/>
      <c r="D34" s="339"/>
      <c r="E34" s="343"/>
      <c r="F34" s="343"/>
      <c r="G34" s="344"/>
      <c r="J34" s="190"/>
      <c r="K34" s="190"/>
      <c r="L34" s="190"/>
      <c r="M34" s="191"/>
      <c r="N34" s="191"/>
      <c r="O34" s="191"/>
      <c r="P34" s="221"/>
    </row>
    <row r="35" spans="2:17" ht="15" customHeight="1" thickBot="1" x14ac:dyDescent="0.3">
      <c r="B35" s="339"/>
      <c r="C35" s="339"/>
      <c r="D35" s="339"/>
      <c r="E35" s="343"/>
      <c r="F35" s="343"/>
      <c r="G35" s="344"/>
      <c r="J35" s="190" t="s">
        <v>101</v>
      </c>
      <c r="K35" s="190"/>
      <c r="L35" s="190"/>
      <c r="M35" s="191">
        <v>0</v>
      </c>
      <c r="N35" s="191"/>
      <c r="O35" s="191"/>
      <c r="P35" s="221" t="str">
        <f>IFERROR(M35*(VLOOKUP(M35,Feuil3!F28:H29,3,TRUE)+1.7),"")</f>
        <v/>
      </c>
    </row>
    <row r="36" spans="2:17" ht="15.75" customHeight="1" thickBot="1" x14ac:dyDescent="0.3">
      <c r="B36" s="339"/>
      <c r="C36" s="339"/>
      <c r="D36" s="339"/>
      <c r="E36" s="343"/>
      <c r="F36" s="343"/>
      <c r="G36" s="344"/>
      <c r="J36" s="190"/>
      <c r="K36" s="190"/>
      <c r="L36" s="190"/>
      <c r="M36" s="191"/>
      <c r="N36" s="191"/>
      <c r="O36" s="191"/>
      <c r="P36" s="221"/>
    </row>
    <row r="37" spans="2:17" ht="15" customHeight="1" thickBot="1" x14ac:dyDescent="0.3">
      <c r="B37" s="339"/>
      <c r="C37" s="339"/>
      <c r="D37" s="339"/>
      <c r="E37" s="343"/>
      <c r="F37" s="343"/>
      <c r="G37" s="344"/>
      <c r="J37" s="190" t="s">
        <v>103</v>
      </c>
      <c r="K37" s="190"/>
      <c r="L37" s="190"/>
      <c r="M37" s="191">
        <v>0</v>
      </c>
      <c r="N37" s="191"/>
      <c r="O37" s="191"/>
      <c r="P37" s="221" t="str">
        <f>IFERROR(M37*(VLOOKUP(M37,Feuil3!F31:H32,3,TRUE)+1.8),"")</f>
        <v/>
      </c>
    </row>
    <row r="38" spans="2:17" ht="15.75" customHeight="1" thickBot="1" x14ac:dyDescent="0.3">
      <c r="B38" s="339"/>
      <c r="C38" s="339"/>
      <c r="D38" s="339"/>
      <c r="E38" s="343"/>
      <c r="F38" s="343"/>
      <c r="G38" s="344"/>
      <c r="J38" s="190"/>
      <c r="K38" s="190"/>
      <c r="L38" s="190"/>
      <c r="M38" s="191"/>
      <c r="N38" s="191"/>
      <c r="O38" s="191"/>
      <c r="P38" s="221"/>
    </row>
    <row r="39" spans="2:17" ht="15" customHeight="1" thickBot="1" x14ac:dyDescent="0.3">
      <c r="B39" s="339"/>
      <c r="C39" s="339"/>
      <c r="D39" s="339"/>
      <c r="E39" s="343"/>
      <c r="F39" s="343"/>
      <c r="G39" s="344"/>
      <c r="J39" s="228" t="s">
        <v>52</v>
      </c>
      <c r="K39" s="228"/>
      <c r="L39" s="228"/>
      <c r="M39" s="191">
        <v>0</v>
      </c>
      <c r="N39" s="191"/>
      <c r="O39" s="191"/>
      <c r="P39" s="221" t="str">
        <f>IFERROR(M39*(VLOOKUP(M39,Feuil3!A61:C61,3,TRUE)),"")</f>
        <v/>
      </c>
    </row>
    <row r="40" spans="2:17" ht="15.75" customHeight="1" thickBot="1" x14ac:dyDescent="0.3">
      <c r="B40" s="339"/>
      <c r="C40" s="339"/>
      <c r="D40" s="339"/>
      <c r="E40" s="343"/>
      <c r="F40" s="343"/>
      <c r="G40" s="344"/>
      <c r="J40" s="228"/>
      <c r="K40" s="228"/>
      <c r="L40" s="228"/>
      <c r="M40" s="191"/>
      <c r="N40" s="191"/>
      <c r="O40" s="191"/>
      <c r="P40" s="221"/>
    </row>
    <row r="41" spans="2:17" ht="15" customHeight="1" thickBot="1" x14ac:dyDescent="0.3">
      <c r="B41" s="339"/>
      <c r="C41" s="339"/>
      <c r="D41" s="339"/>
      <c r="E41" s="343"/>
      <c r="F41" s="343"/>
      <c r="G41" s="344"/>
      <c r="J41" s="228" t="s">
        <v>106</v>
      </c>
      <c r="K41" s="228"/>
      <c r="L41" s="228"/>
      <c r="M41" s="191">
        <v>0</v>
      </c>
      <c r="N41" s="191"/>
      <c r="O41" s="191"/>
      <c r="P41" s="221" t="str">
        <f>IFERROR(M41*(VLOOKUP(M41,Feuil3!A61:C61,3,TRUE)),"")</f>
        <v/>
      </c>
    </row>
    <row r="42" spans="2:17" ht="15.75" customHeight="1" thickBot="1" x14ac:dyDescent="0.3">
      <c r="B42" s="339"/>
      <c r="C42" s="339"/>
      <c r="D42" s="339"/>
      <c r="E42" s="343"/>
      <c r="F42" s="343"/>
      <c r="G42" s="344"/>
      <c r="J42" s="190"/>
      <c r="K42" s="190"/>
      <c r="L42" s="190"/>
      <c r="M42" s="222"/>
      <c r="N42" s="222"/>
      <c r="O42" s="222"/>
      <c r="P42" s="279"/>
    </row>
    <row r="43" spans="2:17" ht="15" customHeight="1" thickBot="1" x14ac:dyDescent="0.3">
      <c r="B43" s="339"/>
      <c r="C43" s="339"/>
      <c r="D43" s="339"/>
      <c r="E43" s="343"/>
      <c r="F43" s="343"/>
      <c r="G43" s="344"/>
      <c r="Q43" s="277" t="s">
        <v>74</v>
      </c>
    </row>
    <row r="44" spans="2:17" ht="15.75" customHeight="1" thickBot="1" x14ac:dyDescent="0.3">
      <c r="B44" s="339"/>
      <c r="C44" s="339"/>
      <c r="D44" s="339"/>
      <c r="E44" s="343"/>
      <c r="F44" s="343"/>
      <c r="G44" s="344"/>
      <c r="Q44" s="277"/>
    </row>
    <row r="45" spans="2:17" ht="15" customHeight="1" thickBot="1" x14ac:dyDescent="0.3">
      <c r="B45" s="339"/>
      <c r="C45" s="339"/>
      <c r="D45" s="339"/>
      <c r="E45" s="343"/>
      <c r="F45" s="343"/>
      <c r="G45" s="344"/>
      <c r="Q45" s="192">
        <f>SUM(P30:P42)</f>
        <v>0</v>
      </c>
    </row>
    <row r="46" spans="2:17" ht="15.75" customHeight="1" thickBot="1" x14ac:dyDescent="0.3">
      <c r="B46" s="339"/>
      <c r="C46" s="339"/>
      <c r="D46" s="339"/>
      <c r="E46" s="343"/>
      <c r="F46" s="343"/>
      <c r="G46" s="344"/>
      <c r="Q46" s="278"/>
    </row>
    <row r="47" spans="2:17" ht="15" customHeight="1" thickBot="1" x14ac:dyDescent="0.3">
      <c r="B47" s="339"/>
      <c r="C47" s="339"/>
      <c r="D47" s="339"/>
      <c r="E47" s="343"/>
      <c r="F47" s="343"/>
      <c r="G47" s="344"/>
      <c r="J47" s="230" t="s">
        <v>110</v>
      </c>
      <c r="K47" s="230"/>
      <c r="L47" s="230"/>
      <c r="M47" s="229"/>
      <c r="N47" s="229"/>
      <c r="O47" s="229"/>
      <c r="P47" s="280"/>
    </row>
    <row r="48" spans="2:17" ht="15.75" customHeight="1" thickBot="1" x14ac:dyDescent="0.3">
      <c r="B48" s="339"/>
      <c r="C48" s="339"/>
      <c r="D48" s="339"/>
      <c r="E48" s="343"/>
      <c r="F48" s="343"/>
      <c r="G48" s="344"/>
      <c r="J48" s="230"/>
      <c r="K48" s="230"/>
      <c r="L48" s="230"/>
      <c r="M48" s="229"/>
      <c r="N48" s="229"/>
      <c r="O48" s="229"/>
      <c r="P48" s="280"/>
    </row>
    <row r="49" spans="1:17" ht="15" customHeight="1" thickBot="1" x14ac:dyDescent="0.3">
      <c r="B49" s="339"/>
      <c r="C49" s="339"/>
      <c r="D49" s="339"/>
      <c r="E49" s="343"/>
      <c r="F49" s="343"/>
      <c r="G49" s="344"/>
      <c r="J49" s="228" t="s">
        <v>112</v>
      </c>
      <c r="K49" s="228"/>
      <c r="L49" s="228"/>
      <c r="M49" s="191"/>
      <c r="N49" s="191"/>
      <c r="O49" s="191"/>
      <c r="P49" s="221" t="str">
        <f>IFERROR(M49*(VLOOKUP(M49,Feuil3!F40:H41,3,TRUE)+1.1),"")</f>
        <v/>
      </c>
    </row>
    <row r="50" spans="1:17" ht="15.75" customHeight="1" thickBot="1" x14ac:dyDescent="0.3">
      <c r="B50" s="339"/>
      <c r="C50" s="339"/>
      <c r="D50" s="339"/>
      <c r="E50" s="343"/>
      <c r="F50" s="343"/>
      <c r="G50" s="344"/>
      <c r="J50" s="228"/>
      <c r="K50" s="228"/>
      <c r="L50" s="228"/>
      <c r="M50" s="191"/>
      <c r="N50" s="191"/>
      <c r="O50" s="191"/>
      <c r="P50" s="221"/>
    </row>
    <row r="51" spans="1:17" ht="15" customHeight="1" thickBot="1" x14ac:dyDescent="0.3">
      <c r="B51" s="339"/>
      <c r="C51" s="339"/>
      <c r="D51" s="339"/>
      <c r="E51" s="343"/>
      <c r="F51" s="343"/>
      <c r="G51" s="344"/>
      <c r="J51" s="228" t="s">
        <v>114</v>
      </c>
      <c r="K51" s="228"/>
      <c r="L51" s="228"/>
      <c r="M51" s="191">
        <v>0</v>
      </c>
      <c r="N51" s="191"/>
      <c r="O51" s="191"/>
      <c r="P51" s="221" t="str">
        <f>IFERROR(M51*(VLOOKUP(M51,Feuil3!F43:H44,3,TRUE)+1.1),"")</f>
        <v/>
      </c>
    </row>
    <row r="52" spans="1:17" ht="15.75" customHeight="1" thickBot="1" x14ac:dyDescent="0.3">
      <c r="B52" s="339"/>
      <c r="C52" s="339"/>
      <c r="D52" s="339"/>
      <c r="E52" s="343"/>
      <c r="F52" s="343"/>
      <c r="G52" s="344"/>
      <c r="J52" s="228"/>
      <c r="K52" s="228"/>
      <c r="L52" s="228"/>
      <c r="M52" s="191"/>
      <c r="N52" s="191"/>
      <c r="O52" s="191"/>
      <c r="P52" s="221"/>
      <c r="Q52" s="91"/>
    </row>
    <row r="53" spans="1:17" ht="15" customHeight="1" thickBot="1" x14ac:dyDescent="0.3">
      <c r="B53" s="339"/>
      <c r="C53" s="339"/>
      <c r="D53" s="339"/>
      <c r="E53" s="343"/>
      <c r="F53" s="343"/>
      <c r="G53" s="344"/>
      <c r="J53" s="228" t="s">
        <v>116</v>
      </c>
      <c r="K53" s="228"/>
      <c r="L53" s="228"/>
      <c r="M53" s="191">
        <v>0</v>
      </c>
      <c r="N53" s="191"/>
      <c r="O53" s="191"/>
      <c r="P53" s="221" t="str">
        <f>IFERROR(M53*(VLOOKUP(M53,Feuil3!F46:H47,3,TRUE)+1.3),"")</f>
        <v/>
      </c>
    </row>
    <row r="54" spans="1:17" ht="15.75" customHeight="1" thickBot="1" x14ac:dyDescent="0.3">
      <c r="B54" s="339"/>
      <c r="C54" s="339"/>
      <c r="D54" s="339"/>
      <c r="E54" s="343"/>
      <c r="F54" s="343"/>
      <c r="G54" s="344"/>
      <c r="J54" s="228"/>
      <c r="K54" s="228"/>
      <c r="L54" s="228"/>
      <c r="M54" s="191"/>
      <c r="N54" s="191"/>
      <c r="O54" s="191"/>
      <c r="P54" s="221"/>
    </row>
    <row r="55" spans="1:17" ht="15" customHeight="1" thickBot="1" x14ac:dyDescent="0.3">
      <c r="B55" s="339"/>
      <c r="C55" s="339"/>
      <c r="D55" s="339"/>
      <c r="E55" s="343"/>
      <c r="F55" s="343"/>
      <c r="G55" s="344"/>
      <c r="J55" s="228" t="s">
        <v>118</v>
      </c>
      <c r="K55" s="228"/>
      <c r="L55" s="228"/>
      <c r="M55" s="191">
        <v>0</v>
      </c>
      <c r="N55" s="191"/>
      <c r="O55" s="191"/>
      <c r="P55" s="221" t="str">
        <f>IFERROR(M55*(VLOOKUP(M55,Feuil3!F49:H50,3,TRUE)+1.6),"")</f>
        <v/>
      </c>
    </row>
    <row r="56" spans="1:17" ht="15.75" customHeight="1" thickBot="1" x14ac:dyDescent="0.3">
      <c r="B56" s="339"/>
      <c r="C56" s="339"/>
      <c r="D56" s="339"/>
      <c r="E56" s="343"/>
      <c r="F56" s="343"/>
      <c r="G56" s="344"/>
      <c r="J56" s="228"/>
      <c r="K56" s="228"/>
      <c r="L56" s="228"/>
      <c r="M56" s="191"/>
      <c r="N56" s="191"/>
      <c r="O56" s="191"/>
      <c r="P56" s="221"/>
    </row>
    <row r="57" spans="1:17" ht="15.75" customHeight="1" thickBot="1" x14ac:dyDescent="0.3">
      <c r="B57" s="339"/>
      <c r="C57" s="339"/>
      <c r="D57" s="339"/>
      <c r="E57" s="343"/>
      <c r="F57" s="343"/>
      <c r="G57" s="344"/>
      <c r="J57" s="228" t="s">
        <v>101</v>
      </c>
      <c r="K57" s="228"/>
      <c r="L57" s="228"/>
      <c r="M57" s="191">
        <v>0</v>
      </c>
      <c r="N57" s="191"/>
      <c r="O57" s="191"/>
      <c r="P57" s="221" t="str">
        <f>IFERROR(M57*(VLOOKUP(M57,Feuil3!F52:H53,3,TRUE)+1.7),"")</f>
        <v/>
      </c>
    </row>
    <row r="58" spans="1:17" ht="16.5" customHeight="1" thickBot="1" x14ac:dyDescent="0.3">
      <c r="A58" s="87"/>
      <c r="B58" s="339"/>
      <c r="C58" s="339"/>
      <c r="D58" s="339"/>
      <c r="E58" s="343"/>
      <c r="F58" s="343"/>
      <c r="G58" s="344"/>
      <c r="J58" s="228"/>
      <c r="K58" s="228"/>
      <c r="L58" s="228"/>
      <c r="M58" s="191"/>
      <c r="N58" s="191"/>
      <c r="O58" s="191"/>
      <c r="P58" s="221"/>
    </row>
    <row r="59" spans="1:17" ht="21.75" customHeight="1" thickBot="1" x14ac:dyDescent="0.3">
      <c r="A59" s="87"/>
      <c r="B59" s="339"/>
      <c r="C59" s="339"/>
      <c r="D59" s="339"/>
      <c r="E59" s="343"/>
      <c r="F59" s="343"/>
      <c r="G59" s="344"/>
      <c r="J59" s="228" t="s">
        <v>119</v>
      </c>
      <c r="K59" s="228"/>
      <c r="L59" s="228"/>
      <c r="M59" s="191">
        <v>0</v>
      </c>
      <c r="N59" s="191"/>
      <c r="O59" s="191"/>
      <c r="P59" s="221" t="str">
        <f>IFERROR(M59*(VLOOKUP(M59,Feuil3!F55:H56,3,TRUE)+1.8),"")</f>
        <v/>
      </c>
    </row>
    <row r="60" spans="1:17" ht="9.75" customHeight="1" thickBot="1" x14ac:dyDescent="0.3">
      <c r="B60" s="339"/>
      <c r="C60" s="339"/>
      <c r="D60" s="339"/>
      <c r="E60" s="343"/>
      <c r="F60" s="343"/>
      <c r="G60" s="344"/>
      <c r="J60" s="228"/>
      <c r="K60" s="228"/>
      <c r="L60" s="228"/>
      <c r="M60" s="191"/>
      <c r="N60" s="191"/>
      <c r="O60" s="191"/>
      <c r="P60" s="221"/>
    </row>
    <row r="61" spans="1:17" ht="28.5" customHeight="1" thickBot="1" x14ac:dyDescent="0.3">
      <c r="G61" s="87"/>
      <c r="H61" s="53" t="s">
        <v>74</v>
      </c>
      <c r="J61" s="228" t="s">
        <v>120</v>
      </c>
      <c r="K61" s="228"/>
      <c r="L61" s="228"/>
      <c r="M61" s="191">
        <v>0</v>
      </c>
      <c r="N61" s="191"/>
      <c r="O61" s="191"/>
      <c r="P61" s="221" t="str">
        <f>IFERROR(M61*(VLOOKUP(M61,Feuil3!F58:H59,3,TRUE)+2.4),"")</f>
        <v/>
      </c>
    </row>
    <row r="62" spans="1:17" ht="6" customHeight="1" thickBot="1" x14ac:dyDescent="0.3">
      <c r="H62" s="192" t="e">
        <f ca="1">SUM(G30:G60)</f>
        <v>#NAME?</v>
      </c>
      <c r="J62" s="228"/>
      <c r="K62" s="228"/>
      <c r="L62" s="228"/>
      <c r="M62" s="191"/>
      <c r="N62" s="191"/>
      <c r="O62" s="191"/>
      <c r="P62" s="221"/>
    </row>
    <row r="63" spans="1:17" ht="21.75" customHeight="1" thickBot="1" x14ac:dyDescent="0.3">
      <c r="H63" s="192"/>
      <c r="I63" s="57"/>
      <c r="J63" s="227" t="s">
        <v>121</v>
      </c>
      <c r="K63" s="227"/>
      <c r="L63" s="227"/>
      <c r="M63" s="191">
        <v>0</v>
      </c>
      <c r="N63" s="191"/>
      <c r="O63" s="191"/>
      <c r="P63" s="221" t="str">
        <f>IFERROR(M63*(VLOOKUP(M63,Feuil3!F61:H62,3,TRUE)+2.6),"")</f>
        <v/>
      </c>
    </row>
    <row r="64" spans="1:17" ht="14.25" customHeight="1" thickBot="1" x14ac:dyDescent="0.3">
      <c r="H64" s="278"/>
      <c r="I64" s="86"/>
      <c r="J64" s="227"/>
      <c r="K64" s="227"/>
      <c r="L64" s="227"/>
      <c r="M64" s="191"/>
      <c r="N64" s="191"/>
      <c r="O64" s="191"/>
      <c r="P64" s="221"/>
    </row>
    <row r="65" spans="1:22" ht="13.5" customHeight="1" thickBot="1" x14ac:dyDescent="0.3">
      <c r="I65" s="95"/>
      <c r="J65" s="227" t="s">
        <v>122</v>
      </c>
      <c r="K65" s="227"/>
      <c r="L65" s="227"/>
      <c r="M65" s="191">
        <v>0</v>
      </c>
      <c r="N65" s="191"/>
      <c r="O65" s="191"/>
      <c r="P65" s="221" t="str">
        <f>IFERROR(M65*(VLOOKUP(M65,Feuil3!F64:H65,3,TRUE)+3.7),"")</f>
        <v/>
      </c>
    </row>
    <row r="66" spans="1:22" ht="20.25" customHeight="1" thickBot="1" x14ac:dyDescent="0.3">
      <c r="I66" s="94"/>
      <c r="J66" s="227"/>
      <c r="K66" s="227"/>
      <c r="L66" s="227"/>
      <c r="M66" s="191"/>
      <c r="N66" s="191"/>
      <c r="O66" s="191"/>
      <c r="P66" s="221"/>
    </row>
    <row r="67" spans="1:22" ht="13.5" customHeight="1" thickBot="1" x14ac:dyDescent="0.3">
      <c r="B67" s="230" t="s">
        <v>123</v>
      </c>
      <c r="C67" s="230"/>
      <c r="D67" s="230"/>
      <c r="E67" s="230"/>
      <c r="F67" s="230"/>
      <c r="G67" s="281"/>
      <c r="J67" s="228" t="s">
        <v>106</v>
      </c>
      <c r="K67" s="228"/>
      <c r="L67" s="228"/>
      <c r="M67" s="191">
        <v>0</v>
      </c>
      <c r="N67" s="191"/>
      <c r="O67" s="191"/>
      <c r="P67" s="221" t="str">
        <f>IFERROR(M67*(VLOOKUP(M67,Feuil3!A61:C61,3,TRUE)),"")</f>
        <v/>
      </c>
    </row>
    <row r="68" spans="1:22" ht="20.25" customHeight="1" thickBot="1" x14ac:dyDescent="0.3">
      <c r="B68" s="261"/>
      <c r="C68" s="261"/>
      <c r="D68" s="261"/>
      <c r="E68" s="261"/>
      <c r="F68" s="261"/>
      <c r="G68" s="262"/>
      <c r="J68" s="190"/>
      <c r="K68" s="190"/>
      <c r="L68" s="190"/>
      <c r="M68" s="222"/>
      <c r="N68" s="222"/>
      <c r="O68" s="222"/>
      <c r="P68" s="279"/>
    </row>
    <row r="69" spans="1:22" ht="28.5" customHeight="1" thickBot="1" x14ac:dyDescent="0.3">
      <c r="H69" s="56" t="s">
        <v>74</v>
      </c>
      <c r="Q69" s="56" t="s">
        <v>74</v>
      </c>
    </row>
    <row r="70" spans="1:22" ht="14.25" customHeight="1" thickBot="1" x14ac:dyDescent="0.3">
      <c r="A70" s="104"/>
      <c r="B70" s="104"/>
      <c r="C70" s="104"/>
      <c r="D70" s="104"/>
      <c r="E70" s="104"/>
      <c r="H70" s="192" t="e">
        <f ca="1">SUM(G16,H62,Q45,Q70)</f>
        <v>#NAME?</v>
      </c>
      <c r="Q70" s="192">
        <f>SUM(P49:P68)</f>
        <v>0</v>
      </c>
    </row>
    <row r="71" spans="1:22" ht="18.75" customHeight="1" thickBot="1" x14ac:dyDescent="0.3">
      <c r="H71" s="278"/>
      <c r="J71" s="104"/>
      <c r="K71" s="104"/>
      <c r="L71" s="104"/>
      <c r="M71" s="104"/>
      <c r="N71" s="104"/>
      <c r="Q71" s="278"/>
    </row>
    <row r="73" spans="1:22" ht="15" customHeight="1" x14ac:dyDescent="0.25">
      <c r="B73" s="103"/>
      <c r="C73" s="103"/>
      <c r="D73" s="103"/>
      <c r="E73" s="103"/>
      <c r="F73" s="103"/>
      <c r="G73" s="103"/>
      <c r="H73" s="103"/>
      <c r="I73" s="103"/>
      <c r="J73" s="103"/>
      <c r="K73" s="103"/>
      <c r="L73" s="103"/>
    </row>
    <row r="74" spans="1:22" ht="16.5" customHeight="1" thickBot="1" x14ac:dyDescent="0.3">
      <c r="B74" s="103"/>
      <c r="C74" s="103"/>
      <c r="D74" s="103"/>
      <c r="E74" s="103"/>
      <c r="F74" s="103"/>
      <c r="G74" s="103"/>
      <c r="H74" s="103"/>
      <c r="I74" s="103"/>
      <c r="J74" s="103"/>
      <c r="K74" s="103"/>
      <c r="L74" s="103"/>
    </row>
    <row r="75" spans="1:22" ht="47.25" customHeight="1" thickBot="1" x14ac:dyDescent="0.3">
      <c r="B75" s="224" t="s">
        <v>124</v>
      </c>
      <c r="C75" s="224"/>
      <c r="D75" s="224"/>
      <c r="E75" s="224"/>
      <c r="F75" s="224"/>
      <c r="G75" s="242"/>
      <c r="H75" s="100"/>
      <c r="I75" s="100"/>
      <c r="J75" s="224" t="s">
        <v>125</v>
      </c>
      <c r="K75" s="225"/>
      <c r="L75" s="225"/>
      <c r="M75" s="225"/>
      <c r="N75" s="225"/>
      <c r="O75" s="225"/>
      <c r="P75" s="226"/>
      <c r="Q75" s="100"/>
      <c r="R75" s="100"/>
      <c r="S75" s="100"/>
      <c r="T75" s="100"/>
      <c r="U75" s="100"/>
      <c r="V75" s="87"/>
    </row>
    <row r="76" spans="1:22" ht="15" customHeight="1" x14ac:dyDescent="0.25">
      <c r="B76" s="102"/>
      <c r="C76" s="102"/>
      <c r="D76" s="102"/>
      <c r="E76" s="102"/>
      <c r="F76" s="102"/>
      <c r="G76" s="102"/>
      <c r="H76" s="102"/>
      <c r="I76" s="102"/>
      <c r="J76" s="102"/>
      <c r="K76" s="102"/>
      <c r="L76" s="102"/>
    </row>
    <row r="77" spans="1:22" ht="21" customHeight="1" thickBot="1" x14ac:dyDescent="0.3">
      <c r="B77" s="102"/>
      <c r="C77" s="102"/>
      <c r="D77" s="102"/>
      <c r="E77" s="102"/>
      <c r="F77" s="102"/>
      <c r="G77" s="102"/>
      <c r="H77" s="102"/>
      <c r="I77" s="102"/>
      <c r="J77" s="102"/>
      <c r="K77" s="102"/>
      <c r="L77" s="102"/>
    </row>
    <row r="78" spans="1:22" ht="40.5" customHeight="1" thickBot="1" x14ac:dyDescent="0.3">
      <c r="B78" s="176" t="s">
        <v>126</v>
      </c>
      <c r="C78" s="200" t="s">
        <v>62</v>
      </c>
      <c r="D78" s="200"/>
      <c r="E78" s="222">
        <v>0</v>
      </c>
      <c r="F78" s="223"/>
      <c r="G78" s="174" t="str">
        <f>IFERROR(E78*(VLOOKUP(E78,Feuil3!C87:E87,3,TRUE)),"")</f>
        <v/>
      </c>
      <c r="H78" s="87"/>
      <c r="I78" s="87"/>
      <c r="J78" s="231" t="s">
        <v>127</v>
      </c>
      <c r="K78" s="232"/>
      <c r="L78" s="232"/>
      <c r="M78" s="232"/>
      <c r="N78" s="232"/>
      <c r="O78" s="232"/>
      <c r="P78" s="233"/>
    </row>
    <row r="79" spans="1:22" ht="21" customHeight="1" thickBot="1" x14ac:dyDescent="0.3">
      <c r="C79" s="200" t="s">
        <v>64</v>
      </c>
      <c r="D79" s="289"/>
      <c r="E79" s="287"/>
      <c r="F79" s="286"/>
      <c r="G79" s="198" t="str">
        <f>IFERROR(E79*(VLOOKUP(E79,Feuil3!C88:E88,3,TRUE)),"")</f>
        <v/>
      </c>
      <c r="I79" s="87"/>
      <c r="J79" s="234"/>
      <c r="K79" s="235"/>
      <c r="L79" s="235"/>
      <c r="M79" s="235"/>
      <c r="N79" s="235"/>
      <c r="O79" s="235"/>
      <c r="P79" s="236"/>
    </row>
    <row r="80" spans="1:22" ht="21.75" customHeight="1" thickBot="1" x14ac:dyDescent="0.3">
      <c r="C80" s="290"/>
      <c r="D80" s="291"/>
      <c r="E80" s="209"/>
      <c r="F80" s="208"/>
      <c r="G80" s="198"/>
      <c r="J80" s="234"/>
      <c r="K80" s="235"/>
      <c r="L80" s="235"/>
      <c r="M80" s="235"/>
      <c r="N80" s="235"/>
      <c r="O80" s="235"/>
      <c r="P80" s="236"/>
    </row>
    <row r="81" spans="2:17" ht="18.75" customHeight="1" thickBot="1" x14ac:dyDescent="0.3">
      <c r="C81" s="213" t="s">
        <v>65</v>
      </c>
      <c r="D81" s="213"/>
      <c r="E81" s="208"/>
      <c r="F81" s="208"/>
      <c r="G81" s="198" t="str">
        <f>IFERROR(E81*(VLOOKUP(E81,Feuil3!C89:E89,3,TRUE)),"")</f>
        <v/>
      </c>
      <c r="J81" s="234"/>
      <c r="K81" s="235"/>
      <c r="L81" s="235"/>
      <c r="M81" s="235"/>
      <c r="N81" s="235"/>
      <c r="O81" s="235"/>
      <c r="P81" s="236"/>
    </row>
    <row r="82" spans="2:17" ht="21" customHeight="1" thickBot="1" x14ac:dyDescent="0.3">
      <c r="C82" s="213"/>
      <c r="D82" s="213"/>
      <c r="E82" s="208"/>
      <c r="F82" s="208"/>
      <c r="G82" s="198"/>
      <c r="J82" s="234"/>
      <c r="K82" s="235"/>
      <c r="L82" s="235"/>
      <c r="M82" s="235"/>
      <c r="N82" s="235"/>
      <c r="O82" s="235"/>
      <c r="P82" s="236"/>
    </row>
    <row r="83" spans="2:17" ht="41.25" customHeight="1" thickBot="1" x14ac:dyDescent="0.3">
      <c r="B83" s="176" t="s">
        <v>128</v>
      </c>
      <c r="C83" s="200" t="s">
        <v>62</v>
      </c>
      <c r="D83" s="200"/>
      <c r="E83" s="191"/>
      <c r="F83" s="288"/>
      <c r="G83" s="175" t="str">
        <f>IFERROR(E83*(VLOOKUP(E83,Feuil3!C92:E92,3,TRUE)),"")</f>
        <v/>
      </c>
      <c r="J83" s="234"/>
      <c r="K83" s="235"/>
      <c r="L83" s="235"/>
      <c r="M83" s="235"/>
      <c r="N83" s="235"/>
      <c r="O83" s="235"/>
      <c r="P83" s="236"/>
    </row>
    <row r="84" spans="2:17" ht="22.5" customHeight="1" thickBot="1" x14ac:dyDescent="0.3">
      <c r="C84" s="204" t="s">
        <v>64</v>
      </c>
      <c r="D84" s="205"/>
      <c r="E84" s="209"/>
      <c r="F84" s="282"/>
      <c r="G84" s="285" t="str">
        <f>IFERROR(E84*(VLOOKUP(E84,Feuil3!C93:E93,3,TRUE)),"")</f>
        <v/>
      </c>
      <c r="J84" s="234"/>
      <c r="K84" s="235"/>
      <c r="L84" s="235"/>
      <c r="M84" s="235"/>
      <c r="N84" s="235"/>
      <c r="O84" s="235"/>
      <c r="P84" s="236"/>
    </row>
    <row r="85" spans="2:17" ht="23.25" customHeight="1" thickBot="1" x14ac:dyDescent="0.3">
      <c r="C85" s="206"/>
      <c r="D85" s="207"/>
      <c r="E85" s="283"/>
      <c r="F85" s="284"/>
      <c r="G85" s="285"/>
      <c r="J85" s="234"/>
      <c r="K85" s="235"/>
      <c r="L85" s="235"/>
      <c r="M85" s="235"/>
      <c r="N85" s="235"/>
      <c r="O85" s="235"/>
      <c r="P85" s="236"/>
      <c r="Q85" s="177"/>
    </row>
    <row r="86" spans="2:17" ht="15" customHeight="1" x14ac:dyDescent="0.25">
      <c r="C86" s="213" t="s">
        <v>65</v>
      </c>
      <c r="D86" s="214"/>
      <c r="E86" s="286"/>
      <c r="F86" s="287"/>
      <c r="G86" s="198" t="str">
        <f>IFERROR(E86*(VLOOKUP(E86,Feuil3!C94:E94,3,TRUE)),"")</f>
        <v/>
      </c>
      <c r="J86" s="234"/>
      <c r="K86" s="235"/>
      <c r="L86" s="235"/>
      <c r="M86" s="235"/>
      <c r="N86" s="235"/>
      <c r="O86" s="235"/>
      <c r="P86" s="236"/>
      <c r="Q86" s="177"/>
    </row>
    <row r="87" spans="2:17" ht="30" customHeight="1" thickBot="1" x14ac:dyDescent="0.3">
      <c r="C87" s="206"/>
      <c r="D87" s="207"/>
      <c r="E87" s="210"/>
      <c r="F87" s="211"/>
      <c r="G87" s="199"/>
      <c r="J87" s="234"/>
      <c r="K87" s="235"/>
      <c r="L87" s="235"/>
      <c r="M87" s="235"/>
      <c r="N87" s="235"/>
      <c r="O87" s="235"/>
      <c r="P87" s="236"/>
      <c r="Q87" s="177"/>
    </row>
    <row r="88" spans="2:17" ht="44.25" customHeight="1" thickBot="1" x14ac:dyDescent="0.3">
      <c r="B88" s="176" t="s">
        <v>67</v>
      </c>
      <c r="C88" s="200" t="s">
        <v>62</v>
      </c>
      <c r="D88" s="201"/>
      <c r="E88" s="202">
        <v>0</v>
      </c>
      <c r="F88" s="203"/>
      <c r="G88" s="175" t="str">
        <f>IFERROR(E88*(VLOOKUP(E88,Feuil3!C97:E97,3,TRUE)),"")</f>
        <v/>
      </c>
      <c r="J88" s="234"/>
      <c r="K88" s="235"/>
      <c r="L88" s="235"/>
      <c r="M88" s="235"/>
      <c r="N88" s="235"/>
      <c r="O88" s="235"/>
      <c r="P88" s="236"/>
      <c r="Q88" s="177"/>
    </row>
    <row r="89" spans="2:17" ht="18.75" customHeight="1" x14ac:dyDescent="0.25">
      <c r="C89" s="204" t="s">
        <v>64</v>
      </c>
      <c r="D89" s="205"/>
      <c r="E89" s="208">
        <v>0</v>
      </c>
      <c r="F89" s="209"/>
      <c r="G89" s="198" t="str">
        <f>IFERROR(E89*(VLOOKUP(E89,Feuil3!C98:E98,3,TRUE)),"")</f>
        <v/>
      </c>
      <c r="J89" s="234"/>
      <c r="K89" s="235"/>
      <c r="L89" s="235"/>
      <c r="M89" s="235"/>
      <c r="N89" s="235"/>
      <c r="O89" s="235"/>
      <c r="P89" s="236"/>
      <c r="Q89" s="177"/>
    </row>
    <row r="90" spans="2:17" ht="28.5" customHeight="1" thickBot="1" x14ac:dyDescent="0.3">
      <c r="C90" s="206"/>
      <c r="D90" s="207"/>
      <c r="E90" s="210"/>
      <c r="F90" s="211"/>
      <c r="G90" s="212"/>
      <c r="J90" s="234"/>
      <c r="K90" s="235"/>
      <c r="L90" s="235"/>
      <c r="M90" s="235"/>
      <c r="N90" s="235"/>
      <c r="O90" s="235"/>
      <c r="P90" s="236"/>
      <c r="Q90" s="177"/>
    </row>
    <row r="91" spans="2:17" ht="18.75" customHeight="1" x14ac:dyDescent="0.25">
      <c r="C91" s="213" t="s">
        <v>65</v>
      </c>
      <c r="D91" s="214"/>
      <c r="E91" s="208"/>
      <c r="F91" s="209"/>
      <c r="G91" s="198" t="str">
        <f>IFERROR(E91*(VLOOKUP(E91,Feuil3!C99:E99,3,TRUE)),"")</f>
        <v/>
      </c>
      <c r="J91" s="234"/>
      <c r="K91" s="235"/>
      <c r="L91" s="235"/>
      <c r="M91" s="235"/>
      <c r="N91" s="235"/>
      <c r="O91" s="235"/>
      <c r="P91" s="236"/>
      <c r="Q91" s="177"/>
    </row>
    <row r="92" spans="2:17" ht="29.25" customHeight="1" thickBot="1" x14ac:dyDescent="0.3">
      <c r="C92" s="206"/>
      <c r="D92" s="207"/>
      <c r="E92" s="210"/>
      <c r="F92" s="211"/>
      <c r="G92" s="199"/>
      <c r="J92" s="234"/>
      <c r="K92" s="235"/>
      <c r="L92" s="235"/>
      <c r="M92" s="235"/>
      <c r="N92" s="235"/>
      <c r="O92" s="235"/>
      <c r="P92" s="236"/>
      <c r="Q92" s="177"/>
    </row>
    <row r="93" spans="2:17" ht="42" customHeight="1" thickBot="1" x14ac:dyDescent="0.3">
      <c r="B93" s="176" t="s">
        <v>68</v>
      </c>
      <c r="C93" s="200" t="s">
        <v>62</v>
      </c>
      <c r="D93" s="201"/>
      <c r="E93" s="202">
        <v>0</v>
      </c>
      <c r="F93" s="203"/>
      <c r="G93" s="175" t="str">
        <f>IFERROR(E93*(VLOOKUP(E93,Feuil3!C102:E102,3,TRUE)),"")</f>
        <v/>
      </c>
      <c r="J93" s="234"/>
      <c r="K93" s="235"/>
      <c r="L93" s="235"/>
      <c r="M93" s="235"/>
      <c r="N93" s="235"/>
      <c r="O93" s="235"/>
      <c r="P93" s="236"/>
      <c r="Q93" s="177"/>
    </row>
    <row r="94" spans="2:17" ht="31.5" x14ac:dyDescent="0.25">
      <c r="C94" s="204" t="s">
        <v>64</v>
      </c>
      <c r="D94" s="205"/>
      <c r="E94" s="208">
        <v>0</v>
      </c>
      <c r="F94" s="209"/>
      <c r="G94" s="198" t="str">
        <f>IFERROR(E94*(VLOOKUP(E94,Feuil3!C103:E103,3,TRUE)),"")</f>
        <v/>
      </c>
      <c r="J94" s="234"/>
      <c r="K94" s="235"/>
      <c r="L94" s="235"/>
      <c r="M94" s="235"/>
      <c r="N94" s="235"/>
      <c r="O94" s="235"/>
      <c r="P94" s="236"/>
      <c r="Q94" s="178"/>
    </row>
    <row r="95" spans="2:17" ht="16.5" customHeight="1" thickBot="1" x14ac:dyDescent="0.3">
      <c r="C95" s="206"/>
      <c r="D95" s="207"/>
      <c r="E95" s="210"/>
      <c r="F95" s="211"/>
      <c r="G95" s="212"/>
      <c r="J95" s="234"/>
      <c r="K95" s="235"/>
      <c r="L95" s="235"/>
      <c r="M95" s="235"/>
      <c r="N95" s="235"/>
      <c r="O95" s="235"/>
      <c r="P95" s="236"/>
      <c r="Q95" s="178"/>
    </row>
    <row r="96" spans="2:17" ht="25.5" customHeight="1" x14ac:dyDescent="0.25">
      <c r="C96" s="213" t="s">
        <v>65</v>
      </c>
      <c r="D96" s="214"/>
      <c r="E96" s="208"/>
      <c r="F96" s="209"/>
      <c r="G96" s="198" t="str">
        <f>IFERROR(E96*(VLOOKUP(E96,Feuil3!C104:E104,3,TRUE)),"")</f>
        <v/>
      </c>
      <c r="J96" s="234"/>
      <c r="K96" s="235"/>
      <c r="L96" s="235"/>
      <c r="M96" s="235"/>
      <c r="N96" s="235"/>
      <c r="O96" s="235"/>
      <c r="P96" s="236"/>
      <c r="Q96" s="177"/>
    </row>
    <row r="97" spans="2:17" ht="20.25" customHeight="1" thickBot="1" x14ac:dyDescent="0.3">
      <c r="C97" s="206"/>
      <c r="D97" s="207"/>
      <c r="E97" s="210"/>
      <c r="F97" s="211"/>
      <c r="G97" s="212"/>
      <c r="J97" s="237"/>
      <c r="K97" s="238"/>
      <c r="L97" s="238"/>
      <c r="M97" s="238"/>
      <c r="N97" s="238"/>
      <c r="O97" s="238"/>
      <c r="P97" s="239"/>
      <c r="Q97" s="177"/>
    </row>
    <row r="98" spans="2:17" ht="19.5" customHeight="1" x14ac:dyDescent="0.25">
      <c r="B98" s="194" t="s">
        <v>82</v>
      </c>
      <c r="G98" s="196">
        <v>1.49</v>
      </c>
      <c r="J98" s="177"/>
      <c r="K98" s="177"/>
      <c r="L98" s="177"/>
      <c r="M98" s="177"/>
      <c r="N98" s="177"/>
      <c r="O98" s="177"/>
      <c r="P98" s="177"/>
      <c r="Q98" s="177"/>
    </row>
    <row r="99" spans="2:17" ht="27" customHeight="1" thickBot="1" x14ac:dyDescent="0.3">
      <c r="B99" s="195"/>
      <c r="G99" s="197"/>
      <c r="J99" s="177"/>
      <c r="K99" s="177"/>
      <c r="L99" s="177"/>
      <c r="M99" s="177"/>
      <c r="N99" s="177"/>
      <c r="O99" s="177"/>
      <c r="P99" s="177"/>
      <c r="Q99" s="177"/>
    </row>
    <row r="100" spans="2:17" ht="23.25" customHeight="1" x14ac:dyDescent="0.25">
      <c r="J100" s="177"/>
      <c r="K100" s="177"/>
      <c r="L100" s="177"/>
      <c r="M100" s="177"/>
      <c r="N100" s="177"/>
      <c r="O100" s="177"/>
      <c r="P100" s="177"/>
      <c r="Q100" s="177"/>
    </row>
    <row r="101" spans="2:17" ht="24" customHeight="1" x14ac:dyDescent="0.25"/>
    <row r="102" spans="2:17" ht="15.75" thickBot="1" x14ac:dyDescent="0.3"/>
    <row r="103" spans="2:17" x14ac:dyDescent="0.25">
      <c r="B103" s="215" t="s">
        <v>129</v>
      </c>
      <c r="C103" s="216"/>
      <c r="D103" s="216"/>
      <c r="E103" s="216"/>
      <c r="F103" s="216"/>
      <c r="G103" s="217"/>
    </row>
    <row r="104" spans="2:17" ht="15.75" thickBot="1" x14ac:dyDescent="0.3">
      <c r="B104" s="218"/>
      <c r="C104" s="219"/>
      <c r="D104" s="219"/>
      <c r="E104" s="219"/>
      <c r="F104" s="219"/>
      <c r="G104" s="220"/>
    </row>
    <row r="105" spans="2:17" ht="15.75" thickBot="1" x14ac:dyDescent="0.3">
      <c r="H105" s="56" t="s">
        <v>74</v>
      </c>
    </row>
    <row r="106" spans="2:17" ht="31.5" x14ac:dyDescent="0.25">
      <c r="B106" s="104"/>
      <c r="C106" s="104"/>
      <c r="D106" s="104"/>
      <c r="E106" s="104"/>
      <c r="H106" s="192">
        <f>SUM(G78:G97)+G98</f>
        <v>1.49</v>
      </c>
    </row>
    <row r="107" spans="2:17" ht="15.75" thickBot="1" x14ac:dyDescent="0.3">
      <c r="H107" s="193"/>
    </row>
  </sheetData>
  <mergeCells count="175">
    <mergeCell ref="C89:D90"/>
    <mergeCell ref="E89:F90"/>
    <mergeCell ref="G89:G90"/>
    <mergeCell ref="C91:D92"/>
    <mergeCell ref="E91:F92"/>
    <mergeCell ref="C78:D78"/>
    <mergeCell ref="C84:D85"/>
    <mergeCell ref="E84:F85"/>
    <mergeCell ref="G84:G85"/>
    <mergeCell ref="C86:D87"/>
    <mergeCell ref="E86:F87"/>
    <mergeCell ref="G86:G87"/>
    <mergeCell ref="C88:D88"/>
    <mergeCell ref="E88:F88"/>
    <mergeCell ref="C81:D82"/>
    <mergeCell ref="E79:F80"/>
    <mergeCell ref="E81:F82"/>
    <mergeCell ref="G79:G80"/>
    <mergeCell ref="G81:G82"/>
    <mergeCell ref="C83:D83"/>
    <mergeCell ref="E83:F83"/>
    <mergeCell ref="C79:D80"/>
    <mergeCell ref="B75:G75"/>
    <mergeCell ref="Q70:Q71"/>
    <mergeCell ref="M63:O64"/>
    <mergeCell ref="M65:O66"/>
    <mergeCell ref="P63:P64"/>
    <mergeCell ref="P65:P66"/>
    <mergeCell ref="B57:D58"/>
    <mergeCell ref="E57:F58"/>
    <mergeCell ref="G57:G58"/>
    <mergeCell ref="B59:D60"/>
    <mergeCell ref="E59:F60"/>
    <mergeCell ref="G59:G60"/>
    <mergeCell ref="H62:H64"/>
    <mergeCell ref="B67:G68"/>
    <mergeCell ref="H70:H71"/>
    <mergeCell ref="J67:L68"/>
    <mergeCell ref="M67:O68"/>
    <mergeCell ref="P67:P68"/>
    <mergeCell ref="J59:L60"/>
    <mergeCell ref="M59:O60"/>
    <mergeCell ref="P59:P60"/>
    <mergeCell ref="M61:O62"/>
    <mergeCell ref="P61:P62"/>
    <mergeCell ref="Q43:Q44"/>
    <mergeCell ref="Q45:Q46"/>
    <mergeCell ref="J51:L52"/>
    <mergeCell ref="P51:P52"/>
    <mergeCell ref="E35:F36"/>
    <mergeCell ref="E37:F38"/>
    <mergeCell ref="E39:F40"/>
    <mergeCell ref="J30:L30"/>
    <mergeCell ref="E51:F52"/>
    <mergeCell ref="M33:O34"/>
    <mergeCell ref="P41:P42"/>
    <mergeCell ref="P47:P48"/>
    <mergeCell ref="P37:P38"/>
    <mergeCell ref="P35:P36"/>
    <mergeCell ref="P39:P40"/>
    <mergeCell ref="G39:G40"/>
    <mergeCell ref="E41:F42"/>
    <mergeCell ref="E43:F44"/>
    <mergeCell ref="G31:G32"/>
    <mergeCell ref="J35:L36"/>
    <mergeCell ref="P33:P34"/>
    <mergeCell ref="P31:P32"/>
    <mergeCell ref="M51:O52"/>
    <mergeCell ref="J39:L40"/>
    <mergeCell ref="P7:R7"/>
    <mergeCell ref="B30:D30"/>
    <mergeCell ref="B31:D32"/>
    <mergeCell ref="B33:D34"/>
    <mergeCell ref="J31:L32"/>
    <mergeCell ref="J33:L34"/>
    <mergeCell ref="L11:M11"/>
    <mergeCell ref="E30:F30"/>
    <mergeCell ref="E7:F7"/>
    <mergeCell ref="L10:M10"/>
    <mergeCell ref="L9:M9"/>
    <mergeCell ref="L8:M8"/>
    <mergeCell ref="I9:J9"/>
    <mergeCell ref="I10:J10"/>
    <mergeCell ref="I11:J11"/>
    <mergeCell ref="I7:K7"/>
    <mergeCell ref="J29:L29"/>
    <mergeCell ref="L25:U25"/>
    <mergeCell ref="G33:G34"/>
    <mergeCell ref="C7:D7"/>
    <mergeCell ref="M31:O32"/>
    <mergeCell ref="C18:D18"/>
    <mergeCell ref="L21:N21"/>
    <mergeCell ref="J78:P97"/>
    <mergeCell ref="I2:U4"/>
    <mergeCell ref="L17:U18"/>
    <mergeCell ref="B27:U27"/>
    <mergeCell ref="T23:U23"/>
    <mergeCell ref="P11:Q11"/>
    <mergeCell ref="P10:Q10"/>
    <mergeCell ref="P9:Q9"/>
    <mergeCell ref="E31:F32"/>
    <mergeCell ref="E33:F34"/>
    <mergeCell ref="H17:J17"/>
    <mergeCell ref="H18:J18"/>
    <mergeCell ref="G21:J21"/>
    <mergeCell ref="G22:J22"/>
    <mergeCell ref="C2:G4"/>
    <mergeCell ref="P20:Q20"/>
    <mergeCell ref="L20:N20"/>
    <mergeCell ref="B29:D29"/>
    <mergeCell ref="M30:O30"/>
    <mergeCell ref="G35:G36"/>
    <mergeCell ref="G49:G50"/>
    <mergeCell ref="G47:G48"/>
    <mergeCell ref="G55:G56"/>
    <mergeCell ref="J41:L42"/>
    <mergeCell ref="G45:G46"/>
    <mergeCell ref="J47:L48"/>
    <mergeCell ref="J53:L54"/>
    <mergeCell ref="G51:G52"/>
    <mergeCell ref="E53:F54"/>
    <mergeCell ref="B49:D50"/>
    <mergeCell ref="B39:D40"/>
    <mergeCell ref="B51:D52"/>
    <mergeCell ref="B53:D54"/>
    <mergeCell ref="E45:F46"/>
    <mergeCell ref="E49:F50"/>
    <mergeCell ref="B35:D36"/>
    <mergeCell ref="B43:D44"/>
    <mergeCell ref="M41:O42"/>
    <mergeCell ref="B37:D38"/>
    <mergeCell ref="G37:G38"/>
    <mergeCell ref="M39:O40"/>
    <mergeCell ref="J75:P75"/>
    <mergeCell ref="J65:L66"/>
    <mergeCell ref="J63:L64"/>
    <mergeCell ref="J61:L62"/>
    <mergeCell ref="J55:L56"/>
    <mergeCell ref="J49:L50"/>
    <mergeCell ref="P49:P50"/>
    <mergeCell ref="M49:O50"/>
    <mergeCell ref="P53:P54"/>
    <mergeCell ref="M47:O48"/>
    <mergeCell ref="P55:P56"/>
    <mergeCell ref="P57:P58"/>
    <mergeCell ref="M55:O56"/>
    <mergeCell ref="J57:L58"/>
    <mergeCell ref="M37:O38"/>
    <mergeCell ref="M35:O36"/>
    <mergeCell ref="M57:O58"/>
    <mergeCell ref="M53:O54"/>
    <mergeCell ref="J37:L38"/>
    <mergeCell ref="B55:D56"/>
    <mergeCell ref="B47:D48"/>
    <mergeCell ref="E55:F56"/>
    <mergeCell ref="B41:D42"/>
    <mergeCell ref="H106:H107"/>
    <mergeCell ref="B98:B99"/>
    <mergeCell ref="G98:G99"/>
    <mergeCell ref="G91:G92"/>
    <mergeCell ref="C93:D93"/>
    <mergeCell ref="E93:F93"/>
    <mergeCell ref="C94:D95"/>
    <mergeCell ref="E94:F95"/>
    <mergeCell ref="G94:G95"/>
    <mergeCell ref="C96:D97"/>
    <mergeCell ref="E96:F97"/>
    <mergeCell ref="G96:G97"/>
    <mergeCell ref="B103:G104"/>
    <mergeCell ref="B45:D46"/>
    <mergeCell ref="G43:G44"/>
    <mergeCell ref="G41:G42"/>
    <mergeCell ref="G53:G54"/>
    <mergeCell ref="E47:F48"/>
    <mergeCell ref="E78:F78"/>
  </mergeCells>
  <dataValidations count="2">
    <dataValidation type="whole" showInputMessage="1" showErrorMessage="1" promptTitle="ATTENTION" prompt="Dans les cellules &quot;Nombre de pages&quot; on peut mettre seulement les chiffres. Ne laissez pas la cellule vide: - mettez zero  " sqref="C9:F9" xr:uid="{00000000-0002-0000-0100-000000000000}">
      <formula1>0</formula1>
      <formula2>1E+27</formula2>
    </dataValidation>
    <dataValidation allowBlank="1" showInputMessage="1" showErrorMessage="1" sqref="C78:C79 D78 C81 C83:C84 D83 C86 C88:C89 D88 C91 C93:C94 D93 C96" xr:uid="{E88D61BE-A994-4820-8B02-E8E16E968039}"/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ED42748-447B-484C-874B-E75649E7211C}">
          <x14:formula1>
            <xm:f>Feuil1!$K$70:$K$97</xm:f>
          </x14:formula1>
          <xm:sqref>B30:D30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42104B-392D-4713-BED6-808207B6DFA0}">
  <sheetPr codeName="Feuil4">
    <pageSetUpPr autoPageBreaks="0"/>
  </sheetPr>
  <dimension ref="A1:AH69"/>
  <sheetViews>
    <sheetView showGridLines="0" tabSelected="1" zoomScaleNormal="100" workbookViewId="0">
      <selection activeCell="J22" sqref="J22"/>
    </sheetView>
  </sheetViews>
  <sheetFormatPr baseColWidth="10" defaultRowHeight="15" x14ac:dyDescent="0.25"/>
  <cols>
    <col min="1" max="1" width="2.7109375" style="187" customWidth="1"/>
    <col min="2" max="5" width="9" style="187" customWidth="1"/>
    <col min="6" max="6" width="2.7109375" style="186" customWidth="1"/>
    <col min="7" max="10" width="9" style="187" customWidth="1"/>
    <col min="11" max="11" width="2.7109375" style="187" customWidth="1"/>
    <col min="12" max="15" width="9" style="187" customWidth="1"/>
    <col min="16" max="16" width="2.7109375" style="187" customWidth="1"/>
    <col min="17" max="20" width="9" style="187" customWidth="1"/>
    <col min="21" max="21" width="2.7109375" style="187" customWidth="1"/>
    <col min="22" max="25" width="9" style="187" customWidth="1"/>
    <col min="26" max="26" width="2.7109375" style="187" customWidth="1"/>
    <col min="27" max="30" width="9" style="187" customWidth="1"/>
    <col min="31" max="31" width="2.7109375" style="187" customWidth="1"/>
    <col min="32" max="34" width="10" style="187" customWidth="1"/>
    <col min="35" max="35" width="2.7109375" style="187" customWidth="1"/>
    <col min="36" max="36" width="11.7109375" style="187" customWidth="1"/>
    <col min="37" max="16384" width="11.42578125" style="187"/>
  </cols>
  <sheetData>
    <row r="1" spans="1:30" ht="15" customHeight="1" x14ac:dyDescent="0.25">
      <c r="A1" s="186"/>
    </row>
    <row r="2" spans="1:30" ht="15" customHeight="1" x14ac:dyDescent="0.25"/>
    <row r="3" spans="1:30" ht="15" customHeight="1" x14ac:dyDescent="0.25"/>
    <row r="4" spans="1:30" ht="15" customHeight="1" x14ac:dyDescent="0.25"/>
    <row r="5" spans="1:30" ht="15" customHeight="1" x14ac:dyDescent="0.25"/>
    <row r="6" spans="1:30" ht="15" customHeight="1" x14ac:dyDescent="0.25"/>
    <row r="7" spans="1:30" ht="15.75" thickBot="1" x14ac:dyDescent="0.3">
      <c r="B7" s="297" t="s">
        <v>130</v>
      </c>
      <c r="C7" s="298"/>
      <c r="D7" s="299" t="s">
        <v>131</v>
      </c>
      <c r="E7" s="297"/>
      <c r="G7" s="325" t="s">
        <v>29</v>
      </c>
      <c r="H7" s="325"/>
      <c r="I7" s="325"/>
      <c r="J7" s="325"/>
      <c r="L7" s="188"/>
      <c r="M7" s="188"/>
      <c r="N7" s="188"/>
      <c r="O7" s="188"/>
      <c r="Q7" s="189"/>
      <c r="R7" s="189"/>
      <c r="S7" s="189"/>
      <c r="T7" s="189"/>
      <c r="V7" s="188"/>
      <c r="W7" s="188"/>
      <c r="X7" s="188"/>
      <c r="Y7" s="188"/>
      <c r="AA7" s="189"/>
      <c r="AB7" s="189"/>
      <c r="AC7" s="189"/>
      <c r="AD7" s="189"/>
    </row>
    <row r="8" spans="1:30" ht="15" customHeight="1" x14ac:dyDescent="0.25">
      <c r="B8" s="293">
        <v>1</v>
      </c>
      <c r="C8" s="296"/>
      <c r="D8" s="294">
        <v>2</v>
      </c>
      <c r="E8" s="295"/>
      <c r="G8" s="335" t="s">
        <v>137</v>
      </c>
      <c r="H8" s="335"/>
      <c r="I8" s="335"/>
      <c r="J8" s="335"/>
      <c r="L8" s="188"/>
      <c r="M8" s="188"/>
      <c r="N8" s="188"/>
      <c r="O8" s="188"/>
      <c r="Q8" s="189"/>
      <c r="R8" s="189"/>
      <c r="S8" s="189"/>
      <c r="T8" s="189"/>
      <c r="V8" s="188"/>
      <c r="W8" s="188"/>
      <c r="X8" s="188"/>
      <c r="Y8" s="188"/>
      <c r="AA8" s="189"/>
      <c r="AB8" s="189"/>
      <c r="AC8" s="189"/>
      <c r="AD8" s="189"/>
    </row>
    <row r="9" spans="1:30" ht="15" customHeight="1" thickBot="1" x14ac:dyDescent="0.3">
      <c r="B9" s="312"/>
      <c r="C9" s="313"/>
      <c r="D9" s="310"/>
      <c r="E9" s="311"/>
      <c r="G9" s="336"/>
      <c r="H9" s="336"/>
      <c r="I9" s="336"/>
      <c r="J9" s="336"/>
      <c r="L9" s="188"/>
      <c r="M9" s="188"/>
      <c r="N9" s="188"/>
      <c r="O9" s="188"/>
      <c r="Q9" s="189"/>
      <c r="R9" s="189"/>
      <c r="S9" s="189"/>
      <c r="T9" s="189"/>
      <c r="V9" s="188"/>
      <c r="W9" s="188"/>
      <c r="X9" s="188"/>
      <c r="Y9" s="188"/>
      <c r="AA9" s="189"/>
      <c r="AB9" s="189"/>
      <c r="AC9" s="189"/>
      <c r="AD9" s="189"/>
    </row>
    <row r="10" spans="1:30" ht="15" customHeight="1" x14ac:dyDescent="0.25">
      <c r="B10" s="316">
        <f>IFERROR(B8*(VLOOKUP(B8,Feuil1!A4:C8,3,TRUE)),"")</f>
        <v>0.2</v>
      </c>
      <c r="C10" s="317"/>
      <c r="D10" s="307">
        <f>IFERROR(D8*(VLOOKUP(D8,Feuil1!A11:C19,3,TRUE)),"")</f>
        <v>1.4</v>
      </c>
      <c r="E10" s="309"/>
      <c r="G10" s="331">
        <v>0</v>
      </c>
      <c r="H10" s="331"/>
      <c r="I10" s="337">
        <f>VLOOKUP(G8,Feuil3!M19:N32,2,0)</f>
        <v>1.4</v>
      </c>
      <c r="J10" s="338"/>
      <c r="L10" s="188"/>
      <c r="M10" s="188"/>
      <c r="N10" s="188"/>
      <c r="O10" s="188"/>
      <c r="Q10" s="189"/>
      <c r="R10" s="189"/>
      <c r="S10" s="189"/>
      <c r="T10" s="189"/>
      <c r="V10" s="188"/>
      <c r="W10" s="188"/>
      <c r="X10" s="188"/>
      <c r="Y10" s="188"/>
      <c r="AA10" s="189"/>
      <c r="AB10" s="189"/>
      <c r="AC10" s="189"/>
      <c r="AD10" s="189"/>
    </row>
    <row r="11" spans="1:30" ht="15" customHeight="1" x14ac:dyDescent="0.25">
      <c r="L11" s="188"/>
      <c r="M11" s="188"/>
      <c r="N11" s="188"/>
      <c r="O11" s="188"/>
      <c r="Q11" s="189"/>
      <c r="R11" s="189"/>
      <c r="S11" s="189"/>
      <c r="T11" s="189"/>
      <c r="V11" s="188"/>
      <c r="W11" s="188"/>
      <c r="X11" s="188"/>
      <c r="Y11" s="188"/>
      <c r="AA11" s="189"/>
      <c r="AB11" s="189"/>
      <c r="AC11" s="189"/>
      <c r="AD11" s="189"/>
    </row>
    <row r="12" spans="1:30" ht="15.75" thickBot="1" x14ac:dyDescent="0.3">
      <c r="B12" s="297" t="s">
        <v>133</v>
      </c>
      <c r="C12" s="298"/>
      <c r="D12" s="299" t="s">
        <v>132</v>
      </c>
      <c r="E12" s="297"/>
      <c r="G12" s="329" t="s">
        <v>165</v>
      </c>
      <c r="H12" s="329"/>
      <c r="I12" s="329"/>
      <c r="J12" s="329"/>
      <c r="L12" s="188"/>
      <c r="M12" s="188"/>
      <c r="N12" s="188"/>
      <c r="O12" s="188"/>
      <c r="Q12" s="189"/>
      <c r="R12" s="189"/>
      <c r="S12" s="189"/>
      <c r="T12" s="189"/>
      <c r="V12" s="188"/>
      <c r="W12" s="188"/>
      <c r="X12" s="188"/>
      <c r="Y12" s="188"/>
      <c r="AA12" s="189"/>
      <c r="AB12" s="189"/>
      <c r="AC12" s="189"/>
      <c r="AD12" s="189"/>
    </row>
    <row r="13" spans="1:30" ht="15" customHeight="1" x14ac:dyDescent="0.25">
      <c r="B13" s="293">
        <v>3</v>
      </c>
      <c r="C13" s="296"/>
      <c r="D13" s="294">
        <v>4</v>
      </c>
      <c r="E13" s="295"/>
      <c r="G13" s="328" t="s">
        <v>167</v>
      </c>
      <c r="H13" s="328"/>
      <c r="I13" s="328"/>
      <c r="J13" s="328"/>
      <c r="L13" s="188"/>
      <c r="M13" s="188"/>
      <c r="N13" s="188"/>
      <c r="O13" s="188"/>
      <c r="Q13" s="189"/>
      <c r="R13" s="189"/>
      <c r="S13" s="189"/>
      <c r="T13" s="189"/>
      <c r="V13" s="188"/>
      <c r="W13" s="188"/>
      <c r="X13" s="188"/>
      <c r="Y13" s="188"/>
      <c r="AA13" s="189"/>
      <c r="AB13" s="189"/>
      <c r="AC13" s="189"/>
      <c r="AD13" s="189"/>
    </row>
    <row r="14" spans="1:30" ht="15" customHeight="1" thickBot="1" x14ac:dyDescent="0.3">
      <c r="B14" s="312"/>
      <c r="C14" s="313"/>
      <c r="D14" s="310"/>
      <c r="E14" s="311"/>
      <c r="G14" s="330"/>
      <c r="H14" s="330"/>
      <c r="I14" s="330"/>
      <c r="J14" s="330"/>
      <c r="L14" s="188"/>
      <c r="M14" s="188"/>
      <c r="N14" s="188"/>
      <c r="O14" s="188"/>
      <c r="Q14" s="189"/>
      <c r="R14" s="189"/>
      <c r="S14" s="189"/>
      <c r="T14" s="189"/>
      <c r="V14" s="188"/>
      <c r="W14" s="188"/>
      <c r="X14" s="188"/>
      <c r="Y14" s="188"/>
      <c r="AA14" s="189"/>
      <c r="AB14" s="189"/>
      <c r="AC14" s="189"/>
      <c r="AD14" s="189"/>
    </row>
    <row r="15" spans="1:30" ht="15" customHeight="1" x14ac:dyDescent="0.25">
      <c r="B15" s="309">
        <f>IFERROR(B13*(VLOOKUP(B13,Feuil1!A4:D8,4,TRUE)),"")</f>
        <v>1.2000000000000002</v>
      </c>
      <c r="C15" s="308"/>
      <c r="D15" s="307">
        <f>IFERROR(D13*(VLOOKUP(D13,Feuil1!A11:D19,4,TRUE)),"")</f>
        <v>6</v>
      </c>
      <c r="E15" s="309"/>
      <c r="G15" s="326"/>
      <c r="H15" s="352"/>
      <c r="I15" s="353"/>
      <c r="J15" s="326"/>
      <c r="L15" s="188"/>
      <c r="M15" s="188"/>
      <c r="N15" s="188"/>
      <c r="O15" s="188"/>
      <c r="Q15" s="189"/>
      <c r="R15" s="189"/>
      <c r="S15" s="189"/>
      <c r="T15" s="189"/>
      <c r="V15" s="188"/>
      <c r="W15" s="188"/>
      <c r="X15" s="188"/>
      <c r="Y15" s="188"/>
      <c r="AA15" s="189"/>
      <c r="AB15" s="189"/>
      <c r="AC15" s="189"/>
      <c r="AD15" s="189"/>
    </row>
    <row r="16" spans="1:30" ht="15" customHeight="1" x14ac:dyDescent="0.25">
      <c r="L16" s="188"/>
      <c r="M16" s="188"/>
      <c r="N16" s="188"/>
      <c r="O16" s="188"/>
      <c r="Q16" s="189"/>
      <c r="R16" s="189"/>
      <c r="S16" s="189"/>
      <c r="T16" s="189"/>
      <c r="V16" s="188"/>
      <c r="W16" s="188"/>
      <c r="X16" s="188"/>
      <c r="Y16" s="188"/>
      <c r="AA16" s="189"/>
      <c r="AB16" s="189"/>
      <c r="AC16" s="189"/>
      <c r="AD16" s="189"/>
    </row>
    <row r="17" spans="2:30" ht="15.75" thickBot="1" x14ac:dyDescent="0.3">
      <c r="B17" s="297" t="s">
        <v>134</v>
      </c>
      <c r="C17" s="298"/>
      <c r="D17" s="299" t="s">
        <v>135</v>
      </c>
      <c r="E17" s="297"/>
      <c r="G17" s="330" t="s">
        <v>166</v>
      </c>
      <c r="H17" s="330"/>
      <c r="I17" s="330"/>
      <c r="J17" s="330"/>
      <c r="L17" s="188"/>
      <c r="M17" s="188"/>
      <c r="N17" s="188"/>
      <c r="O17" s="188"/>
      <c r="Q17" s="189"/>
      <c r="R17" s="189"/>
      <c r="S17" s="189"/>
      <c r="T17" s="189"/>
      <c r="V17" s="188"/>
      <c r="W17" s="188"/>
      <c r="X17" s="188"/>
      <c r="Y17" s="188"/>
      <c r="AA17" s="189"/>
      <c r="AB17" s="189"/>
      <c r="AC17" s="189"/>
      <c r="AD17" s="189"/>
    </row>
    <row r="18" spans="2:30" ht="15" customHeight="1" thickBot="1" x14ac:dyDescent="0.3">
      <c r="B18" s="309">
        <f>IF(G66&gt;0,(IF(G66&gt;500,(VLOOKUP(G66,Feuil1!A23:C31,3,TRUE)),Feuil1!C23)),"")</f>
        <v>29.99</v>
      </c>
      <c r="C18" s="308"/>
      <c r="D18" s="307">
        <f>IF(H66&gt;0,(IF(H66&gt;Feuil1!B34,(VLOOKUP(H66,Feuil1!A34:C43,3,TRUE)),Feuil1!C34)),"")</f>
        <v>44.99</v>
      </c>
      <c r="E18" s="308"/>
      <c r="G18" s="328" t="s">
        <v>171</v>
      </c>
      <c r="H18" s="328"/>
      <c r="I18" s="328"/>
      <c r="J18" s="328"/>
      <c r="L18" s="188"/>
      <c r="M18" s="188"/>
      <c r="N18" s="188"/>
      <c r="O18" s="188"/>
      <c r="Q18" s="189"/>
      <c r="R18" s="189"/>
      <c r="S18" s="189"/>
      <c r="T18" s="189"/>
      <c r="V18" s="188"/>
      <c r="W18" s="188"/>
      <c r="X18" s="188"/>
      <c r="Y18" s="188"/>
      <c r="AA18" s="189"/>
      <c r="AB18" s="189"/>
      <c r="AC18" s="189"/>
      <c r="AD18" s="189"/>
    </row>
    <row r="19" spans="2:30" ht="15" customHeight="1" thickBot="1" x14ac:dyDescent="0.3">
      <c r="B19" s="320" t="str">
        <f>IF(G66&gt;0,("PACK N/B "&amp;(VLOOKUP((G66),Feuil1!A22:C31,2,TRUE))),"")&amp;IF(H66&gt;0,(" + PACK CMYK "&amp;(VLOOKUP(H66,Feuil1!A34:C43,2,TRUE))),"")</f>
        <v>PACK N/B 500 + PACK CMYK 100</v>
      </c>
      <c r="C19" s="320"/>
      <c r="D19" s="320"/>
      <c r="E19" s="320"/>
      <c r="G19" s="330"/>
      <c r="H19" s="330"/>
      <c r="I19" s="330"/>
      <c r="J19" s="330"/>
      <c r="L19" s="188"/>
      <c r="M19" s="188"/>
      <c r="N19" s="188"/>
      <c r="O19" s="188"/>
      <c r="Q19" s="189"/>
      <c r="R19" s="189"/>
      <c r="S19" s="189"/>
      <c r="T19" s="189"/>
      <c r="V19" s="188"/>
      <c r="W19" s="188"/>
      <c r="X19" s="188"/>
      <c r="Y19" s="188"/>
      <c r="AA19" s="189"/>
      <c r="AB19" s="189"/>
      <c r="AC19" s="189"/>
      <c r="AD19" s="189"/>
    </row>
    <row r="20" spans="2:30" x14ac:dyDescent="0.25">
      <c r="G20" s="326"/>
      <c r="H20" s="352"/>
      <c r="I20" s="353"/>
      <c r="J20" s="326"/>
      <c r="L20" s="188"/>
      <c r="M20" s="188"/>
      <c r="N20" s="188"/>
      <c r="O20" s="188"/>
      <c r="Q20" s="189"/>
      <c r="R20" s="189"/>
      <c r="S20" s="189"/>
      <c r="T20" s="189"/>
      <c r="V20" s="188"/>
      <c r="W20" s="188"/>
      <c r="X20" s="188"/>
      <c r="Y20" s="188"/>
      <c r="AA20" s="189"/>
      <c r="AB20" s="189"/>
      <c r="AC20" s="189"/>
      <c r="AD20" s="189"/>
    </row>
    <row r="21" spans="2:30" ht="15" customHeight="1" thickBot="1" x14ac:dyDescent="0.3">
      <c r="B21" s="297" t="s">
        <v>86</v>
      </c>
      <c r="C21" s="297"/>
      <c r="D21" s="297"/>
      <c r="E21" s="297"/>
      <c r="L21" s="188"/>
      <c r="M21" s="188"/>
      <c r="N21" s="188"/>
      <c r="O21" s="188"/>
      <c r="Q21" s="189"/>
      <c r="R21" s="189"/>
      <c r="S21" s="189"/>
      <c r="T21" s="189"/>
      <c r="V21" s="188"/>
      <c r="W21" s="188"/>
      <c r="X21" s="188"/>
      <c r="Y21" s="188"/>
      <c r="AA21" s="189"/>
      <c r="AB21" s="189"/>
      <c r="AC21" s="189"/>
      <c r="AD21" s="189"/>
    </row>
    <row r="22" spans="2:30" ht="15" customHeight="1" thickBot="1" x14ac:dyDescent="0.3">
      <c r="B22" s="315" t="s">
        <v>136</v>
      </c>
      <c r="C22" s="314">
        <v>1</v>
      </c>
      <c r="D22" s="318">
        <f>(ROUNDDOWN(K65/Feuil1!B52,0)*Feuil1!C62)+(IFERROR(VLOOKUP((VLOOKUP((K65-(ROUNDDOWN(K65/25000,0))*Feuil1!B62),Feuil1!A47:B52,2,TRUE)),Feuil1!A47:C52,3,TRUE),0)+C22)</f>
        <v>17.29</v>
      </c>
      <c r="E22" s="319"/>
      <c r="G22" s="189"/>
      <c r="H22" s="189"/>
      <c r="I22" s="189"/>
      <c r="J22" s="189"/>
      <c r="L22" s="188"/>
      <c r="M22" s="188"/>
      <c r="N22" s="188"/>
      <c r="O22" s="188"/>
      <c r="Q22" s="189"/>
      <c r="R22" s="189"/>
      <c r="S22" s="189"/>
      <c r="T22" s="189"/>
      <c r="V22" s="188"/>
      <c r="W22" s="188"/>
      <c r="X22" s="188"/>
      <c r="Y22" s="188"/>
      <c r="AA22" s="189"/>
      <c r="AB22" s="189"/>
      <c r="AC22" s="189"/>
      <c r="AD22" s="189"/>
    </row>
    <row r="23" spans="2:30" ht="15" customHeight="1" x14ac:dyDescent="0.25">
      <c r="B23" s="321" t="str">
        <f>IFERROR(IF(K65&lt;Feuil1!B62,"CARTE LIBRE SERVICE "&amp;(VLOOKUP(Feuil4!K65,Feuil1!A47:C52,2,TRUE)),"CARTE LIBRE SERVICE 2500 "&amp;" x"&amp;(ROUNDDOWN(K65/Feuil1!B52,0)))&amp;(IF(K65&gt;2500,IFERROR(" + CARTE LIBRE SERVICE "&amp;(VLOOKUP((K65-(ROUNDDOWN(K65/2500,0))*Feuil1!B62),Feuil1!A47:B52,2,TRUE)),""),"")),"")</f>
        <v>CARTE LIBRE SERVICE 250</v>
      </c>
      <c r="C23" s="321"/>
      <c r="D23" s="321"/>
      <c r="E23" s="321"/>
      <c r="G23" s="189"/>
      <c r="H23" s="189"/>
      <c r="I23" s="189"/>
      <c r="J23" s="189"/>
      <c r="L23" s="188"/>
      <c r="M23" s="188"/>
      <c r="N23" s="188"/>
      <c r="O23" s="188"/>
      <c r="Q23" s="189"/>
      <c r="R23" s="189"/>
      <c r="S23" s="189"/>
      <c r="T23" s="189"/>
      <c r="V23" s="188"/>
      <c r="W23" s="188"/>
      <c r="X23" s="188"/>
      <c r="Y23" s="188"/>
      <c r="AA23" s="189"/>
      <c r="AB23" s="189"/>
      <c r="AC23" s="189"/>
      <c r="AD23" s="189"/>
    </row>
    <row r="24" spans="2:30" ht="15" customHeight="1" x14ac:dyDescent="0.25">
      <c r="B24" s="322"/>
      <c r="C24" s="322"/>
      <c r="D24" s="322"/>
      <c r="E24" s="322"/>
      <c r="G24" s="189"/>
      <c r="H24" s="189"/>
      <c r="I24" s="189"/>
      <c r="J24" s="189"/>
      <c r="L24" s="188"/>
      <c r="M24" s="188"/>
      <c r="N24" s="188"/>
      <c r="O24" s="188"/>
      <c r="Q24" s="189"/>
      <c r="R24" s="189"/>
      <c r="S24" s="189"/>
      <c r="T24" s="189"/>
      <c r="V24" s="188"/>
      <c r="W24" s="188"/>
      <c r="X24" s="188"/>
      <c r="Y24" s="188"/>
      <c r="AA24" s="189"/>
      <c r="AB24" s="189"/>
      <c r="AC24" s="189"/>
      <c r="AD24" s="189"/>
    </row>
    <row r="25" spans="2:30" ht="15" customHeight="1" x14ac:dyDescent="0.25">
      <c r="G25" s="189"/>
      <c r="H25" s="189"/>
      <c r="I25" s="189"/>
      <c r="J25" s="189"/>
      <c r="L25" s="188"/>
      <c r="M25" s="188"/>
      <c r="N25" s="188"/>
      <c r="O25" s="188"/>
      <c r="Q25" s="189"/>
      <c r="R25" s="189"/>
      <c r="S25" s="189"/>
      <c r="T25" s="189"/>
      <c r="V25" s="188"/>
      <c r="W25" s="188"/>
      <c r="X25" s="188"/>
      <c r="Y25" s="188"/>
      <c r="AA25" s="189"/>
      <c r="AB25" s="189"/>
      <c r="AC25" s="189"/>
      <c r="AD25" s="189"/>
    </row>
    <row r="26" spans="2:30" ht="15" customHeight="1" x14ac:dyDescent="0.25">
      <c r="G26" s="189"/>
      <c r="H26" s="189"/>
      <c r="I26" s="189"/>
      <c r="J26" s="189"/>
      <c r="L26" s="188"/>
      <c r="M26" s="188"/>
      <c r="N26" s="188"/>
      <c r="O26" s="188"/>
      <c r="Q26" s="189"/>
      <c r="R26" s="189"/>
      <c r="S26" s="189"/>
      <c r="T26" s="189"/>
      <c r="V26" s="188"/>
      <c r="W26" s="188"/>
      <c r="X26" s="188"/>
      <c r="Y26" s="188"/>
      <c r="AA26" s="189"/>
      <c r="AB26" s="189"/>
      <c r="AC26" s="189"/>
      <c r="AD26" s="189"/>
    </row>
    <row r="27" spans="2:30" ht="15" customHeight="1" x14ac:dyDescent="0.25">
      <c r="G27" s="189"/>
      <c r="H27" s="189"/>
      <c r="I27" s="189"/>
      <c r="J27" s="189"/>
      <c r="L27" s="188"/>
      <c r="M27" s="188"/>
      <c r="N27" s="188"/>
      <c r="O27" s="188"/>
      <c r="Q27" s="189"/>
      <c r="R27" s="189"/>
      <c r="S27" s="189"/>
      <c r="T27" s="189"/>
      <c r="V27" s="188"/>
      <c r="W27" s="188"/>
      <c r="X27" s="188"/>
      <c r="Y27" s="188"/>
      <c r="AA27" s="189"/>
      <c r="AB27" s="189"/>
      <c r="AC27" s="189"/>
      <c r="AD27" s="189"/>
    </row>
    <row r="28" spans="2:30" ht="15" customHeight="1" x14ac:dyDescent="0.25">
      <c r="G28" s="189"/>
      <c r="H28" s="189"/>
      <c r="I28" s="189"/>
      <c r="J28" s="189"/>
      <c r="L28" s="188"/>
      <c r="M28" s="188"/>
      <c r="N28" s="188"/>
      <c r="O28" s="188"/>
      <c r="Q28" s="189"/>
      <c r="R28" s="189"/>
      <c r="S28" s="189"/>
      <c r="T28" s="189"/>
      <c r="V28" s="188"/>
      <c r="W28" s="188"/>
      <c r="X28" s="188"/>
      <c r="Y28" s="188"/>
      <c r="AA28" s="189"/>
      <c r="AB28" s="189"/>
      <c r="AC28" s="189"/>
      <c r="AD28" s="189"/>
    </row>
    <row r="29" spans="2:30" ht="15" customHeight="1" x14ac:dyDescent="0.25">
      <c r="G29" s="189"/>
      <c r="H29" s="189"/>
      <c r="I29" s="189"/>
      <c r="J29" s="189"/>
      <c r="L29" s="188"/>
      <c r="M29" s="188"/>
      <c r="N29" s="188"/>
      <c r="O29" s="188"/>
      <c r="Q29" s="189"/>
      <c r="R29" s="189"/>
      <c r="S29" s="189"/>
      <c r="T29" s="189"/>
      <c r="V29" s="188"/>
      <c r="W29" s="188"/>
      <c r="X29" s="188"/>
      <c r="Y29" s="188"/>
      <c r="AA29" s="189"/>
      <c r="AB29" s="189"/>
      <c r="AC29" s="189"/>
      <c r="AD29" s="189"/>
    </row>
    <row r="30" spans="2:30" ht="15" customHeight="1" x14ac:dyDescent="0.25"/>
    <row r="31" spans="2:30" ht="15" customHeight="1" x14ac:dyDescent="0.25"/>
    <row r="32" spans="2:30" x14ac:dyDescent="0.25">
      <c r="B32" s="188"/>
      <c r="C32" s="188"/>
      <c r="D32" s="188"/>
      <c r="E32" s="188"/>
      <c r="G32" s="189"/>
      <c r="H32" s="189"/>
      <c r="I32" s="189"/>
      <c r="J32" s="189"/>
      <c r="L32" s="188"/>
      <c r="M32" s="188"/>
      <c r="N32" s="188"/>
      <c r="O32" s="188"/>
      <c r="Q32" s="189"/>
      <c r="R32" s="189"/>
      <c r="S32" s="189"/>
      <c r="T32" s="189"/>
      <c r="V32" s="188"/>
      <c r="W32" s="188"/>
      <c r="X32" s="188"/>
      <c r="Y32" s="188"/>
      <c r="AA32" s="189"/>
      <c r="AB32" s="189"/>
      <c r="AC32" s="189"/>
      <c r="AD32" s="189"/>
    </row>
    <row r="34" spans="2:34" x14ac:dyDescent="0.25">
      <c r="B34" s="332">
        <f>SUM(B10,D10,B15,D15)+1.49</f>
        <v>10.290000000000001</v>
      </c>
      <c r="C34" s="332"/>
      <c r="D34" s="332"/>
      <c r="E34" s="332"/>
      <c r="G34" s="189"/>
      <c r="H34" s="189"/>
      <c r="I34" s="189"/>
      <c r="J34" s="189"/>
      <c r="L34" s="188"/>
      <c r="M34" s="188"/>
      <c r="N34" s="188"/>
      <c r="O34" s="188"/>
      <c r="Q34" s="189"/>
      <c r="R34" s="189"/>
      <c r="S34" s="189"/>
      <c r="T34" s="189"/>
      <c r="V34" s="188"/>
      <c r="W34" s="188"/>
      <c r="X34" s="188"/>
      <c r="Y34" s="188"/>
      <c r="AA34" s="189"/>
      <c r="AB34" s="189"/>
      <c r="AC34" s="189"/>
      <c r="AD34" s="189"/>
      <c r="AF34" s="292"/>
      <c r="AG34" s="292"/>
      <c r="AH34" s="292"/>
    </row>
    <row r="35" spans="2:34" x14ac:dyDescent="0.25">
      <c r="B35" s="332"/>
      <c r="C35" s="332"/>
      <c r="D35" s="332"/>
      <c r="E35" s="332"/>
      <c r="G35" s="189"/>
      <c r="H35" s="189"/>
      <c r="I35" s="189"/>
      <c r="J35" s="189"/>
      <c r="L35" s="188"/>
      <c r="M35" s="188"/>
      <c r="N35" s="188"/>
      <c r="O35" s="188"/>
      <c r="Q35" s="189"/>
      <c r="R35" s="189"/>
      <c r="S35" s="189"/>
      <c r="T35" s="189"/>
      <c r="V35" s="188"/>
      <c r="W35" s="188"/>
      <c r="X35" s="188"/>
      <c r="Y35" s="188"/>
      <c r="AA35" s="189"/>
      <c r="AB35" s="189"/>
      <c r="AC35" s="189"/>
      <c r="AD35" s="189"/>
      <c r="AF35" s="292"/>
      <c r="AG35" s="292"/>
      <c r="AH35" s="292"/>
    </row>
    <row r="36" spans="2:34" x14ac:dyDescent="0.25">
      <c r="B36" s="332"/>
      <c r="C36" s="332"/>
      <c r="D36" s="332"/>
      <c r="E36" s="332"/>
      <c r="G36" s="189"/>
      <c r="H36" s="189"/>
      <c r="I36" s="189"/>
      <c r="J36" s="189"/>
      <c r="L36" s="188"/>
      <c r="M36" s="188"/>
      <c r="N36" s="188"/>
      <c r="O36" s="188"/>
      <c r="Q36" s="189"/>
      <c r="R36" s="189"/>
      <c r="S36" s="189"/>
      <c r="T36" s="189"/>
      <c r="V36" s="188"/>
      <c r="W36" s="188"/>
      <c r="X36" s="188"/>
      <c r="Y36" s="188"/>
      <c r="AA36" s="189"/>
      <c r="AB36" s="189"/>
      <c r="AC36" s="189"/>
      <c r="AD36" s="189"/>
      <c r="AF36" s="292"/>
      <c r="AG36" s="292"/>
      <c r="AH36" s="292"/>
    </row>
    <row r="37" spans="2:34" x14ac:dyDescent="0.25">
      <c r="B37" s="332"/>
      <c r="C37" s="332"/>
      <c r="D37" s="332"/>
      <c r="E37" s="332"/>
      <c r="G37" s="189"/>
      <c r="H37" s="189"/>
      <c r="I37" s="189"/>
      <c r="J37" s="189"/>
      <c r="L37" s="188"/>
      <c r="M37" s="188"/>
      <c r="N37" s="188"/>
      <c r="O37" s="188"/>
      <c r="Q37" s="189"/>
      <c r="R37" s="189"/>
      <c r="S37" s="189"/>
      <c r="T37" s="189"/>
      <c r="V37" s="188"/>
      <c r="W37" s="188"/>
      <c r="X37" s="188"/>
      <c r="Y37" s="188"/>
      <c r="AA37" s="189"/>
      <c r="AB37" s="189"/>
      <c r="AC37" s="189"/>
      <c r="AD37" s="189"/>
      <c r="AF37" s="292"/>
      <c r="AG37" s="292"/>
      <c r="AH37" s="292"/>
    </row>
    <row r="64" ht="15.75" thickBot="1" x14ac:dyDescent="0.3"/>
    <row r="65" spans="2:12" ht="15.75" customHeight="1" thickBot="1" x14ac:dyDescent="0.3">
      <c r="C65" s="305" t="s">
        <v>79</v>
      </c>
      <c r="D65" s="305"/>
      <c r="E65" s="305"/>
      <c r="F65" s="306"/>
      <c r="G65" s="41">
        <f>IFERROR(B8*1,0)</f>
        <v>1</v>
      </c>
      <c r="H65" s="42">
        <f>IFERROR(D8*10,0)</f>
        <v>20</v>
      </c>
      <c r="I65" s="41">
        <f>IFERROR(B13*2,0)</f>
        <v>6</v>
      </c>
      <c r="J65" s="43">
        <f>IFERROR(D13*20,0)</f>
        <v>80</v>
      </c>
      <c r="K65" s="302">
        <f>SUM(G65:J65)</f>
        <v>107</v>
      </c>
      <c r="L65" s="303"/>
    </row>
    <row r="66" spans="2:12" ht="15.75" customHeight="1" thickBot="1" x14ac:dyDescent="0.3">
      <c r="C66" s="305" t="s">
        <v>80</v>
      </c>
      <c r="D66" s="305"/>
      <c r="E66" s="305"/>
      <c r="F66" s="306"/>
      <c r="G66" s="44">
        <f>IFERROR(B8+(B13*2),0)</f>
        <v>7</v>
      </c>
      <c r="H66" s="41">
        <f>IFERROR(D8+(D13*2),0)</f>
        <v>10</v>
      </c>
      <c r="I66" s="26" t="s">
        <v>81</v>
      </c>
      <c r="J66" s="29"/>
      <c r="K66" s="304"/>
      <c r="L66" s="304"/>
    </row>
    <row r="68" spans="2:12" ht="15.75" thickBot="1" x14ac:dyDescent="0.3"/>
    <row r="69" spans="2:12" ht="15.75" thickBot="1" x14ac:dyDescent="0.3">
      <c r="B69" s="300"/>
      <c r="C69" s="301"/>
      <c r="E69" s="337">
        <f>VLOOKUP(G8,Feuil3!M19:N32,2,0)</f>
        <v>1.4</v>
      </c>
      <c r="F69" s="338"/>
    </row>
  </sheetData>
  <dataConsolidate function="product"/>
  <mergeCells count="38">
    <mergeCell ref="I20:J20"/>
    <mergeCell ref="G20:H20"/>
    <mergeCell ref="G13:J14"/>
    <mergeCell ref="G18:J19"/>
    <mergeCell ref="G7:J7"/>
    <mergeCell ref="G8:J9"/>
    <mergeCell ref="G10:H10"/>
    <mergeCell ref="I10:J10"/>
    <mergeCell ref="B34:E37"/>
    <mergeCell ref="E69:F69"/>
    <mergeCell ref="G12:J12"/>
    <mergeCell ref="G17:J17"/>
    <mergeCell ref="G15:H15"/>
    <mergeCell ref="I15:J15"/>
    <mergeCell ref="B19:E19"/>
    <mergeCell ref="D22:E22"/>
    <mergeCell ref="B23:E24"/>
    <mergeCell ref="B21:E21"/>
    <mergeCell ref="B18:C18"/>
    <mergeCell ref="K65:L65"/>
    <mergeCell ref="K66:L66"/>
    <mergeCell ref="C65:F65"/>
    <mergeCell ref="C66:F66"/>
    <mergeCell ref="D18:E18"/>
    <mergeCell ref="B15:C15"/>
    <mergeCell ref="D15:E15"/>
    <mergeCell ref="B17:C17"/>
    <mergeCell ref="D17:E17"/>
    <mergeCell ref="D13:E14"/>
    <mergeCell ref="B13:C14"/>
    <mergeCell ref="D12:E12"/>
    <mergeCell ref="B12:C12"/>
    <mergeCell ref="B8:C9"/>
    <mergeCell ref="D8:E9"/>
    <mergeCell ref="B10:C10"/>
    <mergeCell ref="D10:E10"/>
    <mergeCell ref="B7:C7"/>
    <mergeCell ref="D7:E7"/>
  </mergeCells>
  <phoneticPr fontId="31" type="noConversion"/>
  <dataValidations count="1">
    <dataValidation type="whole" showInputMessage="1" showErrorMessage="1" promptTitle="ATTENTION" prompt="Dans les cellules &quot;Nombre de pages&quot; on peut mettre seulement les chiffres. Ne laissez pas la cellule vide: - mettez zero  " sqref="D13 D8" xr:uid="{23CD751A-159C-4029-8357-C32319C2CF59}">
      <formula1>0</formula1>
      <formula2>1E+27</formula2>
    </dataValidation>
  </dataValidations>
  <pageMargins left="0.70866141732283472" right="0.70866141732283472" top="0.74803149606299213" bottom="0.74803149606299213" header="0.31496062992125984" footer="0.31496062992125984"/>
  <pageSetup paperSize="8" fitToWidth="0" fitToHeight="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97DBE2D7-52FA-4E1F-838D-0D9A09FF6BD0}">
          <x14:formula1>
            <xm:f>Feuil1!$K$70:$K$97</xm:f>
          </x14:formula1>
          <xm:sqref>G8:J9</xm:sqref>
        </x14:dataValidation>
        <x14:dataValidation type="list" allowBlank="1" showInputMessage="1" showErrorMessage="1" xr:uid="{7AC2ECC1-037E-4174-8788-1A40EB0AC161}">
          <x14:formula1>
            <xm:f>Feuil1!$A$100:$A$104</xm:f>
          </x14:formula1>
          <xm:sqref>G13:J14</xm:sqref>
        </x14:dataValidation>
        <x14:dataValidation type="list" allowBlank="1" showInputMessage="1" showErrorMessage="1" xr:uid="{913AB689-9C0F-4F78-A6EE-58DB394E959B}">
          <x14:formula1>
            <xm:f>Feuil1!$A$107:$A$115</xm:f>
          </x14:formula1>
          <xm:sqref>G18:J19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359AEF5E8EB16418DD65D6BCCE95940" ma:contentTypeVersion="7" ma:contentTypeDescription="Create a new document." ma:contentTypeScope="" ma:versionID="a357322f3c12e9c62a07c0ddf3e24191">
  <xsd:schema xmlns:xsd="http://www.w3.org/2001/XMLSchema" xmlns:xs="http://www.w3.org/2001/XMLSchema" xmlns:p="http://schemas.microsoft.com/office/2006/metadata/properties" xmlns:ns3="c4ff828f-8342-469c-bbaa-0068803a00ca" xmlns:ns4="ff57eb9b-023b-48f6-86fc-fada66160bc6" targetNamespace="http://schemas.microsoft.com/office/2006/metadata/properties" ma:root="true" ma:fieldsID="ecc9e6981aa32991ad34adbdb0cd4131" ns3:_="" ns4:_="">
    <xsd:import namespace="c4ff828f-8342-469c-bbaa-0068803a00ca"/>
    <xsd:import namespace="ff57eb9b-023b-48f6-86fc-fada66160bc6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4ff828f-8342-469c-bbaa-0068803a00c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f57eb9b-023b-48f6-86fc-fada66160bc6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4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�� 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EE5E2B0D-D576-4F42-A5AC-EBB928590329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5E351F49-3EFE-4126-A6E8-BB234231A56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4ff828f-8342-469c-bbaa-0068803a00ca"/>
    <ds:schemaRef ds:uri="ff57eb9b-023b-48f6-86fc-fada66160bc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B9C669A5-F472-4E9D-A999-705A040224D6}">
  <ds:schemaRefs>
    <ds:schemaRef ds:uri="http://schemas.microsoft.com/DataMashup"/>
  </ds:schemaRefs>
</ds:datastoreItem>
</file>

<file path=customXml/itemProps4.xml><?xml version="1.0" encoding="utf-8"?>
<ds:datastoreItem xmlns:ds="http://schemas.openxmlformats.org/officeDocument/2006/customXml" ds:itemID="{B7C3B85A-45A6-4D60-AC88-9DA962E7C79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Feuil3</vt:lpstr>
      <vt:lpstr>Feuil2</vt:lpstr>
      <vt:lpstr>Feuil4</vt:lpstr>
      <vt:lpstr>tableau_tarification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Marta GODLEWSKA</dc:creator>
  <cp:keywords/>
  <dc:description/>
  <cp:lastModifiedBy>Geoffrey JORANT</cp:lastModifiedBy>
  <cp:revision/>
  <cp:lastPrinted>2023-02-02T10:16:24Z</cp:lastPrinted>
  <dcterms:created xsi:type="dcterms:W3CDTF">2021-03-24T15:42:06Z</dcterms:created>
  <dcterms:modified xsi:type="dcterms:W3CDTF">2023-02-03T15:35:39Z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0x010100F359AEF5E8EB16418DD65D6BCCE95940</vt:lpwstr>
  </property>
</Properties>
</file>