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talas\Desktop\"/>
    </mc:Choice>
  </mc:AlternateContent>
  <xr:revisionPtr revIDLastSave="0" documentId="13_ncr:1_{44AADC48-F8BB-4C44-AF72-C581A44782AC}" xr6:coauthVersionLast="47" xr6:coauthVersionMax="47" xr10:uidLastSave="{00000000-0000-0000-0000-000000000000}"/>
  <bookViews>
    <workbookView xWindow="-105" yWindow="11205" windowWidth="51510" windowHeight="9750" activeTab="2" xr2:uid="{28FD120C-CA21-481A-AB4B-81D58594392D}"/>
  </bookViews>
  <sheets>
    <sheet name="Matrice" sheetId="1" r:id="rId1"/>
    <sheet name="Assurance" sheetId="2" r:id="rId2"/>
    <sheet name="Relevé refacturation" sheetId="3" r:id="rId3"/>
    <sheet name="Paramétres" sheetId="4" r:id="rId4"/>
  </sheets>
  <externalReferences>
    <externalReference r:id="rId5"/>
  </externalReferenc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" i="1" l="1"/>
  <c r="W14" i="1" l="1"/>
  <c r="I26" i="3"/>
  <c r="N61" i="1"/>
  <c r="I23" i="3" l="1"/>
  <c r="D34" i="3"/>
  <c r="D33" i="3"/>
  <c r="D32" i="3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3" i="1"/>
  <c r="N3" i="1"/>
  <c r="N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2" i="1"/>
  <c r="U2" i="1"/>
  <c r="V2" i="1" s="1"/>
  <c r="U3" i="1"/>
  <c r="V3" i="1" s="1"/>
  <c r="K23" i="3" s="1"/>
  <c r="U4" i="1"/>
  <c r="V4" i="1" s="1"/>
  <c r="U5" i="1"/>
  <c r="V5" i="1" s="1"/>
  <c r="U6" i="1"/>
  <c r="V6" i="1" s="1"/>
  <c r="U7" i="1"/>
  <c r="V7" i="1" s="1"/>
  <c r="U8" i="1"/>
  <c r="V8" i="1" s="1"/>
  <c r="U9" i="1"/>
  <c r="V9" i="1" s="1"/>
  <c r="U10" i="1"/>
  <c r="V10" i="1" s="1"/>
  <c r="U11" i="1"/>
  <c r="V11" i="1" s="1"/>
  <c r="U12" i="1"/>
  <c r="V12" i="1" s="1"/>
  <c r="U13" i="1"/>
  <c r="V13" i="1" s="1"/>
  <c r="U14" i="1"/>
  <c r="V14" i="1" s="1"/>
  <c r="U15" i="1"/>
  <c r="V15" i="1" s="1"/>
  <c r="U16" i="1"/>
  <c r="V16" i="1" s="1"/>
  <c r="U17" i="1"/>
  <c r="V17" i="1" s="1"/>
  <c r="U18" i="1"/>
  <c r="V18" i="1" s="1"/>
  <c r="U19" i="1"/>
  <c r="V19" i="1" s="1"/>
  <c r="U20" i="1"/>
  <c r="V20" i="1" s="1"/>
  <c r="U21" i="1"/>
  <c r="V21" i="1" s="1"/>
  <c r="U22" i="1"/>
  <c r="V22" i="1" s="1"/>
  <c r="U23" i="1"/>
  <c r="V23" i="1" s="1"/>
  <c r="U24" i="1"/>
  <c r="V24" i="1" s="1"/>
  <c r="U25" i="1"/>
  <c r="V25" i="1" s="1"/>
  <c r="U26" i="1"/>
  <c r="V26" i="1" s="1"/>
  <c r="U27" i="1"/>
  <c r="V27" i="1" s="1"/>
  <c r="U28" i="1"/>
  <c r="V28" i="1" s="1"/>
  <c r="U29" i="1"/>
  <c r="V29" i="1" s="1"/>
  <c r="U30" i="1"/>
  <c r="V30" i="1" s="1"/>
  <c r="U31" i="1"/>
  <c r="V31" i="1" s="1"/>
  <c r="U32" i="1"/>
  <c r="V32" i="1" s="1"/>
  <c r="U33" i="1"/>
  <c r="V33" i="1" s="1"/>
  <c r="U34" i="1"/>
  <c r="V34" i="1" s="1"/>
  <c r="U35" i="1"/>
  <c r="V35" i="1" s="1"/>
  <c r="U36" i="1"/>
  <c r="V36" i="1" s="1"/>
  <c r="U37" i="1"/>
  <c r="V37" i="1" s="1"/>
  <c r="U38" i="1"/>
  <c r="V38" i="1" s="1"/>
  <c r="U39" i="1"/>
  <c r="V39" i="1" s="1"/>
  <c r="U40" i="1"/>
  <c r="V40" i="1" s="1"/>
  <c r="U41" i="1"/>
  <c r="V41" i="1" s="1"/>
  <c r="U42" i="1"/>
  <c r="V42" i="1" s="1"/>
  <c r="U43" i="1"/>
  <c r="V43" i="1" s="1"/>
  <c r="U44" i="1"/>
  <c r="V44" i="1" s="1"/>
  <c r="U45" i="1"/>
  <c r="V45" i="1" s="1"/>
  <c r="U46" i="1"/>
  <c r="V46" i="1" s="1"/>
  <c r="U47" i="1"/>
  <c r="V47" i="1" s="1"/>
  <c r="U48" i="1"/>
  <c r="V48" i="1" s="1"/>
  <c r="U49" i="1"/>
  <c r="V49" i="1" s="1"/>
  <c r="U50" i="1"/>
  <c r="V50" i="1" s="1"/>
  <c r="U51" i="1"/>
  <c r="V51" i="1" s="1"/>
  <c r="U52" i="1"/>
  <c r="V52" i="1" s="1"/>
  <c r="U53" i="1"/>
  <c r="V53" i="1" s="1"/>
  <c r="U54" i="1"/>
  <c r="V54" i="1" s="1"/>
  <c r="U55" i="1"/>
  <c r="V55" i="1" s="1"/>
  <c r="U56" i="1"/>
  <c r="V56" i="1" s="1"/>
  <c r="U57" i="1"/>
  <c r="V57" i="1" s="1"/>
  <c r="U58" i="1"/>
  <c r="V58" i="1" s="1"/>
  <c r="U59" i="1"/>
  <c r="V59" i="1" s="1"/>
  <c r="U60" i="1"/>
  <c r="V60" i="1" s="1"/>
  <c r="W4" i="1" l="1"/>
  <c r="W7" i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W6" i="1"/>
  <c r="W5" i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W59" i="1"/>
  <c r="X59" i="1" s="1"/>
  <c r="Y59" i="1" s="1"/>
  <c r="Z59" i="1" s="1"/>
  <c r="AA59" i="1" s="1"/>
  <c r="AB59" i="1" s="1"/>
  <c r="AC59" i="1" s="1"/>
  <c r="AD59" i="1" s="1"/>
  <c r="AE59" i="1" s="1"/>
  <c r="AF59" i="1" s="1"/>
  <c r="AG59" i="1" s="1"/>
  <c r="AH59" i="1" s="1"/>
  <c r="AI59" i="1" s="1"/>
  <c r="AJ59" i="1" s="1"/>
  <c r="AK59" i="1" s="1"/>
  <c r="W39" i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W19" i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W18" i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W52" i="1"/>
  <c r="X52" i="1" s="1"/>
  <c r="Y52" i="1" s="1"/>
  <c r="Z52" i="1" s="1"/>
  <c r="AA52" i="1" s="1"/>
  <c r="AB52" i="1" s="1"/>
  <c r="AC52" i="1" s="1"/>
  <c r="AD52" i="1" s="1"/>
  <c r="AE52" i="1" s="1"/>
  <c r="AF52" i="1" s="1"/>
  <c r="AG52" i="1" s="1"/>
  <c r="AH52" i="1" s="1"/>
  <c r="AI52" i="1" s="1"/>
  <c r="AJ52" i="1" s="1"/>
  <c r="AK52" i="1" s="1"/>
  <c r="W49" i="1"/>
  <c r="X49" i="1" s="1"/>
  <c r="Y49" i="1" s="1"/>
  <c r="Z49" i="1" s="1"/>
  <c r="AA49" i="1" s="1"/>
  <c r="AB49" i="1" s="1"/>
  <c r="AC49" i="1" s="1"/>
  <c r="AD49" i="1" s="1"/>
  <c r="AE49" i="1" s="1"/>
  <c r="AF49" i="1" s="1"/>
  <c r="AG49" i="1" s="1"/>
  <c r="AH49" i="1" s="1"/>
  <c r="AI49" i="1" s="1"/>
  <c r="AJ49" i="1" s="1"/>
  <c r="AK49" i="1" s="1"/>
  <c r="W57" i="1"/>
  <c r="X57" i="1" s="1"/>
  <c r="Y57" i="1" s="1"/>
  <c r="Z57" i="1" s="1"/>
  <c r="AA57" i="1" s="1"/>
  <c r="AB57" i="1" s="1"/>
  <c r="AC57" i="1" s="1"/>
  <c r="AD57" i="1" s="1"/>
  <c r="AE57" i="1" s="1"/>
  <c r="AF57" i="1" s="1"/>
  <c r="AG57" i="1" s="1"/>
  <c r="AH57" i="1" s="1"/>
  <c r="AI57" i="1" s="1"/>
  <c r="AJ57" i="1" s="1"/>
  <c r="AK57" i="1" s="1"/>
  <c r="W56" i="1"/>
  <c r="X56" i="1" s="1"/>
  <c r="Y56" i="1" s="1"/>
  <c r="Z56" i="1" s="1"/>
  <c r="AA56" i="1" s="1"/>
  <c r="AB56" i="1" s="1"/>
  <c r="AC56" i="1" s="1"/>
  <c r="AD56" i="1" s="1"/>
  <c r="AE56" i="1" s="1"/>
  <c r="AF56" i="1" s="1"/>
  <c r="AG56" i="1" s="1"/>
  <c r="AH56" i="1" s="1"/>
  <c r="AI56" i="1" s="1"/>
  <c r="AJ56" i="1" s="1"/>
  <c r="AK56" i="1" s="1"/>
  <c r="W55" i="1"/>
  <c r="X55" i="1" s="1"/>
  <c r="Y55" i="1" s="1"/>
  <c r="Z55" i="1" s="1"/>
  <c r="AA55" i="1" s="1"/>
  <c r="AB55" i="1" s="1"/>
  <c r="AC55" i="1" s="1"/>
  <c r="AD55" i="1" s="1"/>
  <c r="AE55" i="1" s="1"/>
  <c r="AF55" i="1" s="1"/>
  <c r="AG55" i="1" s="1"/>
  <c r="AH55" i="1" s="1"/>
  <c r="AI55" i="1" s="1"/>
  <c r="AJ55" i="1" s="1"/>
  <c r="AK55" i="1" s="1"/>
  <c r="W48" i="1"/>
  <c r="X48" i="1" s="1"/>
  <c r="Y48" i="1" s="1"/>
  <c r="Z48" i="1" s="1"/>
  <c r="AA48" i="1" s="1"/>
  <c r="AB48" i="1" s="1"/>
  <c r="AC48" i="1" s="1"/>
  <c r="AD48" i="1" s="1"/>
  <c r="AE48" i="1" s="1"/>
  <c r="AF48" i="1" s="1"/>
  <c r="AG48" i="1" s="1"/>
  <c r="AH48" i="1" s="1"/>
  <c r="AI48" i="1" s="1"/>
  <c r="AJ48" i="1" s="1"/>
  <c r="AK48" i="1" s="1"/>
  <c r="W28" i="1"/>
  <c r="X28" i="1" s="1"/>
  <c r="Y28" i="1" s="1"/>
  <c r="Z28" i="1" s="1"/>
  <c r="AA28" i="1" s="1"/>
  <c r="AB28" i="1" s="1"/>
  <c r="AC28" i="1" s="1"/>
  <c r="AD28" i="1" s="1"/>
  <c r="AE28" i="1" s="1"/>
  <c r="AF28" i="1" s="1"/>
  <c r="AG28" i="1" s="1"/>
  <c r="AH28" i="1" s="1"/>
  <c r="AI28" i="1" s="1"/>
  <c r="AJ28" i="1" s="1"/>
  <c r="AK28" i="1" s="1"/>
  <c r="W47" i="1"/>
  <c r="X47" i="1" s="1"/>
  <c r="Y47" i="1" s="1"/>
  <c r="Z47" i="1" s="1"/>
  <c r="AA47" i="1" s="1"/>
  <c r="AB47" i="1" s="1"/>
  <c r="AC47" i="1" s="1"/>
  <c r="AD47" i="1" s="1"/>
  <c r="AE47" i="1" s="1"/>
  <c r="AF47" i="1" s="1"/>
  <c r="AG47" i="1" s="1"/>
  <c r="AH47" i="1" s="1"/>
  <c r="AI47" i="1" s="1"/>
  <c r="AJ47" i="1" s="1"/>
  <c r="AK47" i="1" s="1"/>
  <c r="W53" i="1"/>
  <c r="X53" i="1" s="1"/>
  <c r="Y53" i="1" s="1"/>
  <c r="Z53" i="1" s="1"/>
  <c r="AA53" i="1" s="1"/>
  <c r="AB53" i="1" s="1"/>
  <c r="AC53" i="1" s="1"/>
  <c r="AD53" i="1" s="1"/>
  <c r="AE53" i="1" s="1"/>
  <c r="AF53" i="1" s="1"/>
  <c r="AG53" i="1" s="1"/>
  <c r="AH53" i="1" s="1"/>
  <c r="AI53" i="1" s="1"/>
  <c r="AJ53" i="1" s="1"/>
  <c r="AK53" i="1" s="1"/>
  <c r="W51" i="1"/>
  <c r="X51" i="1" s="1"/>
  <c r="Y51" i="1" s="1"/>
  <c r="Z51" i="1" s="1"/>
  <c r="AA51" i="1" s="1"/>
  <c r="AB51" i="1" s="1"/>
  <c r="AC51" i="1" s="1"/>
  <c r="AD51" i="1" s="1"/>
  <c r="AE51" i="1" s="1"/>
  <c r="AF51" i="1" s="1"/>
  <c r="AG51" i="1" s="1"/>
  <c r="AH51" i="1" s="1"/>
  <c r="AI51" i="1" s="1"/>
  <c r="AJ51" i="1" s="1"/>
  <c r="AK51" i="1" s="1"/>
  <c r="W45" i="1"/>
  <c r="X45" i="1" s="1"/>
  <c r="Y45" i="1" s="1"/>
  <c r="Z45" i="1" s="1"/>
  <c r="AA45" i="1" s="1"/>
  <c r="AB45" i="1" s="1"/>
  <c r="AC45" i="1" s="1"/>
  <c r="AD45" i="1" s="1"/>
  <c r="AE45" i="1" s="1"/>
  <c r="AF45" i="1" s="1"/>
  <c r="AG45" i="1" s="1"/>
  <c r="AH45" i="1" s="1"/>
  <c r="AI45" i="1" s="1"/>
  <c r="AJ45" i="1" s="1"/>
  <c r="AK45" i="1" s="1"/>
  <c r="W25" i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W17" i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W15" i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W16" i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W54" i="1"/>
  <c r="X54" i="1" s="1"/>
  <c r="Y54" i="1" s="1"/>
  <c r="Z54" i="1" s="1"/>
  <c r="AA54" i="1" s="1"/>
  <c r="AB54" i="1" s="1"/>
  <c r="AC54" i="1" s="1"/>
  <c r="AD54" i="1" s="1"/>
  <c r="AE54" i="1" s="1"/>
  <c r="AF54" i="1" s="1"/>
  <c r="AG54" i="1" s="1"/>
  <c r="AH54" i="1" s="1"/>
  <c r="AI54" i="1" s="1"/>
  <c r="AJ54" i="1" s="1"/>
  <c r="AK54" i="1" s="1"/>
  <c r="W58" i="1"/>
  <c r="X58" i="1" s="1"/>
  <c r="Y58" i="1" s="1"/>
  <c r="Z58" i="1" s="1"/>
  <c r="AA58" i="1" s="1"/>
  <c r="AB58" i="1" s="1"/>
  <c r="AC58" i="1" s="1"/>
  <c r="AD58" i="1" s="1"/>
  <c r="AE58" i="1" s="1"/>
  <c r="AF58" i="1" s="1"/>
  <c r="AG58" i="1" s="1"/>
  <c r="AH58" i="1" s="1"/>
  <c r="AI58" i="1" s="1"/>
  <c r="AJ58" i="1" s="1"/>
  <c r="AK58" i="1" s="1"/>
  <c r="W44" i="1"/>
  <c r="X44" i="1" s="1"/>
  <c r="Y44" i="1" s="1"/>
  <c r="Z44" i="1" s="1"/>
  <c r="AA44" i="1" s="1"/>
  <c r="AB44" i="1" s="1"/>
  <c r="AC44" i="1" s="1"/>
  <c r="AD44" i="1" s="1"/>
  <c r="AE44" i="1" s="1"/>
  <c r="AF44" i="1" s="1"/>
  <c r="AG44" i="1" s="1"/>
  <c r="AH44" i="1" s="1"/>
  <c r="AI44" i="1" s="1"/>
  <c r="AJ44" i="1" s="1"/>
  <c r="AK44" i="1" s="1"/>
  <c r="W24" i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X4" i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W34" i="1"/>
  <c r="X34" i="1" s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AJ34" i="1" s="1"/>
  <c r="AK34" i="1" s="1"/>
  <c r="X14" i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W32" i="1"/>
  <c r="X32" i="1" s="1"/>
  <c r="Y32" i="1" s="1"/>
  <c r="Z32" i="1" s="1"/>
  <c r="AA32" i="1" s="1"/>
  <c r="AB32" i="1" s="1"/>
  <c r="AC32" i="1" s="1"/>
  <c r="AD32" i="1" s="1"/>
  <c r="AE32" i="1" s="1"/>
  <c r="AF32" i="1" s="1"/>
  <c r="AG32" i="1" s="1"/>
  <c r="AH32" i="1" s="1"/>
  <c r="AI32" i="1" s="1"/>
  <c r="AJ32" i="1" s="1"/>
  <c r="AK32" i="1" s="1"/>
  <c r="W12" i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W31" i="1"/>
  <c r="X31" i="1" s="1"/>
  <c r="Y31" i="1" s="1"/>
  <c r="Z31" i="1" s="1"/>
  <c r="AA31" i="1" s="1"/>
  <c r="AB31" i="1" s="1"/>
  <c r="AC31" i="1" s="1"/>
  <c r="AD31" i="1" s="1"/>
  <c r="AE31" i="1" s="1"/>
  <c r="AF31" i="1" s="1"/>
  <c r="AG31" i="1" s="1"/>
  <c r="AH31" i="1" s="1"/>
  <c r="AI31" i="1" s="1"/>
  <c r="AJ31" i="1" s="1"/>
  <c r="AK31" i="1" s="1"/>
  <c r="W11" i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W33" i="1"/>
  <c r="X33" i="1" s="1"/>
  <c r="Y33" i="1" s="1"/>
  <c r="Z33" i="1" s="1"/>
  <c r="AA33" i="1" s="1"/>
  <c r="AB33" i="1" s="1"/>
  <c r="AC33" i="1" s="1"/>
  <c r="AD33" i="1" s="1"/>
  <c r="AE33" i="1" s="1"/>
  <c r="AF33" i="1" s="1"/>
  <c r="AG33" i="1" s="1"/>
  <c r="AH33" i="1" s="1"/>
  <c r="AI33" i="1" s="1"/>
  <c r="AJ33" i="1" s="1"/>
  <c r="AK33" i="1" s="1"/>
  <c r="W13" i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W42" i="1"/>
  <c r="X42" i="1" s="1"/>
  <c r="Y42" i="1" s="1"/>
  <c r="Z42" i="1" s="1"/>
  <c r="AA42" i="1" s="1"/>
  <c r="AB42" i="1" s="1"/>
  <c r="AC42" i="1" s="1"/>
  <c r="AD42" i="1" s="1"/>
  <c r="AE42" i="1" s="1"/>
  <c r="AF42" i="1" s="1"/>
  <c r="AG42" i="1" s="1"/>
  <c r="AH42" i="1" s="1"/>
  <c r="AI42" i="1" s="1"/>
  <c r="AJ42" i="1" s="1"/>
  <c r="AK42" i="1" s="1"/>
  <c r="W22" i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W29" i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W9" i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W8" i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W27" i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W38" i="1"/>
  <c r="X38" i="1" s="1"/>
  <c r="Y38" i="1" s="1"/>
  <c r="Z38" i="1" s="1"/>
  <c r="AA38" i="1" s="1"/>
  <c r="AB38" i="1" s="1"/>
  <c r="AC38" i="1" s="1"/>
  <c r="AD38" i="1" s="1"/>
  <c r="AE38" i="1" s="1"/>
  <c r="AF38" i="1" s="1"/>
  <c r="AG38" i="1" s="1"/>
  <c r="AH38" i="1" s="1"/>
  <c r="AI38" i="1" s="1"/>
  <c r="AJ38" i="1" s="1"/>
  <c r="AK38" i="1" s="1"/>
  <c r="W36" i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W35" i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W41" i="1"/>
  <c r="X41" i="1" s="1"/>
  <c r="Y41" i="1" s="1"/>
  <c r="Z41" i="1" s="1"/>
  <c r="AA41" i="1" s="1"/>
  <c r="AB41" i="1" s="1"/>
  <c r="AC41" i="1" s="1"/>
  <c r="AD41" i="1" s="1"/>
  <c r="AE41" i="1" s="1"/>
  <c r="AF41" i="1" s="1"/>
  <c r="AG41" i="1" s="1"/>
  <c r="AH41" i="1" s="1"/>
  <c r="AI41" i="1" s="1"/>
  <c r="AJ41" i="1" s="1"/>
  <c r="AK41" i="1" s="1"/>
  <c r="W37" i="1"/>
  <c r="X37" i="1" s="1"/>
  <c r="Y37" i="1" s="1"/>
  <c r="Z37" i="1" s="1"/>
  <c r="AA37" i="1" s="1"/>
  <c r="AB37" i="1" s="1"/>
  <c r="AC37" i="1" s="1"/>
  <c r="AD37" i="1" s="1"/>
  <c r="AE37" i="1" s="1"/>
  <c r="AF37" i="1" s="1"/>
  <c r="AG37" i="1" s="1"/>
  <c r="AH37" i="1" s="1"/>
  <c r="AI37" i="1" s="1"/>
  <c r="AJ37" i="1" s="1"/>
  <c r="AK37" i="1" s="1"/>
  <c r="W60" i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  <c r="AH60" i="1" s="1"/>
  <c r="AI60" i="1" s="1"/>
  <c r="AJ60" i="1" s="1"/>
  <c r="AK60" i="1" s="1"/>
  <c r="W40" i="1"/>
  <c r="X40" i="1" s="1"/>
  <c r="Y40" i="1" s="1"/>
  <c r="Z40" i="1" s="1"/>
  <c r="AA40" i="1" s="1"/>
  <c r="AB40" i="1" s="1"/>
  <c r="AC40" i="1" s="1"/>
  <c r="AD40" i="1" s="1"/>
  <c r="AE40" i="1" s="1"/>
  <c r="AF40" i="1" s="1"/>
  <c r="AG40" i="1" s="1"/>
  <c r="AH40" i="1" s="1"/>
  <c r="AI40" i="1" s="1"/>
  <c r="AJ40" i="1" s="1"/>
  <c r="AK40" i="1" s="1"/>
  <c r="W20" i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X2" i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W3" i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W21" i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W50" i="1"/>
  <c r="X50" i="1" s="1"/>
  <c r="Y50" i="1" s="1"/>
  <c r="Z50" i="1" s="1"/>
  <c r="AA50" i="1" s="1"/>
  <c r="AB50" i="1" s="1"/>
  <c r="AC50" i="1" s="1"/>
  <c r="AD50" i="1" s="1"/>
  <c r="AE50" i="1" s="1"/>
  <c r="AF50" i="1" s="1"/>
  <c r="AG50" i="1" s="1"/>
  <c r="AH50" i="1" s="1"/>
  <c r="AI50" i="1" s="1"/>
  <c r="AJ50" i="1" s="1"/>
  <c r="AK50" i="1" s="1"/>
  <c r="W30" i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W10" i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W46" i="1"/>
  <c r="X46" i="1" s="1"/>
  <c r="Y46" i="1" s="1"/>
  <c r="Z46" i="1" s="1"/>
  <c r="AA46" i="1" s="1"/>
  <c r="AB46" i="1" s="1"/>
  <c r="AC46" i="1" s="1"/>
  <c r="AD46" i="1" s="1"/>
  <c r="AE46" i="1" s="1"/>
  <c r="AF46" i="1" s="1"/>
  <c r="AG46" i="1" s="1"/>
  <c r="AH46" i="1" s="1"/>
  <c r="AI46" i="1" s="1"/>
  <c r="AJ46" i="1" s="1"/>
  <c r="AK46" i="1" s="1"/>
  <c r="W26" i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X6" i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W43" i="1"/>
  <c r="X43" i="1" s="1"/>
  <c r="Y43" i="1" s="1"/>
  <c r="Z43" i="1" s="1"/>
  <c r="AA43" i="1" s="1"/>
  <c r="AB43" i="1" s="1"/>
  <c r="AC43" i="1" s="1"/>
  <c r="AD43" i="1" s="1"/>
  <c r="AE43" i="1" s="1"/>
  <c r="AF43" i="1" s="1"/>
  <c r="AG43" i="1" s="1"/>
  <c r="AH43" i="1" s="1"/>
  <c r="AI43" i="1" s="1"/>
  <c r="AJ43" i="1" s="1"/>
  <c r="AK43" i="1" s="1"/>
  <c r="W23" i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G35" i="3" l="1"/>
  <c r="D35" i="3" l="1"/>
  <c r="I34" i="3"/>
  <c r="I33" i="3"/>
  <c r="K33" i="3" s="1"/>
  <c r="I32" i="3"/>
  <c r="K32" i="3" s="1"/>
  <c r="I24" i="3"/>
  <c r="D24" i="3"/>
  <c r="D23" i="3"/>
  <c r="I19" i="3"/>
  <c r="I18" i="3"/>
  <c r="I17" i="3"/>
  <c r="D19" i="3"/>
  <c r="D18" i="3"/>
  <c r="I36" i="3"/>
  <c r="K36" i="3" s="1"/>
  <c r="D36" i="3"/>
  <c r="I35" i="3"/>
  <c r="K35" i="3" s="1"/>
  <c r="J8" i="3"/>
  <c r="K8" i="3" s="1"/>
  <c r="I29" i="3" s="1"/>
  <c r="K29" i="3" l="1"/>
  <c r="K34" i="3"/>
  <c r="K37" i="3" l="1"/>
  <c r="I37" i="3"/>
  <c r="F42" i="3" s="1"/>
  <c r="F43" i="3" s="1"/>
  <c r="K45" i="3" s="1"/>
  <c r="K38" i="3" l="1"/>
  <c r="D2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William Talas</author>
  </authors>
  <commentList>
    <comment ref="R7" authorId="0" shapeId="0" xr:uid="{83C1027C-8635-45B0-A37E-47B7D56852BA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511 DU 25/09/2018
</t>
        </r>
      </text>
    </comment>
    <comment ref="R8" authorId="0" shapeId="0" xr:uid="{21E2829A-FE71-4C4C-9DB6-59DC9867846E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512 DU 25/09/2018
</t>
        </r>
      </text>
    </comment>
    <comment ref="Q9" authorId="0" shapeId="0" xr:uid="{E00123DC-99ED-4BFF-9EEA-B484B77040CD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FC191111 DU 20/11/2019</t>
        </r>
      </text>
    </comment>
    <comment ref="Q10" authorId="0" shapeId="0" xr:uid="{31731E57-B9FC-417B-A572-94FF3F441B7D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FC191111 DU 20/11/2019</t>
        </r>
      </text>
    </comment>
    <comment ref="Q11" authorId="0" shapeId="0" xr:uid="{6371BEBA-8191-47D8-AAE1-463BF6F4A871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FM210321 07/04/2021</t>
        </r>
      </text>
    </comment>
    <comment ref="R11" authorId="0" shapeId="0" xr:uid="{72DB8964-7776-4044-A5DF-2CF40AF92100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3427 07/05/2021</t>
        </r>
      </text>
    </comment>
    <comment ref="Q12" authorId="0" shapeId="0" xr:uid="{54179D68-826D-458F-9D84-05A238452127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FM210321 07/04/2021</t>
        </r>
      </text>
    </comment>
    <comment ref="R12" authorId="0" shapeId="0" xr:uid="{6CC58AF4-157F-4A1B-8C13-EBF39A37DDB4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3377 DU 23/04/2021</t>
        </r>
      </text>
    </comment>
    <comment ref="Q21" authorId="0" shapeId="0" xr:uid="{155DCA9B-AB54-432F-84D4-59CFCB0C4554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FC190414 16/04/2019</t>
        </r>
      </text>
    </comment>
    <comment ref="Q22" authorId="0" shapeId="0" xr:uid="{2631C5A6-316E-44EC-B525-F9E023F9C2AF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FC191001 DU 01/10/2019</t>
        </r>
      </text>
    </comment>
    <comment ref="Q24" authorId="0" shapeId="0" xr:uid="{5745BDF8-DBD9-468B-BA30-1F7ECECA2DDB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FM210322 12/04/2021</t>
        </r>
      </text>
    </comment>
    <comment ref="A53" authorId="0" shapeId="0" xr:uid="{E5175223-0771-4CAB-979E-BF37E5ECFEAB}">
      <text>
        <r>
          <rPr>
            <sz val="9"/>
            <color indexed="81"/>
            <rFont val="Tahoma"/>
            <family val="2"/>
          </rPr>
          <t xml:space="preserve">WT : Finacement 48 mois terminé
Vente du tracteur à GPDG le 02/03/2022 (Date CG) 
V.A. 21418,06 HT (durée de vie estimée : 9 ans)
Revente (- 40% à la V.A.) = 12850,00 HT sur 60 mois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William Talas</author>
  </authors>
  <commentList>
    <comment ref="A53" authorId="0" shapeId="0" xr:uid="{D950B4CA-A5D1-4A49-A563-071FCA0A516A}">
      <text>
        <r>
          <rPr>
            <sz val="9"/>
            <color indexed="81"/>
            <rFont val="Tahoma"/>
            <family val="2"/>
          </rPr>
          <t xml:space="preserve">WT : Finacement 48 mois terminé
Vente du tracteur à GPDG le 02/03/2022 (Date CG) 
V.A. 21418,06 HT (durée de vie estimée : 9 ans)
Revente (- 40% à la V.A.) = 12850,00 HT sur 60 mois
</t>
        </r>
      </text>
    </comment>
  </commentList>
</comments>
</file>

<file path=xl/sharedStrings.xml><?xml version="1.0" encoding="utf-8"?>
<sst xmlns="http://schemas.openxmlformats.org/spreadsheetml/2006/main" count="484" uniqueCount="240">
  <si>
    <t>REF. INTERNE</t>
  </si>
  <si>
    <t>PROPRIETAIRE</t>
  </si>
  <si>
    <t>PLAQUE</t>
  </si>
  <si>
    <t>TYPE</t>
  </si>
  <si>
    <t>MARQUE</t>
  </si>
  <si>
    <t>MODELE</t>
  </si>
  <si>
    <t>N° ID / SERIE</t>
  </si>
  <si>
    <t>CB / LEASEUR</t>
  </si>
  <si>
    <t>DATE ACHAT</t>
  </si>
  <si>
    <t>VALEUR ACHAT</t>
  </si>
  <si>
    <t>DEVENIR</t>
  </si>
  <si>
    <t>DUREE CB</t>
  </si>
  <si>
    <t>FDCB</t>
  </si>
  <si>
    <t>FLOCAGE</t>
  </si>
  <si>
    <t>REHAUSSE JPM</t>
  </si>
  <si>
    <t>ENTRETIEN</t>
  </si>
  <si>
    <t>AMORT.</t>
  </si>
  <si>
    <t>ANNEE ACQT</t>
  </si>
  <si>
    <t>ASSIETTE DE CALCUL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</si>
  <si>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</si>
  <si>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</si>
  <si>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</si>
  <si>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</si>
  <si>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</si>
  <si>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</si>
  <si>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</si>
  <si>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</si>
  <si>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</si>
  <si>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</si>
  <si>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</si>
  <si>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</si>
  <si>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</si>
  <si>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</si>
  <si>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</si>
  <si>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BEN 01</t>
  </si>
  <si>
    <t>BEN 02</t>
  </si>
  <si>
    <t>BEN 03</t>
  </si>
  <si>
    <t>BEN 04</t>
  </si>
  <si>
    <t>BEN 05</t>
  </si>
  <si>
    <t>BEN 06</t>
  </si>
  <si>
    <t>BEN 07</t>
  </si>
  <si>
    <t>BEN 08</t>
  </si>
  <si>
    <t>BEN 09</t>
  </si>
  <si>
    <t>BEN 10</t>
  </si>
  <si>
    <t>BEN 11</t>
  </si>
  <si>
    <t>BEN 12</t>
  </si>
  <si>
    <t>BEN 13</t>
  </si>
  <si>
    <t>BEN 14</t>
  </si>
  <si>
    <t>BEN 15</t>
  </si>
  <si>
    <t>BEN 16</t>
  </si>
  <si>
    <t>BENNE</t>
  </si>
  <si>
    <t>IVECO</t>
  </si>
  <si>
    <t>DAYLY</t>
  </si>
  <si>
    <t xml:space="preserve">RENAULT </t>
  </si>
  <si>
    <t>MAXITY</t>
  </si>
  <si>
    <t xml:space="preserve">FIAT </t>
  </si>
  <si>
    <t>DUCATO</t>
  </si>
  <si>
    <t>DAILY</t>
  </si>
  <si>
    <t>FIAT</t>
  </si>
  <si>
    <t>MASTER</t>
  </si>
  <si>
    <t>PIAGGIO</t>
  </si>
  <si>
    <t>PORTER NP6</t>
  </si>
  <si>
    <t>RENAULT</t>
  </si>
  <si>
    <t>VL 001</t>
  </si>
  <si>
    <t>VEHICULE LEGER</t>
  </si>
  <si>
    <t>CLIO</t>
  </si>
  <si>
    <t>VL 002</t>
  </si>
  <si>
    <t>KANGOO</t>
  </si>
  <si>
    <t>VL 003</t>
  </si>
  <si>
    <t>PEUGEOT</t>
  </si>
  <si>
    <t>EXPERT</t>
  </si>
  <si>
    <t>VL 004</t>
  </si>
  <si>
    <t>VL 005</t>
  </si>
  <si>
    <t>VL 006</t>
  </si>
  <si>
    <t>VL 007</t>
  </si>
  <si>
    <t>TALENTO</t>
  </si>
  <si>
    <t>VL 008</t>
  </si>
  <si>
    <t>TOYOTA</t>
  </si>
  <si>
    <t>PRAOCE CITY</t>
  </si>
  <si>
    <t>VL 009</t>
  </si>
  <si>
    <t>YARIS</t>
  </si>
  <si>
    <t>VL 010</t>
  </si>
  <si>
    <t>ZOE</t>
  </si>
  <si>
    <t>HILUX</t>
  </si>
  <si>
    <t>VL 011</t>
  </si>
  <si>
    <t>REM XX</t>
  </si>
  <si>
    <t>LIDER</t>
  </si>
  <si>
    <t>CADIX</t>
  </si>
  <si>
    <t>REM 01</t>
  </si>
  <si>
    <t>GRILLAGE</t>
  </si>
  <si>
    <t>REM 02</t>
  </si>
  <si>
    <t>ECIM</t>
  </si>
  <si>
    <t>TRI BENNE</t>
  </si>
  <si>
    <t>REM 03</t>
  </si>
  <si>
    <t>GRD PLATEAU</t>
  </si>
  <si>
    <t>REM 04</t>
  </si>
  <si>
    <t xml:space="preserve">PETIT PLATEAU </t>
  </si>
  <si>
    <t>REM 05</t>
  </si>
  <si>
    <t>PETIT PLATEAU</t>
  </si>
  <si>
    <t>REM 06</t>
  </si>
  <si>
    <t>REM 07</t>
  </si>
  <si>
    <t>REM 08</t>
  </si>
  <si>
    <t>MECANOREM</t>
  </si>
  <si>
    <t>PLATEAU</t>
  </si>
  <si>
    <t>REM 09</t>
  </si>
  <si>
    <t>REM 10</t>
  </si>
  <si>
    <t>REM 11</t>
  </si>
  <si>
    <t>SOGEWALOT</t>
  </si>
  <si>
    <t>REM 12</t>
  </si>
  <si>
    <t>REM 13</t>
  </si>
  <si>
    <t>REM 14</t>
  </si>
  <si>
    <t>RBRO 02</t>
  </si>
  <si>
    <t>TIMBERWOLF</t>
  </si>
  <si>
    <t>TW230DHB</t>
  </si>
  <si>
    <t>RBRO 03</t>
  </si>
  <si>
    <t>GREENMECH</t>
  </si>
  <si>
    <t>EVO165TD</t>
  </si>
  <si>
    <t>TRAXX</t>
  </si>
  <si>
    <t>ENGIN AGRICOLE</t>
  </si>
  <si>
    <t>CASE</t>
  </si>
  <si>
    <t>MXU100 PRO</t>
  </si>
  <si>
    <t>TRA 01</t>
  </si>
  <si>
    <t>BX2200</t>
  </si>
  <si>
    <t>TRA 02</t>
  </si>
  <si>
    <t>KUBOTA</t>
  </si>
  <si>
    <t>G23</t>
  </si>
  <si>
    <t>TRA 03</t>
  </si>
  <si>
    <t>MK5000</t>
  </si>
  <si>
    <t>TRA 04</t>
  </si>
  <si>
    <t>G23HD n°2</t>
  </si>
  <si>
    <t>TRA 05</t>
  </si>
  <si>
    <t>F280</t>
  </si>
  <si>
    <t>TRA 06</t>
  </si>
  <si>
    <t>G23HD n°3</t>
  </si>
  <si>
    <t>TRA 07</t>
  </si>
  <si>
    <t>BX2350</t>
  </si>
  <si>
    <t>TRA 08</t>
  </si>
  <si>
    <t>TORO</t>
  </si>
  <si>
    <t>TORO ZD</t>
  </si>
  <si>
    <t>TRA 09</t>
  </si>
  <si>
    <t>KUB Z122R</t>
  </si>
  <si>
    <t>TRA 10</t>
  </si>
  <si>
    <t>KUB Z122R 2</t>
  </si>
  <si>
    <t>TRA 11</t>
  </si>
  <si>
    <t>G23 N° 4</t>
  </si>
  <si>
    <t>TRA 12</t>
  </si>
  <si>
    <t>KUB Z122R 3</t>
  </si>
  <si>
    <t>TRA 13</t>
  </si>
  <si>
    <t>KUB Z122R 4</t>
  </si>
  <si>
    <t>TRA 14</t>
  </si>
  <si>
    <t>KUB Z122R 5</t>
  </si>
  <si>
    <t>REMORQUE</t>
  </si>
  <si>
    <t>BROYEUR</t>
  </si>
  <si>
    <t>FACTURE</t>
  </si>
  <si>
    <t>POLICE</t>
  </si>
  <si>
    <t>ENTITE ASS</t>
  </si>
  <si>
    <t>A/M</t>
  </si>
  <si>
    <t>BANQUE</t>
  </si>
  <si>
    <t>MOIS TR</t>
  </si>
  <si>
    <t>ECH. 2024</t>
  </si>
  <si>
    <t>ECH. 2015</t>
  </si>
  <si>
    <t>ECH. 2016</t>
  </si>
  <si>
    <t>ECH. 2017</t>
  </si>
  <si>
    <t>ECH. 2018</t>
  </si>
  <si>
    <t>ECH. 2019</t>
  </si>
  <si>
    <t>ECH. 2020</t>
  </si>
  <si>
    <t>ECH. 2021</t>
  </si>
  <si>
    <t>ECH. 2022</t>
  </si>
  <si>
    <t>ECH. 2023</t>
  </si>
  <si>
    <t>BRO 02</t>
  </si>
  <si>
    <t>BRO 03</t>
  </si>
  <si>
    <t>TRA 15</t>
  </si>
  <si>
    <t>AVRIL</t>
  </si>
  <si>
    <t>JUILLET</t>
  </si>
  <si>
    <t>NOV.</t>
  </si>
  <si>
    <t>MARS</t>
  </si>
  <si>
    <t>JUIN</t>
  </si>
  <si>
    <t>AOUT</t>
  </si>
  <si>
    <t>MAI</t>
  </si>
  <si>
    <t>SEPT.</t>
  </si>
  <si>
    <t>OCT.</t>
  </si>
  <si>
    <t>DEC.</t>
  </si>
  <si>
    <t>X</t>
  </si>
  <si>
    <t>PAYSAGE DES GRAVES</t>
  </si>
  <si>
    <t xml:space="preserve">Relevé d'information du </t>
  </si>
  <si>
    <t>REFERENCE INTERNE</t>
  </si>
  <si>
    <t>:</t>
  </si>
  <si>
    <t>PLAQUE D'IMMAT.</t>
  </si>
  <si>
    <t>N° SERIE / ID</t>
  </si>
  <si>
    <t xml:space="preserve">Financement / Financeur </t>
  </si>
  <si>
    <t xml:space="preserve">FDC </t>
  </si>
  <si>
    <t xml:space="preserve">montant à l'acquisition </t>
  </si>
  <si>
    <t xml:space="preserve">Durée du financement </t>
  </si>
  <si>
    <t>Montant HT</t>
  </si>
  <si>
    <t>taux taxe</t>
  </si>
  <si>
    <t>Montant taxe</t>
  </si>
  <si>
    <t>Réhausses</t>
  </si>
  <si>
    <t>Contrat de maintenance</t>
  </si>
  <si>
    <t>Flocage</t>
  </si>
  <si>
    <t>*Assurance n°</t>
  </si>
  <si>
    <t>Cotis. / an :</t>
  </si>
  <si>
    <t>(les montant sont exprimés en HT)</t>
  </si>
  <si>
    <t>* Exempté de TVA</t>
  </si>
  <si>
    <t xml:space="preserve">TOTAL </t>
  </si>
  <si>
    <t xml:space="preserve">TOTAL TTC </t>
  </si>
  <si>
    <t xml:space="preserve">*Moyenne de jour travaillés dans le mois : </t>
  </si>
  <si>
    <t>Prix HT du véhicule moyen par mois :</t>
  </si>
  <si>
    <t>Prix HT du véhicule moyen par jour :</t>
  </si>
  <si>
    <t>Prix HT du véhicule moyen par jour avec marge de l'entreprise</t>
  </si>
  <si>
    <t>location estimé dans le commerce :
- Camion benne simple cabine :  entre 130 € HT et 150 € HT
- tracteur (suivant gabarit) : entre 55 € HT et 260 € HT
- Véhicule léger : entre 60 € HT et 120 € HT 
- Remorque : entre 60 € HT et 75 € HT</t>
  </si>
  <si>
    <t>*Moyenne de jours travaillés par mois établi à partir d'un relevé de 2 années (2021/2022)</t>
  </si>
  <si>
    <t>PDGA</t>
  </si>
  <si>
    <t xml:space="preserve">BENNE </t>
  </si>
  <si>
    <t>VL</t>
  </si>
  <si>
    <t>TRACTEUR</t>
  </si>
  <si>
    <t>Valeur à la décote</t>
  </si>
  <si>
    <t>Vendu / Cédé à GPDG le</t>
  </si>
  <si>
    <t>FIN AMORT. A</t>
  </si>
  <si>
    <t>BEN</t>
  </si>
  <si>
    <t>REM</t>
  </si>
  <si>
    <t>TRA</t>
  </si>
  <si>
    <t>Bennes</t>
  </si>
  <si>
    <t>Remorques</t>
  </si>
  <si>
    <t>Véhicules légers</t>
  </si>
  <si>
    <t>Tracteurs</t>
  </si>
  <si>
    <t>abbrev.</t>
  </si>
  <si>
    <t>quoi</t>
  </si>
  <si>
    <t>année1</t>
  </si>
  <si>
    <t>suivants</t>
  </si>
  <si>
    <t>vendu le 15/10/2019</t>
  </si>
  <si>
    <t>cédé le 14/03/2020</t>
  </si>
  <si>
    <t>cédé le 18/06/2021</t>
  </si>
  <si>
    <t>cédé le 31/12/2021</t>
  </si>
  <si>
    <t>cédé le 01/11/2021</t>
  </si>
  <si>
    <t>MONTANT PEC APRES AMORT.</t>
  </si>
  <si>
    <t>cédé  le 31/12/2021</t>
  </si>
  <si>
    <t xml:space="preserve">VL </t>
  </si>
  <si>
    <t>BRO</t>
  </si>
  <si>
    <t>Broyeurs</t>
  </si>
  <si>
    <t>Nicolas le Jardinier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</si>
</sst>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5" fillId="0" borderId="0" xfId="0" applyFont="1"/>
    <xf numFmtId="1" fontId="5" fillId="0" borderId="0" xfId="0" applyNumberFormat="1" applyFont="1"/>
    <xf numFmtId="0" fontId="5" fillId="0" borderId="0" xfId="0" applyFont="1" applyAlignment="1">
      <alignment vertical="center"/>
    </xf>
    <xf numFmtId="14" fontId="8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4" fontId="5" fillId="0" borderId="0" xfId="0" applyNumberFormat="1" applyFont="1" applyAlignment="1">
      <alignment horizontal="center"/>
    </xf>
    <xf numFmtId="14" fontId="5" fillId="0" borderId="0" xfId="0" applyNumberFormat="1" applyFont="1"/>
    <xf numFmtId="0" fontId="5" fillId="0" borderId="0" xfId="0" applyFont="1" applyAlignment="1">
      <alignment horizontal="left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left" vertical="center"/>
    </xf>
    <xf numFmtId="0" fontId="5" fillId="0" borderId="6" xfId="0" applyFont="1" applyBorder="1"/>
    <xf numFmtId="16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1" xfId="0" applyFont="1" applyBorder="1"/>
    <xf numFmtId="164" fontId="5" fillId="0" borderId="11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right"/>
    </xf>
    <xf numFmtId="0" fontId="5" fillId="0" borderId="7" xfId="0" applyFont="1" applyBorder="1"/>
    <xf numFmtId="0" fontId="5" fillId="0" borderId="8" xfId="0" applyFont="1" applyBorder="1"/>
    <xf numFmtId="14" fontId="5" fillId="0" borderId="8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/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44" fontId="5" fillId="0" borderId="14" xfId="1" applyFont="1" applyBorder="1"/>
    <xf numFmtId="9" fontId="5" fillId="0" borderId="14" xfId="0" applyNumberFormat="1" applyFont="1" applyBorder="1"/>
    <xf numFmtId="44" fontId="5" fillId="0" borderId="15" xfId="1" applyFont="1" applyBorder="1"/>
    <xf numFmtId="9" fontId="5" fillId="0" borderId="15" xfId="0" applyNumberFormat="1" applyFont="1" applyBorder="1"/>
    <xf numFmtId="44" fontId="5" fillId="0" borderId="0" xfId="1" applyFont="1" applyBorder="1"/>
    <xf numFmtId="0" fontId="5" fillId="0" borderId="0" xfId="1" applyNumberFormat="1" applyFont="1" applyBorder="1"/>
    <xf numFmtId="2" fontId="5" fillId="0" borderId="0" xfId="0" applyNumberFormat="1" applyFont="1"/>
    <xf numFmtId="0" fontId="5" fillId="0" borderId="15" xfId="0" applyFont="1" applyBorder="1" applyAlignment="1">
      <alignment horizontal="center"/>
    </xf>
    <xf numFmtId="0" fontId="5" fillId="0" borderId="8" xfId="1" applyNumberFormat="1" applyFont="1" applyBorder="1"/>
    <xf numFmtId="2" fontId="5" fillId="0" borderId="8" xfId="0" applyNumberFormat="1" applyFont="1" applyBorder="1"/>
    <xf numFmtId="0" fontId="5" fillId="0" borderId="9" xfId="0" applyFont="1" applyBorder="1"/>
    <xf numFmtId="44" fontId="5" fillId="0" borderId="16" xfId="1" applyFont="1" applyBorder="1"/>
    <xf numFmtId="0" fontId="5" fillId="0" borderId="16" xfId="0" applyFont="1" applyBorder="1" applyAlignment="1">
      <alignment horizontal="center"/>
    </xf>
    <xf numFmtId="0" fontId="9" fillId="0" borderId="0" xfId="0" applyFont="1"/>
    <xf numFmtId="0" fontId="5" fillId="0" borderId="13" xfId="0" applyFont="1" applyBorder="1"/>
    <xf numFmtId="44" fontId="5" fillId="0" borderId="12" xfId="1" applyFont="1" applyBorder="1"/>
    <xf numFmtId="0" fontId="5" fillId="0" borderId="0" xfId="0" quotePrefix="1" applyFont="1"/>
    <xf numFmtId="0" fontId="5" fillId="0" borderId="0" xfId="0" applyFont="1" applyAlignment="1">
      <alignment horizontal="center"/>
    </xf>
    <xf numFmtId="44" fontId="5" fillId="0" borderId="0" xfId="0" applyNumberFormat="1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12" xfId="0" applyFont="1" applyBorder="1"/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0" fillId="0" borderId="0" xfId="0" applyNumberFormat="1"/>
    <xf numFmtId="0" fontId="8" fillId="0" borderId="0" xfId="0" applyFont="1"/>
    <xf numFmtId="2" fontId="5" fillId="0" borderId="8" xfId="0" applyNumberFormat="1" applyFont="1" applyBorder="1" applyAlignment="1">
      <alignment horizontal="left" vertical="center"/>
    </xf>
    <xf numFmtId="0" fontId="0" fillId="0" borderId="12" xfId="0" applyBorder="1"/>
    <xf numFmtId="44" fontId="7" fillId="0" borderId="14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left" vertical="center"/>
    </xf>
    <xf numFmtId="0" fontId="5" fillId="0" borderId="8" xfId="0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" fontId="5" fillId="0" borderId="17" xfId="0" applyNumberFormat="1" applyFont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 vertical="center"/>
    </xf>
    <xf numFmtId="10" fontId="0" fillId="0" borderId="0" xfId="0" applyNumberFormat="1"/>
    <xf numFmtId="0" fontId="10" fillId="3" borderId="0" xfId="0" applyFont="1" applyFill="1"/>
    <xf numFmtId="0" fontId="10" fillId="3" borderId="4" xfId="0" applyFont="1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6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73</xdr:row>
      <xdr:rowOff>0</xdr:rowOff>
    </xdr:from>
    <xdr:to>
      <xdr:col>7</xdr:col>
      <xdr:colOff>29161</xdr:colOff>
      <xdr:row>86</xdr:row>
      <xdr:rowOff>86031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D1927BBA-1B0F-48A8-8D08-5A007498C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1582400"/>
          <a:ext cx="4201111" cy="21910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23%20-%20WILLIAM\REFACTURATION%20VEHICULE%20GROUPE%20PDG\GPDG%20-%20REFACTURATION%20VEHICULES%20v2.xlsx" TargetMode="External"/><Relationship Id="rId1" Type="http://schemas.openxmlformats.org/officeDocument/2006/relationships/externalLinkPath" Target="file:///P:\23%20-%20WILLIAM\REFACTURATION%20VEHICULE%20GROUPE%20PDG\GPDG%20-%20REFACTURATION%20VEHICULES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éhicules MAJ 20012022"/>
      <sheetName val="Assurances "/>
      <sheetName val="Assurances 2"/>
      <sheetName val="OM"/>
      <sheetName val="OM (2)"/>
      <sheetName val="OM (3)"/>
      <sheetName val="OM (4)"/>
      <sheetName val="Feuil1"/>
      <sheetName val="Apprenti MG"/>
      <sheetName val="Véhicule au 31122021"/>
      <sheetName val="APPRENTI au 31122021"/>
    </sheetNames>
    <sheetDataSet>
      <sheetData sheetId="0"/>
      <sheetData sheetId="1">
        <row r="1">
          <cell r="A1" t="str">
            <v>REFERENCE</v>
          </cell>
          <cell r="B1" t="str">
            <v>STRUCTURE</v>
          </cell>
          <cell r="C1" t="str">
            <v>IMMAT</v>
          </cell>
          <cell r="D1" t="str">
            <v>MARQUE</v>
          </cell>
          <cell r="E1" t="str">
            <v>MODELE</v>
          </cell>
          <cell r="F1" t="str">
            <v>TYPE</v>
          </cell>
          <cell r="G1" t="str">
            <v>N° SERIE</v>
          </cell>
          <cell r="H1" t="str">
            <v>POLICE</v>
          </cell>
          <cell r="I1"/>
          <cell r="J1" t="str">
            <v>A/M</v>
          </cell>
          <cell r="K1" t="str">
            <v>BANQUE</v>
          </cell>
          <cell r="L1" t="str">
            <v>MOIS TR</v>
          </cell>
          <cell r="M1" t="str">
            <v>ECH. 2024</v>
          </cell>
          <cell r="N1" t="str">
            <v>ECH. 2023</v>
          </cell>
          <cell r="O1" t="str">
            <v>ECH. 2022</v>
          </cell>
          <cell r="P1" t="str">
            <v>ECH. 2021</v>
          </cell>
          <cell r="Q1" t="str">
            <v>ECH. 2020</v>
          </cell>
          <cell r="R1" t="str">
            <v>ECH. 2019</v>
          </cell>
          <cell r="S1" t="str">
            <v>ECH. 2018</v>
          </cell>
          <cell r="T1" t="str">
            <v>ECH. 2017</v>
          </cell>
          <cell r="U1" t="str">
            <v>ECH. 2016</v>
          </cell>
          <cell r="V1" t="str">
            <v>ECH. 2015</v>
          </cell>
        </row>
        <row r="2">
          <cell r="A2" t="str">
            <v>BEN 01</v>
          </cell>
          <cell r="B2" t="str">
            <v>GPDG</v>
          </cell>
          <cell r="C2" t="str">
            <v>DJ-492-HG</v>
          </cell>
          <cell r="D2" t="str">
            <v>IVECO</v>
          </cell>
          <cell r="E2" t="str">
            <v>DAYLY</v>
          </cell>
          <cell r="F2" t="str">
            <v>AUTOMOBILE</v>
          </cell>
          <cell r="G2" t="str">
            <v>ZCFC35A740D533467</v>
          </cell>
          <cell r="H2">
            <v>5374268704</v>
          </cell>
          <cell r="I2" t="str">
            <v>GPDG</v>
          </cell>
          <cell r="J2" t="str">
            <v>A</v>
          </cell>
          <cell r="K2" t="str">
            <v>CEAPC</v>
          </cell>
          <cell r="L2" t="str">
            <v>AVRIL</v>
          </cell>
          <cell r="M2">
            <v>1401.29</v>
          </cell>
          <cell r="N2">
            <v>1342.37</v>
          </cell>
          <cell r="O2">
            <v>1272.3800000000001</v>
          </cell>
          <cell r="P2">
            <v>1262.42</v>
          </cell>
          <cell r="Q2">
            <v>1249.93</v>
          </cell>
          <cell r="R2">
            <v>1214.32</v>
          </cell>
          <cell r="S2"/>
          <cell r="T2"/>
          <cell r="U2"/>
          <cell r="V2"/>
        </row>
        <row r="3">
          <cell r="A3" t="str">
            <v>BEN 02</v>
          </cell>
          <cell r="B3" t="str">
            <v>GPDG</v>
          </cell>
          <cell r="C3" t="str">
            <v>DQ-059-QL</v>
          </cell>
          <cell r="D3" t="str">
            <v xml:space="preserve">RENAULT </v>
          </cell>
          <cell r="E3" t="str">
            <v>MAXITY</v>
          </cell>
          <cell r="F3" t="str">
            <v>AUTOMOBILE</v>
          </cell>
          <cell r="G3" t="str">
            <v>VF6SWTF24E5171208</v>
          </cell>
          <cell r="H3">
            <v>6593682904</v>
          </cell>
          <cell r="I3" t="str">
            <v>GPDG</v>
          </cell>
          <cell r="J3" t="str">
            <v>A</v>
          </cell>
          <cell r="K3" t="str">
            <v>CEAPC</v>
          </cell>
          <cell r="L3" t="str">
            <v>AVRIL</v>
          </cell>
          <cell r="M3">
            <v>1518.22</v>
          </cell>
          <cell r="N3">
            <v>1471.01</v>
          </cell>
          <cell r="O3">
            <v>1448.41</v>
          </cell>
          <cell r="P3">
            <v>1439.06</v>
          </cell>
          <cell r="Q3">
            <v>1427.02</v>
          </cell>
          <cell r="R3">
            <v>1374.59</v>
          </cell>
          <cell r="S3">
            <v>1337.27</v>
          </cell>
          <cell r="T3">
            <v>1181.3599999999999</v>
          </cell>
          <cell r="U3">
            <v>1100.99</v>
          </cell>
          <cell r="V3"/>
        </row>
        <row r="4">
          <cell r="A4" t="str">
            <v>BEN 03</v>
          </cell>
          <cell r="B4" t="str">
            <v>PDG</v>
          </cell>
          <cell r="C4" t="str">
            <v>ED-199-XE</v>
          </cell>
          <cell r="D4" t="str">
            <v xml:space="preserve">RENAULT </v>
          </cell>
          <cell r="E4" t="str">
            <v>MAXITY</v>
          </cell>
          <cell r="F4" t="str">
            <v>BENNE</v>
          </cell>
          <cell r="G4" t="str">
            <v>VF6SVTF24G6192480</v>
          </cell>
          <cell r="H4">
            <v>7219552904</v>
          </cell>
          <cell r="I4" t="str">
            <v>PDG</v>
          </cell>
          <cell r="J4" t="str">
            <v>A</v>
          </cell>
          <cell r="K4" t="str">
            <v>CEAPC</v>
          </cell>
          <cell r="L4" t="str">
            <v>JUILLET</v>
          </cell>
          <cell r="M4">
            <v>993.01</v>
          </cell>
          <cell r="N4"/>
          <cell r="O4"/>
          <cell r="P4"/>
          <cell r="Q4"/>
          <cell r="R4"/>
          <cell r="S4"/>
          <cell r="T4"/>
          <cell r="U4"/>
          <cell r="V4"/>
        </row>
        <row r="5">
          <cell r="A5" t="str">
            <v>BEN 04</v>
          </cell>
          <cell r="B5" t="str">
            <v>PDG</v>
          </cell>
          <cell r="C5" t="str">
            <v>EB-962-XQ</v>
          </cell>
          <cell r="D5" t="str">
            <v xml:space="preserve">FIAT </v>
          </cell>
          <cell r="E5" t="str">
            <v>DUCATO</v>
          </cell>
          <cell r="F5" t="str">
            <v>BENNE</v>
          </cell>
          <cell r="G5" t="str">
            <v>ZFA25000002929593</v>
          </cell>
          <cell r="H5">
            <v>10118321304</v>
          </cell>
          <cell r="I5" t="str">
            <v>PDG</v>
          </cell>
          <cell r="J5" t="str">
            <v>A</v>
          </cell>
          <cell r="K5" t="str">
            <v>CEAPC</v>
          </cell>
          <cell r="L5" t="str">
            <v>NOV.</v>
          </cell>
          <cell r="M5"/>
          <cell r="N5"/>
          <cell r="O5"/>
          <cell r="P5"/>
          <cell r="Q5"/>
          <cell r="R5"/>
          <cell r="S5"/>
          <cell r="T5"/>
          <cell r="U5"/>
          <cell r="V5"/>
        </row>
        <row r="6">
          <cell r="A6" t="str">
            <v>BEN 05</v>
          </cell>
          <cell r="B6" t="str">
            <v>GPDG</v>
          </cell>
          <cell r="C6" t="str">
            <v>EV-324-LW</v>
          </cell>
          <cell r="D6" t="str">
            <v>IVECO</v>
          </cell>
          <cell r="E6" t="str">
            <v>DAILY</v>
          </cell>
          <cell r="F6" t="str">
            <v>BENNE</v>
          </cell>
          <cell r="G6" t="str">
            <v>ZCFC635B40D6045529</v>
          </cell>
          <cell r="H6">
            <v>10195897904</v>
          </cell>
          <cell r="I6" t="str">
            <v>GPDG</v>
          </cell>
          <cell r="J6" t="str">
            <v>A</v>
          </cell>
          <cell r="K6" t="str">
            <v>BC</v>
          </cell>
          <cell r="L6" t="str">
            <v>MARS</v>
          </cell>
          <cell r="M6">
            <v>1412.55</v>
          </cell>
          <cell r="N6">
            <v>1365.12</v>
          </cell>
          <cell r="O6">
            <v>1311.53</v>
          </cell>
          <cell r="P6">
            <v>1258.67</v>
          </cell>
          <cell r="Q6">
            <v>1246.6600000000001</v>
          </cell>
          <cell r="R6">
            <v>1192.1400000000001</v>
          </cell>
          <cell r="S6"/>
          <cell r="T6"/>
          <cell r="U6"/>
          <cell r="V6"/>
        </row>
        <row r="7">
          <cell r="A7" t="str">
            <v>BEN 06</v>
          </cell>
          <cell r="B7" t="str">
            <v>GPDG</v>
          </cell>
          <cell r="C7" t="str">
            <v>EX-988-SD</v>
          </cell>
          <cell r="D7" t="str">
            <v>FIAT</v>
          </cell>
          <cell r="E7" t="str">
            <v>DUCATO</v>
          </cell>
          <cell r="F7" t="str">
            <v>BENNE</v>
          </cell>
          <cell r="G7" t="str">
            <v>ZFA25000002G57071</v>
          </cell>
          <cell r="H7">
            <v>10266764404</v>
          </cell>
          <cell r="I7" t="str">
            <v>GPDG</v>
          </cell>
          <cell r="J7" t="str">
            <v>A</v>
          </cell>
          <cell r="K7" t="str">
            <v>BC</v>
          </cell>
          <cell r="L7" t="str">
            <v>JUIN</v>
          </cell>
          <cell r="M7">
            <v>1511.94</v>
          </cell>
          <cell r="N7">
            <v>1163.02</v>
          </cell>
          <cell r="O7">
            <v>1145.3800000000001</v>
          </cell>
          <cell r="P7">
            <v>1115.82</v>
          </cell>
          <cell r="Q7">
            <v>882.09</v>
          </cell>
          <cell r="R7">
            <v>799.34</v>
          </cell>
          <cell r="S7"/>
          <cell r="T7"/>
          <cell r="U7"/>
          <cell r="V7"/>
        </row>
        <row r="8">
          <cell r="A8" t="str">
            <v>BEN 07</v>
          </cell>
          <cell r="B8" t="str">
            <v>GPDG</v>
          </cell>
          <cell r="C8" t="str">
            <v>EE-080-QS</v>
          </cell>
          <cell r="D8" t="str">
            <v>FIAT</v>
          </cell>
          <cell r="E8" t="str">
            <v>DUCATO</v>
          </cell>
          <cell r="F8" t="str">
            <v>BENNE</v>
          </cell>
          <cell r="G8" t="str">
            <v>ZFA25000002B60149</v>
          </cell>
          <cell r="H8">
            <v>10266806704</v>
          </cell>
          <cell r="I8" t="str">
            <v>GPDG</v>
          </cell>
          <cell r="J8" t="str">
            <v>A</v>
          </cell>
          <cell r="K8" t="str">
            <v>BC</v>
          </cell>
          <cell r="L8" t="str">
            <v>JUIN</v>
          </cell>
          <cell r="M8">
            <v>1063.6300000000001</v>
          </cell>
          <cell r="N8">
            <v>1020.06</v>
          </cell>
          <cell r="O8">
            <v>1002.11</v>
          </cell>
          <cell r="P8">
            <v>967.73</v>
          </cell>
          <cell r="Q8">
            <v>950.07</v>
          </cell>
          <cell r="R8">
            <v>716.68</v>
          </cell>
          <cell r="S8"/>
          <cell r="T8"/>
          <cell r="U8"/>
          <cell r="V8"/>
        </row>
        <row r="9">
          <cell r="A9" t="str">
            <v>BEN 08</v>
          </cell>
          <cell r="B9" t="str">
            <v>GPDG</v>
          </cell>
          <cell r="C9" t="str">
            <v>FH-434-KS</v>
          </cell>
          <cell r="D9" t="str">
            <v>FIAT</v>
          </cell>
          <cell r="E9" t="str">
            <v>DUCATO</v>
          </cell>
          <cell r="F9" t="str">
            <v>BENNE</v>
          </cell>
          <cell r="G9" t="str">
            <v>ZFA25000002L09379</v>
          </cell>
          <cell r="H9">
            <v>10525670004</v>
          </cell>
          <cell r="I9" t="str">
            <v>GPDG</v>
          </cell>
          <cell r="J9" t="str">
            <v>A</v>
          </cell>
          <cell r="K9" t="str">
            <v>BC</v>
          </cell>
          <cell r="L9" t="str">
            <v>AOUT</v>
          </cell>
          <cell r="M9">
            <v>1140.6099999999999</v>
          </cell>
          <cell r="N9">
            <v>1051.24</v>
          </cell>
          <cell r="O9">
            <v>1023.71</v>
          </cell>
          <cell r="P9">
            <v>994.27</v>
          </cell>
          <cell r="Q9">
            <v>915.09</v>
          </cell>
          <cell r="R9"/>
          <cell r="S9"/>
          <cell r="T9"/>
          <cell r="U9"/>
          <cell r="V9"/>
        </row>
        <row r="10">
          <cell r="A10" t="str">
            <v>BEN 09</v>
          </cell>
          <cell r="B10" t="str">
            <v>GPDG</v>
          </cell>
          <cell r="C10" t="str">
            <v>FH-563-KS</v>
          </cell>
          <cell r="D10" t="str">
            <v>FIAT</v>
          </cell>
          <cell r="E10" t="str">
            <v>DUCATO</v>
          </cell>
          <cell r="F10" t="str">
            <v>BENNE</v>
          </cell>
          <cell r="G10" t="str">
            <v>ZFA25000002L09303</v>
          </cell>
          <cell r="H10">
            <v>10525667604</v>
          </cell>
          <cell r="I10" t="str">
            <v>GPDG</v>
          </cell>
          <cell r="J10" t="str">
            <v>A</v>
          </cell>
          <cell r="K10" t="str">
            <v>BC</v>
          </cell>
          <cell r="L10" t="str">
            <v>AOUT</v>
          </cell>
          <cell r="M10">
            <v>1096.03</v>
          </cell>
          <cell r="N10">
            <v>1046.03</v>
          </cell>
          <cell r="O10">
            <v>1012.14</v>
          </cell>
          <cell r="P10">
            <v>1004.42</v>
          </cell>
          <cell r="Q10">
            <v>915.09</v>
          </cell>
          <cell r="R10"/>
          <cell r="S10"/>
          <cell r="T10"/>
          <cell r="U10"/>
          <cell r="V10"/>
        </row>
        <row r="11">
          <cell r="A11" t="str">
            <v>BEN 10</v>
          </cell>
          <cell r="B11" t="str">
            <v>GPDG</v>
          </cell>
          <cell r="C11" t="str">
            <v>FV-939-JW</v>
          </cell>
          <cell r="D11" t="str">
            <v>FIAT</v>
          </cell>
          <cell r="E11" t="str">
            <v>DUCATO</v>
          </cell>
          <cell r="F11" t="str">
            <v>BENNE</v>
          </cell>
          <cell r="G11" t="str">
            <v>ZFA25000002P62581</v>
          </cell>
          <cell r="H11">
            <v>10809819304</v>
          </cell>
          <cell r="I11" t="str">
            <v>GPDG</v>
          </cell>
          <cell r="J11" t="str">
            <v>A</v>
          </cell>
          <cell r="K11" t="str">
            <v>BC</v>
          </cell>
          <cell r="L11" t="str">
            <v>MARS</v>
          </cell>
          <cell r="M11">
            <v>889.49</v>
          </cell>
          <cell r="N11">
            <v>850.88</v>
          </cell>
          <cell r="O11">
            <v>793.61</v>
          </cell>
          <cell r="P11"/>
          <cell r="Q11"/>
          <cell r="R11"/>
          <cell r="S11"/>
          <cell r="T11"/>
          <cell r="U11"/>
          <cell r="V11"/>
        </row>
        <row r="12">
          <cell r="A12" t="str">
            <v>BEN 11</v>
          </cell>
          <cell r="B12" t="str">
            <v>GPDG</v>
          </cell>
          <cell r="C12" t="str">
            <v>FV-961-JW</v>
          </cell>
          <cell r="D12" t="str">
            <v>FIAT</v>
          </cell>
          <cell r="E12" t="str">
            <v>DUCATO</v>
          </cell>
          <cell r="F12" t="str">
            <v>BENNE</v>
          </cell>
          <cell r="G12" t="str">
            <v>ZFA25000002P63485</v>
          </cell>
          <cell r="H12">
            <v>10713998204</v>
          </cell>
          <cell r="I12" t="str">
            <v>GPDG</v>
          </cell>
          <cell r="J12" t="str">
            <v>A</v>
          </cell>
          <cell r="K12" t="str">
            <v>BC</v>
          </cell>
          <cell r="L12" t="str">
            <v>MARS</v>
          </cell>
          <cell r="M12">
            <v>1109.8599999999999</v>
          </cell>
          <cell r="N12">
            <v>853.72</v>
          </cell>
          <cell r="O12">
            <v>793.91</v>
          </cell>
          <cell r="P12"/>
          <cell r="Q12"/>
          <cell r="R12"/>
          <cell r="S12"/>
          <cell r="T12"/>
          <cell r="U12"/>
          <cell r="V12"/>
        </row>
        <row r="13">
          <cell r="A13" t="str">
            <v>BEN 12</v>
          </cell>
          <cell r="B13" t="str">
            <v>GPDG</v>
          </cell>
          <cell r="C13" t="str">
            <v>GK-345-DP</v>
          </cell>
          <cell r="D13" t="str">
            <v>RENAULT</v>
          </cell>
          <cell r="E13" t="str">
            <v>MASTER</v>
          </cell>
          <cell r="F13" t="str">
            <v>BENNE</v>
          </cell>
          <cell r="G13" t="str">
            <v>VF6VG000368475470</v>
          </cell>
          <cell r="H13">
            <v>11040363304</v>
          </cell>
          <cell r="I13" t="str">
            <v>GPDG</v>
          </cell>
          <cell r="J13" t="str">
            <v>A</v>
          </cell>
          <cell r="K13" t="str">
            <v>BC</v>
          </cell>
          <cell r="L13" t="str">
            <v>NOV.</v>
          </cell>
          <cell r="M13"/>
          <cell r="N13">
            <v>822.57</v>
          </cell>
          <cell r="O13"/>
          <cell r="P13"/>
          <cell r="Q13"/>
          <cell r="R13"/>
          <cell r="S13"/>
          <cell r="T13"/>
          <cell r="U13"/>
          <cell r="V13"/>
        </row>
        <row r="14">
          <cell r="A14" t="str">
            <v>BEN 13</v>
          </cell>
          <cell r="B14" t="str">
            <v>GPDG</v>
          </cell>
          <cell r="C14" t="str">
            <v>GJ-053-WB</v>
          </cell>
          <cell r="D14" t="str">
            <v>PIAGGIO</v>
          </cell>
          <cell r="E14" t="str">
            <v>PORTER NP6</v>
          </cell>
          <cell r="F14" t="str">
            <v>BENNE</v>
          </cell>
          <cell r="G14" t="str">
            <v>ZAPNP6C1D0P001065</v>
          </cell>
          <cell r="H14">
            <v>11031807204</v>
          </cell>
          <cell r="I14" t="str">
            <v>GPDG</v>
          </cell>
          <cell r="J14" t="str">
            <v>A</v>
          </cell>
          <cell r="K14" t="str">
            <v>BC</v>
          </cell>
          <cell r="L14" t="str">
            <v>NOV.</v>
          </cell>
          <cell r="M14"/>
          <cell r="N14">
            <v>771.26</v>
          </cell>
          <cell r="O14"/>
          <cell r="P14"/>
          <cell r="Q14"/>
          <cell r="R14"/>
          <cell r="S14"/>
          <cell r="T14"/>
          <cell r="U14"/>
          <cell r="V14"/>
        </row>
        <row r="15">
          <cell r="A15" t="str">
            <v>BEN 14</v>
          </cell>
          <cell r="B15" t="str">
            <v>GPDG</v>
          </cell>
          <cell r="C15"/>
          <cell r="D15" t="str">
            <v>RENAULT</v>
          </cell>
          <cell r="E15" t="str">
            <v>MASTER</v>
          </cell>
          <cell r="F15" t="str">
            <v>BENNE</v>
          </cell>
          <cell r="G15"/>
          <cell r="H15"/>
          <cell r="I15" t="str">
            <v>GPDG</v>
          </cell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</row>
        <row r="16">
          <cell r="A16" t="str">
            <v>BEN 15</v>
          </cell>
          <cell r="B16" t="str">
            <v>GPDG</v>
          </cell>
          <cell r="C16"/>
          <cell r="D16" t="str">
            <v>RENAULT</v>
          </cell>
          <cell r="E16" t="str">
            <v>MASTER</v>
          </cell>
          <cell r="F16" t="str">
            <v>BENNE</v>
          </cell>
          <cell r="H16"/>
          <cell r="I16" t="str">
            <v>GPDG</v>
          </cell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</row>
        <row r="17">
          <cell r="A17" t="str">
            <v>BEN 16</v>
          </cell>
          <cell r="B17" t="str">
            <v>GPDG</v>
          </cell>
          <cell r="C17"/>
          <cell r="D17" t="str">
            <v>PIAGGIO</v>
          </cell>
          <cell r="E17" t="str">
            <v>PORTER NP6</v>
          </cell>
          <cell r="F17" t="str">
            <v>BENNE</v>
          </cell>
          <cell r="G17"/>
          <cell r="H17"/>
          <cell r="I17" t="str">
            <v>GPDG</v>
          </cell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</row>
        <row r="19">
          <cell r="A19" t="str">
            <v>PL 001</v>
          </cell>
          <cell r="B19" t="str">
            <v>VENDU</v>
          </cell>
          <cell r="C19" t="str">
            <v>AH-669-JV</v>
          </cell>
          <cell r="D19" t="str">
            <v>RENAULT</v>
          </cell>
          <cell r="E19" t="str">
            <v>S180</v>
          </cell>
          <cell r="F19" t="str">
            <v>POID LOURD</v>
          </cell>
          <cell r="G19" t="str">
            <v>VF640ACF300001441</v>
          </cell>
          <cell r="H19">
            <v>10661601604</v>
          </cell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</row>
        <row r="21">
          <cell r="A21" t="str">
            <v>VL 001</v>
          </cell>
          <cell r="B21" t="str">
            <v>PDG</v>
          </cell>
          <cell r="C21" t="str">
            <v>CZ-120-ZQ</v>
          </cell>
          <cell r="D21" t="str">
            <v>RENAULT</v>
          </cell>
          <cell r="E21" t="str">
            <v>CLIO</v>
          </cell>
          <cell r="F21" t="str">
            <v>AUTOMOBILE</v>
          </cell>
          <cell r="G21" t="str">
            <v>VF1CR2V0H49777795</v>
          </cell>
          <cell r="H21">
            <v>7440002704</v>
          </cell>
          <cell r="I21" t="str">
            <v>PDG</v>
          </cell>
          <cell r="J21" t="str">
            <v>A</v>
          </cell>
          <cell r="K21" t="str">
            <v>CEAPC</v>
          </cell>
          <cell r="L21"/>
          <cell r="M21"/>
          <cell r="N21">
            <v>587.96</v>
          </cell>
          <cell r="O21">
            <v>576.59</v>
          </cell>
          <cell r="P21">
            <v>573.08000000000004</v>
          </cell>
          <cell r="Q21">
            <v>569.28</v>
          </cell>
          <cell r="R21"/>
          <cell r="S21">
            <v>666.18</v>
          </cell>
          <cell r="T21">
            <v>610.53</v>
          </cell>
          <cell r="U21"/>
          <cell r="V21"/>
        </row>
        <row r="22">
          <cell r="A22" t="str">
            <v>VL 002</v>
          </cell>
          <cell r="B22" t="str">
            <v>GPDG</v>
          </cell>
          <cell r="C22" t="str">
            <v>EL-669-HS</v>
          </cell>
          <cell r="D22" t="str">
            <v>RENAULT</v>
          </cell>
          <cell r="E22" t="str">
            <v>KANGOO</v>
          </cell>
          <cell r="F22" t="str">
            <v>AUTOMOBILE</v>
          </cell>
          <cell r="G22" t="str">
            <v>VF1FW52K257322383</v>
          </cell>
          <cell r="H22">
            <v>7585016404</v>
          </cell>
          <cell r="I22" t="str">
            <v>GPDG</v>
          </cell>
          <cell r="J22" t="str">
            <v>A</v>
          </cell>
          <cell r="K22" t="str">
            <v>CEAPC</v>
          </cell>
          <cell r="L22" t="str">
            <v>MAI</v>
          </cell>
          <cell r="M22"/>
          <cell r="N22">
            <v>610.52</v>
          </cell>
          <cell r="O22">
            <v>602.38</v>
          </cell>
          <cell r="P22">
            <v>586.4</v>
          </cell>
          <cell r="Q22">
            <v>572.30999999999995</v>
          </cell>
          <cell r="R22">
            <v>611.52</v>
          </cell>
          <cell r="S22">
            <v>613.35</v>
          </cell>
          <cell r="T22"/>
          <cell r="U22"/>
          <cell r="V22"/>
        </row>
        <row r="23">
          <cell r="A23" t="str">
            <v>VL 003</v>
          </cell>
          <cell r="B23" t="str">
            <v>GPDG</v>
          </cell>
          <cell r="C23" t="str">
            <v>ES-668-DY</v>
          </cell>
          <cell r="D23" t="str">
            <v>PEUGEOT</v>
          </cell>
          <cell r="E23" t="str">
            <v>EXPERT</v>
          </cell>
          <cell r="F23" t="str">
            <v>AUTOMOBILE</v>
          </cell>
          <cell r="G23" t="str">
            <v>VF3VFAHKHHZ068553</v>
          </cell>
          <cell r="H23">
            <v>10101053304</v>
          </cell>
          <cell r="I23" t="str">
            <v>PDG</v>
          </cell>
          <cell r="J23" t="str">
            <v>A</v>
          </cell>
          <cell r="K23" t="str">
            <v>CEAPC</v>
          </cell>
          <cell r="L23"/>
          <cell r="M23"/>
          <cell r="N23">
            <v>1130.1600000000001</v>
          </cell>
          <cell r="O23">
            <v>1099.33</v>
          </cell>
          <cell r="P23">
            <v>1090.73</v>
          </cell>
          <cell r="Q23">
            <v>871.14</v>
          </cell>
          <cell r="R23">
            <v>859.15</v>
          </cell>
          <cell r="S23">
            <v>763.89</v>
          </cell>
          <cell r="T23"/>
          <cell r="U23"/>
          <cell r="V23"/>
        </row>
        <row r="24">
          <cell r="A24" t="str">
            <v>VL 004</v>
          </cell>
          <cell r="B24" t="str">
            <v>GPDG</v>
          </cell>
          <cell r="C24" t="str">
            <v>ER-918-JW</v>
          </cell>
          <cell r="D24" t="str">
            <v>RENAULT</v>
          </cell>
          <cell r="E24" t="str">
            <v>MASTER</v>
          </cell>
          <cell r="F24" t="str">
            <v>AUTOMOBILE</v>
          </cell>
          <cell r="G24" t="str">
            <v>VF1MA000258690355</v>
          </cell>
          <cell r="H24">
            <v>10442664104</v>
          </cell>
          <cell r="I24" t="str">
            <v>GPDG</v>
          </cell>
          <cell r="J24" t="str">
            <v>A</v>
          </cell>
          <cell r="K24" t="str">
            <v>BC</v>
          </cell>
          <cell r="L24" t="str">
            <v>MARS</v>
          </cell>
          <cell r="M24">
            <v>925.49</v>
          </cell>
          <cell r="N24">
            <v>883.94</v>
          </cell>
          <cell r="O24">
            <v>838.35</v>
          </cell>
          <cell r="P24">
            <v>808.1</v>
          </cell>
          <cell r="Q24">
            <v>736.18</v>
          </cell>
          <cell r="R24"/>
          <cell r="S24"/>
          <cell r="T24"/>
          <cell r="U24"/>
          <cell r="V24"/>
        </row>
        <row r="25">
          <cell r="A25" t="str">
            <v>VL 005</v>
          </cell>
          <cell r="B25" t="str">
            <v>GPDG</v>
          </cell>
          <cell r="C25" t="str">
            <v>EX-005-BW</v>
          </cell>
          <cell r="D25" t="str">
            <v>IVECO</v>
          </cell>
          <cell r="E25" t="str">
            <v>DAILY</v>
          </cell>
          <cell r="F25" t="str">
            <v>AUTOMOBILE</v>
          </cell>
          <cell r="G25" t="str">
            <v>ZCFC135D805222529</v>
          </cell>
          <cell r="H25">
            <v>10536760004</v>
          </cell>
          <cell r="I25" t="str">
            <v>GPDG</v>
          </cell>
          <cell r="J25" t="str">
            <v>A</v>
          </cell>
          <cell r="K25" t="str">
            <v>CEAPC</v>
          </cell>
          <cell r="L25" t="str">
            <v>AOUT</v>
          </cell>
          <cell r="M25">
            <v>983.04</v>
          </cell>
          <cell r="N25">
            <v>939.28</v>
          </cell>
          <cell r="O25">
            <v>919.6</v>
          </cell>
          <cell r="P25">
            <v>907.81</v>
          </cell>
          <cell r="Q25">
            <v>837.09</v>
          </cell>
          <cell r="R25"/>
          <cell r="S25"/>
          <cell r="T25"/>
          <cell r="U25"/>
          <cell r="V25"/>
        </row>
        <row r="26">
          <cell r="A26" t="str">
            <v>VL 006</v>
          </cell>
          <cell r="B26" t="str">
            <v>GPDG</v>
          </cell>
          <cell r="C26" t="str">
            <v>CB-494-QK</v>
          </cell>
          <cell r="D26" t="str">
            <v>RENAULT</v>
          </cell>
          <cell r="E26" t="str">
            <v>CLIO</v>
          </cell>
          <cell r="F26" t="str">
            <v>AUTOMOBILE</v>
          </cell>
          <cell r="G26" t="str">
            <v>VF1CR2V0H46934712</v>
          </cell>
          <cell r="H26">
            <v>10658975204</v>
          </cell>
          <cell r="I26" t="str">
            <v>GPDG</v>
          </cell>
          <cell r="J26" t="str">
            <v>A</v>
          </cell>
          <cell r="K26" t="str">
            <v>BC</v>
          </cell>
          <cell r="L26" t="str">
            <v>AVRIL</v>
          </cell>
          <cell r="M26">
            <v>775.28</v>
          </cell>
          <cell r="N26">
            <v>741.3</v>
          </cell>
          <cell r="O26">
            <v>715.61</v>
          </cell>
          <cell r="P26">
            <v>669.93</v>
          </cell>
          <cell r="Q26"/>
          <cell r="R26"/>
          <cell r="S26"/>
          <cell r="T26"/>
          <cell r="U26"/>
          <cell r="V26"/>
        </row>
        <row r="27">
          <cell r="A27" t="str">
            <v>VL 007</v>
          </cell>
          <cell r="B27" t="str">
            <v>GPDG</v>
          </cell>
          <cell r="C27" t="str">
            <v>FY-624-BN</v>
          </cell>
          <cell r="D27" t="str">
            <v>FIAT</v>
          </cell>
          <cell r="E27" t="str">
            <v>TALENTO</v>
          </cell>
          <cell r="F27" t="str">
            <v>AUTOMOBILE</v>
          </cell>
          <cell r="G27" t="str">
            <v>ZFAFFL007L5137588</v>
          </cell>
          <cell r="H27">
            <v>10810210604</v>
          </cell>
          <cell r="I27" t="str">
            <v>GPDG</v>
          </cell>
          <cell r="J27" t="str">
            <v>A</v>
          </cell>
          <cell r="K27" t="str">
            <v>BC</v>
          </cell>
          <cell r="L27" t="str">
            <v>MARS</v>
          </cell>
          <cell r="M27">
            <v>951.92</v>
          </cell>
          <cell r="N27">
            <v>908.41</v>
          </cell>
          <cell r="O27">
            <v>827.69</v>
          </cell>
          <cell r="P27"/>
          <cell r="Q27"/>
          <cell r="R27"/>
          <cell r="S27"/>
          <cell r="T27"/>
          <cell r="U27"/>
          <cell r="V27"/>
        </row>
        <row r="28">
          <cell r="A28" t="str">
            <v>VL 008</v>
          </cell>
          <cell r="B28" t="str">
            <v>GPDG</v>
          </cell>
          <cell r="C28" t="str">
            <v>GD-029-EZ</v>
          </cell>
          <cell r="D28" t="str">
            <v>TOYOTA</v>
          </cell>
          <cell r="E28" t="str">
            <v>PRAOCE CITY</v>
          </cell>
          <cell r="F28" t="str">
            <v>AUTOMOBILE</v>
          </cell>
          <cell r="G28" t="str">
            <v>YAREFYHZRGJ972202</v>
          </cell>
          <cell r="H28">
            <v>10912035104</v>
          </cell>
          <cell r="I28" t="str">
            <v>GPDG</v>
          </cell>
          <cell r="J28" t="str">
            <v>A</v>
          </cell>
          <cell r="K28" t="str">
            <v>BC</v>
          </cell>
          <cell r="L28" t="str">
            <v>NOV.</v>
          </cell>
          <cell r="M28"/>
          <cell r="N28">
            <v>1112.3399999999999</v>
          </cell>
          <cell r="O28">
            <v>986.46</v>
          </cell>
          <cell r="P28"/>
          <cell r="Q28"/>
          <cell r="R28"/>
          <cell r="S28"/>
          <cell r="T28"/>
          <cell r="U28"/>
          <cell r="V28"/>
        </row>
        <row r="29">
          <cell r="A29" t="str">
            <v>VL 009</v>
          </cell>
          <cell r="B29" t="str">
            <v>GPDG</v>
          </cell>
          <cell r="C29" t="str">
            <v>GA-313-KC</v>
          </cell>
          <cell r="D29" t="str">
            <v>TOYOTA</v>
          </cell>
          <cell r="E29" t="str">
            <v>YARIS</v>
          </cell>
          <cell r="F29" t="str">
            <v>AUTOMOBILE</v>
          </cell>
          <cell r="G29" t="str">
            <v>VNKKBAC350A123504</v>
          </cell>
          <cell r="H29">
            <v>10849984504</v>
          </cell>
          <cell r="I29" t="str">
            <v>GPDG</v>
          </cell>
          <cell r="J29" t="str">
            <v>A</v>
          </cell>
          <cell r="K29" t="str">
            <v>BC</v>
          </cell>
          <cell r="L29" t="str">
            <v>JUILLET</v>
          </cell>
          <cell r="M29">
            <v>1056.3399999999999</v>
          </cell>
          <cell r="N29">
            <v>1013.43</v>
          </cell>
          <cell r="O29">
            <v>975.76</v>
          </cell>
          <cell r="P29"/>
          <cell r="Q29"/>
          <cell r="R29"/>
          <cell r="S29"/>
          <cell r="T29"/>
          <cell r="U29"/>
          <cell r="V29"/>
        </row>
        <row r="30">
          <cell r="A30" t="str">
            <v>VL 010</v>
          </cell>
          <cell r="B30" t="str">
            <v>GPDG</v>
          </cell>
          <cell r="C30" t="str">
            <v>FR-048-ZG</v>
          </cell>
          <cell r="D30" t="str">
            <v>RENAULT</v>
          </cell>
          <cell r="E30" t="str">
            <v>ZOE</v>
          </cell>
          <cell r="F30" t="str">
            <v>AUTOMOBILE</v>
          </cell>
          <cell r="G30" t="str">
            <v>VF1AG000364643541</v>
          </cell>
          <cell r="H30">
            <v>11087349404</v>
          </cell>
          <cell r="I30" t="str">
            <v>GPDG</v>
          </cell>
          <cell r="J30" t="str">
            <v>A</v>
          </cell>
          <cell r="K30" t="str">
            <v>BC</v>
          </cell>
          <cell r="L30" t="str">
            <v>MARS</v>
          </cell>
          <cell r="M30">
            <v>604.42999999999995</v>
          </cell>
          <cell r="N30"/>
          <cell r="O30"/>
          <cell r="P30"/>
          <cell r="Q30"/>
          <cell r="R30"/>
          <cell r="S30"/>
          <cell r="T30"/>
          <cell r="U30"/>
          <cell r="V30"/>
        </row>
        <row r="31">
          <cell r="A31" t="str">
            <v>P.UP 1</v>
          </cell>
          <cell r="B31" t="str">
            <v>PDG</v>
          </cell>
          <cell r="C31" t="str">
            <v>EM-456-WR</v>
          </cell>
          <cell r="D31" t="str">
            <v>TOYOTA</v>
          </cell>
          <cell r="E31" t="str">
            <v>HILUX</v>
          </cell>
          <cell r="F31" t="str">
            <v>AUTOMOBILE</v>
          </cell>
          <cell r="G31" t="str">
            <v>AHTKB3CC002510978</v>
          </cell>
          <cell r="H31">
            <v>6387925204</v>
          </cell>
          <cell r="I31" t="str">
            <v>PDG</v>
          </cell>
          <cell r="J31" t="str">
            <v>A</v>
          </cell>
          <cell r="K31" t="str">
            <v>CEAPC</v>
          </cell>
          <cell r="L31"/>
          <cell r="M31"/>
          <cell r="N31">
            <v>1071.3800000000001</v>
          </cell>
          <cell r="O31">
            <v>1063.23</v>
          </cell>
          <cell r="P31">
            <v>1007.79</v>
          </cell>
          <cell r="Q31">
            <v>1010.29</v>
          </cell>
          <cell r="R31">
            <v>996.45</v>
          </cell>
          <cell r="S31">
            <v>951.99</v>
          </cell>
          <cell r="T31"/>
          <cell r="U31"/>
          <cell r="V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</row>
        <row r="33">
          <cell r="A33" t="str">
            <v>REM XX</v>
          </cell>
          <cell r="B33"/>
          <cell r="C33"/>
          <cell r="D33" t="str">
            <v>LIDER</v>
          </cell>
          <cell r="E33" t="str">
            <v>CADIX</v>
          </cell>
          <cell r="F33" t="str">
            <v xml:space="preserve">REMORQUE </v>
          </cell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</row>
        <row r="34">
          <cell r="A34" t="str">
            <v>REM 01</v>
          </cell>
          <cell r="B34" t="str">
            <v>NB</v>
          </cell>
          <cell r="C34" t="str">
            <v>BT-482-VQ</v>
          </cell>
          <cell r="D34" t="str">
            <v>LIDER</v>
          </cell>
          <cell r="E34" t="str">
            <v>GRILLAGE</v>
          </cell>
          <cell r="F34" t="str">
            <v>REMORQUE</v>
          </cell>
          <cell r="G34" t="str">
            <v>VN538000120110306</v>
          </cell>
          <cell r="H34">
            <v>5292444404</v>
          </cell>
          <cell r="I34" t="str">
            <v>NB</v>
          </cell>
          <cell r="J34" t="str">
            <v>A</v>
          </cell>
          <cell r="K34" t="str">
            <v>BC NB</v>
          </cell>
          <cell r="L34" t="str">
            <v>AVRIL</v>
          </cell>
          <cell r="M34" t="str">
            <v>X</v>
          </cell>
          <cell r="N34">
            <v>118.86</v>
          </cell>
          <cell r="O34">
            <v>114.94</v>
          </cell>
          <cell r="P34">
            <v>111.23</v>
          </cell>
          <cell r="Q34">
            <v>109.07</v>
          </cell>
          <cell r="R34">
            <v>106.96</v>
          </cell>
          <cell r="S34">
            <v>104.91</v>
          </cell>
          <cell r="T34">
            <v>101.27</v>
          </cell>
          <cell r="U34">
            <v>98.313999999999993</v>
          </cell>
          <cell r="V34"/>
        </row>
        <row r="35">
          <cell r="A35" t="str">
            <v>REM 02</v>
          </cell>
          <cell r="B35" t="str">
            <v>PDG</v>
          </cell>
          <cell r="C35" t="str">
            <v>CW-493-SF</v>
          </cell>
          <cell r="D35" t="str">
            <v>TRELGO</v>
          </cell>
          <cell r="E35" t="str">
            <v>TRIGANEAU</v>
          </cell>
          <cell r="F35" t="str">
            <v>REMORQUE</v>
          </cell>
          <cell r="G35" t="str">
            <v>VNC2AF350DV000644</v>
          </cell>
          <cell r="H35">
            <v>5877325904</v>
          </cell>
          <cell r="I35" t="str">
            <v>PDG</v>
          </cell>
          <cell r="J35" t="str">
            <v>A</v>
          </cell>
          <cell r="K35" t="str">
            <v>CEAPC</v>
          </cell>
          <cell r="L35" t="str">
            <v>JUILLET</v>
          </cell>
          <cell r="M35">
            <v>216.66</v>
          </cell>
          <cell r="N35">
            <v>211.42</v>
          </cell>
          <cell r="O35">
            <v>206.33</v>
          </cell>
          <cell r="P35">
            <v>201.4</v>
          </cell>
          <cell r="Q35">
            <v>196.61</v>
          </cell>
          <cell r="R35">
            <v>191.93</v>
          </cell>
          <cell r="S35">
            <v>187.45</v>
          </cell>
          <cell r="T35">
            <v>181.38</v>
          </cell>
          <cell r="U35">
            <v>176.08</v>
          </cell>
          <cell r="V35">
            <v>171.76</v>
          </cell>
        </row>
        <row r="36">
          <cell r="A36" t="str">
            <v>REM 03</v>
          </cell>
          <cell r="B36" t="str">
            <v>PDG</v>
          </cell>
          <cell r="C36" t="str">
            <v>DH-379-SF</v>
          </cell>
          <cell r="D36" t="str">
            <v>LIDER</v>
          </cell>
          <cell r="E36" t="str">
            <v>PLATEAU 2L2011660</v>
          </cell>
          <cell r="F36" t="str">
            <v>REMORQUE</v>
          </cell>
          <cell r="G36" t="str">
            <v>VN52L266020140161</v>
          </cell>
          <cell r="H36">
            <v>6313713904</v>
          </cell>
          <cell r="I36" t="str">
            <v>PDG</v>
          </cell>
          <cell r="J36" t="str">
            <v>A</v>
          </cell>
          <cell r="K36" t="str">
            <v>CEAPC</v>
          </cell>
          <cell r="L36" t="str">
            <v>JUILLET</v>
          </cell>
          <cell r="M36">
            <v>230.4</v>
          </cell>
          <cell r="N36">
            <v>220.86</v>
          </cell>
          <cell r="O36">
            <v>212.11</v>
          </cell>
          <cell r="P36">
            <v>207</v>
          </cell>
          <cell r="Q36">
            <v>202.06</v>
          </cell>
          <cell r="R36">
            <v>197.25</v>
          </cell>
          <cell r="S36">
            <v>192.58</v>
          </cell>
          <cell r="T36">
            <v>183.48</v>
          </cell>
          <cell r="U36">
            <v>175.37</v>
          </cell>
          <cell r="V36">
            <v>165.31</v>
          </cell>
        </row>
        <row r="37">
          <cell r="A37" t="str">
            <v>REM 04</v>
          </cell>
          <cell r="B37" t="str">
            <v>PDG</v>
          </cell>
          <cell r="C37" t="str">
            <v>EA-527-MM</v>
          </cell>
          <cell r="D37" t="str">
            <v>LIDER</v>
          </cell>
          <cell r="E37" t="str">
            <v xml:space="preserve">PLATEAU </v>
          </cell>
          <cell r="F37" t="str">
            <v>REMORQUE</v>
          </cell>
          <cell r="G37" t="str">
            <v>VN52L138520150077</v>
          </cell>
          <cell r="H37">
            <v>7091444604</v>
          </cell>
          <cell r="I37" t="str">
            <v>PDG</v>
          </cell>
          <cell r="J37" t="str">
            <v>A</v>
          </cell>
          <cell r="K37" t="str">
            <v>CEAPC</v>
          </cell>
          <cell r="L37" t="str">
            <v>MARS</v>
          </cell>
          <cell r="M37">
            <v>144.9</v>
          </cell>
          <cell r="N37">
            <v>141.78</v>
          </cell>
          <cell r="O37">
            <v>136.76</v>
          </cell>
          <cell r="P37">
            <v>131.97</v>
          </cell>
          <cell r="Q37">
            <v>127.48</v>
          </cell>
          <cell r="R37">
            <v>124.82</v>
          </cell>
          <cell r="S37">
            <v>122.26</v>
          </cell>
          <cell r="T37">
            <v>114.28</v>
          </cell>
          <cell r="U37"/>
          <cell r="V37"/>
        </row>
        <row r="38">
          <cell r="A38" t="str">
            <v>REM 05</v>
          </cell>
          <cell r="B38" t="str">
            <v>GPDG</v>
          </cell>
          <cell r="C38" t="str">
            <v>EW-830-BX</v>
          </cell>
          <cell r="D38" t="str">
            <v>LIDER</v>
          </cell>
          <cell r="E38" t="str">
            <v>PETIT PLATEAU</v>
          </cell>
          <cell r="F38" t="str">
            <v>REMORQUE</v>
          </cell>
          <cell r="G38" t="str">
            <v>VN52L1630J1000067</v>
          </cell>
          <cell r="H38">
            <v>10215132304</v>
          </cell>
          <cell r="I38" t="str">
            <v>GPDG</v>
          </cell>
          <cell r="J38" t="str">
            <v>A</v>
          </cell>
          <cell r="K38" t="str">
            <v>BC</v>
          </cell>
          <cell r="L38" t="str">
            <v>MARS</v>
          </cell>
          <cell r="M38">
            <v>217.36</v>
          </cell>
          <cell r="N38">
            <v>208.77</v>
          </cell>
          <cell r="O38">
            <v>200.57</v>
          </cell>
          <cell r="P38">
            <v>192.78</v>
          </cell>
          <cell r="Q38">
            <v>188.26</v>
          </cell>
          <cell r="R38">
            <v>171.71</v>
          </cell>
          <cell r="S38"/>
          <cell r="T38"/>
          <cell r="U38"/>
          <cell r="V38"/>
        </row>
        <row r="39">
          <cell r="A39" t="str">
            <v>REM 06</v>
          </cell>
          <cell r="B39" t="str">
            <v>GPDG</v>
          </cell>
          <cell r="C39" t="str">
            <v>FA-961-PD</v>
          </cell>
          <cell r="D39" t="str">
            <v>LIDER</v>
          </cell>
          <cell r="E39" t="str">
            <v>PETIT PLATEAU</v>
          </cell>
          <cell r="F39" t="str">
            <v>REMORQUE</v>
          </cell>
          <cell r="G39" t="str">
            <v>VN52L1631J1000246</v>
          </cell>
          <cell r="H39">
            <v>10332570304</v>
          </cell>
          <cell r="I39" t="str">
            <v>GPDG</v>
          </cell>
          <cell r="J39" t="str">
            <v>M</v>
          </cell>
          <cell r="K39" t="str">
            <v>BC</v>
          </cell>
          <cell r="L39" t="str">
            <v>SEPT.</v>
          </cell>
          <cell r="M39"/>
          <cell r="N39">
            <v>161.22999999999999</v>
          </cell>
          <cell r="O39">
            <v>157.62</v>
          </cell>
          <cell r="P39">
            <v>154.1</v>
          </cell>
          <cell r="Q39">
            <v>150.69999999999999</v>
          </cell>
          <cell r="R39">
            <v>139.72</v>
          </cell>
          <cell r="S39"/>
          <cell r="T39"/>
          <cell r="U39"/>
          <cell r="V39"/>
        </row>
        <row r="40">
          <cell r="A40" t="str">
            <v>REM 07</v>
          </cell>
          <cell r="B40" t="str">
            <v>GPDG</v>
          </cell>
          <cell r="C40" t="str">
            <v>FB-093-FX</v>
          </cell>
          <cell r="D40" t="str">
            <v>LIDER</v>
          </cell>
          <cell r="E40" t="str">
            <v>GRILLAGE</v>
          </cell>
          <cell r="F40" t="str">
            <v>REMORQUE</v>
          </cell>
          <cell r="G40" t="str">
            <v>VN51L2B23J1001231</v>
          </cell>
          <cell r="H40">
            <v>10356632404</v>
          </cell>
          <cell r="I40" t="str">
            <v>GPDG</v>
          </cell>
          <cell r="J40" t="str">
            <v>A</v>
          </cell>
          <cell r="K40" t="str">
            <v>BC</v>
          </cell>
          <cell r="L40" t="str">
            <v>OCT.</v>
          </cell>
          <cell r="M40"/>
          <cell r="N40">
            <v>158.49</v>
          </cell>
          <cell r="O40">
            <v>154.94999999999999</v>
          </cell>
          <cell r="P40">
            <v>151.52000000000001</v>
          </cell>
          <cell r="Q40">
            <v>148.18</v>
          </cell>
          <cell r="R40">
            <v>138.06</v>
          </cell>
          <cell r="S40"/>
          <cell r="T40"/>
          <cell r="U40"/>
          <cell r="V40"/>
        </row>
        <row r="41">
          <cell r="A41" t="str">
            <v>REM 08</v>
          </cell>
          <cell r="B41" t="str">
            <v>DETRUIT</v>
          </cell>
          <cell r="C41" t="str">
            <v>FP-749-KM</v>
          </cell>
          <cell r="D41" t="str">
            <v>MECANOREM</v>
          </cell>
          <cell r="E41" t="str">
            <v>PLATEAU</v>
          </cell>
          <cell r="F41" t="str">
            <v>REMORQUE</v>
          </cell>
          <cell r="G41" t="str">
            <v>VHT1101LNK0007532</v>
          </cell>
          <cell r="H41">
            <v>10654519404</v>
          </cell>
          <cell r="I41" t="str">
            <v>GPDG</v>
          </cell>
          <cell r="J41" t="str">
            <v>A</v>
          </cell>
          <cell r="K41" t="str">
            <v>BC</v>
          </cell>
          <cell r="L41"/>
          <cell r="M41"/>
          <cell r="N41"/>
          <cell r="O41">
            <v>158.76</v>
          </cell>
          <cell r="P41">
            <v>148.61000000000001</v>
          </cell>
          <cell r="Q41"/>
          <cell r="R41"/>
          <cell r="S41"/>
          <cell r="T41"/>
          <cell r="U41"/>
          <cell r="V41"/>
        </row>
        <row r="42">
          <cell r="A42" t="str">
            <v>REM 09</v>
          </cell>
          <cell r="B42" t="str">
            <v>GPDG</v>
          </cell>
          <cell r="C42" t="str">
            <v>FP-801-KM</v>
          </cell>
          <cell r="D42" t="str">
            <v>MECANOREM</v>
          </cell>
          <cell r="E42" t="str">
            <v>PLATEAU</v>
          </cell>
          <cell r="F42" t="str">
            <v>REMORQUE</v>
          </cell>
          <cell r="G42" t="str">
            <v>VHT1101LNK0007638</v>
          </cell>
          <cell r="H42">
            <v>10654519004</v>
          </cell>
          <cell r="I42" t="str">
            <v>GPDG</v>
          </cell>
          <cell r="J42" t="str">
            <v>A</v>
          </cell>
          <cell r="K42" t="str">
            <v>BC</v>
          </cell>
          <cell r="L42" t="str">
            <v>MARS</v>
          </cell>
          <cell r="M42">
            <v>163.74</v>
          </cell>
          <cell r="N42">
            <v>160.03</v>
          </cell>
          <cell r="O42">
            <v>156.44999999999999</v>
          </cell>
          <cell r="P42">
            <v>148.61000000000001</v>
          </cell>
          <cell r="Q42"/>
          <cell r="R42"/>
          <cell r="S42"/>
          <cell r="T42"/>
          <cell r="U42"/>
          <cell r="V42"/>
        </row>
        <row r="43">
          <cell r="A43" t="str">
            <v>REM 10</v>
          </cell>
          <cell r="B43" t="str">
            <v>GPDG</v>
          </cell>
          <cell r="C43" t="str">
            <v>FT-084-LF</v>
          </cell>
          <cell r="D43" t="str">
            <v>MECANOREM</v>
          </cell>
          <cell r="E43" t="str">
            <v>PLATEAU</v>
          </cell>
          <cell r="F43" t="str">
            <v>REMORQUE</v>
          </cell>
          <cell r="G43" t="str">
            <v>VHT1101LNL0008177</v>
          </cell>
          <cell r="H43">
            <v>10745634904</v>
          </cell>
          <cell r="I43" t="str">
            <v>GPDG</v>
          </cell>
          <cell r="J43" t="str">
            <v>A</v>
          </cell>
          <cell r="K43" t="str">
            <v>BC</v>
          </cell>
          <cell r="L43" t="str">
            <v>OCT.</v>
          </cell>
          <cell r="M43"/>
          <cell r="N43">
            <v>162.44999999999999</v>
          </cell>
          <cell r="O43">
            <v>156.44999999999999</v>
          </cell>
          <cell r="P43">
            <v>147.93</v>
          </cell>
          <cell r="Q43"/>
          <cell r="R43"/>
          <cell r="S43"/>
          <cell r="T43"/>
          <cell r="U43"/>
          <cell r="V43"/>
        </row>
        <row r="44">
          <cell r="A44" t="str">
            <v>REM 11</v>
          </cell>
          <cell r="B44" t="str">
            <v>GPDG</v>
          </cell>
          <cell r="C44" t="str">
            <v>FT-648-XB</v>
          </cell>
          <cell r="D44" t="str">
            <v>SOGEWALOT</v>
          </cell>
          <cell r="E44" t="str">
            <v>PLATEAU</v>
          </cell>
          <cell r="F44" t="str">
            <v>REMORQUE</v>
          </cell>
          <cell r="G44" t="str">
            <v>SVRS1AMA1LP020346</v>
          </cell>
          <cell r="H44">
            <v>10752864504</v>
          </cell>
          <cell r="I44" t="str">
            <v>GPDG</v>
          </cell>
          <cell r="J44" t="str">
            <v>A</v>
          </cell>
          <cell r="K44" t="str">
            <v>CEAPC</v>
          </cell>
          <cell r="L44" t="str">
            <v>NOV.</v>
          </cell>
          <cell r="M44"/>
          <cell r="N44">
            <v>157.31</v>
          </cell>
          <cell r="O44">
            <v>153.79</v>
          </cell>
          <cell r="P44">
            <v>149.75</v>
          </cell>
          <cell r="Q44"/>
          <cell r="R44"/>
          <cell r="S44"/>
          <cell r="T44"/>
          <cell r="U44"/>
          <cell r="V44"/>
        </row>
        <row r="45">
          <cell r="A45" t="str">
            <v>REM 12</v>
          </cell>
          <cell r="B45" t="str">
            <v>GPDG</v>
          </cell>
          <cell r="C45" t="str">
            <v>FV-827-GL</v>
          </cell>
          <cell r="D45" t="str">
            <v>MECANOREM</v>
          </cell>
          <cell r="E45" t="str">
            <v>PLATEAU</v>
          </cell>
          <cell r="F45" t="str">
            <v>REMORQUE</v>
          </cell>
          <cell r="G45" t="str">
            <v>VTH1101LNL0008217</v>
          </cell>
          <cell r="H45">
            <v>10761510804</v>
          </cell>
          <cell r="I45" t="str">
            <v>GPDG</v>
          </cell>
          <cell r="J45" t="str">
            <v>A</v>
          </cell>
          <cell r="K45" t="str">
            <v>BC</v>
          </cell>
          <cell r="L45" t="str">
            <v>NOV.</v>
          </cell>
          <cell r="M45"/>
          <cell r="N45">
            <v>157.31</v>
          </cell>
          <cell r="O45">
            <v>153.79</v>
          </cell>
          <cell r="P45">
            <v>142.53</v>
          </cell>
          <cell r="Q45"/>
          <cell r="R45"/>
          <cell r="S45"/>
          <cell r="T45"/>
          <cell r="U45"/>
          <cell r="V45"/>
        </row>
        <row r="46">
          <cell r="A46" t="str">
            <v>REM 13</v>
          </cell>
          <cell r="B46" t="str">
            <v>GPDG</v>
          </cell>
          <cell r="C46" t="str">
            <v>GA-405-EK</v>
          </cell>
          <cell r="D46" t="str">
            <v>MECANOREM</v>
          </cell>
          <cell r="E46" t="str">
            <v>PLATEAU</v>
          </cell>
          <cell r="F46" t="str">
            <v>REMORQUE</v>
          </cell>
          <cell r="G46" t="str">
            <v>VHT1101LNM0008785</v>
          </cell>
          <cell r="H46">
            <v>10850007004</v>
          </cell>
          <cell r="I46" t="str">
            <v>GPDG</v>
          </cell>
          <cell r="J46" t="str">
            <v>A</v>
          </cell>
          <cell r="K46" t="str">
            <v>BC</v>
          </cell>
          <cell r="L46" t="str">
            <v>JUIN</v>
          </cell>
          <cell r="M46">
            <v>159.74</v>
          </cell>
          <cell r="N46">
            <v>156.15</v>
          </cell>
          <cell r="O46">
            <v>145.01</v>
          </cell>
          <cell r="P46"/>
          <cell r="Q46"/>
          <cell r="R46"/>
          <cell r="S46"/>
          <cell r="T46"/>
          <cell r="U46"/>
          <cell r="V46"/>
        </row>
        <row r="47">
          <cell r="A47" t="str">
            <v>REM 14</v>
          </cell>
          <cell r="B47" t="str">
            <v>GPDG</v>
          </cell>
          <cell r="C47" t="str">
            <v>GA-502-EK</v>
          </cell>
          <cell r="D47" t="str">
            <v>MECANOREM</v>
          </cell>
          <cell r="E47" t="str">
            <v>PLATEAU</v>
          </cell>
          <cell r="F47" t="str">
            <v>REMORQUE</v>
          </cell>
          <cell r="G47" t="str">
            <v>VHT1101LNM0008786</v>
          </cell>
          <cell r="H47">
            <v>10850008904</v>
          </cell>
          <cell r="I47" t="str">
            <v>GPDG</v>
          </cell>
          <cell r="J47" t="str">
            <v>A</v>
          </cell>
          <cell r="K47" t="str">
            <v>BC</v>
          </cell>
          <cell r="L47" t="str">
            <v>JUIN</v>
          </cell>
          <cell r="M47">
            <v>164.56</v>
          </cell>
          <cell r="N47">
            <v>158.46</v>
          </cell>
          <cell r="O47">
            <v>145.01</v>
          </cell>
          <cell r="P47"/>
          <cell r="Q47"/>
          <cell r="R47"/>
          <cell r="S47"/>
          <cell r="T47"/>
          <cell r="U47"/>
          <cell r="V47"/>
        </row>
        <row r="48">
          <cell r="A48" t="str">
            <v>BRO 02</v>
          </cell>
          <cell r="B48" t="str">
            <v>PDG</v>
          </cell>
          <cell r="C48" t="str">
            <v>ET-195-HK</v>
          </cell>
          <cell r="D48" t="str">
            <v>TIMBERWOLF</v>
          </cell>
          <cell r="E48" t="str">
            <v>TW230DHB</v>
          </cell>
          <cell r="F48" t="str">
            <v>REMORQUE / BROYEUR</v>
          </cell>
          <cell r="G48" t="str">
            <v>35A4HS209384</v>
          </cell>
          <cell r="H48">
            <v>10124763504</v>
          </cell>
          <cell r="I48" t="str">
            <v>PDG</v>
          </cell>
          <cell r="J48" t="str">
            <v>A</v>
          </cell>
          <cell r="K48" t="str">
            <v>CEAPC</v>
          </cell>
          <cell r="L48" t="str">
            <v>NOV.</v>
          </cell>
          <cell r="M48"/>
          <cell r="N48">
            <v>623.04999999999995</v>
          </cell>
          <cell r="O48">
            <v>605.97</v>
          </cell>
          <cell r="P48">
            <v>589.39</v>
          </cell>
          <cell r="Q48">
            <v>573.32000000000005</v>
          </cell>
          <cell r="R48">
            <v>557.66</v>
          </cell>
          <cell r="S48">
            <v>542.5</v>
          </cell>
          <cell r="T48"/>
          <cell r="U48"/>
          <cell r="V48"/>
        </row>
        <row r="49">
          <cell r="A49" t="str">
            <v>BRO 03</v>
          </cell>
          <cell r="B49" t="str">
            <v>GPDG</v>
          </cell>
          <cell r="C49" t="str">
            <v>GB-562-GZ</v>
          </cell>
          <cell r="D49" t="str">
            <v>GREENMECH</v>
          </cell>
          <cell r="E49" t="str">
            <v>EVO165-45D</v>
          </cell>
          <cell r="F49" t="str">
            <v>REMORQUE / BROYEUR</v>
          </cell>
          <cell r="G49" t="str">
            <v>SKHDKCA000C210706</v>
          </cell>
          <cell r="H49">
            <v>10875575004</v>
          </cell>
          <cell r="I49" t="str">
            <v>GPDG</v>
          </cell>
          <cell r="J49" t="str">
            <v>A</v>
          </cell>
          <cell r="K49" t="str">
            <v>BC</v>
          </cell>
          <cell r="L49" t="str">
            <v>AOUT</v>
          </cell>
          <cell r="M49"/>
          <cell r="N49">
            <v>482.25</v>
          </cell>
          <cell r="O49">
            <v>462.09</v>
          </cell>
          <cell r="P49"/>
          <cell r="Q49"/>
          <cell r="R49"/>
          <cell r="S49"/>
          <cell r="T49"/>
          <cell r="U49"/>
          <cell r="V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</row>
        <row r="51">
          <cell r="A51" t="str">
            <v>TRA XX</v>
          </cell>
          <cell r="B51"/>
          <cell r="C51" t="str">
            <v>FY-235-MJ</v>
          </cell>
          <cell r="D51" t="str">
            <v>CASE</v>
          </cell>
          <cell r="E51" t="str">
            <v>MXU100 PRO</v>
          </cell>
          <cell r="F51" t="str">
            <v>ENGIN AGRICOLE</v>
          </cell>
          <cell r="G51" t="str">
            <v>EKP007766</v>
          </cell>
          <cell r="H51">
            <v>10810222804</v>
          </cell>
          <cell r="I51" t="str">
            <v>GPDG</v>
          </cell>
          <cell r="J51" t="str">
            <v>A</v>
          </cell>
          <cell r="K51" t="str">
            <v>BC</v>
          </cell>
          <cell r="L51" t="str">
            <v>AVRIL</v>
          </cell>
          <cell r="M51">
            <v>580.16999999999996</v>
          </cell>
          <cell r="N51">
            <v>517.69000000000005</v>
          </cell>
          <cell r="O51">
            <v>491.79</v>
          </cell>
          <cell r="P51"/>
          <cell r="Q51"/>
          <cell r="R51"/>
          <cell r="S51"/>
          <cell r="T51"/>
          <cell r="U51"/>
          <cell r="V51"/>
        </row>
        <row r="52">
          <cell r="A52" t="str">
            <v>TRA 01</v>
          </cell>
          <cell r="B52"/>
          <cell r="C52" t="str">
            <v>CN-911-NY</v>
          </cell>
          <cell r="D52" t="str">
            <v>KUBOTA</v>
          </cell>
          <cell r="E52" t="str">
            <v>BX220E</v>
          </cell>
          <cell r="F52" t="str">
            <v>ENGIN AGRICOLE</v>
          </cell>
          <cell r="G52" t="str">
            <v>1A152</v>
          </cell>
          <cell r="H52">
            <v>5437980104</v>
          </cell>
          <cell r="I52" t="str">
            <v>PDG</v>
          </cell>
          <cell r="J52" t="str">
            <v>A</v>
          </cell>
          <cell r="K52" t="str">
            <v>CEAPC</v>
          </cell>
          <cell r="L52" t="str">
            <v>JUIN</v>
          </cell>
          <cell r="M52">
            <v>426.38</v>
          </cell>
          <cell r="N52">
            <v>397.78</v>
          </cell>
          <cell r="O52">
            <v>389.02</v>
          </cell>
          <cell r="P52">
            <v>375.56</v>
          </cell>
          <cell r="Q52">
            <v>375.6</v>
          </cell>
          <cell r="R52">
            <v>306.16000000000003</v>
          </cell>
          <cell r="S52">
            <v>293.44</v>
          </cell>
          <cell r="T52">
            <v>279.70999999999998</v>
          </cell>
          <cell r="U52">
            <v>270.97000000000003</v>
          </cell>
          <cell r="V52">
            <v>258.52999999999997</v>
          </cell>
        </row>
        <row r="53">
          <cell r="A53" t="str">
            <v>TRA 02</v>
          </cell>
          <cell r="B53"/>
          <cell r="C53"/>
          <cell r="D53" t="str">
            <v>KUBOTA</v>
          </cell>
          <cell r="E53" t="str">
            <v>G23HD n°1</v>
          </cell>
          <cell r="F53" t="str">
            <v>ENGIN AGRICOLE</v>
          </cell>
          <cell r="G53">
            <v>20058</v>
          </cell>
          <cell r="H53">
            <v>5877284104</v>
          </cell>
          <cell r="I53" t="str">
            <v>PDG</v>
          </cell>
          <cell r="J53" t="str">
            <v>A</v>
          </cell>
          <cell r="K53" t="str">
            <v>CEAPC</v>
          </cell>
          <cell r="L53" t="str">
            <v>JUILLET</v>
          </cell>
          <cell r="M53">
            <v>388.89</v>
          </cell>
          <cell r="N53">
            <v>363.08</v>
          </cell>
          <cell r="O53">
            <v>354.56</v>
          </cell>
          <cell r="P53">
            <v>336.41</v>
          </cell>
          <cell r="Q53">
            <v>336.47</v>
          </cell>
          <cell r="R53">
            <v>308.87</v>
          </cell>
          <cell r="S53">
            <v>291</v>
          </cell>
          <cell r="T53">
            <v>266.01</v>
          </cell>
          <cell r="U53">
            <v>257.70999999999998</v>
          </cell>
          <cell r="V53">
            <v>245.95</v>
          </cell>
        </row>
        <row r="54">
          <cell r="A54" t="str">
            <v>TRA 03</v>
          </cell>
          <cell r="B54"/>
          <cell r="C54" t="str">
            <v>DZ-588-BZ</v>
          </cell>
          <cell r="D54" t="str">
            <v>KUBOTA</v>
          </cell>
          <cell r="E54" t="str">
            <v>MK5000</v>
          </cell>
          <cell r="F54" t="str">
            <v>ENGIN AGRICOLE</v>
          </cell>
          <cell r="G54"/>
          <cell r="H54">
            <v>6929297904</v>
          </cell>
          <cell r="I54" t="str">
            <v>PDG</v>
          </cell>
          <cell r="J54" t="str">
            <v>A</v>
          </cell>
          <cell r="K54" t="str">
            <v>BC</v>
          </cell>
          <cell r="L54" t="str">
            <v>DEC.</v>
          </cell>
          <cell r="M54"/>
          <cell r="N54">
            <v>419.77</v>
          </cell>
          <cell r="O54">
            <v>410.47</v>
          </cell>
          <cell r="P54">
            <v>396.17</v>
          </cell>
          <cell r="Q54">
            <v>396.06</v>
          </cell>
          <cell r="R54">
            <v>362.91</v>
          </cell>
          <cell r="S54">
            <v>347.47</v>
          </cell>
          <cell r="T54">
            <v>331.17</v>
          </cell>
          <cell r="U54">
            <v>312.2</v>
          </cell>
          <cell r="V54"/>
        </row>
        <row r="55">
          <cell r="A55" t="str">
            <v>TRA 04</v>
          </cell>
          <cell r="B55"/>
          <cell r="C55"/>
          <cell r="D55" t="str">
            <v>KUBOTA</v>
          </cell>
          <cell r="E55" t="str">
            <v>G23HD n°2</v>
          </cell>
          <cell r="F55" t="str">
            <v>ENGIN AGRICOLE</v>
          </cell>
          <cell r="G55">
            <v>64891</v>
          </cell>
          <cell r="H55">
            <v>10215143704</v>
          </cell>
          <cell r="I55" t="str">
            <v>PDG</v>
          </cell>
          <cell r="J55" t="str">
            <v>A</v>
          </cell>
          <cell r="K55" t="str">
            <v>BC</v>
          </cell>
          <cell r="L55" t="str">
            <v>MARS</v>
          </cell>
          <cell r="M55">
            <v>354.3</v>
          </cell>
          <cell r="N55">
            <v>325.35000000000002</v>
          </cell>
          <cell r="O55">
            <v>305.08</v>
          </cell>
          <cell r="P55">
            <v>297.33999999999997</v>
          </cell>
          <cell r="Q55">
            <v>293.61</v>
          </cell>
          <cell r="R55">
            <v>251.13</v>
          </cell>
          <cell r="S55"/>
          <cell r="T55"/>
          <cell r="U55"/>
          <cell r="V55"/>
        </row>
        <row r="56">
          <cell r="A56" t="str">
            <v>TRA 05</v>
          </cell>
          <cell r="B56"/>
          <cell r="C56"/>
          <cell r="D56" t="str">
            <v>KUBOTA</v>
          </cell>
          <cell r="E56" t="str">
            <v>F2880EC</v>
          </cell>
          <cell r="F56" t="str">
            <v>ENGIN AGRICOLE</v>
          </cell>
          <cell r="G56">
            <v>31370</v>
          </cell>
          <cell r="H56">
            <v>10033980004</v>
          </cell>
          <cell r="I56" t="str">
            <v>PDG</v>
          </cell>
          <cell r="J56" t="str">
            <v>A</v>
          </cell>
          <cell r="K56" t="str">
            <v>CEAPC</v>
          </cell>
          <cell r="L56" t="str">
            <v>AOUT</v>
          </cell>
          <cell r="M56">
            <v>451.39</v>
          </cell>
          <cell r="N56">
            <v>420.53</v>
          </cell>
          <cell r="O56">
            <v>411.21</v>
          </cell>
          <cell r="P56">
            <v>396.87</v>
          </cell>
          <cell r="Q56">
            <v>397</v>
          </cell>
          <cell r="R56">
            <v>311.77</v>
          </cell>
          <cell r="S56">
            <v>267.64999999999998</v>
          </cell>
          <cell r="T56"/>
          <cell r="U56"/>
          <cell r="V56"/>
        </row>
        <row r="57">
          <cell r="A57" t="str">
            <v>TRA 06</v>
          </cell>
          <cell r="B57" t="str">
            <v>GPDG</v>
          </cell>
          <cell r="C57"/>
          <cell r="D57" t="str">
            <v>KUBOTA</v>
          </cell>
          <cell r="E57" t="str">
            <v>G23HD n°3</v>
          </cell>
          <cell r="F57" t="str">
            <v>ENGIN AGRICOLE</v>
          </cell>
          <cell r="G57">
            <v>66021</v>
          </cell>
          <cell r="H57">
            <v>10443196304</v>
          </cell>
          <cell r="I57" t="str">
            <v>GPDG</v>
          </cell>
          <cell r="J57" t="str">
            <v>A</v>
          </cell>
          <cell r="K57" t="str">
            <v>BC</v>
          </cell>
          <cell r="L57" t="str">
            <v>MARS</v>
          </cell>
          <cell r="M57">
            <v>350.21</v>
          </cell>
          <cell r="N57">
            <v>325.01</v>
          </cell>
          <cell r="O57">
            <v>312.60000000000002</v>
          </cell>
          <cell r="P57">
            <v>270.02999999999997</v>
          </cell>
          <cell r="Q57">
            <v>247.33</v>
          </cell>
          <cell r="R57"/>
          <cell r="S57"/>
          <cell r="T57"/>
          <cell r="U57"/>
          <cell r="V57"/>
        </row>
        <row r="58">
          <cell r="A58" t="str">
            <v>TRA 07</v>
          </cell>
          <cell r="B58" t="str">
            <v>GPDG</v>
          </cell>
          <cell r="C58" t="str">
            <v>ER-601-PC</v>
          </cell>
          <cell r="D58" t="str">
            <v>KUBOTA</v>
          </cell>
          <cell r="E58" t="str">
            <v>BX2350</v>
          </cell>
          <cell r="F58" t="str">
            <v>ENGIN AGRICOLE</v>
          </cell>
          <cell r="G58">
            <v>80259</v>
          </cell>
          <cell r="H58">
            <v>7706690204</v>
          </cell>
          <cell r="I58" t="str">
            <v>PDG</v>
          </cell>
          <cell r="J58" t="str">
            <v>A</v>
          </cell>
          <cell r="K58" t="str">
            <v>CEAPC</v>
          </cell>
          <cell r="L58" t="str">
            <v>SEPT.</v>
          </cell>
          <cell r="M58"/>
          <cell r="N58">
            <v>304.62</v>
          </cell>
          <cell r="O58">
            <v>296.11</v>
          </cell>
          <cell r="P58">
            <v>286.25</v>
          </cell>
          <cell r="Q58">
            <v>286.33</v>
          </cell>
          <cell r="R58">
            <v>274.57</v>
          </cell>
          <cell r="S58">
            <v>248.19</v>
          </cell>
          <cell r="T58"/>
          <cell r="U58"/>
          <cell r="V58"/>
        </row>
        <row r="59">
          <cell r="A59" t="str">
            <v>TRA 08</v>
          </cell>
          <cell r="B59"/>
          <cell r="C59"/>
          <cell r="D59" t="str">
            <v>TORO</v>
          </cell>
          <cell r="E59" t="str">
            <v>TORO ZD</v>
          </cell>
          <cell r="F59" t="str">
            <v>ENGIN AGRICOLE</v>
          </cell>
          <cell r="G59">
            <v>402208029</v>
          </cell>
          <cell r="H59">
            <v>10293684004</v>
          </cell>
          <cell r="I59" t="str">
            <v>GPDG</v>
          </cell>
          <cell r="J59" t="str">
            <v>A</v>
          </cell>
          <cell r="K59" t="str">
            <v>BC</v>
          </cell>
          <cell r="L59" t="str">
            <v>JUILLET</v>
          </cell>
          <cell r="M59">
            <v>333.98</v>
          </cell>
          <cell r="N59">
            <v>312.19</v>
          </cell>
          <cell r="O59">
            <v>303.72000000000003</v>
          </cell>
          <cell r="P59">
            <v>293.52999999999997</v>
          </cell>
          <cell r="Q59">
            <v>293.61</v>
          </cell>
          <cell r="R59">
            <v>253.07</v>
          </cell>
          <cell r="S59"/>
          <cell r="T59"/>
          <cell r="U59"/>
          <cell r="V59"/>
        </row>
        <row r="60">
          <cell r="A60" t="str">
            <v>TRA 09</v>
          </cell>
          <cell r="B60"/>
          <cell r="C60"/>
          <cell r="D60" t="str">
            <v>KUBOTA</v>
          </cell>
          <cell r="E60" t="str">
            <v>Z122R</v>
          </cell>
          <cell r="F60" t="str">
            <v>ENGIN AGRICOLE</v>
          </cell>
          <cell r="G60">
            <v>11454</v>
          </cell>
          <cell r="H60">
            <v>10654520004</v>
          </cell>
          <cell r="I60" t="str">
            <v>GPDG</v>
          </cell>
          <cell r="J60" t="str">
            <v>A</v>
          </cell>
          <cell r="K60" t="str">
            <v>BC</v>
          </cell>
          <cell r="L60" t="str">
            <v>MARS</v>
          </cell>
          <cell r="M60">
            <v>344.31</v>
          </cell>
          <cell r="N60">
            <v>315.98</v>
          </cell>
          <cell r="O60">
            <v>307.58</v>
          </cell>
          <cell r="P60">
            <v>290.25</v>
          </cell>
          <cell r="Q60"/>
          <cell r="R60"/>
          <cell r="S60"/>
          <cell r="T60"/>
          <cell r="U60"/>
          <cell r="V60"/>
        </row>
        <row r="61">
          <cell r="A61" t="str">
            <v>TRA 10</v>
          </cell>
          <cell r="B61"/>
          <cell r="C61"/>
          <cell r="D61" t="str">
            <v>KUBOTA</v>
          </cell>
          <cell r="E61" t="str">
            <v>KUB Z122R 2</v>
          </cell>
          <cell r="F61" t="str">
            <v>ENGIN AGRICOLE</v>
          </cell>
          <cell r="G61">
            <v>11444</v>
          </cell>
          <cell r="H61">
            <v>10654521604</v>
          </cell>
          <cell r="I61" t="str">
            <v>GPDG</v>
          </cell>
          <cell r="J61" t="str">
            <v>A</v>
          </cell>
          <cell r="K61" t="str">
            <v>BC</v>
          </cell>
          <cell r="L61" t="str">
            <v>MARS</v>
          </cell>
          <cell r="M61">
            <v>338.38</v>
          </cell>
          <cell r="N61">
            <v>315.98</v>
          </cell>
          <cell r="O61">
            <v>307.58</v>
          </cell>
          <cell r="P61">
            <v>290.25</v>
          </cell>
          <cell r="Q61"/>
          <cell r="R61"/>
          <cell r="S61"/>
          <cell r="T61"/>
          <cell r="U61"/>
          <cell r="V61"/>
        </row>
        <row r="62">
          <cell r="A62" t="str">
            <v>TRA 11</v>
          </cell>
          <cell r="B62"/>
          <cell r="C62"/>
          <cell r="D62" t="str">
            <v>KUBOTA</v>
          </cell>
          <cell r="E62" t="str">
            <v>G23 N° 4</v>
          </cell>
          <cell r="F62" t="str">
            <v>ENGIN AGRICOLE</v>
          </cell>
          <cell r="G62">
            <v>70814</v>
          </cell>
          <cell r="H62">
            <v>10757201704</v>
          </cell>
          <cell r="I62" t="str">
            <v>GPDG</v>
          </cell>
          <cell r="J62" t="str">
            <v>A</v>
          </cell>
          <cell r="K62" t="str">
            <v>CEAPC</v>
          </cell>
          <cell r="L62" t="str">
            <v>NOV.</v>
          </cell>
          <cell r="M62"/>
          <cell r="N62">
            <v>317.69</v>
          </cell>
          <cell r="O62">
            <v>309.33</v>
          </cell>
          <cell r="P62">
            <v>292.64999999999998</v>
          </cell>
          <cell r="Q62"/>
          <cell r="R62"/>
          <cell r="S62"/>
          <cell r="T62"/>
          <cell r="U62"/>
          <cell r="V62"/>
        </row>
        <row r="63">
          <cell r="A63" t="str">
            <v>TRA 12</v>
          </cell>
          <cell r="B63"/>
          <cell r="C63"/>
          <cell r="D63" t="str">
            <v>KUBOTA</v>
          </cell>
          <cell r="E63" t="str">
            <v>KUB Z122R 3</v>
          </cell>
          <cell r="F63" t="str">
            <v>ENGIN AGRICOLE</v>
          </cell>
          <cell r="G63">
            <v>11553</v>
          </cell>
          <cell r="H63">
            <v>10757205304</v>
          </cell>
          <cell r="I63" t="str">
            <v>GPDG</v>
          </cell>
          <cell r="J63" t="str">
            <v>A</v>
          </cell>
          <cell r="K63" t="str">
            <v>CEAPC</v>
          </cell>
          <cell r="L63" t="str">
            <v>NOV.</v>
          </cell>
          <cell r="M63"/>
          <cell r="N63">
            <v>266.19</v>
          </cell>
          <cell r="O63">
            <v>257.85000000000002</v>
          </cell>
          <cell r="P63">
            <v>243.71</v>
          </cell>
          <cell r="Q63"/>
          <cell r="R63"/>
          <cell r="S63"/>
          <cell r="T63"/>
          <cell r="U63"/>
          <cell r="V63"/>
        </row>
        <row r="64">
          <cell r="A64" t="str">
            <v>TRA 13</v>
          </cell>
          <cell r="B64" t="str">
            <v>GPDG</v>
          </cell>
          <cell r="C64"/>
          <cell r="D64" t="str">
            <v>KUBOTA</v>
          </cell>
          <cell r="E64" t="str">
            <v>KUB Z122R 4</v>
          </cell>
          <cell r="F64" t="str">
            <v>ENGIN AGRICOLE</v>
          </cell>
          <cell r="G64">
            <v>11978</v>
          </cell>
          <cell r="H64">
            <v>10850046804</v>
          </cell>
          <cell r="I64" t="str">
            <v>GPDG</v>
          </cell>
          <cell r="J64" t="str">
            <v>A</v>
          </cell>
          <cell r="K64" t="str">
            <v>BC</v>
          </cell>
          <cell r="L64" t="str">
            <v>JUIN</v>
          </cell>
          <cell r="M64"/>
          <cell r="N64">
            <v>317.77999999999997</v>
          </cell>
          <cell r="O64">
            <v>292.02</v>
          </cell>
          <cell r="P64"/>
          <cell r="Q64"/>
          <cell r="R64"/>
          <cell r="S64"/>
          <cell r="T64"/>
          <cell r="U64"/>
          <cell r="V64"/>
        </row>
        <row r="65">
          <cell r="A65" t="str">
            <v>TRA 14</v>
          </cell>
          <cell r="B65" t="str">
            <v>GPDG</v>
          </cell>
          <cell r="C65"/>
          <cell r="D65" t="str">
            <v>KUBOTA</v>
          </cell>
          <cell r="E65" t="str">
            <v>KUB Z122R 5</v>
          </cell>
          <cell r="F65" t="str">
            <v>ENGIN AGRICOLE</v>
          </cell>
          <cell r="G65">
            <v>12089</v>
          </cell>
          <cell r="H65">
            <v>10850049804</v>
          </cell>
          <cell r="I65" t="str">
            <v>GPDG</v>
          </cell>
          <cell r="J65" t="str">
            <v>A</v>
          </cell>
          <cell r="K65" t="str">
            <v>BC</v>
          </cell>
          <cell r="L65" t="str">
            <v>JUIN</v>
          </cell>
          <cell r="M65">
            <v>339.91</v>
          </cell>
          <cell r="N65">
            <v>317.77999999999997</v>
          </cell>
          <cell r="O65">
            <v>292.02</v>
          </cell>
          <cell r="P65"/>
          <cell r="Q65"/>
          <cell r="R65"/>
          <cell r="S65"/>
          <cell r="T65"/>
          <cell r="U65"/>
          <cell r="V65"/>
        </row>
        <row r="66">
          <cell r="A66" t="str">
            <v>TRA 15</v>
          </cell>
          <cell r="B66" t="str">
            <v>GPDG</v>
          </cell>
          <cell r="C66"/>
          <cell r="D66" t="str">
            <v>OREC</v>
          </cell>
          <cell r="E66" t="str">
            <v>RMK150</v>
          </cell>
          <cell r="F66" t="str">
            <v>ENGIN AGRICOLE</v>
          </cell>
          <cell r="G66" t="str">
            <v>RG16M00075</v>
          </cell>
          <cell r="H66">
            <v>103440024204</v>
          </cell>
          <cell r="I66" t="str">
            <v>GPDG</v>
          </cell>
          <cell r="J66" t="str">
            <v>A</v>
          </cell>
          <cell r="K66" t="str">
            <v>BC</v>
          </cell>
          <cell r="L66" t="str">
            <v>JUILLET</v>
          </cell>
          <cell r="M66">
            <v>126.89</v>
          </cell>
          <cell r="N66">
            <v>271.83</v>
          </cell>
          <cell r="O66">
            <v>261.74</v>
          </cell>
          <cell r="P66">
            <v>242.96</v>
          </cell>
          <cell r="Q66">
            <v>242.89</v>
          </cell>
          <cell r="R66">
            <v>220.31</v>
          </cell>
          <cell r="S66"/>
          <cell r="T66"/>
          <cell r="U66"/>
          <cell r="V66"/>
        </row>
        <row r="71">
          <cell r="A71" t="str">
            <v>2R</v>
          </cell>
          <cell r="B71" t="str">
            <v>GPDG</v>
          </cell>
          <cell r="C71" t="str">
            <v>FD-108-AZ</v>
          </cell>
          <cell r="D71" t="str">
            <v>PEUGEOT</v>
          </cell>
          <cell r="E71" t="str">
            <v>2ROUE</v>
          </cell>
          <cell r="F71" t="str">
            <v>MOTO</v>
          </cell>
          <cell r="H71">
            <v>10408048104</v>
          </cell>
          <cell r="I71" t="str">
            <v>GPDG</v>
          </cell>
          <cell r="J71" t="str">
            <v>M</v>
          </cell>
          <cell r="K71" t="str">
            <v>BC</v>
          </cell>
          <cell r="L71" t="str">
            <v>JANVIER</v>
          </cell>
          <cell r="N71">
            <v>1008.12</v>
          </cell>
          <cell r="O71">
            <v>976.8</v>
          </cell>
          <cell r="P71">
            <v>960</v>
          </cell>
          <cell r="Q71">
            <v>959.04</v>
          </cell>
          <cell r="R71">
            <v>230.7</v>
          </cell>
        </row>
        <row r="73">
          <cell r="A73" t="str">
            <v>BV001</v>
          </cell>
          <cell r="H73">
            <v>10839023804</v>
          </cell>
          <cell r="I73" t="str">
            <v>PDG</v>
          </cell>
          <cell r="J73" t="str">
            <v>A</v>
          </cell>
          <cell r="K73" t="str">
            <v>CEAPC</v>
          </cell>
          <cell r="M73">
            <v>333.75</v>
          </cell>
          <cell r="N73">
            <v>297.83999999999997</v>
          </cell>
          <cell r="O73">
            <v>233.41</v>
          </cell>
        </row>
        <row r="78">
          <cell r="A78" t="str">
            <v>BV</v>
          </cell>
          <cell r="E78" t="str">
            <v>W821PRO1</v>
          </cell>
          <cell r="F78" t="str">
            <v>Tondeuse autoportée</v>
          </cell>
          <cell r="H78">
            <v>10654521004</v>
          </cell>
          <cell r="I78" t="str">
            <v>GPDG</v>
          </cell>
          <cell r="J78" t="str">
            <v>A</v>
          </cell>
          <cell r="K78" t="str">
            <v>BC</v>
          </cell>
          <cell r="L78" t="str">
            <v>MARS</v>
          </cell>
          <cell r="M78">
            <v>113.48</v>
          </cell>
        </row>
        <row r="79">
          <cell r="A79" t="str">
            <v>BV</v>
          </cell>
          <cell r="E79" t="str">
            <v>W821PRO2</v>
          </cell>
          <cell r="F79" t="str">
            <v>Tondeuse autoportée</v>
          </cell>
          <cell r="H79">
            <v>10654521304</v>
          </cell>
          <cell r="I79" t="str">
            <v>GPDG</v>
          </cell>
          <cell r="J79" t="str">
            <v>A</v>
          </cell>
          <cell r="K79" t="str">
            <v>BC</v>
          </cell>
          <cell r="L79" t="str">
            <v>MARS</v>
          </cell>
          <cell r="M79">
            <v>110.84</v>
          </cell>
          <cell r="N79">
            <v>106.72</v>
          </cell>
          <cell r="O79">
            <v>102.59</v>
          </cell>
          <cell r="P79">
            <v>88.89</v>
          </cell>
        </row>
        <row r="80">
          <cell r="E80" t="str">
            <v>W821PRO3</v>
          </cell>
          <cell r="F80" t="str">
            <v>Tondeuse autoportée</v>
          </cell>
          <cell r="H80">
            <v>10655421104</v>
          </cell>
          <cell r="I80" t="str">
            <v>PDG</v>
          </cell>
          <cell r="J80" t="str">
            <v>A</v>
          </cell>
          <cell r="K80" t="str">
            <v>BC</v>
          </cell>
          <cell r="L80" t="str">
            <v>MARS</v>
          </cell>
          <cell r="M80">
            <v>117.71</v>
          </cell>
          <cell r="N80">
            <v>113.6</v>
          </cell>
          <cell r="O80">
            <v>102.59</v>
          </cell>
          <cell r="P80">
            <v>88.25</v>
          </cell>
        </row>
        <row r="81">
          <cell r="E81" t="str">
            <v>W821PRO4</v>
          </cell>
          <cell r="F81" t="str">
            <v>Tondeuse autoportée</v>
          </cell>
          <cell r="H81">
            <v>10655421504</v>
          </cell>
          <cell r="I81" t="str">
            <v>PDG</v>
          </cell>
          <cell r="J81" t="str">
            <v>A</v>
          </cell>
          <cell r="K81" t="str">
            <v>BC</v>
          </cell>
          <cell r="L81" t="str">
            <v>MARS</v>
          </cell>
          <cell r="M81">
            <v>115.33</v>
          </cell>
          <cell r="N81">
            <v>113.6</v>
          </cell>
          <cell r="O81">
            <v>102.59</v>
          </cell>
          <cell r="P81">
            <v>88.25</v>
          </cell>
        </row>
        <row r="83">
          <cell r="E83" t="str">
            <v>TRA2105</v>
          </cell>
          <cell r="F83" t="str">
            <v>Tondeuse autoportée</v>
          </cell>
          <cell r="H83">
            <v>10850065604</v>
          </cell>
          <cell r="I83" t="str">
            <v>GPDG</v>
          </cell>
          <cell r="J83" t="str">
            <v>A</v>
          </cell>
          <cell r="K83" t="str">
            <v>BC</v>
          </cell>
          <cell r="L83" t="str">
            <v>JUIN</v>
          </cell>
          <cell r="M83">
            <v>99.25</v>
          </cell>
        </row>
        <row r="84">
          <cell r="E84" t="str">
            <v>TRA2104</v>
          </cell>
          <cell r="F84" t="str">
            <v>Tondeuse autoportée</v>
          </cell>
          <cell r="H84">
            <v>10850063004</v>
          </cell>
          <cell r="I84" t="str">
            <v>GPDG</v>
          </cell>
          <cell r="J84" t="str">
            <v>A</v>
          </cell>
          <cell r="K84" t="str">
            <v>BC</v>
          </cell>
          <cell r="L84" t="str">
            <v>JUIN</v>
          </cell>
          <cell r="M84">
            <v>107.24</v>
          </cell>
        </row>
        <row r="86">
          <cell r="E86" t="str">
            <v>TONG26102</v>
          </cell>
          <cell r="F86" t="str">
            <v>Tondeuse autoportée</v>
          </cell>
          <cell r="H86">
            <v>11006424204</v>
          </cell>
          <cell r="I86" t="str">
            <v>GPDG</v>
          </cell>
          <cell r="J86" t="str">
            <v>A</v>
          </cell>
          <cell r="K86" t="str">
            <v>BC</v>
          </cell>
          <cell r="L86" t="str">
            <v>JUILLET</v>
          </cell>
          <cell r="M86">
            <v>126.89</v>
          </cell>
        </row>
        <row r="87">
          <cell r="A87" t="str">
            <v>BV</v>
          </cell>
          <cell r="B87" t="str">
            <v>GPDG</v>
          </cell>
          <cell r="E87" t="str">
            <v>TONG26101</v>
          </cell>
          <cell r="F87" t="str">
            <v>Tondeuse autoportée</v>
          </cell>
          <cell r="H87">
            <v>11006422904</v>
          </cell>
          <cell r="I87" t="str">
            <v>GPDG</v>
          </cell>
          <cell r="J87" t="str">
            <v>A</v>
          </cell>
          <cell r="K87" t="str">
            <v>BC</v>
          </cell>
          <cell r="L87" t="str">
            <v>JUILLET</v>
          </cell>
          <cell r="M87">
            <v>135.28</v>
          </cell>
          <cell r="N87">
            <v>124.79</v>
          </cell>
        </row>
        <row r="88">
          <cell r="A88" t="str">
            <v>BV</v>
          </cell>
          <cell r="B88" t="str">
            <v>GPDG</v>
          </cell>
          <cell r="E88" t="str">
            <v>DEBSRA600</v>
          </cell>
          <cell r="F88" t="str">
            <v>Tondeuse autoportée</v>
          </cell>
          <cell r="H88">
            <v>11006424904</v>
          </cell>
          <cell r="I88" t="str">
            <v>GPDG</v>
          </cell>
          <cell r="J88" t="str">
            <v>A</v>
          </cell>
          <cell r="K88" t="str">
            <v>BC</v>
          </cell>
          <cell r="L88" t="str">
            <v>JUILLET</v>
          </cell>
          <cell r="M88">
            <v>131.01</v>
          </cell>
          <cell r="N88">
            <v>116.88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D4823F-0C9F-4FA1-9FEF-6B6524E30E64}" name="T_BASE" displayName="T_BASE" ref="A1:AK60" totalsRowShown="0" headerRowDxfId="63" dataDxfId="62">
  <autoFilter ref="A1:AK60" xr:uid="{D7D4823F-0C9F-4FA1-9FEF-6B6524E30E64}"/>
  <tableColumns count="37">
    <tableColumn id="1" xr3:uid="{4E26D7DB-9F2E-4D72-A490-D02733128900}" name="REF. INTERNE" dataDxfId="61"/>
    <tableColumn id="2" xr3:uid="{D5529D0A-A3CF-4652-ABBC-066E3614E36B}" name="PROPRIETAIRE" dataDxfId="60"/>
    <tableColumn id="3" xr3:uid="{35D95137-04D5-4D73-83D0-DE6FAD4E6CB0}" name="PLAQUE" dataDxfId="59"/>
    <tableColumn id="4" xr3:uid="{C8E9C8C1-687D-42BB-8FC0-2A55FF0F0B06}" name="TYPE" dataDxfId="58"/>
    <tableColumn id="5" xr3:uid="{027F724F-2440-4767-9F83-9EEA50D99850}" name="MARQUE" dataDxfId="57"/>
    <tableColumn id="6" xr3:uid="{D5254885-5CC2-4A16-A2DF-AD1DCD580B40}" name="MODELE" dataDxfId="56"/>
    <tableColumn id="7" xr3:uid="{19E7F70A-C1BF-4F7C-9443-AE5EC022B0E3}" name="N° ID / SERIE" dataDxfId="55"/>
    <tableColumn id="8" xr3:uid="{033FB5E6-0B51-42E0-829E-7ABD62B1A2C4}" name="CB / LEASEUR" dataDxfId="54"/>
    <tableColumn id="42" xr3:uid="{2DA863B5-6343-43BA-B716-E48E483ED118}" name="FACTURE" dataDxfId="53"/>
    <tableColumn id="9" xr3:uid="{FF54D9D9-EA89-42DF-A3CC-FB865A4E05D7}" name="DATE ACHAT" dataDxfId="52"/>
    <tableColumn id="10" xr3:uid="{13E12363-DF86-4DCD-BA3F-DCBFEEC36523}" name="VALEUR ACHAT" dataDxfId="51"/>
    <tableColumn id="23" xr3:uid="{63023161-F2A2-4968-89F6-9EDEE38F7F7A}" name="DEVENIR" dataDxfId="50"/>
    <tableColumn id="26" xr3:uid="{AD56058D-4C80-4251-A1B3-85DAA470941D}" name="MONTANT PEC APRES AMORT." dataDxfId="49"/>
    <tableColumn id="22" xr3:uid="{B8D9961E-9C18-4F49-A4EB-C15C4BF48BF4}" name="ASSIETTE DE CALCUL" dataDxfId="48">
      <calculatedColumnFormula>T_BASE[[#This Row],[MONTANT PEC APRES AMORT.]]</calculatedColumnFormula>
    </tableColumn>
    <tableColumn id="12" xr3:uid="{1CBFF4F4-E632-4DE0-A10F-57C76B060ACB}" name="DUREE CB" dataDxfId="47"/>
    <tableColumn id="13" xr3:uid="{19778F2C-C2D3-4AFE-93F9-3403B93226A9}" name="FDCB" dataDxfId="46"/>
    <tableColumn id="18" xr3:uid="{07FAD4B3-FE5F-4966-B8A7-9B601BB5642B}" name="FLOCAGE" dataDxfId="45"/>
    <tableColumn id="19" xr3:uid="{4E1F166E-D41C-4A72-B452-F5F98AB3B684}" name="REHAUSSE JPM" dataDxfId="44"/>
    <tableColumn id="20" xr3:uid="{CFD06BBA-B49A-460A-AEB1-B6035CDB5E1B}" name="ENTRETIEN" dataDxfId="43"/>
    <tableColumn id="24" xr3:uid="{BE8C51B4-7502-4563-AAAE-6D20E1790F00}" name="AMORT." dataDxfId="42">
      <calculatedColumnFormula>$O2/12</calculatedColumnFormula>
    </tableColumn>
    <tableColumn id="25" xr3:uid="{6398079E-CAF1-4BB0-9088-FBB41E9595F0}" name="ANNEE ACQT" dataDxfId="41">
      <calculatedColumnFormula>YEAR(J2)</calculatedColumnFormula>
    </tableColumn>
    <tableColumn id="21" xr3:uid="{04B80263-16DF-4851-A870-DBFAA0145D32}" name="FIN AMORT. A" dataDxfId="40">
      <calculatedColumnFormula>T_BASE[[#This Row],[ANNEE ACQT]]+T_BASE[[#This Row],[AMORT.]]</calculatedColumnFormula>
    </tableColumn>
    <tableColumn id="27" xr3:uid="{538116D3-ACE5-44EB-B574-A45F62A15C2A}" name="2023" dataDxfId="39">
      <calculatedColumnFormula>$N2-IF(W$1&lt;=$V2,0,IF(W$1&gt;IF($V2&lt;2022,2022,$V2),IF(W$1-IF($V2&lt;2022,2022,$V2)=1,$N2*VLOOKUP(LEFT($A2,3),Paramétres!A:D,3,0),$N2*VLOOKUP(LEFT($A2,3),Paramétres!A:D,4)),0))</calculatedColumnFormula>
    </tableColumn>
    <tableColumn id="28" xr3:uid="{746657D1-FE55-4F1C-9899-9E307D800430}" name="2024" dataDxfId="38">
      <calculatedColumnFormula>IF(W2&lt;$N2,W2,$N2)-IF(X$1&lt;=$U2,0,IF(X$1&gt;IF($U2&lt;2022,2022,$U2),IF(X$1-IF($U2&lt;2022,2022,$U2)=1,IF(W2&lt;$N2,W2,$N2)*VLOOKUP(LEFT($A2,3),Paramétres!$A:$D,3,0),IF(W2&lt;$N2,W2,$N2)*VLOOKUP(LEFT($A2,3),Paramétres!$A:$D,4)),0))</calculatedColumnFormula>
    </tableColumn>
    <tableColumn id="29" xr3:uid="{D752122F-0E2A-46DC-902E-774795CDEA27}" name="2025" dataDxfId="37"/>
    <tableColumn id="30" xr3:uid="{7FA61AB9-65BC-4D5E-8FB4-35854AF2CAF0}" name="2026" dataDxfId="36"/>
    <tableColumn id="31" xr3:uid="{8DEF7B45-449C-419D-8D54-A48E7D1E01C6}" name="2027" dataDxfId="35"/>
    <tableColumn id="32" xr3:uid="{FBBF4E1B-2AE9-463E-AB24-C06FE50F17CF}" name="2028" dataDxfId="34"/>
    <tableColumn id="33" xr3:uid="{0DA755E8-1692-42E5-81C8-87824C3344FD}" name="2029" dataDxfId="33"/>
    <tableColumn id="34" xr3:uid="{314389DC-BE98-43BD-A764-6BD4F32ED0F1}" name="2030" dataDxfId="32"/>
    <tableColumn id="35" xr3:uid="{63BC2360-C8E5-45AA-9B58-3512CFB3E13E}" name="2031" dataDxfId="31"/>
    <tableColumn id="36" xr3:uid="{1581F465-C9D4-49EA-A73C-D78B0CF9637A}" name="2032" dataDxfId="30"/>
    <tableColumn id="37" xr3:uid="{635688D6-E9E5-4F1C-B93A-CA2E5596EF3E}" name="2033" dataDxfId="29"/>
    <tableColumn id="38" xr3:uid="{20563067-B2E9-4C0E-945D-8C9F5EB37643}" name="2034" dataDxfId="28"/>
    <tableColumn id="39" xr3:uid="{FCB40853-5235-4EBD-A6B0-D6E450331667}" name="2035" dataDxfId="27"/>
    <tableColumn id="40" xr3:uid="{5E68019D-4EBF-4E21-95AA-A82EBBB2071F}" name="2036" dataDxfId="26"/>
    <tableColumn id="41" xr3:uid="{3C7C4EFB-51AF-4BA8-9617-3D5BBCE7593A}" name="2037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955B69-E51F-4D7B-A693-F260F5C071D1}" name="T_ASSURANCES" displayName="T_ASSURANCES" ref="A1:S61" totalsRowShown="0" headerRowDxfId="24" dataDxfId="23">
  <autoFilter ref="A1:S61" xr:uid="{65955B69-E51F-4D7B-A693-F260F5C071D1}"/>
  <tableColumns count="19">
    <tableColumn id="1" xr3:uid="{4AF2035C-70B7-4418-8985-9B7E64B7B745}" name="REF. INTERNE" dataDxfId="22"/>
    <tableColumn id="2" xr3:uid="{DC2C28B7-3822-42AF-B1BC-B32D85CDBCAD}" name="PROPRIETAIRE" dataDxfId="21"/>
    <tableColumn id="3" xr3:uid="{7B534F6A-9D15-4DE7-A873-9908ED6EAA78}" name="PLAQUE" dataDxfId="20"/>
    <tableColumn id="4" xr3:uid="{36E21B63-D5CD-4CD9-831E-4C2C14CB44FA}" name="N° ID / SERIE" dataDxfId="19"/>
    <tableColumn id="5" xr3:uid="{1430A204-56DB-4EE8-96C0-BE095A8662D4}" name="POLICE" dataDxfId="18"/>
    <tableColumn id="6" xr3:uid="{1E23D343-E044-4B13-A723-C965C31B9FEA}" name="ENTITE ASS" dataDxfId="17"/>
    <tableColumn id="7" xr3:uid="{4C2E1862-F639-4FC0-A4CA-2F81A118145B}" name="A/M" dataDxfId="16"/>
    <tableColumn id="8" xr3:uid="{DB3C69AF-52B9-49B2-86FC-8CB164C350FD}" name="BANQUE" dataDxfId="15"/>
    <tableColumn id="9" xr3:uid="{EE7181C2-FD61-4A01-AF54-4D840B3A71F7}" name="MOIS TR" dataDxfId="14"/>
    <tableColumn id="27" xr3:uid="{2240F627-0BA0-4D3D-98B1-9AB2C6D4DD84}" name="ECH. 2024" dataDxfId="13"/>
    <tableColumn id="28" xr3:uid="{02DCCF6D-707B-4192-9EC5-F73A38EED9A2}" name="ECH. 2023" dataDxfId="12"/>
    <tableColumn id="29" xr3:uid="{882434D9-31DE-48BA-801C-AF153C74AA1E}" name="ECH. 2022" dataDxfId="11"/>
    <tableColumn id="30" xr3:uid="{ABBF2F0A-A37C-42E6-98DF-4812461204B5}" name="ECH. 2021" dataDxfId="10"/>
    <tableColumn id="32" xr3:uid="{558D1D4C-B5EA-4EF7-A5E0-803C91A833F4}" name="ECH. 2020" dataDxfId="9"/>
    <tableColumn id="33" xr3:uid="{D9944882-9FE1-401C-9D7D-13AEC1CD59F4}" name="ECH. 2019" dataDxfId="8"/>
    <tableColumn id="34" xr3:uid="{F547F4D0-70D3-4CA2-8889-ADE97A5D3E58}" name="ECH. 2018" dataDxfId="7"/>
    <tableColumn id="35" xr3:uid="{00854940-175C-4503-83CC-01CFAC4D556D}" name="ECH. 2017" dataDxfId="6"/>
    <tableColumn id="36" xr3:uid="{C5AFBD48-F9D0-4331-8A2F-BEFB490A506D}" name="ECH. 2016" dataDxfId="5"/>
    <tableColumn id="10" xr3:uid="{CC9B2C8A-1B15-41FC-AD5D-F262AC4BC341}" name="ECH. 2015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BD4348-037C-4C14-A2A9-0A9BEAA736CB}" name="T_PARAMETRE" displayName="T_PARAMETRE" ref="A1:D6" totalsRowShown="0">
  <autoFilter ref="A1:D6" xr:uid="{71BD4348-037C-4C14-A2A9-0A9BEAA736CB}"/>
  <tableColumns count="4">
    <tableColumn id="1" xr3:uid="{4AF2DA18-F1EA-4403-B08A-11FDCF5BC94F}" name="abbrev."/>
    <tableColumn id="2" xr3:uid="{7CCC3B61-8263-4F8A-9D31-FC360398FFDD}" name="quoi"/>
    <tableColumn id="3" xr3:uid="{D06F5046-5D9E-4CBE-B798-3B2C994860BE}" name="année1" dataDxfId="3"/>
    <tableColumn id="4" xr3:uid="{FDBBD158-70E8-4BF5-B492-28CBFCB84F87}" name="suivant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4F67A-F093-4624-8AB5-6D0259142E98}">
  <dimension ref="A1:AK61"/>
  <sheetViews>
    <sheetView workbookViewId="0">
      <pane xSplit="1" topLeftCell="B1" activePane="topRight" state="frozen"/>
      <selection pane="topRight" activeCell="A11" sqref="A11:XFD11"/>
    </sheetView>
  </sheetViews>
  <sheetFormatPr baseColWidth="10" defaultRowHeight="12.75" x14ac:dyDescent="0.25"/>
  <cols>
    <col min="1" max="3" width="11.5703125" style="1" customWidth="1"/>
    <col min="4" max="4" width="14.28515625" style="1" customWidth="1"/>
    <col min="5" max="6" width="11.5703125" style="1" customWidth="1"/>
    <col min="7" max="8" width="23.140625" style="1" customWidth="1"/>
    <col min="9" max="9" width="24.28515625" style="1" customWidth="1"/>
    <col min="10" max="10" width="11.5703125" style="1" customWidth="1"/>
    <col min="11" max="11" width="12.5703125" style="1" customWidth="1"/>
    <col min="12" max="13" width="20.5703125" style="1" customWidth="1"/>
    <col min="14" max="14" width="17.42578125" style="1" customWidth="1"/>
    <col min="15" max="21" width="12.5703125" style="1" customWidth="1"/>
    <col min="22" max="22" width="12.5703125" style="11" customWidth="1"/>
    <col min="23" max="25" width="12.28515625" style="11" bestFit="1" customWidth="1"/>
    <col min="26" max="37" width="11.5703125" style="11" bestFit="1" customWidth="1"/>
    <col min="38" max="16384" width="11.42578125" style="1"/>
  </cols>
  <sheetData>
    <row r="1" spans="1:37" ht="26.2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153</v>
      </c>
      <c r="J1" s="1" t="s">
        <v>8</v>
      </c>
      <c r="K1" s="1" t="s">
        <v>9</v>
      </c>
      <c r="L1" s="1" t="s">
        <v>10</v>
      </c>
      <c r="M1" s="67" t="s">
        <v>234</v>
      </c>
      <c r="N1" s="67" t="s">
        <v>18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217</v>
      </c>
      <c r="W1" s="11" t="s">
        <v>19</v>
      </c>
      <c r="X1" s="11" t="s">
        <v>20</v>
      </c>
      <c r="Y1" s="11" t="s">
        <v>21</v>
      </c>
      <c r="Z1" s="11" t="s">
        <v>22</v>
      </c>
      <c r="AA1" s="11" t="s">
        <v>23</v>
      </c>
      <c r="AB1" s="11" t="s">
        <v>24</v>
      </c>
      <c r="AC1" s="11" t="s">
        <v>25</v>
      </c>
      <c r="AD1" s="11" t="s">
        <v>26</v>
      </c>
      <c r="AE1" s="11" t="s">
        <v>27</v>
      </c>
      <c r="AF1" s="11" t="s">
        <v>28</v>
      </c>
      <c r="AG1" s="11" t="s">
        <v>29</v>
      </c>
      <c r="AH1" s="11" t="s">
        <v>30</v>
      </c>
      <c r="AI1" s="11" t="s">
        <v>31</v>
      </c>
      <c r="AJ1" s="11" t="s">
        <v>32</v>
      </c>
      <c r="AK1" s="11" t="s">
        <v>33</v>
      </c>
    </row>
    <row r="2" spans="1:37" x14ac:dyDescent="0.25">
      <c r="A2" s="1" t="s">
        <v>34</v>
      </c>
      <c r="D2" s="1" t="s">
        <v>50</v>
      </c>
      <c r="E2" s="1" t="s">
        <v>51</v>
      </c>
      <c r="F2" s="1" t="s">
        <v>52</v>
      </c>
      <c r="J2" s="2">
        <v>41864</v>
      </c>
      <c r="K2" s="3">
        <v>32600</v>
      </c>
      <c r="L2" s="3" t="s">
        <v>229</v>
      </c>
      <c r="M2" s="3">
        <v>17500</v>
      </c>
      <c r="N2" s="3">
        <f>T_BASE[[#This Row],[MONTANT PEC APRES AMORT.]]</f>
        <v>17500</v>
      </c>
      <c r="O2" s="1">
        <v>60</v>
      </c>
      <c r="P2" s="2">
        <v>43709</v>
      </c>
      <c r="Q2" s="4">
        <v>585</v>
      </c>
      <c r="R2" s="3">
        <v>0</v>
      </c>
      <c r="S2" s="3">
        <v>120</v>
      </c>
      <c r="T2" s="66">
        <f>$O2/12</f>
        <v>5</v>
      </c>
      <c r="U2" s="1">
        <f t="shared" ref="U2:U33" si="0">YEAR(J2)</f>
        <v>2014</v>
      </c>
      <c r="V2" s="85">
        <f>T_BASE[[#This Row],[ANNEE ACQT]]+T_BASE[[#This Row],[AMORT.]]</f>
        <v>2019</v>
      </c>
      <c r="W2" s="11">
        <f>$N2-IF(W$1&lt;=$V2,0,IF(W$1&gt;IF($V2&lt;2022,2022,$V2),IF(W$1-IF($V2&lt;2022,2022,$V2)=1,$N2*VLOOKUP(LEFT($A2,3),Paramétres!A:D,3,0),$N2*VLOOKUP(LEFT($A2,3),Paramétres!A:D,4)),0))</f>
        <v>17386.25</v>
      </c>
      <c r="X2" s="11">
        <f>IF(W2&lt;$N2,W2,$N2)-IF(X$1&lt;=$U2,0,IF(X$1&gt;IF($U2&lt;2022,2022,$U2),IF(X$1-IF($U2&lt;2022,2022,$U2)=1,IF(W2&lt;$N2,W2,$N2)*VLOOKUP(LEFT($A2,3),Paramétres!$A:$D,3,0),IF(W2&lt;$N2,W2,$N2)*VLOOKUP(LEFT($A2,3),Paramétres!$A:$D,4)),0))</f>
        <v>16516.9375</v>
      </c>
      <c r="Y2" s="11">
        <f>IF(X2&lt;$N2,X2,$N2)-IF(Y$1&lt;=$U2,0,IF(Y$1&gt;IF($U2&lt;2022,2022,$U2),IF(Y$1-IF($U2&lt;2022,2022,$U2)=1,IF(X2&lt;$N2,X2,$N2)*VLOOKUP(LEFT($A2,3),Paramétres!$A:$D,3,0),IF(X2&lt;$N2,X2,$N2)*VLOOKUP(LEFT($A2,3),Paramétres!$A:$D,4)),0))</f>
        <v>15691.090625000001</v>
      </c>
      <c r="Z2" s="11">
        <f>IF(Y2&lt;$N2,Y2,$N2)-IF(Z$1&lt;=$U2,0,IF(Z$1&gt;IF($U2&lt;2022,2022,$U2),IF(Z$1-IF($U2&lt;2022,2022,$U2)=1,IF(Y2&lt;$N2,Y2,$N2)*VLOOKUP(LEFT($A2,3),Paramétres!$A:$D,3,0),IF(Y2&lt;$N2,Y2,$N2)*VLOOKUP(LEFT($A2,3),Paramétres!$A:$D,4)),0))</f>
        <v>14906.536093750001</v>
      </c>
      <c r="AA2" s="11">
        <f>IF(Z2&lt;$N2,Z2,$N2)-IF(AA$1&lt;=$U2,0,IF(AA$1&gt;IF($U2&lt;2022,2022,$U2),IF(AA$1-IF($U2&lt;2022,2022,$U2)=1,IF(Z2&lt;$N2,Z2,$N2)*VLOOKUP(LEFT($A2,3),Paramétres!$A:$D,3,0),IF(Z2&lt;$N2,Z2,$N2)*VLOOKUP(LEFT($A2,3),Paramétres!$A:$D,4)),0))</f>
        <v>14161.209289062501</v>
      </c>
      <c r="AB2" s="11">
        <f>IF(AA2&lt;$N2,AA2,$N2)-IF(AB$1&lt;=$U2,0,IF(AB$1&gt;IF($U2&lt;2022,2022,$U2),IF(AB$1-IF($U2&lt;2022,2022,$U2)=1,IF(AA2&lt;$N2,AA2,$N2)*VLOOKUP(LEFT($A2,3),Paramétres!$A:$D,3,0),IF(AA2&lt;$N2,AA2,$N2)*VLOOKUP(LEFT($A2,3),Paramétres!$A:$D,4)),0))</f>
        <v>13453.148824609376</v>
      </c>
      <c r="AC2" s="11">
        <f>IF(AB2&lt;$N2,AB2,$N2)-IF(AC$1&lt;=$U2,0,IF(AC$1&gt;IF($U2&lt;2022,2022,$U2),IF(AC$1-IF($U2&lt;2022,2022,$U2)=1,IF(AB2&lt;$N2,AB2,$N2)*VLOOKUP(LEFT($A2,3),Paramétres!$A:$D,3,0),IF(AB2&lt;$N2,AB2,$N2)*VLOOKUP(LEFT($A2,3),Paramétres!$A:$D,4)),0))</f>
        <v>12780.491383378907</v>
      </c>
      <c r="AD2" s="11">
        <f>IF(AC2&lt;$N2,AC2,$N2)-IF(AD$1&lt;=$U2,0,IF(AD$1&gt;IF($U2&lt;2022,2022,$U2),IF(AD$1-IF($U2&lt;2022,2022,$U2)=1,IF(AC2&lt;$N2,AC2,$N2)*VLOOKUP(LEFT($A2,3),Paramétres!$A:$D,3,0),IF(AC2&lt;$N2,AC2,$N2)*VLOOKUP(LEFT($A2,3),Paramétres!$A:$D,4)),0))</f>
        <v>12141.466814209962</v>
      </c>
      <c r="AE2" s="11">
        <f>IF(AD2&lt;$N2,AD2,$N2)-IF(AE$1&lt;=$U2,0,IF(AE$1&gt;IF($U2&lt;2022,2022,$U2),IF(AE$1-IF($U2&lt;2022,2022,$U2)=1,IF(AD2&lt;$N2,AD2,$N2)*VLOOKUP(LEFT($A2,3),Paramétres!$A:$D,3,0),IF(AD2&lt;$N2,AD2,$N2)*VLOOKUP(LEFT($A2,3),Paramétres!$A:$D,4)),0))</f>
        <v>11534.393473499464</v>
      </c>
      <c r="AF2" s="11">
        <f>IF(AE2&lt;$N2,AE2,$N2)-IF(AF$1&lt;=$U2,0,IF(AF$1&gt;IF($U2&lt;2022,2022,$U2),IF(AF$1-IF($U2&lt;2022,2022,$U2)=1,IF(AE2&lt;$N2,AE2,$N2)*VLOOKUP(LEFT($A2,3),Paramétres!$A:$D,3,0),IF(AE2&lt;$N2,AE2,$N2)*VLOOKUP(LEFT($A2,3),Paramétres!$A:$D,4)),0))</f>
        <v>10957.67379982449</v>
      </c>
      <c r="AG2" s="11">
        <f>IF(AF2&lt;$N2,AF2,$N2)-IF(AG$1&lt;=$U2,0,IF(AG$1&gt;IF($U2&lt;2022,2022,$U2),IF(AG$1-IF($U2&lt;2022,2022,$U2)=1,IF(AF2&lt;$N2,AF2,$N2)*VLOOKUP(LEFT($A2,3),Paramétres!$A:$D,3,0),IF(AF2&lt;$N2,AF2,$N2)*VLOOKUP(LEFT($A2,3),Paramétres!$A:$D,4)),0))</f>
        <v>10409.790109833266</v>
      </c>
      <c r="AH2" s="11">
        <f>IF(AG2&lt;$N2,AG2,$N2)-IF(AH$1&lt;=$U2,0,IF(AH$1&gt;IF($U2&lt;2022,2022,$U2),IF(AH$1-IF($U2&lt;2022,2022,$U2)=1,IF(AG2&lt;$N2,AG2,$N2)*VLOOKUP(LEFT($A2,3),Paramétres!$A:$D,3,0),IF(AG2&lt;$N2,AG2,$N2)*VLOOKUP(LEFT($A2,3),Paramétres!$A:$D,4)),0))</f>
        <v>9889.3006043416026</v>
      </c>
      <c r="AI2" s="11">
        <f>IF(AH2&lt;$N2,AH2,$N2)-IF(AI$1&lt;=$U2,0,IF(AI$1&gt;IF($U2&lt;2022,2022,$U2),IF(AI$1-IF($U2&lt;2022,2022,$U2)=1,IF(AH2&lt;$N2,AH2,$N2)*VLOOKUP(LEFT($A2,3),Paramétres!$A:$D,3,0),IF(AH2&lt;$N2,AH2,$N2)*VLOOKUP(LEFT($A2,3),Paramétres!$A:$D,4)),0))</f>
        <v>9394.8355741245232</v>
      </c>
      <c r="AJ2" s="11">
        <f>IF(AI2&lt;$N2,AI2,$N2)-IF(AJ$1&lt;=$U2,0,IF(AJ$1&gt;IF($U2&lt;2022,2022,$U2),IF(AJ$1-IF($U2&lt;2022,2022,$U2)=1,IF(AI2&lt;$N2,AI2,$N2)*VLOOKUP(LEFT($A2,3),Paramétres!$A:$D,3,0),IF(AI2&lt;$N2,AI2,$N2)*VLOOKUP(LEFT($A2,3),Paramétres!$A:$D,4)),0))</f>
        <v>8925.0937954182973</v>
      </c>
      <c r="AK2" s="11">
        <f>IF(AJ2&lt;$N2,AJ2,$N2)-IF(AK$1&lt;=$U2,0,IF(AK$1&gt;IF($U2&lt;2022,2022,$U2),IF(AK$1-IF($U2&lt;2022,2022,$U2)=1,IF(AJ2&lt;$N2,AJ2,$N2)*VLOOKUP(LEFT($A2,3),Paramétres!$A:$D,3,0),IF(AJ2&lt;$N2,AJ2,$N2)*VLOOKUP(LEFT($A2,3),Paramétres!$A:$D,4)),0))</f>
        <v>8478.8391056473829</v>
      </c>
    </row>
    <row r="3" spans="1:37" x14ac:dyDescent="0.25">
      <c r="A3" s="1" t="s">
        <v>35</v>
      </c>
      <c r="D3" s="1" t="s">
        <v>50</v>
      </c>
      <c r="E3" s="1" t="s">
        <v>53</v>
      </c>
      <c r="F3" s="1" t="s">
        <v>54</v>
      </c>
      <c r="J3" s="2">
        <v>42108</v>
      </c>
      <c r="K3" s="3">
        <v>29100</v>
      </c>
      <c r="L3" s="3" t="s">
        <v>230</v>
      </c>
      <c r="M3" s="3">
        <f>T_BASE[[#This Row],[VALEUR ACHAT]]</f>
        <v>29100</v>
      </c>
      <c r="N3" s="3">
        <f>T_BASE[[#This Row],[MONTANT PEC APRES AMORT.]]</f>
        <v>29100</v>
      </c>
      <c r="O3" s="5">
        <v>60</v>
      </c>
      <c r="P3" s="2">
        <v>43935</v>
      </c>
      <c r="Q3" s="4">
        <v>405</v>
      </c>
      <c r="R3" s="3">
        <v>0</v>
      </c>
      <c r="S3" s="3">
        <v>120</v>
      </c>
      <c r="T3" s="66">
        <f t="shared" ref="T3:T60" si="1">$O3/12</f>
        <v>5</v>
      </c>
      <c r="U3" s="1">
        <f t="shared" si="0"/>
        <v>2015</v>
      </c>
      <c r="V3" s="86">
        <f>T_BASE[[#This Row],[ANNEE ACQT]]+T_BASE[[#This Row],[AMORT.]]</f>
        <v>2020</v>
      </c>
      <c r="W3" s="11">
        <f>$N3-IF(W$1&lt;=$V3,0,IF(W$1&gt;IF($V3&lt;2022,2022,$V3),IF(W$1-IF($V3&lt;2022,2022,$V3)=1,$N3*VLOOKUP(LEFT($A3,3),Paramétres!A:D,3,0),$N3*VLOOKUP(LEFT($A3,3),Paramétres!A:D,4)),0))</f>
        <v>28910.85</v>
      </c>
      <c r="X3" s="11">
        <f>IF(W3&lt;$N3,W3,$N3)-IF(X$1&lt;=$U3,0,IF(X$1&gt;IF($U3&lt;2022,2022,$U3),IF(X$1-IF($U3&lt;2022,2022,$U3)=1,IF(W3&lt;$N3,W3,$N3)*VLOOKUP(LEFT($A3,3),Paramétres!$A:$D,3,0),IF(W3&lt;$N3,W3,$N3)*VLOOKUP(LEFT($A3,3),Paramétres!$A:$D,4)),0))</f>
        <v>27465.307499999999</v>
      </c>
      <c r="Y3" s="11">
        <f>IF(X3&lt;$N3,X3,$N3)-IF(Y$1&lt;=$U3,0,IF(Y$1&gt;IF($U3&lt;2022,2022,$U3),IF(Y$1-IF($U3&lt;2022,2022,$U3)=1,IF(X3&lt;$N3,X3,$N3)*VLOOKUP(LEFT($A3,3),Paramétres!$A:$D,3,0),IF(X3&lt;$N3,X3,$N3)*VLOOKUP(LEFT($A3,3),Paramétres!$A:$D,4)),0))</f>
        <v>26092.042125</v>
      </c>
      <c r="Z3" s="11">
        <f>IF(Y3&lt;$N3,Y3,$N3)-IF(Z$1&lt;=$U3,0,IF(Z$1&gt;IF($U3&lt;2022,2022,$U3),IF(Z$1-IF($U3&lt;2022,2022,$U3)=1,IF(Y3&lt;$N3,Y3,$N3)*VLOOKUP(LEFT($A3,3),Paramétres!$A:$D,3,0),IF(Y3&lt;$N3,Y3,$N3)*VLOOKUP(LEFT($A3,3),Paramétres!$A:$D,4)),0))</f>
        <v>24787.44001875</v>
      </c>
      <c r="AA3" s="11">
        <f>IF(Z3&lt;$N3,Z3,$N3)-IF(AA$1&lt;=$U3,0,IF(AA$1&gt;IF($U3&lt;2022,2022,$U3),IF(AA$1-IF($U3&lt;2022,2022,$U3)=1,IF(Z3&lt;$N3,Z3,$N3)*VLOOKUP(LEFT($A3,3),Paramétres!$A:$D,3,0),IF(Z3&lt;$N3,Z3,$N3)*VLOOKUP(LEFT($A3,3),Paramétres!$A:$D,4)),0))</f>
        <v>23548.0680178125</v>
      </c>
      <c r="AB3" s="11">
        <f>IF(AA3&lt;$N3,AA3,$N3)-IF(AB$1&lt;=$U3,0,IF(AB$1&gt;IF($U3&lt;2022,2022,$U3),IF(AB$1-IF($U3&lt;2022,2022,$U3)=1,IF(AA3&lt;$N3,AA3,$N3)*VLOOKUP(LEFT($A3,3),Paramétres!$A:$D,3,0),IF(AA3&lt;$N3,AA3,$N3)*VLOOKUP(LEFT($A3,3),Paramétres!$A:$D,4)),0))</f>
        <v>22370.664616921877</v>
      </c>
      <c r="AC3" s="11">
        <f>IF(AB3&lt;$N3,AB3,$N3)-IF(AC$1&lt;=$U3,0,IF(AC$1&gt;IF($U3&lt;2022,2022,$U3),IF(AC$1-IF($U3&lt;2022,2022,$U3)=1,IF(AB3&lt;$N3,AB3,$N3)*VLOOKUP(LEFT($A3,3),Paramétres!$A:$D,3,0),IF(AB3&lt;$N3,AB3,$N3)*VLOOKUP(LEFT($A3,3),Paramétres!$A:$D,4)),0))</f>
        <v>21252.131386075784</v>
      </c>
      <c r="AD3" s="11">
        <f>IF(AC3&lt;$N3,AC3,$N3)-IF(AD$1&lt;=$U3,0,IF(AD$1&gt;IF($U3&lt;2022,2022,$U3),IF(AD$1-IF($U3&lt;2022,2022,$U3)=1,IF(AC3&lt;$N3,AC3,$N3)*VLOOKUP(LEFT($A3,3),Paramétres!$A:$D,3,0),IF(AC3&lt;$N3,AC3,$N3)*VLOOKUP(LEFT($A3,3),Paramétres!$A:$D,4)),0))</f>
        <v>20189.524816771995</v>
      </c>
      <c r="AE3" s="11">
        <f>IF(AD3&lt;$N3,AD3,$N3)-IF(AE$1&lt;=$U3,0,IF(AE$1&gt;IF($U3&lt;2022,2022,$U3),IF(AE$1-IF($U3&lt;2022,2022,$U3)=1,IF(AD3&lt;$N3,AD3,$N3)*VLOOKUP(LEFT($A3,3),Paramétres!$A:$D,3,0),IF(AD3&lt;$N3,AD3,$N3)*VLOOKUP(LEFT($A3,3),Paramétres!$A:$D,4)),0))</f>
        <v>19180.048575933393</v>
      </c>
      <c r="AF3" s="11">
        <f>IF(AE3&lt;$N3,AE3,$N3)-IF(AF$1&lt;=$U3,0,IF(AF$1&gt;IF($U3&lt;2022,2022,$U3),IF(AF$1-IF($U3&lt;2022,2022,$U3)=1,IF(AE3&lt;$N3,AE3,$N3)*VLOOKUP(LEFT($A3,3),Paramétres!$A:$D,3,0),IF(AE3&lt;$N3,AE3,$N3)*VLOOKUP(LEFT($A3,3),Paramétres!$A:$D,4)),0))</f>
        <v>18221.046147136723</v>
      </c>
      <c r="AG3" s="11">
        <f>IF(AF3&lt;$N3,AF3,$N3)-IF(AG$1&lt;=$U3,0,IF(AG$1&gt;IF($U3&lt;2022,2022,$U3),IF(AG$1-IF($U3&lt;2022,2022,$U3)=1,IF(AF3&lt;$N3,AF3,$N3)*VLOOKUP(LEFT($A3,3),Paramétres!$A:$D,3,0),IF(AF3&lt;$N3,AF3,$N3)*VLOOKUP(LEFT($A3,3),Paramétres!$A:$D,4)),0))</f>
        <v>17309.993839779887</v>
      </c>
      <c r="AH3" s="11">
        <f>IF(AG3&lt;$N3,AG3,$N3)-IF(AH$1&lt;=$U3,0,IF(AH$1&gt;IF($U3&lt;2022,2022,$U3),IF(AH$1-IF($U3&lt;2022,2022,$U3)=1,IF(AG3&lt;$N3,AG3,$N3)*VLOOKUP(LEFT($A3,3),Paramétres!$A:$D,3,0),IF(AG3&lt;$N3,AG3,$N3)*VLOOKUP(LEFT($A3,3),Paramétres!$A:$D,4)),0))</f>
        <v>16444.494147790894</v>
      </c>
      <c r="AI3" s="11">
        <f>IF(AH3&lt;$N3,AH3,$N3)-IF(AI$1&lt;=$U3,0,IF(AI$1&gt;IF($U3&lt;2022,2022,$U3),IF(AI$1-IF($U3&lt;2022,2022,$U3)=1,IF(AH3&lt;$N3,AH3,$N3)*VLOOKUP(LEFT($A3,3),Paramétres!$A:$D,3,0),IF(AH3&lt;$N3,AH3,$N3)*VLOOKUP(LEFT($A3,3),Paramétres!$A:$D,4)),0))</f>
        <v>15622.269440401349</v>
      </c>
      <c r="AJ3" s="11">
        <f>IF(AI3&lt;$N3,AI3,$N3)-IF(AJ$1&lt;=$U3,0,IF(AJ$1&gt;IF($U3&lt;2022,2022,$U3),IF(AJ$1-IF($U3&lt;2022,2022,$U3)=1,IF(AI3&lt;$N3,AI3,$N3)*VLOOKUP(LEFT($A3,3),Paramétres!$A:$D,3,0),IF(AI3&lt;$N3,AI3,$N3)*VLOOKUP(LEFT($A3,3),Paramétres!$A:$D,4)),0))</f>
        <v>14841.155968381281</v>
      </c>
      <c r="AK3" s="11">
        <f>IF(AJ3&lt;$N3,AJ3,$N3)-IF(AK$1&lt;=$U3,0,IF(AK$1&gt;IF($U3&lt;2022,2022,$U3),IF(AK$1-IF($U3&lt;2022,2022,$U3)=1,IF(AJ3&lt;$N3,AJ3,$N3)*VLOOKUP(LEFT($A3,3),Paramétres!$A:$D,3,0),IF(AJ3&lt;$N3,AJ3,$N3)*VLOOKUP(LEFT($A3,3),Paramétres!$A:$D,4)),0))</f>
        <v>14099.098169962217</v>
      </c>
    </row>
    <row r="4" spans="1:37" x14ac:dyDescent="0.25">
      <c r="A4" s="1" t="s">
        <v>36</v>
      </c>
      <c r="D4" s="1" t="s">
        <v>50</v>
      </c>
      <c r="E4" s="1" t="s">
        <v>53</v>
      </c>
      <c r="F4" s="1" t="s">
        <v>54</v>
      </c>
      <c r="J4" s="2">
        <v>42563</v>
      </c>
      <c r="K4" s="3">
        <v>29700</v>
      </c>
      <c r="L4" s="3"/>
      <c r="M4" s="3">
        <f>T_BASE[[#This Row],[VALEUR ACHAT]]</f>
        <v>29700</v>
      </c>
      <c r="N4" s="3">
        <f>T_BASE[[#This Row],[MONTANT PEC APRES AMORT.]]</f>
        <v>29700</v>
      </c>
      <c r="O4" s="1">
        <v>66</v>
      </c>
      <c r="P4" s="2">
        <v>44542</v>
      </c>
      <c r="Q4" s="4">
        <v>405</v>
      </c>
      <c r="R4" s="3">
        <v>0</v>
      </c>
      <c r="S4" s="3">
        <v>120</v>
      </c>
      <c r="T4" s="66">
        <f t="shared" si="1"/>
        <v>5.5</v>
      </c>
      <c r="U4" s="1">
        <f t="shared" si="0"/>
        <v>2016</v>
      </c>
      <c r="V4" s="86">
        <f>T_BASE[[#This Row],[ANNEE ACQT]]+T_BASE[[#This Row],[AMORT.]]</f>
        <v>2021.5</v>
      </c>
      <c r="W4" s="11">
        <f>$N4-IF(W$1&lt;=$V4,0,IF(W$1&gt;IF($V4&lt;2022,2022,$V4),IF(W$1-IF($V4&lt;2022,2022,$V4)=1,$N4*VLOOKUP(LEFT($A4,3),Paramétres!A:D,3,0),$N4*VLOOKUP(LEFT($A4,3),Paramétres!A:D,4)),0))</f>
        <v>29506.95</v>
      </c>
      <c r="X4" s="11">
        <f>IF(W4&lt;$N4,W4,$N4)-IF(X$1&lt;=$U4,0,IF(X$1&gt;IF($U4&lt;2022,2022,$U4),IF(X$1-IF($U4&lt;2022,2022,$U4)=1,IF(W4&lt;$N4,W4,$N4)*VLOOKUP(LEFT($A4,3),Paramétres!$A:$D,3,0),IF(W4&lt;$N4,W4,$N4)*VLOOKUP(LEFT($A4,3),Paramétres!$A:$D,4)),0))</f>
        <v>28031.602500000001</v>
      </c>
      <c r="Y4" s="11">
        <f>IF(X4&lt;$N4,X4,$N4)-IF(Y$1&lt;=$U4,0,IF(Y$1&gt;IF($U4&lt;2022,2022,$U4),IF(Y$1-IF($U4&lt;2022,2022,$U4)=1,IF(X4&lt;$N4,X4,$N4)*VLOOKUP(LEFT($A4,3),Paramétres!$A:$D,3,0),IF(X4&lt;$N4,X4,$N4)*VLOOKUP(LEFT($A4,3),Paramétres!$A:$D,4)),0))</f>
        <v>26630.022375</v>
      </c>
      <c r="Z4" s="11">
        <f>IF(Y4&lt;$N4,Y4,$N4)-IF(Z$1&lt;=$U4,0,IF(Z$1&gt;IF($U4&lt;2022,2022,$U4),IF(Z$1-IF($U4&lt;2022,2022,$U4)=1,IF(Y4&lt;$N4,Y4,$N4)*VLOOKUP(LEFT($A4,3),Paramétres!$A:$D,3,0),IF(Y4&lt;$N4,Y4,$N4)*VLOOKUP(LEFT($A4,3),Paramétres!$A:$D,4)),0))</f>
        <v>25298.521256250002</v>
      </c>
      <c r="AA4" s="11">
        <f>IF(Z4&lt;$N4,Z4,$N4)-IF(AA$1&lt;=$U4,0,IF(AA$1&gt;IF($U4&lt;2022,2022,$U4),IF(AA$1-IF($U4&lt;2022,2022,$U4)=1,IF(Z4&lt;$N4,Z4,$N4)*VLOOKUP(LEFT($A4,3),Paramétres!$A:$D,3,0),IF(Z4&lt;$N4,Z4,$N4)*VLOOKUP(LEFT($A4,3),Paramétres!$A:$D,4)),0))</f>
        <v>24033.595193437501</v>
      </c>
      <c r="AB4" s="11">
        <f>IF(AA4&lt;$N4,AA4,$N4)-IF(AB$1&lt;=$U4,0,IF(AB$1&gt;IF($U4&lt;2022,2022,$U4),IF(AB$1-IF($U4&lt;2022,2022,$U4)=1,IF(AA4&lt;$N4,AA4,$N4)*VLOOKUP(LEFT($A4,3),Paramétres!$A:$D,3,0),IF(AA4&lt;$N4,AA4,$N4)*VLOOKUP(LEFT($A4,3),Paramétres!$A:$D,4)),0))</f>
        <v>22831.915433765625</v>
      </c>
      <c r="AC4" s="11">
        <f>IF(AB4&lt;$N4,AB4,$N4)-IF(AC$1&lt;=$U4,0,IF(AC$1&gt;IF($U4&lt;2022,2022,$U4),IF(AC$1-IF($U4&lt;2022,2022,$U4)=1,IF(AB4&lt;$N4,AB4,$N4)*VLOOKUP(LEFT($A4,3),Paramétres!$A:$D,3,0),IF(AB4&lt;$N4,AB4,$N4)*VLOOKUP(LEFT($A4,3),Paramétres!$A:$D,4)),0))</f>
        <v>21690.319662077345</v>
      </c>
      <c r="AD4" s="11">
        <f>IF(AC4&lt;$N4,AC4,$N4)-IF(AD$1&lt;=$U4,0,IF(AD$1&gt;IF($U4&lt;2022,2022,$U4),IF(AD$1-IF($U4&lt;2022,2022,$U4)=1,IF(AC4&lt;$N4,AC4,$N4)*VLOOKUP(LEFT($A4,3),Paramétres!$A:$D,3,0),IF(AC4&lt;$N4,AC4,$N4)*VLOOKUP(LEFT($A4,3),Paramétres!$A:$D,4)),0))</f>
        <v>20605.803678973476</v>
      </c>
      <c r="AE4" s="11">
        <f>IF(AD4&lt;$N4,AD4,$N4)-IF(AE$1&lt;=$U4,0,IF(AE$1&gt;IF($U4&lt;2022,2022,$U4),IF(AE$1-IF($U4&lt;2022,2022,$U4)=1,IF(AD4&lt;$N4,AD4,$N4)*VLOOKUP(LEFT($A4,3),Paramétres!$A:$D,3,0),IF(AD4&lt;$N4,AD4,$N4)*VLOOKUP(LEFT($A4,3),Paramétres!$A:$D,4)),0))</f>
        <v>19575.513495024803</v>
      </c>
      <c r="AF4" s="11">
        <f>IF(AE4&lt;$N4,AE4,$N4)-IF(AF$1&lt;=$U4,0,IF(AF$1&gt;IF($U4&lt;2022,2022,$U4),IF(AF$1-IF($U4&lt;2022,2022,$U4)=1,IF(AE4&lt;$N4,AE4,$N4)*VLOOKUP(LEFT($A4,3),Paramétres!$A:$D,3,0),IF(AE4&lt;$N4,AE4,$N4)*VLOOKUP(LEFT($A4,3),Paramétres!$A:$D,4)),0))</f>
        <v>18596.737820273564</v>
      </c>
      <c r="AG4" s="11">
        <f>IF(AF4&lt;$N4,AF4,$N4)-IF(AG$1&lt;=$U4,0,IF(AG$1&gt;IF($U4&lt;2022,2022,$U4),IF(AG$1-IF($U4&lt;2022,2022,$U4)=1,IF(AF4&lt;$N4,AF4,$N4)*VLOOKUP(LEFT($A4,3),Paramétres!$A:$D,3,0),IF(AF4&lt;$N4,AF4,$N4)*VLOOKUP(LEFT($A4,3),Paramétres!$A:$D,4)),0))</f>
        <v>17666.900929259886</v>
      </c>
      <c r="AH4" s="11">
        <f>IF(AG4&lt;$N4,AG4,$N4)-IF(AH$1&lt;=$U4,0,IF(AH$1&gt;IF($U4&lt;2022,2022,$U4),IF(AH$1-IF($U4&lt;2022,2022,$U4)=1,IF(AG4&lt;$N4,AG4,$N4)*VLOOKUP(LEFT($A4,3),Paramétres!$A:$D,3,0),IF(AG4&lt;$N4,AG4,$N4)*VLOOKUP(LEFT($A4,3),Paramétres!$A:$D,4)),0))</f>
        <v>16783.555882796893</v>
      </c>
      <c r="AI4" s="11">
        <f>IF(AH4&lt;$N4,AH4,$N4)-IF(AI$1&lt;=$U4,0,IF(AI$1&gt;IF($U4&lt;2022,2022,$U4),IF(AI$1-IF($U4&lt;2022,2022,$U4)=1,IF(AH4&lt;$N4,AH4,$N4)*VLOOKUP(LEFT($A4,3),Paramétres!$A:$D,3,0),IF(AH4&lt;$N4,AH4,$N4)*VLOOKUP(LEFT($A4,3),Paramétres!$A:$D,4)),0))</f>
        <v>15944.378088657048</v>
      </c>
      <c r="AJ4" s="11">
        <f>IF(AI4&lt;$N4,AI4,$N4)-IF(AJ$1&lt;=$U4,0,IF(AJ$1&gt;IF($U4&lt;2022,2022,$U4),IF(AJ$1-IF($U4&lt;2022,2022,$U4)=1,IF(AI4&lt;$N4,AI4,$N4)*VLOOKUP(LEFT($A4,3),Paramétres!$A:$D,3,0),IF(AI4&lt;$N4,AI4,$N4)*VLOOKUP(LEFT($A4,3),Paramétres!$A:$D,4)),0))</f>
        <v>15147.159184224194</v>
      </c>
      <c r="AK4" s="11">
        <f>IF(AJ4&lt;$N4,AJ4,$N4)-IF(AK$1&lt;=$U4,0,IF(AK$1&gt;IF($U4&lt;2022,2022,$U4),IF(AK$1-IF($U4&lt;2022,2022,$U4)=1,IF(AJ4&lt;$N4,AJ4,$N4)*VLOOKUP(LEFT($A4,3),Paramétres!$A:$D,3,0),IF(AJ4&lt;$N4,AJ4,$N4)*VLOOKUP(LEFT($A4,3),Paramétres!$A:$D,4)),0))</f>
        <v>14389.801225012985</v>
      </c>
    </row>
    <row r="5" spans="1:37" ht="13.5" thickBot="1" x14ac:dyDescent="0.3">
      <c r="A5" s="1" t="s">
        <v>37</v>
      </c>
      <c r="D5" s="1" t="s">
        <v>50</v>
      </c>
      <c r="E5" s="1" t="s">
        <v>55</v>
      </c>
      <c r="F5" s="1" t="s">
        <v>56</v>
      </c>
      <c r="J5" s="2">
        <v>43074</v>
      </c>
      <c r="K5" s="3">
        <v>16241.67</v>
      </c>
      <c r="L5" s="3"/>
      <c r="M5" s="3">
        <f>T_BASE[[#This Row],[VALEUR ACHAT]]</f>
        <v>16241.67</v>
      </c>
      <c r="N5" s="3">
        <f>T_BASE[[#This Row],[MONTANT PEC APRES AMORT.]]</f>
        <v>16241.67</v>
      </c>
      <c r="O5" s="1">
        <v>60</v>
      </c>
      <c r="P5" s="2">
        <v>44880</v>
      </c>
      <c r="Q5" s="4">
        <v>405</v>
      </c>
      <c r="R5" s="3">
        <v>0</v>
      </c>
      <c r="S5" s="3">
        <v>120</v>
      </c>
      <c r="T5" s="66">
        <f t="shared" si="1"/>
        <v>5</v>
      </c>
      <c r="U5" s="1">
        <f t="shared" si="0"/>
        <v>2017</v>
      </c>
      <c r="V5" s="87">
        <f>T_BASE[[#This Row],[ANNEE ACQT]]+T_BASE[[#This Row],[AMORT.]]</f>
        <v>2022</v>
      </c>
      <c r="W5" s="11">
        <f>$N5-IF(W$1&lt;=$V5,0,IF(W$1&gt;IF($V5&lt;2022,2022,$V5),IF(W$1-IF($V5&lt;2022,2022,$V5)=1,$N5*VLOOKUP(LEFT($A5,3),Paramétres!A:D,3,0),$N5*VLOOKUP(LEFT($A5,3),Paramétres!A:D,4)),0))</f>
        <v>16136.099145</v>
      </c>
      <c r="X5" s="11">
        <f>IF(W5&lt;$N5,W5,$N5)-IF(X$1&lt;=$U5,0,IF(X$1&gt;IF($U5&lt;2022,2022,$U5),IF(X$1-IF($U5&lt;2022,2022,$U5)=1,IF(W5&lt;$N5,W5,$N5)*VLOOKUP(LEFT($A5,3),Paramétres!$A:$D,3,0),IF(W5&lt;$N5,W5,$N5)*VLOOKUP(LEFT($A5,3),Paramétres!$A:$D,4)),0))</f>
        <v>15329.29418775</v>
      </c>
      <c r="Y5" s="11">
        <f>IF(X5&lt;$N5,X5,$N5)-IF(Y$1&lt;=$U5,0,IF(Y$1&gt;IF($U5&lt;2022,2022,$U5),IF(Y$1-IF($U5&lt;2022,2022,$U5)=1,IF(X5&lt;$N5,X5,$N5)*VLOOKUP(LEFT($A5,3),Paramétres!$A:$D,3,0),IF(X5&lt;$N5,X5,$N5)*VLOOKUP(LEFT($A5,3),Paramétres!$A:$D,4)),0))</f>
        <v>14562.829478362499</v>
      </c>
      <c r="Z5" s="11">
        <f>IF(Y5&lt;$N5,Y5,$N5)-IF(Z$1&lt;=$U5,0,IF(Z$1&gt;IF($U5&lt;2022,2022,$U5),IF(Z$1-IF($U5&lt;2022,2022,$U5)=1,IF(Y5&lt;$N5,Y5,$N5)*VLOOKUP(LEFT($A5,3),Paramétres!$A:$D,3,0),IF(Y5&lt;$N5,Y5,$N5)*VLOOKUP(LEFT($A5,3),Paramétres!$A:$D,4)),0))</f>
        <v>13834.688004444373</v>
      </c>
      <c r="AA5" s="11">
        <f>IF(Z5&lt;$N5,Z5,$N5)-IF(AA$1&lt;=$U5,0,IF(AA$1&gt;IF($U5&lt;2022,2022,$U5),IF(AA$1-IF($U5&lt;2022,2022,$U5)=1,IF(Z5&lt;$N5,Z5,$N5)*VLOOKUP(LEFT($A5,3),Paramétres!$A:$D,3,0),IF(Z5&lt;$N5,Z5,$N5)*VLOOKUP(LEFT($A5,3),Paramétres!$A:$D,4)),0))</f>
        <v>13142.953604222155</v>
      </c>
      <c r="AB5" s="11">
        <f>IF(AA5&lt;$N5,AA5,$N5)-IF(AB$1&lt;=$U5,0,IF(AB$1&gt;IF($U5&lt;2022,2022,$U5),IF(AB$1-IF($U5&lt;2022,2022,$U5)=1,IF(AA5&lt;$N5,AA5,$N5)*VLOOKUP(LEFT($A5,3),Paramétres!$A:$D,3,0),IF(AA5&lt;$N5,AA5,$N5)*VLOOKUP(LEFT($A5,3),Paramétres!$A:$D,4)),0))</f>
        <v>12485.805924011047</v>
      </c>
      <c r="AC5" s="11">
        <f>IF(AB5&lt;$N5,AB5,$N5)-IF(AC$1&lt;=$U5,0,IF(AC$1&gt;IF($U5&lt;2022,2022,$U5),IF(AC$1-IF($U5&lt;2022,2022,$U5)=1,IF(AB5&lt;$N5,AB5,$N5)*VLOOKUP(LEFT($A5,3),Paramétres!$A:$D,3,0),IF(AB5&lt;$N5,AB5,$N5)*VLOOKUP(LEFT($A5,3),Paramétres!$A:$D,4)),0))</f>
        <v>11861.515627810495</v>
      </c>
      <c r="AD5" s="11">
        <f>IF(AC5&lt;$N5,AC5,$N5)-IF(AD$1&lt;=$U5,0,IF(AD$1&gt;IF($U5&lt;2022,2022,$U5),IF(AD$1-IF($U5&lt;2022,2022,$U5)=1,IF(AC5&lt;$N5,AC5,$N5)*VLOOKUP(LEFT($A5,3),Paramétres!$A:$D,3,0),IF(AC5&lt;$N5,AC5,$N5)*VLOOKUP(LEFT($A5,3),Paramétres!$A:$D,4)),0))</f>
        <v>11268.439846419969</v>
      </c>
      <c r="AE5" s="11">
        <f>IF(AD5&lt;$N5,AD5,$N5)-IF(AE$1&lt;=$U5,0,IF(AE$1&gt;IF($U5&lt;2022,2022,$U5),IF(AE$1-IF($U5&lt;2022,2022,$U5)=1,IF(AD5&lt;$N5,AD5,$N5)*VLOOKUP(LEFT($A5,3),Paramétres!$A:$D,3,0),IF(AD5&lt;$N5,AD5,$N5)*VLOOKUP(LEFT($A5,3),Paramétres!$A:$D,4)),0))</f>
        <v>10705.017854098971</v>
      </c>
      <c r="AF5" s="11">
        <f>IF(AE5&lt;$N5,AE5,$N5)-IF(AF$1&lt;=$U5,0,IF(AF$1&gt;IF($U5&lt;2022,2022,$U5),IF(AF$1-IF($U5&lt;2022,2022,$U5)=1,IF(AE5&lt;$N5,AE5,$N5)*VLOOKUP(LEFT($A5,3),Paramétres!$A:$D,3,0),IF(AE5&lt;$N5,AE5,$N5)*VLOOKUP(LEFT($A5,3),Paramétres!$A:$D,4)),0))</f>
        <v>10169.766961394022</v>
      </c>
      <c r="AG5" s="11">
        <f>IF(AF5&lt;$N5,AF5,$N5)-IF(AG$1&lt;=$U5,0,IF(AG$1&gt;IF($U5&lt;2022,2022,$U5),IF(AG$1-IF($U5&lt;2022,2022,$U5)=1,IF(AF5&lt;$N5,AF5,$N5)*VLOOKUP(LEFT($A5,3),Paramétres!$A:$D,3,0),IF(AF5&lt;$N5,AF5,$N5)*VLOOKUP(LEFT($A5,3),Paramétres!$A:$D,4)),0))</f>
        <v>9661.2786133243208</v>
      </c>
      <c r="AH5" s="11">
        <f>IF(AG5&lt;$N5,AG5,$N5)-IF(AH$1&lt;=$U5,0,IF(AH$1&gt;IF($U5&lt;2022,2022,$U5),IF(AH$1-IF($U5&lt;2022,2022,$U5)=1,IF(AG5&lt;$N5,AG5,$N5)*VLOOKUP(LEFT($A5,3),Paramétres!$A:$D,3,0),IF(AG5&lt;$N5,AG5,$N5)*VLOOKUP(LEFT($A5,3),Paramétres!$A:$D,4)),0))</f>
        <v>9178.2146826581047</v>
      </c>
      <c r="AI5" s="11">
        <f>IF(AH5&lt;$N5,AH5,$N5)-IF(AI$1&lt;=$U5,0,IF(AI$1&gt;IF($U5&lt;2022,2022,$U5),IF(AI$1-IF($U5&lt;2022,2022,$U5)=1,IF(AH5&lt;$N5,AH5,$N5)*VLOOKUP(LEFT($A5,3),Paramétres!$A:$D,3,0),IF(AH5&lt;$N5,AH5,$N5)*VLOOKUP(LEFT($A5,3),Paramétres!$A:$D,4)),0))</f>
        <v>8719.3039485251993</v>
      </c>
      <c r="AJ5" s="11">
        <f>IF(AI5&lt;$N5,AI5,$N5)-IF(AJ$1&lt;=$U5,0,IF(AJ$1&gt;IF($U5&lt;2022,2022,$U5),IF(AJ$1-IF($U5&lt;2022,2022,$U5)=1,IF(AI5&lt;$N5,AI5,$N5)*VLOOKUP(LEFT($A5,3),Paramétres!$A:$D,3,0),IF(AI5&lt;$N5,AI5,$N5)*VLOOKUP(LEFT($A5,3),Paramétres!$A:$D,4)),0))</f>
        <v>8283.3387510989396</v>
      </c>
      <c r="AK5" s="11">
        <f>IF(AJ5&lt;$N5,AJ5,$N5)-IF(AK$1&lt;=$U5,0,IF(AK$1&gt;IF($U5&lt;2022,2022,$U5),IF(AK$1-IF($U5&lt;2022,2022,$U5)=1,IF(AJ5&lt;$N5,AJ5,$N5)*VLOOKUP(LEFT($A5,3),Paramétres!$A:$D,3,0),IF(AJ5&lt;$N5,AJ5,$N5)*VLOOKUP(LEFT($A5,3),Paramétres!$A:$D,4)),0))</f>
        <v>7869.1718135439924</v>
      </c>
    </row>
    <row r="6" spans="1:37" x14ac:dyDescent="0.25">
      <c r="A6" s="1" t="s">
        <v>38</v>
      </c>
      <c r="D6" s="1" t="s">
        <v>50</v>
      </c>
      <c r="E6" s="1" t="s">
        <v>51</v>
      </c>
      <c r="F6" s="1" t="s">
        <v>57</v>
      </c>
      <c r="J6" s="2">
        <v>43165</v>
      </c>
      <c r="K6" s="3">
        <v>36300</v>
      </c>
      <c r="L6" s="3"/>
      <c r="M6" s="3">
        <f>T_BASE[[#This Row],[VALEUR ACHAT]]</f>
        <v>36300</v>
      </c>
      <c r="N6" s="3">
        <f>T_BASE[[#This Row],[MONTANT PEC APRES AMORT.]]</f>
        <v>36300</v>
      </c>
      <c r="O6" s="1">
        <v>60</v>
      </c>
      <c r="P6" s="2">
        <v>45017</v>
      </c>
      <c r="Q6" s="4">
        <v>585</v>
      </c>
      <c r="R6" s="3">
        <v>0</v>
      </c>
      <c r="S6" s="3">
        <v>120</v>
      </c>
      <c r="T6" s="66">
        <f t="shared" si="1"/>
        <v>5</v>
      </c>
      <c r="U6" s="1">
        <f t="shared" si="0"/>
        <v>2018</v>
      </c>
      <c r="V6" s="11">
        <f>T_BASE[[#This Row],[ANNEE ACQT]]+T_BASE[[#This Row],[AMORT.]]</f>
        <v>2023</v>
      </c>
      <c r="W6" s="11">
        <f>$N6-IF(W$1&lt;=$V6,0,IF(W$1&gt;IF($V6&lt;2022,2022,$V6),IF(W$1-IF($V6&lt;2022,2022,$V6)=1,$N6*VLOOKUP(LEFT($A6,3),Paramétres!A:D,3,0),$N6*VLOOKUP(LEFT($A6,3),Paramétres!A:D,4)),0))</f>
        <v>34485</v>
      </c>
      <c r="X6" s="11">
        <f>IF(W6&lt;$N6,W6,$N6)-IF(X$1&lt;=$U6,0,IF(X$1&gt;IF($U6&lt;2022,2022,$U6),IF(X$1-IF($U6&lt;2022,2022,$U6)=1,IF(W6&lt;$N6,W6,$N6)*VLOOKUP(LEFT($A6,3),Paramétres!$A:$D,3,0),IF(W6&lt;$N6,W6,$N6)*VLOOKUP(LEFT($A6,3),Paramétres!$A:$D,4)),0))</f>
        <v>32760.75</v>
      </c>
      <c r="Y6" s="11">
        <f>IF(X6&lt;$N6,X6,$N6)-IF(Y$1&lt;=$U6,0,IF(Y$1&gt;IF($U6&lt;2022,2022,$U6),IF(Y$1-IF($U6&lt;2022,2022,$U6)=1,IF(X6&lt;$N6,X6,$N6)*VLOOKUP(LEFT($A6,3),Paramétres!$A:$D,3,0),IF(X6&lt;$N6,X6,$N6)*VLOOKUP(LEFT($A6,3),Paramétres!$A:$D,4)),0))</f>
        <v>31122.712500000001</v>
      </c>
      <c r="Z6" s="11">
        <f>IF(Y6&lt;$N6,Y6,$N6)-IF(Z$1&lt;=$U6,0,IF(Z$1&gt;IF($U6&lt;2022,2022,$U6),IF(Z$1-IF($U6&lt;2022,2022,$U6)=1,IF(Y6&lt;$N6,Y6,$N6)*VLOOKUP(LEFT($A6,3),Paramétres!$A:$D,3,0),IF(Y6&lt;$N6,Y6,$N6)*VLOOKUP(LEFT($A6,3),Paramétres!$A:$D,4)),0))</f>
        <v>29566.576875000002</v>
      </c>
      <c r="AA6" s="11">
        <f>IF(Z6&lt;$N6,Z6,$N6)-IF(AA$1&lt;=$U6,0,IF(AA$1&gt;IF($U6&lt;2022,2022,$U6),IF(AA$1-IF($U6&lt;2022,2022,$U6)=1,IF(Z6&lt;$N6,Z6,$N6)*VLOOKUP(LEFT($A6,3),Paramétres!$A:$D,3,0),IF(Z6&lt;$N6,Z6,$N6)*VLOOKUP(LEFT($A6,3),Paramétres!$A:$D,4)),0))</f>
        <v>28088.248031250001</v>
      </c>
      <c r="AB6" s="11">
        <f>IF(AA6&lt;$N6,AA6,$N6)-IF(AB$1&lt;=$U6,0,IF(AB$1&gt;IF($U6&lt;2022,2022,$U6),IF(AB$1-IF($U6&lt;2022,2022,$U6)=1,IF(AA6&lt;$N6,AA6,$N6)*VLOOKUP(LEFT($A6,3),Paramétres!$A:$D,3,0),IF(AA6&lt;$N6,AA6,$N6)*VLOOKUP(LEFT($A6,3),Paramétres!$A:$D,4)),0))</f>
        <v>26683.835629687499</v>
      </c>
      <c r="AC6" s="11">
        <f>IF(AB6&lt;$N6,AB6,$N6)-IF(AC$1&lt;=$U6,0,IF(AC$1&gt;IF($U6&lt;2022,2022,$U6),IF(AC$1-IF($U6&lt;2022,2022,$U6)=1,IF(AB6&lt;$N6,AB6,$N6)*VLOOKUP(LEFT($A6,3),Paramétres!$A:$D,3,0),IF(AB6&lt;$N6,AB6,$N6)*VLOOKUP(LEFT($A6,3),Paramétres!$A:$D,4)),0))</f>
        <v>25349.643848203123</v>
      </c>
      <c r="AD6" s="11">
        <f>IF(AC6&lt;$N6,AC6,$N6)-IF(AD$1&lt;=$U6,0,IF(AD$1&gt;IF($U6&lt;2022,2022,$U6),IF(AD$1-IF($U6&lt;2022,2022,$U6)=1,IF(AC6&lt;$N6,AC6,$N6)*VLOOKUP(LEFT($A6,3),Paramétres!$A:$D,3,0),IF(AC6&lt;$N6,AC6,$N6)*VLOOKUP(LEFT($A6,3),Paramétres!$A:$D,4)),0))</f>
        <v>24082.161655792966</v>
      </c>
      <c r="AE6" s="11">
        <f>IF(AD6&lt;$N6,AD6,$N6)-IF(AE$1&lt;=$U6,0,IF(AE$1&gt;IF($U6&lt;2022,2022,$U6),IF(AE$1-IF($U6&lt;2022,2022,$U6)=1,IF(AD6&lt;$N6,AD6,$N6)*VLOOKUP(LEFT($A6,3),Paramétres!$A:$D,3,0),IF(AD6&lt;$N6,AD6,$N6)*VLOOKUP(LEFT($A6,3),Paramétres!$A:$D,4)),0))</f>
        <v>22878.053573003319</v>
      </c>
      <c r="AF6" s="11">
        <f>IF(AE6&lt;$N6,AE6,$N6)-IF(AF$1&lt;=$U6,0,IF(AF$1&gt;IF($U6&lt;2022,2022,$U6),IF(AF$1-IF($U6&lt;2022,2022,$U6)=1,IF(AE6&lt;$N6,AE6,$N6)*VLOOKUP(LEFT($A6,3),Paramétres!$A:$D,3,0),IF(AE6&lt;$N6,AE6,$N6)*VLOOKUP(LEFT($A6,3),Paramétres!$A:$D,4)),0))</f>
        <v>21734.150894353152</v>
      </c>
      <c r="AG6" s="11">
        <f>IF(AF6&lt;$N6,AF6,$N6)-IF(AG$1&lt;=$U6,0,IF(AG$1&gt;IF($U6&lt;2022,2022,$U6),IF(AG$1-IF($U6&lt;2022,2022,$U6)=1,IF(AF6&lt;$N6,AF6,$N6)*VLOOKUP(LEFT($A6,3),Paramétres!$A:$D,3,0),IF(AF6&lt;$N6,AF6,$N6)*VLOOKUP(LEFT($A6,3),Paramétres!$A:$D,4)),0))</f>
        <v>20647.443349635494</v>
      </c>
      <c r="AH6" s="11">
        <f>IF(AG6&lt;$N6,AG6,$N6)-IF(AH$1&lt;=$U6,0,IF(AH$1&gt;IF($U6&lt;2022,2022,$U6),IF(AH$1-IF($U6&lt;2022,2022,$U6)=1,IF(AG6&lt;$N6,AG6,$N6)*VLOOKUP(LEFT($A6,3),Paramétres!$A:$D,3,0),IF(AG6&lt;$N6,AG6,$N6)*VLOOKUP(LEFT($A6,3),Paramétres!$A:$D,4)),0))</f>
        <v>19615.071182153719</v>
      </c>
      <c r="AI6" s="11">
        <f>IF(AH6&lt;$N6,AH6,$N6)-IF(AI$1&lt;=$U6,0,IF(AI$1&gt;IF($U6&lt;2022,2022,$U6),IF(AI$1-IF($U6&lt;2022,2022,$U6)=1,IF(AH6&lt;$N6,AH6,$N6)*VLOOKUP(LEFT($A6,3),Paramétres!$A:$D,3,0),IF(AH6&lt;$N6,AH6,$N6)*VLOOKUP(LEFT($A6,3),Paramétres!$A:$D,4)),0))</f>
        <v>18634.317623046034</v>
      </c>
      <c r="AJ6" s="11">
        <f>IF(AI6&lt;$N6,AI6,$N6)-IF(AJ$1&lt;=$U6,0,IF(AJ$1&gt;IF($U6&lt;2022,2022,$U6),IF(AJ$1-IF($U6&lt;2022,2022,$U6)=1,IF(AI6&lt;$N6,AI6,$N6)*VLOOKUP(LEFT($A6,3),Paramétres!$A:$D,3,0),IF(AI6&lt;$N6,AI6,$N6)*VLOOKUP(LEFT($A6,3),Paramétres!$A:$D,4)),0))</f>
        <v>17702.601741893734</v>
      </c>
      <c r="AK6" s="11">
        <f>IF(AJ6&lt;$N6,AJ6,$N6)-IF(AK$1&lt;=$U6,0,IF(AK$1&gt;IF($U6&lt;2022,2022,$U6),IF(AK$1-IF($U6&lt;2022,2022,$U6)=1,IF(AJ6&lt;$N6,AJ6,$N6)*VLOOKUP(LEFT($A6,3),Paramétres!$A:$D,3,0),IF(AJ6&lt;$N6,AJ6,$N6)*VLOOKUP(LEFT($A6,3),Paramétres!$A:$D,4)),0))</f>
        <v>16817.471654799047</v>
      </c>
    </row>
    <row r="7" spans="1:37" x14ac:dyDescent="0.25">
      <c r="A7" s="1" t="s">
        <v>39</v>
      </c>
      <c r="D7" s="1" t="s">
        <v>50</v>
      </c>
      <c r="E7" s="1" t="s">
        <v>58</v>
      </c>
      <c r="F7" s="1" t="s">
        <v>56</v>
      </c>
      <c r="J7" s="2">
        <v>43276</v>
      </c>
      <c r="K7" s="3">
        <v>24490</v>
      </c>
      <c r="L7" s="3"/>
      <c r="M7" s="3">
        <f>T_BASE[[#This Row],[VALEUR ACHAT]]</f>
        <v>24490</v>
      </c>
      <c r="N7" s="3">
        <f>T_BASE[[#This Row],[MONTANT PEC APRES AMORT.]]</f>
        <v>24490</v>
      </c>
      <c r="O7" s="1">
        <v>60</v>
      </c>
      <c r="P7" s="2">
        <v>45071</v>
      </c>
      <c r="Q7" s="4">
        <v>405</v>
      </c>
      <c r="R7" s="3">
        <v>2608</v>
      </c>
      <c r="S7" s="3">
        <v>120</v>
      </c>
      <c r="T7" s="66">
        <f t="shared" si="1"/>
        <v>5</v>
      </c>
      <c r="U7" s="1">
        <f t="shared" si="0"/>
        <v>2018</v>
      </c>
      <c r="V7" s="11">
        <f>T_BASE[[#This Row],[ANNEE ACQT]]+T_BASE[[#This Row],[AMORT.]]</f>
        <v>2023</v>
      </c>
      <c r="W7" s="11">
        <f>$N7-IF(W$1&lt;=$V7,0,IF(W$1&gt;IF($V7&lt;2022,2022,$V7),IF(W$1-IF($V7&lt;2022,2022,$V7)=1,$N7*VLOOKUP(LEFT($A7,3),Paramétres!A:D,3,0),$N7*VLOOKUP(LEFT($A7,3),Paramétres!A:D,4)),0))</f>
        <v>23265.5</v>
      </c>
      <c r="X7" s="11">
        <f>IF(W7&lt;$N7,W7,$N7)-IF(X$1&lt;=$U7,0,IF(X$1&gt;IF($U7&lt;2022,2022,$U7),IF(X$1-IF($U7&lt;2022,2022,$U7)=1,IF(W7&lt;$N7,W7,$N7)*VLOOKUP(LEFT($A7,3),Paramétres!$A:$D,3,0),IF(W7&lt;$N7,W7,$N7)*VLOOKUP(LEFT($A7,3),Paramétres!$A:$D,4)),0))</f>
        <v>22102.224999999999</v>
      </c>
      <c r="Y7" s="11">
        <f>IF(X7&lt;$N7,X7,$N7)-IF(Y$1&lt;=$U7,0,IF(Y$1&gt;IF($U7&lt;2022,2022,$U7),IF(Y$1-IF($U7&lt;2022,2022,$U7)=1,IF(X7&lt;$N7,X7,$N7)*VLOOKUP(LEFT($A7,3),Paramétres!$A:$D,3,0),IF(X7&lt;$N7,X7,$N7)*VLOOKUP(LEFT($A7,3),Paramétres!$A:$D,4)),0))</f>
        <v>20997.113749999997</v>
      </c>
      <c r="Z7" s="11">
        <f>IF(Y7&lt;$N7,Y7,$N7)-IF(Z$1&lt;=$U7,0,IF(Z$1&gt;IF($U7&lt;2022,2022,$U7),IF(Z$1-IF($U7&lt;2022,2022,$U7)=1,IF(Y7&lt;$N7,Y7,$N7)*VLOOKUP(LEFT($A7,3),Paramétres!$A:$D,3,0),IF(Y7&lt;$N7,Y7,$N7)*VLOOKUP(LEFT($A7,3),Paramétres!$A:$D,4)),0))</f>
        <v>19947.258062499997</v>
      </c>
      <c r="AA7" s="11">
        <f>IF(Z7&lt;$N7,Z7,$N7)-IF(AA$1&lt;=$U7,0,IF(AA$1&gt;IF($U7&lt;2022,2022,$U7),IF(AA$1-IF($U7&lt;2022,2022,$U7)=1,IF(Z7&lt;$N7,Z7,$N7)*VLOOKUP(LEFT($A7,3),Paramétres!$A:$D,3,0),IF(Z7&lt;$N7,Z7,$N7)*VLOOKUP(LEFT($A7,3),Paramétres!$A:$D,4)),0))</f>
        <v>18949.895159374999</v>
      </c>
      <c r="AB7" s="11">
        <f>IF(AA7&lt;$N7,AA7,$N7)-IF(AB$1&lt;=$U7,0,IF(AB$1&gt;IF($U7&lt;2022,2022,$U7),IF(AB$1-IF($U7&lt;2022,2022,$U7)=1,IF(AA7&lt;$N7,AA7,$N7)*VLOOKUP(LEFT($A7,3),Paramétres!$A:$D,3,0),IF(AA7&lt;$N7,AA7,$N7)*VLOOKUP(LEFT($A7,3),Paramétres!$A:$D,4)),0))</f>
        <v>18002.400401406248</v>
      </c>
      <c r="AC7" s="11">
        <f>IF(AB7&lt;$N7,AB7,$N7)-IF(AC$1&lt;=$U7,0,IF(AC$1&gt;IF($U7&lt;2022,2022,$U7),IF(AC$1-IF($U7&lt;2022,2022,$U7)=1,IF(AB7&lt;$N7,AB7,$N7)*VLOOKUP(LEFT($A7,3),Paramétres!$A:$D,3,0),IF(AB7&lt;$N7,AB7,$N7)*VLOOKUP(LEFT($A7,3),Paramétres!$A:$D,4)),0))</f>
        <v>17102.280381335935</v>
      </c>
      <c r="AD7" s="11">
        <f>IF(AC7&lt;$N7,AC7,$N7)-IF(AD$1&lt;=$U7,0,IF(AD$1&gt;IF($U7&lt;2022,2022,$U7),IF(AD$1-IF($U7&lt;2022,2022,$U7)=1,IF(AC7&lt;$N7,AC7,$N7)*VLOOKUP(LEFT($A7,3),Paramétres!$A:$D,3,0),IF(AC7&lt;$N7,AC7,$N7)*VLOOKUP(LEFT($A7,3),Paramétres!$A:$D,4)),0))</f>
        <v>16247.166362269138</v>
      </c>
      <c r="AE7" s="11">
        <f>IF(AD7&lt;$N7,AD7,$N7)-IF(AE$1&lt;=$U7,0,IF(AE$1&gt;IF($U7&lt;2022,2022,$U7),IF(AE$1-IF($U7&lt;2022,2022,$U7)=1,IF(AD7&lt;$N7,AD7,$N7)*VLOOKUP(LEFT($A7,3),Paramétres!$A:$D,3,0),IF(AD7&lt;$N7,AD7,$N7)*VLOOKUP(LEFT($A7,3),Paramétres!$A:$D,4)),0))</f>
        <v>15434.808044155681</v>
      </c>
      <c r="AF7" s="11">
        <f>IF(AE7&lt;$N7,AE7,$N7)-IF(AF$1&lt;=$U7,0,IF(AF$1&gt;IF($U7&lt;2022,2022,$U7),IF(AF$1-IF($U7&lt;2022,2022,$U7)=1,IF(AE7&lt;$N7,AE7,$N7)*VLOOKUP(LEFT($A7,3),Paramétres!$A:$D,3,0),IF(AE7&lt;$N7,AE7,$N7)*VLOOKUP(LEFT($A7,3),Paramétres!$A:$D,4)),0))</f>
        <v>14663.067641947897</v>
      </c>
      <c r="AG7" s="11">
        <f>IF(AF7&lt;$N7,AF7,$N7)-IF(AG$1&lt;=$U7,0,IF(AG$1&gt;IF($U7&lt;2022,2022,$U7),IF(AG$1-IF($U7&lt;2022,2022,$U7)=1,IF(AF7&lt;$N7,AF7,$N7)*VLOOKUP(LEFT($A7,3),Paramétres!$A:$D,3,0),IF(AF7&lt;$N7,AF7,$N7)*VLOOKUP(LEFT($A7,3),Paramétres!$A:$D,4)),0))</f>
        <v>13929.914259850502</v>
      </c>
      <c r="AH7" s="11">
        <f>IF(AG7&lt;$N7,AG7,$N7)-IF(AH$1&lt;=$U7,0,IF(AH$1&gt;IF($U7&lt;2022,2022,$U7),IF(AH$1-IF($U7&lt;2022,2022,$U7)=1,IF(AG7&lt;$N7,AG7,$N7)*VLOOKUP(LEFT($A7,3),Paramétres!$A:$D,3,0),IF(AG7&lt;$N7,AG7,$N7)*VLOOKUP(LEFT($A7,3),Paramétres!$A:$D,4)),0))</f>
        <v>13233.418546857978</v>
      </c>
      <c r="AI7" s="11">
        <f>IF(AH7&lt;$N7,AH7,$N7)-IF(AI$1&lt;=$U7,0,IF(AI$1&gt;IF($U7&lt;2022,2022,$U7),IF(AI$1-IF($U7&lt;2022,2022,$U7)=1,IF(AH7&lt;$N7,AH7,$N7)*VLOOKUP(LEFT($A7,3),Paramétres!$A:$D,3,0),IF(AH7&lt;$N7,AH7,$N7)*VLOOKUP(LEFT($A7,3),Paramétres!$A:$D,4)),0))</f>
        <v>12571.747619515079</v>
      </c>
      <c r="AJ7" s="11">
        <f>IF(AI7&lt;$N7,AI7,$N7)-IF(AJ$1&lt;=$U7,0,IF(AJ$1&gt;IF($U7&lt;2022,2022,$U7),IF(AJ$1-IF($U7&lt;2022,2022,$U7)=1,IF(AI7&lt;$N7,AI7,$N7)*VLOOKUP(LEFT($A7,3),Paramétres!$A:$D,3,0),IF(AI7&lt;$N7,AI7,$N7)*VLOOKUP(LEFT($A7,3),Paramétres!$A:$D,4)),0))</f>
        <v>11943.160238539325</v>
      </c>
      <c r="AK7" s="11">
        <f>IF(AJ7&lt;$N7,AJ7,$N7)-IF(AK$1&lt;=$U7,0,IF(AK$1&gt;IF($U7&lt;2022,2022,$U7),IF(AK$1-IF($U7&lt;2022,2022,$U7)=1,IF(AJ7&lt;$N7,AJ7,$N7)*VLOOKUP(LEFT($A7,3),Paramétres!$A:$D,3,0),IF(AJ7&lt;$N7,AJ7,$N7)*VLOOKUP(LEFT($A7,3),Paramétres!$A:$D,4)),0))</f>
        <v>11346.00222661236</v>
      </c>
    </row>
    <row r="8" spans="1:37" x14ac:dyDescent="0.25">
      <c r="A8" s="1" t="s">
        <v>40</v>
      </c>
      <c r="D8" s="1" t="s">
        <v>50</v>
      </c>
      <c r="E8" s="1" t="s">
        <v>58</v>
      </c>
      <c r="F8" s="1" t="s">
        <v>56</v>
      </c>
      <c r="J8" s="2">
        <v>43273</v>
      </c>
      <c r="K8" s="3">
        <v>19990</v>
      </c>
      <c r="L8" s="3"/>
      <c r="M8" s="3">
        <f>T_BASE[[#This Row],[VALEUR ACHAT]]</f>
        <v>19990</v>
      </c>
      <c r="N8" s="3">
        <f>T_BASE[[#This Row],[MONTANT PEC APRES AMORT.]]</f>
        <v>19990</v>
      </c>
      <c r="O8" s="1">
        <v>60</v>
      </c>
      <c r="P8" s="2">
        <v>45098</v>
      </c>
      <c r="Q8" s="4">
        <v>354</v>
      </c>
      <c r="R8" s="3">
        <v>2608</v>
      </c>
      <c r="S8" s="3">
        <v>120</v>
      </c>
      <c r="T8" s="66">
        <f t="shared" si="1"/>
        <v>5</v>
      </c>
      <c r="U8" s="1">
        <f t="shared" si="0"/>
        <v>2018</v>
      </c>
      <c r="V8" s="11">
        <f>T_BASE[[#This Row],[ANNEE ACQT]]+T_BASE[[#This Row],[AMORT.]]</f>
        <v>2023</v>
      </c>
      <c r="W8" s="11">
        <f>$N8-IF(W$1&lt;=$V8,0,IF(W$1&gt;IF($V8&lt;2022,2022,$V8),IF(W$1-IF($V8&lt;2022,2022,$V8)=1,$N8*VLOOKUP(LEFT($A8,3),Paramétres!A:D,3,0),$N8*VLOOKUP(LEFT($A8,3),Paramétres!A:D,4)),0))</f>
        <v>18990.5</v>
      </c>
      <c r="X8" s="11">
        <f>IF(W8&lt;$N8,W8,$N8)-IF(X$1&lt;=$U8,0,IF(X$1&gt;IF($U8&lt;2022,2022,$U8),IF(X$1-IF($U8&lt;2022,2022,$U8)=1,IF(W8&lt;$N8,W8,$N8)*VLOOKUP(LEFT($A8,3),Paramétres!$A:$D,3,0),IF(W8&lt;$N8,W8,$N8)*VLOOKUP(LEFT($A8,3),Paramétres!$A:$D,4)),0))</f>
        <v>18040.974999999999</v>
      </c>
      <c r="Y8" s="11">
        <f>IF(X8&lt;$N8,X8,$N8)-IF(Y$1&lt;=$U8,0,IF(Y$1&gt;IF($U8&lt;2022,2022,$U8),IF(Y$1-IF($U8&lt;2022,2022,$U8)=1,IF(X8&lt;$N8,X8,$N8)*VLOOKUP(LEFT($A8,3),Paramétres!$A:$D,3,0),IF(X8&lt;$N8,X8,$N8)*VLOOKUP(LEFT($A8,3),Paramétres!$A:$D,4)),0))</f>
        <v>17138.926249999997</v>
      </c>
      <c r="Z8" s="11">
        <f>IF(Y8&lt;$N8,Y8,$N8)-IF(Z$1&lt;=$U8,0,IF(Z$1&gt;IF($U8&lt;2022,2022,$U8),IF(Z$1-IF($U8&lt;2022,2022,$U8)=1,IF(Y8&lt;$N8,Y8,$N8)*VLOOKUP(LEFT($A8,3),Paramétres!$A:$D,3,0),IF(Y8&lt;$N8,Y8,$N8)*VLOOKUP(LEFT($A8,3),Paramétres!$A:$D,4)),0))</f>
        <v>16281.979937499997</v>
      </c>
      <c r="AA8" s="11">
        <f>IF(Z8&lt;$N8,Z8,$N8)-IF(AA$1&lt;=$U8,0,IF(AA$1&gt;IF($U8&lt;2022,2022,$U8),IF(AA$1-IF($U8&lt;2022,2022,$U8)=1,IF(Z8&lt;$N8,Z8,$N8)*VLOOKUP(LEFT($A8,3),Paramétres!$A:$D,3,0),IF(Z8&lt;$N8,Z8,$N8)*VLOOKUP(LEFT($A8,3),Paramétres!$A:$D,4)),0))</f>
        <v>15467.880940624997</v>
      </c>
      <c r="AB8" s="11">
        <f>IF(AA8&lt;$N8,AA8,$N8)-IF(AB$1&lt;=$U8,0,IF(AB$1&gt;IF($U8&lt;2022,2022,$U8),IF(AB$1-IF($U8&lt;2022,2022,$U8)=1,IF(AA8&lt;$N8,AA8,$N8)*VLOOKUP(LEFT($A8,3),Paramétres!$A:$D,3,0),IF(AA8&lt;$N8,AA8,$N8)*VLOOKUP(LEFT($A8,3),Paramétres!$A:$D,4)),0))</f>
        <v>14694.486893593747</v>
      </c>
      <c r="AC8" s="11">
        <f>IF(AB8&lt;$N8,AB8,$N8)-IF(AC$1&lt;=$U8,0,IF(AC$1&gt;IF($U8&lt;2022,2022,$U8),IF(AC$1-IF($U8&lt;2022,2022,$U8)=1,IF(AB8&lt;$N8,AB8,$N8)*VLOOKUP(LEFT($A8,3),Paramétres!$A:$D,3,0),IF(AB8&lt;$N8,AB8,$N8)*VLOOKUP(LEFT($A8,3),Paramétres!$A:$D,4)),0))</f>
        <v>13959.762548914059</v>
      </c>
      <c r="AD8" s="11">
        <f>IF(AC8&lt;$N8,AC8,$N8)-IF(AD$1&lt;=$U8,0,IF(AD$1&gt;IF($U8&lt;2022,2022,$U8),IF(AD$1-IF($U8&lt;2022,2022,$U8)=1,IF(AC8&lt;$N8,AC8,$N8)*VLOOKUP(LEFT($A8,3),Paramétres!$A:$D,3,0),IF(AC8&lt;$N8,AC8,$N8)*VLOOKUP(LEFT($A8,3),Paramétres!$A:$D,4)),0))</f>
        <v>13261.774421468355</v>
      </c>
      <c r="AE8" s="11">
        <f>IF(AD8&lt;$N8,AD8,$N8)-IF(AE$1&lt;=$U8,0,IF(AE$1&gt;IF($U8&lt;2022,2022,$U8),IF(AE$1-IF($U8&lt;2022,2022,$U8)=1,IF(AD8&lt;$N8,AD8,$N8)*VLOOKUP(LEFT($A8,3),Paramétres!$A:$D,3,0),IF(AD8&lt;$N8,AD8,$N8)*VLOOKUP(LEFT($A8,3),Paramétres!$A:$D,4)),0))</f>
        <v>12598.685700394937</v>
      </c>
      <c r="AF8" s="11">
        <f>IF(AE8&lt;$N8,AE8,$N8)-IF(AF$1&lt;=$U8,0,IF(AF$1&gt;IF($U8&lt;2022,2022,$U8),IF(AF$1-IF($U8&lt;2022,2022,$U8)=1,IF(AE8&lt;$N8,AE8,$N8)*VLOOKUP(LEFT($A8,3),Paramétres!$A:$D,3,0),IF(AE8&lt;$N8,AE8,$N8)*VLOOKUP(LEFT($A8,3),Paramétres!$A:$D,4)),0))</f>
        <v>11968.751415375191</v>
      </c>
      <c r="AG8" s="11">
        <f>IF(AF8&lt;$N8,AF8,$N8)-IF(AG$1&lt;=$U8,0,IF(AG$1&gt;IF($U8&lt;2022,2022,$U8),IF(AG$1-IF($U8&lt;2022,2022,$U8)=1,IF(AF8&lt;$N8,AF8,$N8)*VLOOKUP(LEFT($A8,3),Paramétres!$A:$D,3,0),IF(AF8&lt;$N8,AF8,$N8)*VLOOKUP(LEFT($A8,3),Paramétres!$A:$D,4)),0))</f>
        <v>11370.313844606431</v>
      </c>
      <c r="AH8" s="11">
        <f>IF(AG8&lt;$N8,AG8,$N8)-IF(AH$1&lt;=$U8,0,IF(AH$1&gt;IF($U8&lt;2022,2022,$U8),IF(AH$1-IF($U8&lt;2022,2022,$U8)=1,IF(AG8&lt;$N8,AG8,$N8)*VLOOKUP(LEFT($A8,3),Paramétres!$A:$D,3,0),IF(AG8&lt;$N8,AG8,$N8)*VLOOKUP(LEFT($A8,3),Paramétres!$A:$D,4)),0))</f>
        <v>10801.79815237611</v>
      </c>
      <c r="AI8" s="11">
        <f>IF(AH8&lt;$N8,AH8,$N8)-IF(AI$1&lt;=$U8,0,IF(AI$1&gt;IF($U8&lt;2022,2022,$U8),IF(AI$1-IF($U8&lt;2022,2022,$U8)=1,IF(AH8&lt;$N8,AH8,$N8)*VLOOKUP(LEFT($A8,3),Paramétres!$A:$D,3,0),IF(AH8&lt;$N8,AH8,$N8)*VLOOKUP(LEFT($A8,3),Paramétres!$A:$D,4)),0))</f>
        <v>10261.708244757305</v>
      </c>
      <c r="AJ8" s="11">
        <f>IF(AI8&lt;$N8,AI8,$N8)-IF(AJ$1&lt;=$U8,0,IF(AJ$1&gt;IF($U8&lt;2022,2022,$U8),IF(AJ$1-IF($U8&lt;2022,2022,$U8)=1,IF(AI8&lt;$N8,AI8,$N8)*VLOOKUP(LEFT($A8,3),Paramétres!$A:$D,3,0),IF(AI8&lt;$N8,AI8,$N8)*VLOOKUP(LEFT($A8,3),Paramétres!$A:$D,4)),0))</f>
        <v>9748.6228325194388</v>
      </c>
      <c r="AK8" s="11">
        <f>IF(AJ8&lt;$N8,AJ8,$N8)-IF(AK$1&lt;=$U8,0,IF(AK$1&gt;IF($U8&lt;2022,2022,$U8),IF(AK$1-IF($U8&lt;2022,2022,$U8)=1,IF(AJ8&lt;$N8,AJ8,$N8)*VLOOKUP(LEFT($A8,3),Paramétres!$A:$D,3,0),IF(AJ8&lt;$N8,AJ8,$N8)*VLOOKUP(LEFT($A8,3),Paramétres!$A:$D,4)),0))</f>
        <v>9261.1916908934672</v>
      </c>
    </row>
    <row r="9" spans="1:37" x14ac:dyDescent="0.25">
      <c r="A9" s="1" t="s">
        <v>41</v>
      </c>
      <c r="D9" s="1" t="s">
        <v>50</v>
      </c>
      <c r="E9" s="1" t="s">
        <v>58</v>
      </c>
      <c r="F9" s="1" t="s">
        <v>56</v>
      </c>
      <c r="J9" s="2">
        <v>43770</v>
      </c>
      <c r="K9" s="3">
        <v>22574.76</v>
      </c>
      <c r="L9" s="3"/>
      <c r="M9" s="3">
        <f>T_BASE[[#This Row],[VALEUR ACHAT]]</f>
        <v>22574.76</v>
      </c>
      <c r="N9" s="3">
        <f>T_BASE[[#This Row],[MONTANT PEC APRES AMORT.]]</f>
        <v>22574.76</v>
      </c>
      <c r="O9" s="1">
        <v>63</v>
      </c>
      <c r="P9" s="2">
        <v>45566</v>
      </c>
      <c r="Q9" s="4">
        <v>177</v>
      </c>
      <c r="R9" s="3">
        <v>2868.26</v>
      </c>
      <c r="S9" s="3">
        <v>120</v>
      </c>
      <c r="T9" s="66">
        <f t="shared" si="1"/>
        <v>5.25</v>
      </c>
      <c r="U9" s="1">
        <f t="shared" si="0"/>
        <v>2019</v>
      </c>
      <c r="V9" s="11">
        <f>T_BASE[[#This Row],[ANNEE ACQT]]+T_BASE[[#This Row],[AMORT.]]</f>
        <v>2024.25</v>
      </c>
      <c r="W9" s="11">
        <f>$N9-IF(W$1&lt;=$V9,0,IF(W$1&gt;IF($V9&lt;2022,2022,$V9),IF(W$1-IF($V9&lt;2022,2022,$V9)=1,$N9*VLOOKUP(LEFT($A9,3),Paramétres!A:D,3,0),$N9*VLOOKUP(LEFT($A9,3),Paramétres!A:D,4)),0))</f>
        <v>21446.021999999997</v>
      </c>
      <c r="X9" s="11">
        <f>IF(W9&lt;$N9,W9,$N9)-IF(X$1&lt;=$U9,0,IF(X$1&gt;IF($U9&lt;2022,2022,$U9),IF(X$1-IF($U9&lt;2022,2022,$U9)=1,IF(W9&lt;$N9,W9,$N9)*VLOOKUP(LEFT($A9,3),Paramétres!$A:$D,3,0),IF(W9&lt;$N9,W9,$N9)*VLOOKUP(LEFT($A9,3),Paramétres!$A:$D,4)),0))</f>
        <v>20373.720899999997</v>
      </c>
      <c r="Y9" s="11">
        <f>IF(X9&lt;$N9,X9,$N9)-IF(Y$1&lt;=$U9,0,IF(Y$1&gt;IF($U9&lt;2022,2022,$U9),IF(Y$1-IF($U9&lt;2022,2022,$U9)=1,IF(X9&lt;$N9,X9,$N9)*VLOOKUP(LEFT($A9,3),Paramétres!$A:$D,3,0),IF(X9&lt;$N9,X9,$N9)*VLOOKUP(LEFT($A9,3),Paramétres!$A:$D,4)),0))</f>
        <v>19355.034854999998</v>
      </c>
      <c r="Z9" s="11">
        <f>IF(Y9&lt;$N9,Y9,$N9)-IF(Z$1&lt;=$U9,0,IF(Z$1&gt;IF($U9&lt;2022,2022,$U9),IF(Z$1-IF($U9&lt;2022,2022,$U9)=1,IF(Y9&lt;$N9,Y9,$N9)*VLOOKUP(LEFT($A9,3),Paramétres!$A:$D,3,0),IF(Y9&lt;$N9,Y9,$N9)*VLOOKUP(LEFT($A9,3),Paramétres!$A:$D,4)),0))</f>
        <v>18387.283112249999</v>
      </c>
      <c r="AA9" s="11">
        <f>IF(Z9&lt;$N9,Z9,$N9)-IF(AA$1&lt;=$U9,0,IF(AA$1&gt;IF($U9&lt;2022,2022,$U9),IF(AA$1-IF($U9&lt;2022,2022,$U9)=1,IF(Z9&lt;$N9,Z9,$N9)*VLOOKUP(LEFT($A9,3),Paramétres!$A:$D,3,0),IF(Z9&lt;$N9,Z9,$N9)*VLOOKUP(LEFT($A9,3),Paramétres!$A:$D,4)),0))</f>
        <v>17467.918956637499</v>
      </c>
      <c r="AB9" s="11">
        <f>IF(AA9&lt;$N9,AA9,$N9)-IF(AB$1&lt;=$U9,0,IF(AB$1&gt;IF($U9&lt;2022,2022,$U9),IF(AB$1-IF($U9&lt;2022,2022,$U9)=1,IF(AA9&lt;$N9,AA9,$N9)*VLOOKUP(LEFT($A9,3),Paramétres!$A:$D,3,0),IF(AA9&lt;$N9,AA9,$N9)*VLOOKUP(LEFT($A9,3),Paramétres!$A:$D,4)),0))</f>
        <v>16594.523008805623</v>
      </c>
      <c r="AC9" s="11">
        <f>IF(AB9&lt;$N9,AB9,$N9)-IF(AC$1&lt;=$U9,0,IF(AC$1&gt;IF($U9&lt;2022,2022,$U9),IF(AC$1-IF($U9&lt;2022,2022,$U9)=1,IF(AB9&lt;$N9,AB9,$N9)*VLOOKUP(LEFT($A9,3),Paramétres!$A:$D,3,0),IF(AB9&lt;$N9,AB9,$N9)*VLOOKUP(LEFT($A9,3),Paramétres!$A:$D,4)),0))</f>
        <v>15764.796858365342</v>
      </c>
      <c r="AD9" s="11">
        <f>IF(AC9&lt;$N9,AC9,$N9)-IF(AD$1&lt;=$U9,0,IF(AD$1&gt;IF($U9&lt;2022,2022,$U9),IF(AD$1-IF($U9&lt;2022,2022,$U9)=1,IF(AC9&lt;$N9,AC9,$N9)*VLOOKUP(LEFT($A9,3),Paramétres!$A:$D,3,0),IF(AC9&lt;$N9,AC9,$N9)*VLOOKUP(LEFT($A9,3),Paramétres!$A:$D,4)),0))</f>
        <v>14976.557015447075</v>
      </c>
      <c r="AE9" s="11">
        <f>IF(AD9&lt;$N9,AD9,$N9)-IF(AE$1&lt;=$U9,0,IF(AE$1&gt;IF($U9&lt;2022,2022,$U9),IF(AE$1-IF($U9&lt;2022,2022,$U9)=1,IF(AD9&lt;$N9,AD9,$N9)*VLOOKUP(LEFT($A9,3),Paramétres!$A:$D,3,0),IF(AD9&lt;$N9,AD9,$N9)*VLOOKUP(LEFT($A9,3),Paramétres!$A:$D,4)),0))</f>
        <v>14227.729164674722</v>
      </c>
      <c r="AF9" s="11">
        <f>IF(AE9&lt;$N9,AE9,$N9)-IF(AF$1&lt;=$U9,0,IF(AF$1&gt;IF($U9&lt;2022,2022,$U9),IF(AF$1-IF($U9&lt;2022,2022,$U9)=1,IF(AE9&lt;$N9,AE9,$N9)*VLOOKUP(LEFT($A9,3),Paramétres!$A:$D,3,0),IF(AE9&lt;$N9,AE9,$N9)*VLOOKUP(LEFT($A9,3),Paramétres!$A:$D,4)),0))</f>
        <v>13516.342706440986</v>
      </c>
      <c r="AG9" s="11">
        <f>IF(AF9&lt;$N9,AF9,$N9)-IF(AG$1&lt;=$U9,0,IF(AG$1&gt;IF($U9&lt;2022,2022,$U9),IF(AG$1-IF($U9&lt;2022,2022,$U9)=1,IF(AF9&lt;$N9,AF9,$N9)*VLOOKUP(LEFT($A9,3),Paramétres!$A:$D,3,0),IF(AF9&lt;$N9,AF9,$N9)*VLOOKUP(LEFT($A9,3),Paramétres!$A:$D,4)),0))</f>
        <v>12840.525571118937</v>
      </c>
      <c r="AH9" s="11">
        <f>IF(AG9&lt;$N9,AG9,$N9)-IF(AH$1&lt;=$U9,0,IF(AH$1&gt;IF($U9&lt;2022,2022,$U9),IF(AH$1-IF($U9&lt;2022,2022,$U9)=1,IF(AG9&lt;$N9,AG9,$N9)*VLOOKUP(LEFT($A9,3),Paramétres!$A:$D,3,0),IF(AG9&lt;$N9,AG9,$N9)*VLOOKUP(LEFT($A9,3),Paramétres!$A:$D,4)),0))</f>
        <v>12198.49929256299</v>
      </c>
      <c r="AI9" s="11">
        <f>IF(AH9&lt;$N9,AH9,$N9)-IF(AI$1&lt;=$U9,0,IF(AI$1&gt;IF($U9&lt;2022,2022,$U9),IF(AI$1-IF($U9&lt;2022,2022,$U9)=1,IF(AH9&lt;$N9,AH9,$N9)*VLOOKUP(LEFT($A9,3),Paramétres!$A:$D,3,0),IF(AH9&lt;$N9,AH9,$N9)*VLOOKUP(LEFT($A9,3),Paramétres!$A:$D,4)),0))</f>
        <v>11588.574327934841</v>
      </c>
      <c r="AJ9" s="11">
        <f>IF(AI9&lt;$N9,AI9,$N9)-IF(AJ$1&lt;=$U9,0,IF(AJ$1&gt;IF($U9&lt;2022,2022,$U9),IF(AJ$1-IF($U9&lt;2022,2022,$U9)=1,IF(AI9&lt;$N9,AI9,$N9)*VLOOKUP(LEFT($A9,3),Paramétres!$A:$D,3,0),IF(AI9&lt;$N9,AI9,$N9)*VLOOKUP(LEFT($A9,3),Paramétres!$A:$D,4)),0))</f>
        <v>11009.145611538099</v>
      </c>
      <c r="AK9" s="11">
        <f>IF(AJ9&lt;$N9,AJ9,$N9)-IF(AK$1&lt;=$U9,0,IF(AK$1&gt;IF($U9&lt;2022,2022,$U9),IF(AK$1-IF($U9&lt;2022,2022,$U9)=1,IF(AJ9&lt;$N9,AJ9,$N9)*VLOOKUP(LEFT($A9,3),Paramétres!$A:$D,3,0),IF(AJ9&lt;$N9,AJ9,$N9)*VLOOKUP(LEFT($A9,3),Paramétres!$A:$D,4)),0))</f>
        <v>10458.688330961193</v>
      </c>
    </row>
    <row r="10" spans="1:37" x14ac:dyDescent="0.25">
      <c r="A10" s="1" t="s">
        <v>42</v>
      </c>
      <c r="D10" s="1" t="s">
        <v>50</v>
      </c>
      <c r="E10" s="1" t="s">
        <v>58</v>
      </c>
      <c r="F10" s="1" t="s">
        <v>56</v>
      </c>
      <c r="J10" s="2">
        <v>43770</v>
      </c>
      <c r="K10" s="3">
        <v>22574.76</v>
      </c>
      <c r="L10" s="3"/>
      <c r="M10" s="3">
        <f>T_BASE[[#This Row],[VALEUR ACHAT]]</f>
        <v>22574.76</v>
      </c>
      <c r="N10" s="3">
        <f>T_BASE[[#This Row],[MONTANT PEC APRES AMORT.]]</f>
        <v>22574.76</v>
      </c>
      <c r="O10" s="1">
        <v>63</v>
      </c>
      <c r="P10" s="2">
        <v>45566</v>
      </c>
      <c r="Q10" s="4">
        <v>177</v>
      </c>
      <c r="R10" s="3">
        <v>2868.26</v>
      </c>
      <c r="S10" s="3">
        <v>120</v>
      </c>
      <c r="T10" s="66">
        <f t="shared" si="1"/>
        <v>5.25</v>
      </c>
      <c r="U10" s="1">
        <f t="shared" si="0"/>
        <v>2019</v>
      </c>
      <c r="V10" s="11">
        <f>T_BASE[[#This Row],[ANNEE ACQT]]+T_BASE[[#This Row],[AMORT.]]</f>
        <v>2024.25</v>
      </c>
      <c r="W10" s="11">
        <f>$N10-IF(W$1&lt;=$V10,0,IF(W$1&gt;IF($V10&lt;2022,2022,$V10),IF(W$1-IF($V10&lt;2022,2022,$V10)=1,$N10*VLOOKUP(LEFT($A10,3),Paramétres!A:D,3,0),$N10*VLOOKUP(LEFT($A10,3),Paramétres!A:D,4)),0))</f>
        <v>21446.021999999997</v>
      </c>
      <c r="X10" s="11">
        <f>IF(W10&lt;$N10,W10,$N10)-IF(X$1&lt;=$U10,0,IF(X$1&gt;IF($U10&lt;2022,2022,$U10),IF(X$1-IF($U10&lt;2022,2022,$U10)=1,IF(W10&lt;$N10,W10,$N10)*VLOOKUP(LEFT($A10,3),Paramétres!$A:$D,3,0),IF(W10&lt;$N10,W10,$N10)*VLOOKUP(LEFT($A10,3),Paramétres!$A:$D,4)),0))</f>
        <v>20373.720899999997</v>
      </c>
      <c r="Y10" s="11">
        <f>IF(X10&lt;$N10,X10,$N10)-IF(Y$1&lt;=$U10,0,IF(Y$1&gt;IF($U10&lt;2022,2022,$U10),IF(Y$1-IF($U10&lt;2022,2022,$U10)=1,IF(X10&lt;$N10,X10,$N10)*VLOOKUP(LEFT($A10,3),Paramétres!$A:$D,3,0),IF(X10&lt;$N10,X10,$N10)*VLOOKUP(LEFT($A10,3),Paramétres!$A:$D,4)),0))</f>
        <v>19355.034854999998</v>
      </c>
      <c r="Z10" s="11">
        <f>IF(Y10&lt;$N10,Y10,$N10)-IF(Z$1&lt;=$U10,0,IF(Z$1&gt;IF($U10&lt;2022,2022,$U10),IF(Z$1-IF($U10&lt;2022,2022,$U10)=1,IF(Y10&lt;$N10,Y10,$N10)*VLOOKUP(LEFT($A10,3),Paramétres!$A:$D,3,0),IF(Y10&lt;$N10,Y10,$N10)*VLOOKUP(LEFT($A10,3),Paramétres!$A:$D,4)),0))</f>
        <v>18387.283112249999</v>
      </c>
      <c r="AA10" s="11">
        <f>IF(Z10&lt;$N10,Z10,$N10)-IF(AA$1&lt;=$U10,0,IF(AA$1&gt;IF($U10&lt;2022,2022,$U10),IF(AA$1-IF($U10&lt;2022,2022,$U10)=1,IF(Z10&lt;$N10,Z10,$N10)*VLOOKUP(LEFT($A10,3),Paramétres!$A:$D,3,0),IF(Z10&lt;$N10,Z10,$N10)*VLOOKUP(LEFT($A10,3),Paramétres!$A:$D,4)),0))</f>
        <v>17467.918956637499</v>
      </c>
      <c r="AB10" s="11">
        <f>IF(AA10&lt;$N10,AA10,$N10)-IF(AB$1&lt;=$U10,0,IF(AB$1&gt;IF($U10&lt;2022,2022,$U10),IF(AB$1-IF($U10&lt;2022,2022,$U10)=1,IF(AA10&lt;$N10,AA10,$N10)*VLOOKUP(LEFT($A10,3),Paramétres!$A:$D,3,0),IF(AA10&lt;$N10,AA10,$N10)*VLOOKUP(LEFT($A10,3),Paramétres!$A:$D,4)),0))</f>
        <v>16594.523008805623</v>
      </c>
      <c r="AC10" s="11">
        <f>IF(AB10&lt;$N10,AB10,$N10)-IF(AC$1&lt;=$U10,0,IF(AC$1&gt;IF($U10&lt;2022,2022,$U10),IF(AC$1-IF($U10&lt;2022,2022,$U10)=1,IF(AB10&lt;$N10,AB10,$N10)*VLOOKUP(LEFT($A10,3),Paramétres!$A:$D,3,0),IF(AB10&lt;$N10,AB10,$N10)*VLOOKUP(LEFT($A10,3),Paramétres!$A:$D,4)),0))</f>
        <v>15764.796858365342</v>
      </c>
      <c r="AD10" s="11">
        <f>IF(AC10&lt;$N10,AC10,$N10)-IF(AD$1&lt;=$U10,0,IF(AD$1&gt;IF($U10&lt;2022,2022,$U10),IF(AD$1-IF($U10&lt;2022,2022,$U10)=1,IF(AC10&lt;$N10,AC10,$N10)*VLOOKUP(LEFT($A10,3),Paramétres!$A:$D,3,0),IF(AC10&lt;$N10,AC10,$N10)*VLOOKUP(LEFT($A10,3),Paramétres!$A:$D,4)),0))</f>
        <v>14976.557015447075</v>
      </c>
      <c r="AE10" s="11">
        <f>IF(AD10&lt;$N10,AD10,$N10)-IF(AE$1&lt;=$U10,0,IF(AE$1&gt;IF($U10&lt;2022,2022,$U10),IF(AE$1-IF($U10&lt;2022,2022,$U10)=1,IF(AD10&lt;$N10,AD10,$N10)*VLOOKUP(LEFT($A10,3),Paramétres!$A:$D,3,0),IF(AD10&lt;$N10,AD10,$N10)*VLOOKUP(LEFT($A10,3),Paramétres!$A:$D,4)),0))</f>
        <v>14227.729164674722</v>
      </c>
      <c r="AF10" s="11">
        <f>IF(AE10&lt;$N10,AE10,$N10)-IF(AF$1&lt;=$U10,0,IF(AF$1&gt;IF($U10&lt;2022,2022,$U10),IF(AF$1-IF($U10&lt;2022,2022,$U10)=1,IF(AE10&lt;$N10,AE10,$N10)*VLOOKUP(LEFT($A10,3),Paramétres!$A:$D,3,0),IF(AE10&lt;$N10,AE10,$N10)*VLOOKUP(LEFT($A10,3),Paramétres!$A:$D,4)),0))</f>
        <v>13516.342706440986</v>
      </c>
      <c r="AG10" s="11">
        <f>IF(AF10&lt;$N10,AF10,$N10)-IF(AG$1&lt;=$U10,0,IF(AG$1&gt;IF($U10&lt;2022,2022,$U10),IF(AG$1-IF($U10&lt;2022,2022,$U10)=1,IF(AF10&lt;$N10,AF10,$N10)*VLOOKUP(LEFT($A10,3),Paramétres!$A:$D,3,0),IF(AF10&lt;$N10,AF10,$N10)*VLOOKUP(LEFT($A10,3),Paramétres!$A:$D,4)),0))</f>
        <v>12840.525571118937</v>
      </c>
      <c r="AH10" s="11">
        <f>IF(AG10&lt;$N10,AG10,$N10)-IF(AH$1&lt;=$U10,0,IF(AH$1&gt;IF($U10&lt;2022,2022,$U10),IF(AH$1-IF($U10&lt;2022,2022,$U10)=1,IF(AG10&lt;$N10,AG10,$N10)*VLOOKUP(LEFT($A10,3),Paramétres!$A:$D,3,0),IF(AG10&lt;$N10,AG10,$N10)*VLOOKUP(LEFT($A10,3),Paramétres!$A:$D,4)),0))</f>
        <v>12198.49929256299</v>
      </c>
      <c r="AI10" s="11">
        <f>IF(AH10&lt;$N10,AH10,$N10)-IF(AI$1&lt;=$U10,0,IF(AI$1&gt;IF($U10&lt;2022,2022,$U10),IF(AI$1-IF($U10&lt;2022,2022,$U10)=1,IF(AH10&lt;$N10,AH10,$N10)*VLOOKUP(LEFT($A10,3),Paramétres!$A:$D,3,0),IF(AH10&lt;$N10,AH10,$N10)*VLOOKUP(LEFT($A10,3),Paramétres!$A:$D,4)),0))</f>
        <v>11588.574327934841</v>
      </c>
      <c r="AJ10" s="11">
        <f>IF(AI10&lt;$N10,AI10,$N10)-IF(AJ$1&lt;=$U10,0,IF(AJ$1&gt;IF($U10&lt;2022,2022,$U10),IF(AJ$1-IF($U10&lt;2022,2022,$U10)=1,IF(AI10&lt;$N10,AI10,$N10)*VLOOKUP(LEFT($A10,3),Paramétres!$A:$D,3,0),IF(AI10&lt;$N10,AI10,$N10)*VLOOKUP(LEFT($A10,3),Paramétres!$A:$D,4)),0))</f>
        <v>11009.145611538099</v>
      </c>
      <c r="AK10" s="11">
        <f>IF(AJ10&lt;$N10,AJ10,$N10)-IF(AK$1&lt;=$U10,0,IF(AK$1&gt;IF($U10&lt;2022,2022,$U10),IF(AK$1-IF($U10&lt;2022,2022,$U10)=1,IF(AJ10&lt;$N10,AJ10,$N10)*VLOOKUP(LEFT($A10,3),Paramétres!$A:$D,3,0),IF(AJ10&lt;$N10,AJ10,$N10)*VLOOKUP(LEFT($A10,3),Paramétres!$A:$D,4)),0))</f>
        <v>10458.688330961193</v>
      </c>
    </row>
    <row r="11" spans="1:37" x14ac:dyDescent="0.25">
      <c r="A11" s="1" t="s">
        <v>43</v>
      </c>
      <c r="D11" s="1" t="s">
        <v>50</v>
      </c>
      <c r="E11" s="1" t="s">
        <v>58</v>
      </c>
      <c r="F11" s="1" t="s">
        <v>56</v>
      </c>
      <c r="J11" s="2">
        <v>44298</v>
      </c>
      <c r="K11" s="3">
        <v>24584</v>
      </c>
      <c r="L11" s="3"/>
      <c r="M11" s="3">
        <f>T_BASE[[#This Row],[VALEUR ACHAT]]</f>
        <v>24584</v>
      </c>
      <c r="N11" s="3">
        <f>T_BASE[[#This Row],[MONTANT PEC APRES AMORT.]]</f>
        <v>24584</v>
      </c>
      <c r="O11" s="1">
        <v>60</v>
      </c>
      <c r="P11" s="2">
        <v>46093</v>
      </c>
      <c r="Q11" s="4">
        <v>523.79999999999995</v>
      </c>
      <c r="R11" s="3">
        <v>3058</v>
      </c>
      <c r="S11" s="3">
        <v>120</v>
      </c>
      <c r="T11" s="66">
        <f t="shared" si="1"/>
        <v>5</v>
      </c>
      <c r="U11" s="1">
        <f t="shared" si="0"/>
        <v>2021</v>
      </c>
      <c r="V11" s="11">
        <f>T_BASE[[#This Row],[ANNEE ACQT]]+T_BASE[[#This Row],[AMORT.]]</f>
        <v>2026</v>
      </c>
      <c r="W11" s="11">
        <f>$N11-IF(W$1&lt;=$V11,0,IF(W$1&gt;IF($V11&lt;2022,2022,$V11),IF(W$1-IF($V11&lt;2022,2022,$V11)=1,$N11*VLOOKUP(LEFT($A11,3),Paramétres!A:D,3,0),$N11*VLOOKUP(LEFT($A11,3),Paramétres!A:D,4)),0))</f>
        <v>23354.799999999999</v>
      </c>
      <c r="X11" s="11">
        <f>IF(W11&lt;$N11,W11,$N11)-IF(X$1&lt;=$U11,0,IF(X$1&gt;IF($U11&lt;2022,2022,$U11),IF(X$1-IF($U11&lt;2022,2022,$U11)=1,IF(W11&lt;$N11,W11,$N11)*VLOOKUP(LEFT($A11,3),Paramétres!$A:$D,3,0),IF(W11&lt;$N11,W11,$N11)*VLOOKUP(LEFT($A11,3),Paramétres!$A:$D,4)),0))</f>
        <v>22187.059999999998</v>
      </c>
      <c r="Y11" s="11">
        <f>IF(X11&lt;$N11,X11,$N11)-IF(Y$1&lt;=$U11,0,IF(Y$1&gt;IF($U11&lt;2022,2022,$U11),IF(Y$1-IF($U11&lt;2022,2022,$U11)=1,IF(X11&lt;$N11,X11,$N11)*VLOOKUP(LEFT($A11,3),Paramétres!$A:$D,3,0),IF(X11&lt;$N11,X11,$N11)*VLOOKUP(LEFT($A11,3),Paramétres!$A:$D,4)),0))</f>
        <v>21077.706999999999</v>
      </c>
      <c r="Z11" s="11">
        <f>IF(Y11&lt;$N11,Y11,$N11)-IF(Z$1&lt;=$U11,0,IF(Z$1&gt;IF($U11&lt;2022,2022,$U11),IF(Z$1-IF($U11&lt;2022,2022,$U11)=1,IF(Y11&lt;$N11,Y11,$N11)*VLOOKUP(LEFT($A11,3),Paramétres!$A:$D,3,0),IF(Y11&lt;$N11,Y11,$N11)*VLOOKUP(LEFT($A11,3),Paramétres!$A:$D,4)),0))</f>
        <v>20023.821649999998</v>
      </c>
      <c r="AA11" s="11">
        <f>IF(Z11&lt;$N11,Z11,$N11)-IF(AA$1&lt;=$U11,0,IF(AA$1&gt;IF($U11&lt;2022,2022,$U11),IF(AA$1-IF($U11&lt;2022,2022,$U11)=1,IF(Z11&lt;$N11,Z11,$N11)*VLOOKUP(LEFT($A11,3),Paramétres!$A:$D,3,0),IF(Z11&lt;$N11,Z11,$N11)*VLOOKUP(LEFT($A11,3),Paramétres!$A:$D,4)),0))</f>
        <v>19022.630567499997</v>
      </c>
      <c r="AB11" s="11">
        <f>IF(AA11&lt;$N11,AA11,$N11)-IF(AB$1&lt;=$U11,0,IF(AB$1&gt;IF($U11&lt;2022,2022,$U11),IF(AB$1-IF($U11&lt;2022,2022,$U11)=1,IF(AA11&lt;$N11,AA11,$N11)*VLOOKUP(LEFT($A11,3),Paramétres!$A:$D,3,0),IF(AA11&lt;$N11,AA11,$N11)*VLOOKUP(LEFT($A11,3),Paramétres!$A:$D,4)),0))</f>
        <v>18071.499039124996</v>
      </c>
      <c r="AC11" s="11">
        <f>IF(AB11&lt;$N11,AB11,$N11)-IF(AC$1&lt;=$U11,0,IF(AC$1&gt;IF($U11&lt;2022,2022,$U11),IF(AC$1-IF($U11&lt;2022,2022,$U11)=1,IF(AB11&lt;$N11,AB11,$N11)*VLOOKUP(LEFT($A11,3),Paramétres!$A:$D,3,0),IF(AB11&lt;$N11,AB11,$N11)*VLOOKUP(LEFT($A11,3),Paramétres!$A:$D,4)),0))</f>
        <v>17167.924087168747</v>
      </c>
      <c r="AD11" s="11">
        <f>IF(AC11&lt;$N11,AC11,$N11)-IF(AD$1&lt;=$U11,0,IF(AD$1&gt;IF($U11&lt;2022,2022,$U11),IF(AD$1-IF($U11&lt;2022,2022,$U11)=1,IF(AC11&lt;$N11,AC11,$N11)*VLOOKUP(LEFT($A11,3),Paramétres!$A:$D,3,0),IF(AC11&lt;$N11,AC11,$N11)*VLOOKUP(LEFT($A11,3),Paramétres!$A:$D,4)),0))</f>
        <v>16309.527882810309</v>
      </c>
      <c r="AE11" s="11">
        <f>IF(AD11&lt;$N11,AD11,$N11)-IF(AE$1&lt;=$U11,0,IF(AE$1&gt;IF($U11&lt;2022,2022,$U11),IF(AE$1-IF($U11&lt;2022,2022,$U11)=1,IF(AD11&lt;$N11,AD11,$N11)*VLOOKUP(LEFT($A11,3),Paramétres!$A:$D,3,0),IF(AD11&lt;$N11,AD11,$N11)*VLOOKUP(LEFT($A11,3),Paramétres!$A:$D,4)),0))</f>
        <v>15494.051488669793</v>
      </c>
      <c r="AF11" s="11">
        <f>IF(AE11&lt;$N11,AE11,$N11)-IF(AF$1&lt;=$U11,0,IF(AF$1&gt;IF($U11&lt;2022,2022,$U11),IF(AF$1-IF($U11&lt;2022,2022,$U11)=1,IF(AE11&lt;$N11,AE11,$N11)*VLOOKUP(LEFT($A11,3),Paramétres!$A:$D,3,0),IF(AE11&lt;$N11,AE11,$N11)*VLOOKUP(LEFT($A11,3),Paramétres!$A:$D,4)),0))</f>
        <v>14719.348914236303</v>
      </c>
      <c r="AG11" s="11">
        <f>IF(AF11&lt;$N11,AF11,$N11)-IF(AG$1&lt;=$U11,0,IF(AG$1&gt;IF($U11&lt;2022,2022,$U11),IF(AG$1-IF($U11&lt;2022,2022,$U11)=1,IF(AF11&lt;$N11,AF11,$N11)*VLOOKUP(LEFT($A11,3),Paramétres!$A:$D,3,0),IF(AF11&lt;$N11,AF11,$N11)*VLOOKUP(LEFT($A11,3),Paramétres!$A:$D,4)),0))</f>
        <v>13983.381468524489</v>
      </c>
      <c r="AH11" s="11">
        <f>IF(AG11&lt;$N11,AG11,$N11)-IF(AH$1&lt;=$U11,0,IF(AH$1&gt;IF($U11&lt;2022,2022,$U11),IF(AH$1-IF($U11&lt;2022,2022,$U11)=1,IF(AG11&lt;$N11,AG11,$N11)*VLOOKUP(LEFT($A11,3),Paramétres!$A:$D,3,0),IF(AG11&lt;$N11,AG11,$N11)*VLOOKUP(LEFT($A11,3),Paramétres!$A:$D,4)),0))</f>
        <v>13284.212395098264</v>
      </c>
      <c r="AI11" s="11">
        <f>IF(AH11&lt;$N11,AH11,$N11)-IF(AI$1&lt;=$U11,0,IF(AI$1&gt;IF($U11&lt;2022,2022,$U11),IF(AI$1-IF($U11&lt;2022,2022,$U11)=1,IF(AH11&lt;$N11,AH11,$N11)*VLOOKUP(LEFT($A11,3),Paramétres!$A:$D,3,0),IF(AH11&lt;$N11,AH11,$N11)*VLOOKUP(LEFT($A11,3),Paramétres!$A:$D,4)),0))</f>
        <v>12620.001775343351</v>
      </c>
      <c r="AJ11" s="11">
        <f>IF(AI11&lt;$N11,AI11,$N11)-IF(AJ$1&lt;=$U11,0,IF(AJ$1&gt;IF($U11&lt;2022,2022,$U11),IF(AJ$1-IF($U11&lt;2022,2022,$U11)=1,IF(AI11&lt;$N11,AI11,$N11)*VLOOKUP(LEFT($A11,3),Paramétres!$A:$D,3,0),IF(AI11&lt;$N11,AI11,$N11)*VLOOKUP(LEFT($A11,3),Paramétres!$A:$D,4)),0))</f>
        <v>11989.001686576183</v>
      </c>
      <c r="AK11" s="11">
        <f>IF(AJ11&lt;$N11,AJ11,$N11)-IF(AK$1&lt;=$U11,0,IF(AK$1&gt;IF($U11&lt;2022,2022,$U11),IF(AK$1-IF($U11&lt;2022,2022,$U11)=1,IF(AJ11&lt;$N11,AJ11,$N11)*VLOOKUP(LEFT($A11,3),Paramétres!$A:$D,3,0),IF(AJ11&lt;$N11,AJ11,$N11)*VLOOKUP(LEFT($A11,3),Paramétres!$A:$D,4)),0))</f>
        <v>11389.551602247373</v>
      </c>
    </row>
    <row r="12" spans="1:37" x14ac:dyDescent="0.25">
      <c r="A12" s="1" t="s">
        <v>44</v>
      </c>
      <c r="D12" s="1" t="s">
        <v>50</v>
      </c>
      <c r="E12" s="1" t="s">
        <v>58</v>
      </c>
      <c r="F12" s="1" t="s">
        <v>56</v>
      </c>
      <c r="J12" s="2">
        <v>44298</v>
      </c>
      <c r="K12" s="3">
        <v>24584</v>
      </c>
      <c r="L12" s="3"/>
      <c r="M12" s="3">
        <f>T_BASE[[#This Row],[VALEUR ACHAT]]</f>
        <v>24584</v>
      </c>
      <c r="N12" s="3">
        <f>T_BASE[[#This Row],[MONTANT PEC APRES AMORT.]]</f>
        <v>24584</v>
      </c>
      <c r="O12" s="1">
        <v>60</v>
      </c>
      <c r="P12" s="2">
        <v>46093</v>
      </c>
      <c r="Q12" s="4">
        <v>523.79999999999995</v>
      </c>
      <c r="R12" s="3">
        <v>3058</v>
      </c>
      <c r="S12" s="3">
        <v>120</v>
      </c>
      <c r="T12" s="66">
        <f t="shared" si="1"/>
        <v>5</v>
      </c>
      <c r="U12" s="1">
        <f t="shared" si="0"/>
        <v>2021</v>
      </c>
      <c r="V12" s="11">
        <f>T_BASE[[#This Row],[ANNEE ACQT]]+T_BASE[[#This Row],[AMORT.]]</f>
        <v>2026</v>
      </c>
      <c r="W12" s="11">
        <f>$N12-IF(W$1&lt;=$V12,0,IF(W$1&gt;IF($V12&lt;2022,2022,$V12),IF(W$1-IF($V12&lt;2022,2022,$V12)=1,$N12*VLOOKUP(LEFT($A12,3),Paramétres!A:D,3,0),$N12*VLOOKUP(LEFT($A12,3),Paramétres!A:D,4)),0))</f>
        <v>23354.799999999999</v>
      </c>
      <c r="X12" s="11">
        <f>IF(W12&lt;$N12,W12,$N12)-IF(X$1&lt;=$U12,0,IF(X$1&gt;IF($U12&lt;2022,2022,$U12),IF(X$1-IF($U12&lt;2022,2022,$U12)=1,IF(W12&lt;$N12,W12,$N12)*VLOOKUP(LEFT($A12,3),Paramétres!$A:$D,3,0),IF(W12&lt;$N12,W12,$N12)*VLOOKUP(LEFT($A12,3),Paramétres!$A:$D,4)),0))</f>
        <v>22187.059999999998</v>
      </c>
      <c r="Y12" s="11">
        <f>IF(X12&lt;$N12,X12,$N12)-IF(Y$1&lt;=$U12,0,IF(Y$1&gt;IF($U12&lt;2022,2022,$U12),IF(Y$1-IF($U12&lt;2022,2022,$U12)=1,IF(X12&lt;$N12,X12,$N12)*VLOOKUP(LEFT($A12,3),Paramétres!$A:$D,3,0),IF(X12&lt;$N12,X12,$N12)*VLOOKUP(LEFT($A12,3),Paramétres!$A:$D,4)),0))</f>
        <v>21077.706999999999</v>
      </c>
      <c r="Z12" s="11">
        <f>IF(Y12&lt;$N12,Y12,$N12)-IF(Z$1&lt;=$U12,0,IF(Z$1&gt;IF($U12&lt;2022,2022,$U12),IF(Z$1-IF($U12&lt;2022,2022,$U12)=1,IF(Y12&lt;$N12,Y12,$N12)*VLOOKUP(LEFT($A12,3),Paramétres!$A:$D,3,0),IF(Y12&lt;$N12,Y12,$N12)*VLOOKUP(LEFT($A12,3),Paramétres!$A:$D,4)),0))</f>
        <v>20023.821649999998</v>
      </c>
      <c r="AA12" s="11">
        <f>IF(Z12&lt;$N12,Z12,$N12)-IF(AA$1&lt;=$U12,0,IF(AA$1&gt;IF($U12&lt;2022,2022,$U12),IF(AA$1-IF($U12&lt;2022,2022,$U12)=1,IF(Z12&lt;$N12,Z12,$N12)*VLOOKUP(LEFT($A12,3),Paramétres!$A:$D,3,0),IF(Z12&lt;$N12,Z12,$N12)*VLOOKUP(LEFT($A12,3),Paramétres!$A:$D,4)),0))</f>
        <v>19022.630567499997</v>
      </c>
      <c r="AB12" s="11">
        <f>IF(AA12&lt;$N12,AA12,$N12)-IF(AB$1&lt;=$U12,0,IF(AB$1&gt;IF($U12&lt;2022,2022,$U12),IF(AB$1-IF($U12&lt;2022,2022,$U12)=1,IF(AA12&lt;$N12,AA12,$N12)*VLOOKUP(LEFT($A12,3),Paramétres!$A:$D,3,0),IF(AA12&lt;$N12,AA12,$N12)*VLOOKUP(LEFT($A12,3),Paramétres!$A:$D,4)),0))</f>
        <v>18071.499039124996</v>
      </c>
      <c r="AC12" s="11">
        <f>IF(AB12&lt;$N12,AB12,$N12)-IF(AC$1&lt;=$U12,0,IF(AC$1&gt;IF($U12&lt;2022,2022,$U12),IF(AC$1-IF($U12&lt;2022,2022,$U12)=1,IF(AB12&lt;$N12,AB12,$N12)*VLOOKUP(LEFT($A12,3),Paramétres!$A:$D,3,0),IF(AB12&lt;$N12,AB12,$N12)*VLOOKUP(LEFT($A12,3),Paramétres!$A:$D,4)),0))</f>
        <v>17167.924087168747</v>
      </c>
      <c r="AD12" s="11">
        <f>IF(AC12&lt;$N12,AC12,$N12)-IF(AD$1&lt;=$U12,0,IF(AD$1&gt;IF($U12&lt;2022,2022,$U12),IF(AD$1-IF($U12&lt;2022,2022,$U12)=1,IF(AC12&lt;$N12,AC12,$N12)*VLOOKUP(LEFT($A12,3),Paramétres!$A:$D,3,0),IF(AC12&lt;$N12,AC12,$N12)*VLOOKUP(LEFT($A12,3),Paramétres!$A:$D,4)),0))</f>
        <v>16309.527882810309</v>
      </c>
      <c r="AE12" s="11">
        <f>IF(AD12&lt;$N12,AD12,$N12)-IF(AE$1&lt;=$U12,0,IF(AE$1&gt;IF($U12&lt;2022,2022,$U12),IF(AE$1-IF($U12&lt;2022,2022,$U12)=1,IF(AD12&lt;$N12,AD12,$N12)*VLOOKUP(LEFT($A12,3),Paramétres!$A:$D,3,0),IF(AD12&lt;$N12,AD12,$N12)*VLOOKUP(LEFT($A12,3),Paramétres!$A:$D,4)),0))</f>
        <v>15494.051488669793</v>
      </c>
      <c r="AF12" s="11">
        <f>IF(AE12&lt;$N12,AE12,$N12)-IF(AF$1&lt;=$U12,0,IF(AF$1&gt;IF($U12&lt;2022,2022,$U12),IF(AF$1-IF($U12&lt;2022,2022,$U12)=1,IF(AE12&lt;$N12,AE12,$N12)*VLOOKUP(LEFT($A12,3),Paramétres!$A:$D,3,0),IF(AE12&lt;$N12,AE12,$N12)*VLOOKUP(LEFT($A12,3),Paramétres!$A:$D,4)),0))</f>
        <v>14719.348914236303</v>
      </c>
      <c r="AG12" s="11">
        <f>IF(AF12&lt;$N12,AF12,$N12)-IF(AG$1&lt;=$U12,0,IF(AG$1&gt;IF($U12&lt;2022,2022,$U12),IF(AG$1-IF($U12&lt;2022,2022,$U12)=1,IF(AF12&lt;$N12,AF12,$N12)*VLOOKUP(LEFT($A12,3),Paramétres!$A:$D,3,0),IF(AF12&lt;$N12,AF12,$N12)*VLOOKUP(LEFT($A12,3),Paramétres!$A:$D,4)),0))</f>
        <v>13983.381468524489</v>
      </c>
      <c r="AH12" s="11">
        <f>IF(AG12&lt;$N12,AG12,$N12)-IF(AH$1&lt;=$U12,0,IF(AH$1&gt;IF($U12&lt;2022,2022,$U12),IF(AH$1-IF($U12&lt;2022,2022,$U12)=1,IF(AG12&lt;$N12,AG12,$N12)*VLOOKUP(LEFT($A12,3),Paramétres!$A:$D,3,0),IF(AG12&lt;$N12,AG12,$N12)*VLOOKUP(LEFT($A12,3),Paramétres!$A:$D,4)),0))</f>
        <v>13284.212395098264</v>
      </c>
      <c r="AI12" s="11">
        <f>IF(AH12&lt;$N12,AH12,$N12)-IF(AI$1&lt;=$U12,0,IF(AI$1&gt;IF($U12&lt;2022,2022,$U12),IF(AI$1-IF($U12&lt;2022,2022,$U12)=1,IF(AH12&lt;$N12,AH12,$N12)*VLOOKUP(LEFT($A12,3),Paramétres!$A:$D,3,0),IF(AH12&lt;$N12,AH12,$N12)*VLOOKUP(LEFT($A12,3),Paramétres!$A:$D,4)),0))</f>
        <v>12620.001775343351</v>
      </c>
      <c r="AJ12" s="11">
        <f>IF(AI12&lt;$N12,AI12,$N12)-IF(AJ$1&lt;=$U12,0,IF(AJ$1&gt;IF($U12&lt;2022,2022,$U12),IF(AJ$1-IF($U12&lt;2022,2022,$U12)=1,IF(AI12&lt;$N12,AI12,$N12)*VLOOKUP(LEFT($A12,3),Paramétres!$A:$D,3,0),IF(AI12&lt;$N12,AI12,$N12)*VLOOKUP(LEFT($A12,3),Paramétres!$A:$D,4)),0))</f>
        <v>11989.001686576183</v>
      </c>
      <c r="AK12" s="11">
        <f>IF(AJ12&lt;$N12,AJ12,$N12)-IF(AK$1&lt;=$U12,0,IF(AK$1&gt;IF($U12&lt;2022,2022,$U12),IF(AK$1-IF($U12&lt;2022,2022,$U12)=1,IF(AJ12&lt;$N12,AJ12,$N12)*VLOOKUP(LEFT($A12,3),Paramétres!$A:$D,3,0),IF(AJ12&lt;$N12,AJ12,$N12)*VLOOKUP(LEFT($A12,3),Paramétres!$A:$D,4)),0))</f>
        <v>11389.551602247373</v>
      </c>
    </row>
    <row r="13" spans="1:37" x14ac:dyDescent="0.25">
      <c r="A13" s="1" t="s">
        <v>45</v>
      </c>
      <c r="D13" s="1" t="s">
        <v>50</v>
      </c>
      <c r="E13" s="1" t="s">
        <v>53</v>
      </c>
      <c r="F13" s="1" t="s">
        <v>59</v>
      </c>
      <c r="J13" s="2">
        <v>44847</v>
      </c>
      <c r="K13" s="3">
        <v>37497</v>
      </c>
      <c r="L13" s="3"/>
      <c r="M13" s="3">
        <f>T_BASE[[#This Row],[VALEUR ACHAT]]</f>
        <v>37497</v>
      </c>
      <c r="N13" s="3">
        <f>T_BASE[[#This Row],[MONTANT PEC APRES AMORT.]]</f>
        <v>37497</v>
      </c>
      <c r="O13" s="1">
        <v>60</v>
      </c>
      <c r="Q13" s="4">
        <v>582</v>
      </c>
      <c r="R13" s="3">
        <v>0</v>
      </c>
      <c r="S13" s="3">
        <v>120</v>
      </c>
      <c r="T13" s="66">
        <f t="shared" si="1"/>
        <v>5</v>
      </c>
      <c r="U13" s="1">
        <f t="shared" si="0"/>
        <v>2022</v>
      </c>
      <c r="V13" s="11">
        <f>T_BASE[[#This Row],[ANNEE ACQT]]+T_BASE[[#This Row],[AMORT.]]</f>
        <v>2027</v>
      </c>
      <c r="W13" s="11">
        <f>$N13-IF(W$1&lt;=$V13,0,IF(W$1&gt;IF($V13&lt;2022,2022,$V13),IF(W$1-IF($V13&lt;2022,2022,$V13)=1,$N13*VLOOKUP(LEFT($A13,3),Paramétres!A:D,3,0),$N13*VLOOKUP(LEFT($A13,3),Paramétres!A:D,4)),0))</f>
        <v>35622.15</v>
      </c>
      <c r="X13" s="11">
        <f>IF(W13&lt;$N13,W13,$N13)-IF(X$1&lt;=$U13,0,IF(X$1&gt;IF($U13&lt;2022,2022,$U13),IF(X$1-IF($U13&lt;2022,2022,$U13)=1,IF(W13&lt;$N13,W13,$N13)*VLOOKUP(LEFT($A13,3),Paramétres!$A:$D,3,0),IF(W13&lt;$N13,W13,$N13)*VLOOKUP(LEFT($A13,3),Paramétres!$A:$D,4)),0))</f>
        <v>33841.042500000003</v>
      </c>
      <c r="Y13" s="11">
        <f>IF(X13&lt;$N13,X13,$N13)-IF(Y$1&lt;=$U13,0,IF(Y$1&gt;IF($U13&lt;2022,2022,$U13),IF(Y$1-IF($U13&lt;2022,2022,$U13)=1,IF(X13&lt;$N13,X13,$N13)*VLOOKUP(LEFT($A13,3),Paramétres!$A:$D,3,0),IF(X13&lt;$N13,X13,$N13)*VLOOKUP(LEFT($A13,3),Paramétres!$A:$D,4)),0))</f>
        <v>32148.990375000001</v>
      </c>
      <c r="Z13" s="11">
        <f>IF(Y13&lt;$N13,Y13,$N13)-IF(Z$1&lt;=$U13,0,IF(Z$1&gt;IF($U13&lt;2022,2022,$U13),IF(Z$1-IF($U13&lt;2022,2022,$U13)=1,IF(Y13&lt;$N13,Y13,$N13)*VLOOKUP(LEFT($A13,3),Paramétres!$A:$D,3,0),IF(Y13&lt;$N13,Y13,$N13)*VLOOKUP(LEFT($A13,3),Paramétres!$A:$D,4)),0))</f>
        <v>30541.540856250002</v>
      </c>
      <c r="AA13" s="11">
        <f>IF(Z13&lt;$N13,Z13,$N13)-IF(AA$1&lt;=$U13,0,IF(AA$1&gt;IF($U13&lt;2022,2022,$U13),IF(AA$1-IF($U13&lt;2022,2022,$U13)=1,IF(Z13&lt;$N13,Z13,$N13)*VLOOKUP(LEFT($A13,3),Paramétres!$A:$D,3,0),IF(Z13&lt;$N13,Z13,$N13)*VLOOKUP(LEFT($A13,3),Paramétres!$A:$D,4)),0))</f>
        <v>29014.463813437502</v>
      </c>
      <c r="AB13" s="11">
        <f>IF(AA13&lt;$N13,AA13,$N13)-IF(AB$1&lt;=$U13,0,IF(AB$1&gt;IF($U13&lt;2022,2022,$U13),IF(AB$1-IF($U13&lt;2022,2022,$U13)=1,IF(AA13&lt;$N13,AA13,$N13)*VLOOKUP(LEFT($A13,3),Paramétres!$A:$D,3,0),IF(AA13&lt;$N13,AA13,$N13)*VLOOKUP(LEFT($A13,3),Paramétres!$A:$D,4)),0))</f>
        <v>27563.740622765625</v>
      </c>
      <c r="AC13" s="11">
        <f>IF(AB13&lt;$N13,AB13,$N13)-IF(AC$1&lt;=$U13,0,IF(AC$1&gt;IF($U13&lt;2022,2022,$U13),IF(AC$1-IF($U13&lt;2022,2022,$U13)=1,IF(AB13&lt;$N13,AB13,$N13)*VLOOKUP(LEFT($A13,3),Paramétres!$A:$D,3,0),IF(AB13&lt;$N13,AB13,$N13)*VLOOKUP(LEFT($A13,3),Paramétres!$A:$D,4)),0))</f>
        <v>26185.553591627344</v>
      </c>
      <c r="AD13" s="11">
        <f>IF(AC13&lt;$N13,AC13,$N13)-IF(AD$1&lt;=$U13,0,IF(AD$1&gt;IF($U13&lt;2022,2022,$U13),IF(AD$1-IF($U13&lt;2022,2022,$U13)=1,IF(AC13&lt;$N13,AC13,$N13)*VLOOKUP(LEFT($A13,3),Paramétres!$A:$D,3,0),IF(AC13&lt;$N13,AC13,$N13)*VLOOKUP(LEFT($A13,3),Paramétres!$A:$D,4)),0))</f>
        <v>24876.275912045978</v>
      </c>
      <c r="AE13" s="11">
        <f>IF(AD13&lt;$N13,AD13,$N13)-IF(AE$1&lt;=$U13,0,IF(AE$1&gt;IF($U13&lt;2022,2022,$U13),IF(AE$1-IF($U13&lt;2022,2022,$U13)=1,IF(AD13&lt;$N13,AD13,$N13)*VLOOKUP(LEFT($A13,3),Paramétres!$A:$D,3,0),IF(AD13&lt;$N13,AD13,$N13)*VLOOKUP(LEFT($A13,3),Paramétres!$A:$D,4)),0))</f>
        <v>23632.462116443679</v>
      </c>
      <c r="AF13" s="11">
        <f>IF(AE13&lt;$N13,AE13,$N13)-IF(AF$1&lt;=$U13,0,IF(AF$1&gt;IF($U13&lt;2022,2022,$U13),IF(AF$1-IF($U13&lt;2022,2022,$U13)=1,IF(AE13&lt;$N13,AE13,$N13)*VLOOKUP(LEFT($A13,3),Paramétres!$A:$D,3,0),IF(AE13&lt;$N13,AE13,$N13)*VLOOKUP(LEFT($A13,3),Paramétres!$A:$D,4)),0))</f>
        <v>22450.839010621494</v>
      </c>
      <c r="AG13" s="11">
        <f>IF(AF13&lt;$N13,AF13,$N13)-IF(AG$1&lt;=$U13,0,IF(AG$1&gt;IF($U13&lt;2022,2022,$U13),IF(AG$1-IF($U13&lt;2022,2022,$U13)=1,IF(AF13&lt;$N13,AF13,$N13)*VLOOKUP(LEFT($A13,3),Paramétres!$A:$D,3,0),IF(AF13&lt;$N13,AF13,$N13)*VLOOKUP(LEFT($A13,3),Paramétres!$A:$D,4)),0))</f>
        <v>21328.297060090419</v>
      </c>
      <c r="AH13" s="11">
        <f>IF(AG13&lt;$N13,AG13,$N13)-IF(AH$1&lt;=$U13,0,IF(AH$1&gt;IF($U13&lt;2022,2022,$U13),IF(AH$1-IF($U13&lt;2022,2022,$U13)=1,IF(AG13&lt;$N13,AG13,$N13)*VLOOKUP(LEFT($A13,3),Paramétres!$A:$D,3,0),IF(AG13&lt;$N13,AG13,$N13)*VLOOKUP(LEFT($A13,3),Paramétres!$A:$D,4)),0))</f>
        <v>20261.882207085899</v>
      </c>
      <c r="AI13" s="11">
        <f>IF(AH13&lt;$N13,AH13,$N13)-IF(AI$1&lt;=$U13,0,IF(AI$1&gt;IF($U13&lt;2022,2022,$U13),IF(AI$1-IF($U13&lt;2022,2022,$U13)=1,IF(AH13&lt;$N13,AH13,$N13)*VLOOKUP(LEFT($A13,3),Paramétres!$A:$D,3,0),IF(AH13&lt;$N13,AH13,$N13)*VLOOKUP(LEFT($A13,3),Paramétres!$A:$D,4)),0))</f>
        <v>19248.788096731605</v>
      </c>
      <c r="AJ13" s="11">
        <f>IF(AI13&lt;$N13,AI13,$N13)-IF(AJ$1&lt;=$U13,0,IF(AJ$1&gt;IF($U13&lt;2022,2022,$U13),IF(AJ$1-IF($U13&lt;2022,2022,$U13)=1,IF(AI13&lt;$N13,AI13,$N13)*VLOOKUP(LEFT($A13,3),Paramétres!$A:$D,3,0),IF(AI13&lt;$N13,AI13,$N13)*VLOOKUP(LEFT($A13,3),Paramétres!$A:$D,4)),0))</f>
        <v>18286.348691895026</v>
      </c>
      <c r="AK13" s="11">
        <f>IF(AJ13&lt;$N13,AJ13,$N13)-IF(AK$1&lt;=$U13,0,IF(AK$1&gt;IF($U13&lt;2022,2022,$U13),IF(AK$1-IF($U13&lt;2022,2022,$U13)=1,IF(AJ13&lt;$N13,AJ13,$N13)*VLOOKUP(LEFT($A13,3),Paramétres!$A:$D,3,0),IF(AJ13&lt;$N13,AJ13,$N13)*VLOOKUP(LEFT($A13,3),Paramétres!$A:$D,4)),0))</f>
        <v>17372.031257300274</v>
      </c>
    </row>
    <row r="14" spans="1:37" x14ac:dyDescent="0.25">
      <c r="A14" s="1" t="s">
        <v>46</v>
      </c>
      <c r="D14" s="1" t="s">
        <v>50</v>
      </c>
      <c r="E14" s="1" t="s">
        <v>60</v>
      </c>
      <c r="F14" s="1" t="s">
        <v>61</v>
      </c>
      <c r="J14" s="2">
        <v>44834</v>
      </c>
      <c r="K14" s="3">
        <v>28330</v>
      </c>
      <c r="L14" s="3"/>
      <c r="M14" s="3">
        <f>T_BASE[[#This Row],[VALEUR ACHAT]]</f>
        <v>28330</v>
      </c>
      <c r="N14" s="3">
        <f>T_BASE[[#This Row],[MONTANT PEC APRES AMORT.]]</f>
        <v>28330</v>
      </c>
      <c r="O14" s="1">
        <v>60</v>
      </c>
      <c r="P14" s="2">
        <v>46629</v>
      </c>
      <c r="Q14" s="4">
        <v>495</v>
      </c>
      <c r="R14" s="3">
        <v>111.6</v>
      </c>
      <c r="S14" s="3">
        <v>120</v>
      </c>
      <c r="T14" s="66">
        <f t="shared" si="1"/>
        <v>5</v>
      </c>
      <c r="U14" s="1">
        <f t="shared" si="0"/>
        <v>2022</v>
      </c>
      <c r="V14" s="11">
        <f>T_BASE[[#This Row],[ANNEE ACQT]]+T_BASE[[#This Row],[AMORT.]]</f>
        <v>2027</v>
      </c>
      <c r="W14" s="11">
        <f>$N14-IF(W$1&lt;=$V14,0,IF(W$1&gt;IF($V14&lt;2022,2022,$V14),IF(W$1-IF($V14&lt;2022,2022,$V14)=1,$N14*VLOOKUP(LEFT($A14,3),Paramétres!A:D,3,0),$N14*VLOOKUP(LEFT($A14,3),Paramétres!A:D,4)),0))</f>
        <v>26913.5</v>
      </c>
      <c r="X14" s="11">
        <f>IF(W14&lt;$N14,W14,$N14)-IF(X$1&lt;=$U14,0,IF(X$1&gt;IF($U14&lt;2022,2022,$U14),IF(X$1-IF($U14&lt;2022,2022,$U14)=1,IF(W14&lt;$N14,W14,$N14)*VLOOKUP(LEFT($A14,3),Paramétres!$A:$D,3,0),IF(W14&lt;$N14,W14,$N14)*VLOOKUP(LEFT($A14,3),Paramétres!$A:$D,4)),0))</f>
        <v>25567.825000000001</v>
      </c>
      <c r="Y14" s="11">
        <f>IF(X14&lt;$N14,X14,$N14)-IF(Y$1&lt;=$U14,0,IF(Y$1&gt;IF($U14&lt;2022,2022,$U14),IF(Y$1-IF($U14&lt;2022,2022,$U14)=1,IF(X14&lt;$N14,X14,$N14)*VLOOKUP(LEFT($A14,3),Paramétres!$A:$D,3,0),IF(X14&lt;$N14,X14,$N14)*VLOOKUP(LEFT($A14,3),Paramétres!$A:$D,4)),0))</f>
        <v>24289.43375</v>
      </c>
      <c r="Z14" s="11">
        <f>IF(Y14&lt;$N14,Y14,$N14)-IF(Z$1&lt;=$U14,0,IF(Z$1&gt;IF($U14&lt;2022,2022,$U14),IF(Z$1-IF($U14&lt;2022,2022,$U14)=1,IF(Y14&lt;$N14,Y14,$N14)*VLOOKUP(LEFT($A14,3),Paramétres!$A:$D,3,0),IF(Y14&lt;$N14,Y14,$N14)*VLOOKUP(LEFT($A14,3),Paramétres!$A:$D,4)),0))</f>
        <v>23074.962062499999</v>
      </c>
      <c r="AA14" s="11">
        <f>IF(Z14&lt;$N14,Z14,$N14)-IF(AA$1&lt;=$U14,0,IF(AA$1&gt;IF($U14&lt;2022,2022,$U14),IF(AA$1-IF($U14&lt;2022,2022,$U14)=1,IF(Z14&lt;$N14,Z14,$N14)*VLOOKUP(LEFT($A14,3),Paramétres!$A:$D,3,0),IF(Z14&lt;$N14,Z14,$N14)*VLOOKUP(LEFT($A14,3),Paramétres!$A:$D,4)),0))</f>
        <v>21921.213959375</v>
      </c>
      <c r="AB14" s="11">
        <f>IF(AA14&lt;$N14,AA14,$N14)-IF(AB$1&lt;=$U14,0,IF(AB$1&gt;IF($U14&lt;2022,2022,$U14),IF(AB$1-IF($U14&lt;2022,2022,$U14)=1,IF(AA14&lt;$N14,AA14,$N14)*VLOOKUP(LEFT($A14,3),Paramétres!$A:$D,3,0),IF(AA14&lt;$N14,AA14,$N14)*VLOOKUP(LEFT($A14,3),Paramétres!$A:$D,4)),0))</f>
        <v>20825.153261406249</v>
      </c>
      <c r="AC14" s="11">
        <f>IF(AB14&lt;$N14,AB14,$N14)-IF(AC$1&lt;=$U14,0,IF(AC$1&gt;IF($U14&lt;2022,2022,$U14),IF(AC$1-IF($U14&lt;2022,2022,$U14)=1,IF(AB14&lt;$N14,AB14,$N14)*VLOOKUP(LEFT($A14,3),Paramétres!$A:$D,3,0),IF(AB14&lt;$N14,AB14,$N14)*VLOOKUP(LEFT($A14,3),Paramétres!$A:$D,4)),0))</f>
        <v>19783.895598335937</v>
      </c>
      <c r="AD14" s="11">
        <f>IF(AC14&lt;$N14,AC14,$N14)-IF(AD$1&lt;=$U14,0,IF(AD$1&gt;IF($U14&lt;2022,2022,$U14),IF(AD$1-IF($U14&lt;2022,2022,$U14)=1,IF(AC14&lt;$N14,AC14,$N14)*VLOOKUP(LEFT($A14,3),Paramétres!$A:$D,3,0),IF(AC14&lt;$N14,AC14,$N14)*VLOOKUP(LEFT($A14,3),Paramétres!$A:$D,4)),0))</f>
        <v>18794.70081841914</v>
      </c>
      <c r="AE14" s="11">
        <f>IF(AD14&lt;$N14,AD14,$N14)-IF(AE$1&lt;=$U14,0,IF(AE$1&gt;IF($U14&lt;2022,2022,$U14),IF(AE$1-IF($U14&lt;2022,2022,$U14)=1,IF(AD14&lt;$N14,AD14,$N14)*VLOOKUP(LEFT($A14,3),Paramétres!$A:$D,3,0),IF(AD14&lt;$N14,AD14,$N14)*VLOOKUP(LEFT($A14,3),Paramétres!$A:$D,4)),0))</f>
        <v>17854.965777498182</v>
      </c>
      <c r="AF14" s="11">
        <f>IF(AE14&lt;$N14,AE14,$N14)-IF(AF$1&lt;=$U14,0,IF(AF$1&gt;IF($U14&lt;2022,2022,$U14),IF(AF$1-IF($U14&lt;2022,2022,$U14)=1,IF(AE14&lt;$N14,AE14,$N14)*VLOOKUP(LEFT($A14,3),Paramétres!$A:$D,3,0),IF(AE14&lt;$N14,AE14,$N14)*VLOOKUP(LEFT($A14,3),Paramétres!$A:$D,4)),0))</f>
        <v>16962.217488623275</v>
      </c>
      <c r="AG14" s="11">
        <f>IF(AF14&lt;$N14,AF14,$N14)-IF(AG$1&lt;=$U14,0,IF(AG$1&gt;IF($U14&lt;2022,2022,$U14),IF(AG$1-IF($U14&lt;2022,2022,$U14)=1,IF(AF14&lt;$N14,AF14,$N14)*VLOOKUP(LEFT($A14,3),Paramétres!$A:$D,3,0),IF(AF14&lt;$N14,AF14,$N14)*VLOOKUP(LEFT($A14,3),Paramétres!$A:$D,4)),0))</f>
        <v>16114.106614192111</v>
      </c>
      <c r="AH14" s="11">
        <f>IF(AG14&lt;$N14,AG14,$N14)-IF(AH$1&lt;=$U14,0,IF(AH$1&gt;IF($U14&lt;2022,2022,$U14),IF(AH$1-IF($U14&lt;2022,2022,$U14)=1,IF(AG14&lt;$N14,AG14,$N14)*VLOOKUP(LEFT($A14,3),Paramétres!$A:$D,3,0),IF(AG14&lt;$N14,AG14,$N14)*VLOOKUP(LEFT($A14,3),Paramétres!$A:$D,4)),0))</f>
        <v>15308.401283482506</v>
      </c>
      <c r="AI14" s="11">
        <f>IF(AH14&lt;$N14,AH14,$N14)-IF(AI$1&lt;=$U14,0,IF(AI$1&gt;IF($U14&lt;2022,2022,$U14),IF(AI$1-IF($U14&lt;2022,2022,$U14)=1,IF(AH14&lt;$N14,AH14,$N14)*VLOOKUP(LEFT($A14,3),Paramétres!$A:$D,3,0),IF(AH14&lt;$N14,AH14,$N14)*VLOOKUP(LEFT($A14,3),Paramétres!$A:$D,4)),0))</f>
        <v>14542.981219308382</v>
      </c>
      <c r="AJ14" s="11">
        <f>IF(AI14&lt;$N14,AI14,$N14)-IF(AJ$1&lt;=$U14,0,IF(AJ$1&gt;IF($U14&lt;2022,2022,$U14),IF(AJ$1-IF($U14&lt;2022,2022,$U14)=1,IF(AI14&lt;$N14,AI14,$N14)*VLOOKUP(LEFT($A14,3),Paramétres!$A:$D,3,0),IF(AI14&lt;$N14,AI14,$N14)*VLOOKUP(LEFT($A14,3),Paramétres!$A:$D,4)),0))</f>
        <v>13815.832158342962</v>
      </c>
      <c r="AK14" s="11">
        <f>IF(AJ14&lt;$N14,AJ14,$N14)-IF(AK$1&lt;=$U14,0,IF(AK$1&gt;IF($U14&lt;2022,2022,$U14),IF(AK$1-IF($U14&lt;2022,2022,$U14)=1,IF(AJ14&lt;$N14,AJ14,$N14)*VLOOKUP(LEFT($A14,3),Paramétres!$A:$D,3,0),IF(AJ14&lt;$N14,AJ14,$N14)*VLOOKUP(LEFT($A14,3),Paramétres!$A:$D,4)),0))</f>
        <v>13125.040550425814</v>
      </c>
    </row>
    <row r="15" spans="1:37" x14ac:dyDescent="0.25">
      <c r="A15" s="1" t="s">
        <v>47</v>
      </c>
      <c r="D15" s="1" t="s">
        <v>50</v>
      </c>
      <c r="E15" s="1" t="s">
        <v>62</v>
      </c>
      <c r="F15" s="1" t="s">
        <v>59</v>
      </c>
      <c r="K15" s="3"/>
      <c r="L15" s="3"/>
      <c r="M15" s="3">
        <f>T_BASE[[#This Row],[VALEUR ACHAT]]</f>
        <v>0</v>
      </c>
      <c r="N15" s="3">
        <f>T_BASE[[#This Row],[MONTANT PEC APRES AMORT.]]</f>
        <v>0</v>
      </c>
      <c r="Q15" s="4"/>
      <c r="R15" s="3">
        <v>0</v>
      </c>
      <c r="S15" s="3">
        <v>120</v>
      </c>
      <c r="T15" s="66">
        <f t="shared" si="1"/>
        <v>0</v>
      </c>
      <c r="U15" s="1">
        <f t="shared" si="0"/>
        <v>1900</v>
      </c>
      <c r="V15" s="11">
        <f>T_BASE[[#This Row],[ANNEE ACQT]]+T_BASE[[#This Row],[AMORT.]]</f>
        <v>1900</v>
      </c>
      <c r="W15" s="11">
        <f>$N15-IF(W$1&lt;=$V15,0,IF(W$1&gt;IF($V15&lt;2022,2022,$V15),IF(W$1-IF($V15&lt;2022,2022,$V15)=1,$N15*VLOOKUP(LEFT($A15,3),Paramétres!A:D,3,0),$N15*VLOOKUP(LEFT($A15,3),Paramétres!A:D,4)),0))</f>
        <v>0</v>
      </c>
      <c r="X15" s="11">
        <f>IF(W15&lt;$N15,W15,$N15)-IF(X$1&lt;=$U15,0,IF(X$1&gt;IF($U15&lt;2022,2022,$U15),IF(X$1-IF($U15&lt;2022,2022,$U15)=1,IF(W15&lt;$N15,W15,$N15)*VLOOKUP(LEFT($A15,3),Paramétres!$A:$D,3,0),IF(W15&lt;$N15,W15,$N15)*VLOOKUP(LEFT($A15,3),Paramétres!$A:$D,4)),0))</f>
        <v>0</v>
      </c>
      <c r="Y15" s="11">
        <f>IF(X15&lt;$N15,X15,$N15)-IF(Y$1&lt;=$U15,0,IF(Y$1&gt;IF($U15&lt;2022,2022,$U15),IF(Y$1-IF($U15&lt;2022,2022,$U15)=1,IF(X15&lt;$N15,X15,$N15)*VLOOKUP(LEFT($A15,3),Paramétres!$A:$D,3,0),IF(X15&lt;$N15,X15,$N15)*VLOOKUP(LEFT($A15,3),Paramétres!$A:$D,4)),0))</f>
        <v>0</v>
      </c>
      <c r="Z15" s="11">
        <f>IF(Y15&lt;$N15,Y15,$N15)-IF(Z$1&lt;=$U15,0,IF(Z$1&gt;IF($U15&lt;2022,2022,$U15),IF(Z$1-IF($U15&lt;2022,2022,$U15)=1,IF(Y15&lt;$N15,Y15,$N15)*VLOOKUP(LEFT($A15,3),Paramétres!$A:$D,3,0),IF(Y15&lt;$N15,Y15,$N15)*VLOOKUP(LEFT($A15,3),Paramétres!$A:$D,4)),0))</f>
        <v>0</v>
      </c>
      <c r="AA15" s="11">
        <f>IF(Z15&lt;$N15,Z15,$N15)-IF(AA$1&lt;=$U15,0,IF(AA$1&gt;IF($U15&lt;2022,2022,$U15),IF(AA$1-IF($U15&lt;2022,2022,$U15)=1,IF(Z15&lt;$N15,Z15,$N15)*VLOOKUP(LEFT($A15,3),Paramétres!$A:$D,3,0),IF(Z15&lt;$N15,Z15,$N15)*VLOOKUP(LEFT($A15,3),Paramétres!$A:$D,4)),0))</f>
        <v>0</v>
      </c>
      <c r="AB15" s="11">
        <f>IF(AA15&lt;$N15,AA15,$N15)-IF(AB$1&lt;=$U15,0,IF(AB$1&gt;IF($U15&lt;2022,2022,$U15),IF(AB$1-IF($U15&lt;2022,2022,$U15)=1,IF(AA15&lt;$N15,AA15,$N15)*VLOOKUP(LEFT($A15,3),Paramétres!$A:$D,3,0),IF(AA15&lt;$N15,AA15,$N15)*VLOOKUP(LEFT($A15,3),Paramétres!$A:$D,4)),0))</f>
        <v>0</v>
      </c>
      <c r="AC15" s="11">
        <f>IF(AB15&lt;$N15,AB15,$N15)-IF(AC$1&lt;=$U15,0,IF(AC$1&gt;IF($U15&lt;2022,2022,$U15),IF(AC$1-IF($U15&lt;2022,2022,$U15)=1,IF(AB15&lt;$N15,AB15,$N15)*VLOOKUP(LEFT($A15,3),Paramétres!$A:$D,3,0),IF(AB15&lt;$N15,AB15,$N15)*VLOOKUP(LEFT($A15,3),Paramétres!$A:$D,4)),0))</f>
        <v>0</v>
      </c>
      <c r="AD15" s="11">
        <f>IF(AC15&lt;$N15,AC15,$N15)-IF(AD$1&lt;=$U15,0,IF(AD$1&gt;IF($U15&lt;2022,2022,$U15),IF(AD$1-IF($U15&lt;2022,2022,$U15)=1,IF(AC15&lt;$N15,AC15,$N15)*VLOOKUP(LEFT($A15,3),Paramétres!$A:$D,3,0),IF(AC15&lt;$N15,AC15,$N15)*VLOOKUP(LEFT($A15,3),Paramétres!$A:$D,4)),0))</f>
        <v>0</v>
      </c>
      <c r="AE15" s="11">
        <f>IF(AD15&lt;$N15,AD15,$N15)-IF(AE$1&lt;=$U15,0,IF(AE$1&gt;IF($U15&lt;2022,2022,$U15),IF(AE$1-IF($U15&lt;2022,2022,$U15)=1,IF(AD15&lt;$N15,AD15,$N15)*VLOOKUP(LEFT($A15,3),Paramétres!$A:$D,3,0),IF(AD15&lt;$N15,AD15,$N15)*VLOOKUP(LEFT($A15,3),Paramétres!$A:$D,4)),0))</f>
        <v>0</v>
      </c>
      <c r="AF15" s="11">
        <f>IF(AE15&lt;$N15,AE15,$N15)-IF(AF$1&lt;=$U15,0,IF(AF$1&gt;IF($U15&lt;2022,2022,$U15),IF(AF$1-IF($U15&lt;2022,2022,$U15)=1,IF(AE15&lt;$N15,AE15,$N15)*VLOOKUP(LEFT($A15,3),Paramétres!$A:$D,3,0),IF(AE15&lt;$N15,AE15,$N15)*VLOOKUP(LEFT($A15,3),Paramétres!$A:$D,4)),0))</f>
        <v>0</v>
      </c>
      <c r="AG15" s="11">
        <f>IF(AF15&lt;$N15,AF15,$N15)-IF(AG$1&lt;=$U15,0,IF(AG$1&gt;IF($U15&lt;2022,2022,$U15),IF(AG$1-IF($U15&lt;2022,2022,$U15)=1,IF(AF15&lt;$N15,AF15,$N15)*VLOOKUP(LEFT($A15,3),Paramétres!$A:$D,3,0),IF(AF15&lt;$N15,AF15,$N15)*VLOOKUP(LEFT($A15,3),Paramétres!$A:$D,4)),0))</f>
        <v>0</v>
      </c>
      <c r="AH15" s="11">
        <f>IF(AG15&lt;$N15,AG15,$N15)-IF(AH$1&lt;=$U15,0,IF(AH$1&gt;IF($U15&lt;2022,2022,$U15),IF(AH$1-IF($U15&lt;2022,2022,$U15)=1,IF(AG15&lt;$N15,AG15,$N15)*VLOOKUP(LEFT($A15,3),Paramétres!$A:$D,3,0),IF(AG15&lt;$N15,AG15,$N15)*VLOOKUP(LEFT($A15,3),Paramétres!$A:$D,4)),0))</f>
        <v>0</v>
      </c>
      <c r="AI15" s="11">
        <f>IF(AH15&lt;$N15,AH15,$N15)-IF(AI$1&lt;=$U15,0,IF(AI$1&gt;IF($U15&lt;2022,2022,$U15),IF(AI$1-IF($U15&lt;2022,2022,$U15)=1,IF(AH15&lt;$N15,AH15,$N15)*VLOOKUP(LEFT($A15,3),Paramétres!$A:$D,3,0),IF(AH15&lt;$N15,AH15,$N15)*VLOOKUP(LEFT($A15,3),Paramétres!$A:$D,4)),0))</f>
        <v>0</v>
      </c>
      <c r="AJ15" s="11">
        <f>IF(AI15&lt;$N15,AI15,$N15)-IF(AJ$1&lt;=$U15,0,IF(AJ$1&gt;IF($U15&lt;2022,2022,$U15),IF(AJ$1-IF($U15&lt;2022,2022,$U15)=1,IF(AI15&lt;$N15,AI15,$N15)*VLOOKUP(LEFT($A15,3),Paramétres!$A:$D,3,0),IF(AI15&lt;$N15,AI15,$N15)*VLOOKUP(LEFT($A15,3),Paramétres!$A:$D,4)),0))</f>
        <v>0</v>
      </c>
      <c r="AK15" s="11">
        <f>IF(AJ15&lt;$N15,AJ15,$N15)-IF(AK$1&lt;=$U15,0,IF(AK$1&gt;IF($U15&lt;2022,2022,$U15),IF(AK$1-IF($U15&lt;2022,2022,$U15)=1,IF(AJ15&lt;$N15,AJ15,$N15)*VLOOKUP(LEFT($A15,3),Paramétres!$A:$D,3,0),IF(AJ15&lt;$N15,AJ15,$N15)*VLOOKUP(LEFT($A15,3),Paramétres!$A:$D,4)),0))</f>
        <v>0</v>
      </c>
    </row>
    <row r="16" spans="1:37" x14ac:dyDescent="0.25">
      <c r="A16" s="1" t="s">
        <v>48</v>
      </c>
      <c r="D16" s="1" t="s">
        <v>50</v>
      </c>
      <c r="E16" s="1" t="s">
        <v>62</v>
      </c>
      <c r="F16" s="1" t="s">
        <v>59</v>
      </c>
      <c r="K16" s="3"/>
      <c r="L16" s="3"/>
      <c r="M16" s="3">
        <f>T_BASE[[#This Row],[VALEUR ACHAT]]</f>
        <v>0</v>
      </c>
      <c r="N16" s="3">
        <f>T_BASE[[#This Row],[MONTANT PEC APRES AMORT.]]</f>
        <v>0</v>
      </c>
      <c r="Q16" s="4"/>
      <c r="R16" s="3">
        <v>0</v>
      </c>
      <c r="S16" s="3">
        <v>120</v>
      </c>
      <c r="T16" s="66">
        <f t="shared" si="1"/>
        <v>0</v>
      </c>
      <c r="U16" s="1">
        <f t="shared" si="0"/>
        <v>1900</v>
      </c>
      <c r="V16" s="11">
        <f>T_BASE[[#This Row],[ANNEE ACQT]]+T_BASE[[#This Row],[AMORT.]]</f>
        <v>1900</v>
      </c>
      <c r="W16" s="11">
        <f>$N16-IF(W$1&lt;=$V16,0,IF(W$1&gt;IF($V16&lt;2022,2022,$V16),IF(W$1-IF($V16&lt;2022,2022,$V16)=1,$N16*VLOOKUP(LEFT($A16,3),Paramétres!A:D,3,0),$N16*VLOOKUP(LEFT($A16,3),Paramétres!A:D,4)),0))</f>
        <v>0</v>
      </c>
      <c r="X16" s="11">
        <f>IF(W16&lt;$N16,W16,$N16)-IF(X$1&lt;=$U16,0,IF(X$1&gt;IF($U16&lt;2022,2022,$U16),IF(X$1-IF($U16&lt;2022,2022,$U16)=1,IF(W16&lt;$N16,W16,$N16)*VLOOKUP(LEFT($A16,3),Paramétres!$A:$D,3,0),IF(W16&lt;$N16,W16,$N16)*VLOOKUP(LEFT($A16,3),Paramétres!$A:$D,4)),0))</f>
        <v>0</v>
      </c>
      <c r="Y16" s="11">
        <f>IF(X16&lt;$N16,X16,$N16)-IF(Y$1&lt;=$U16,0,IF(Y$1&gt;IF($U16&lt;2022,2022,$U16),IF(Y$1-IF($U16&lt;2022,2022,$U16)=1,IF(X16&lt;$N16,X16,$N16)*VLOOKUP(LEFT($A16,3),Paramétres!$A:$D,3,0),IF(X16&lt;$N16,X16,$N16)*VLOOKUP(LEFT($A16,3),Paramétres!$A:$D,4)),0))</f>
        <v>0</v>
      </c>
      <c r="Z16" s="11">
        <f>IF(Y16&lt;$N16,Y16,$N16)-IF(Z$1&lt;=$U16,0,IF(Z$1&gt;IF($U16&lt;2022,2022,$U16),IF(Z$1-IF($U16&lt;2022,2022,$U16)=1,IF(Y16&lt;$N16,Y16,$N16)*VLOOKUP(LEFT($A16,3),Paramétres!$A:$D,3,0),IF(Y16&lt;$N16,Y16,$N16)*VLOOKUP(LEFT($A16,3),Paramétres!$A:$D,4)),0))</f>
        <v>0</v>
      </c>
      <c r="AA16" s="11">
        <f>IF(Z16&lt;$N16,Z16,$N16)-IF(AA$1&lt;=$U16,0,IF(AA$1&gt;IF($U16&lt;2022,2022,$U16),IF(AA$1-IF($U16&lt;2022,2022,$U16)=1,IF(Z16&lt;$N16,Z16,$N16)*VLOOKUP(LEFT($A16,3),Paramétres!$A:$D,3,0),IF(Z16&lt;$N16,Z16,$N16)*VLOOKUP(LEFT($A16,3),Paramétres!$A:$D,4)),0))</f>
        <v>0</v>
      </c>
      <c r="AB16" s="11">
        <f>IF(AA16&lt;$N16,AA16,$N16)-IF(AB$1&lt;=$U16,0,IF(AB$1&gt;IF($U16&lt;2022,2022,$U16),IF(AB$1-IF($U16&lt;2022,2022,$U16)=1,IF(AA16&lt;$N16,AA16,$N16)*VLOOKUP(LEFT($A16,3),Paramétres!$A:$D,3,0),IF(AA16&lt;$N16,AA16,$N16)*VLOOKUP(LEFT($A16,3),Paramétres!$A:$D,4)),0))</f>
        <v>0</v>
      </c>
      <c r="AC16" s="11">
        <f>IF(AB16&lt;$N16,AB16,$N16)-IF(AC$1&lt;=$U16,0,IF(AC$1&gt;IF($U16&lt;2022,2022,$U16),IF(AC$1-IF($U16&lt;2022,2022,$U16)=1,IF(AB16&lt;$N16,AB16,$N16)*VLOOKUP(LEFT($A16,3),Paramétres!$A:$D,3,0),IF(AB16&lt;$N16,AB16,$N16)*VLOOKUP(LEFT($A16,3),Paramétres!$A:$D,4)),0))</f>
        <v>0</v>
      </c>
      <c r="AD16" s="11">
        <f>IF(AC16&lt;$N16,AC16,$N16)-IF(AD$1&lt;=$U16,0,IF(AD$1&gt;IF($U16&lt;2022,2022,$U16),IF(AD$1-IF($U16&lt;2022,2022,$U16)=1,IF(AC16&lt;$N16,AC16,$N16)*VLOOKUP(LEFT($A16,3),Paramétres!$A:$D,3,0),IF(AC16&lt;$N16,AC16,$N16)*VLOOKUP(LEFT($A16,3),Paramétres!$A:$D,4)),0))</f>
        <v>0</v>
      </c>
      <c r="AE16" s="11">
        <f>IF(AD16&lt;$N16,AD16,$N16)-IF(AE$1&lt;=$U16,0,IF(AE$1&gt;IF($U16&lt;2022,2022,$U16),IF(AE$1-IF($U16&lt;2022,2022,$U16)=1,IF(AD16&lt;$N16,AD16,$N16)*VLOOKUP(LEFT($A16,3),Paramétres!$A:$D,3,0),IF(AD16&lt;$N16,AD16,$N16)*VLOOKUP(LEFT($A16,3),Paramétres!$A:$D,4)),0))</f>
        <v>0</v>
      </c>
      <c r="AF16" s="11">
        <f>IF(AE16&lt;$N16,AE16,$N16)-IF(AF$1&lt;=$U16,0,IF(AF$1&gt;IF($U16&lt;2022,2022,$U16),IF(AF$1-IF($U16&lt;2022,2022,$U16)=1,IF(AE16&lt;$N16,AE16,$N16)*VLOOKUP(LEFT($A16,3),Paramétres!$A:$D,3,0),IF(AE16&lt;$N16,AE16,$N16)*VLOOKUP(LEFT($A16,3),Paramétres!$A:$D,4)),0))</f>
        <v>0</v>
      </c>
      <c r="AG16" s="11">
        <f>IF(AF16&lt;$N16,AF16,$N16)-IF(AG$1&lt;=$U16,0,IF(AG$1&gt;IF($U16&lt;2022,2022,$U16),IF(AG$1-IF($U16&lt;2022,2022,$U16)=1,IF(AF16&lt;$N16,AF16,$N16)*VLOOKUP(LEFT($A16,3),Paramétres!$A:$D,3,0),IF(AF16&lt;$N16,AF16,$N16)*VLOOKUP(LEFT($A16,3),Paramétres!$A:$D,4)),0))</f>
        <v>0</v>
      </c>
      <c r="AH16" s="11">
        <f>IF(AG16&lt;$N16,AG16,$N16)-IF(AH$1&lt;=$U16,0,IF(AH$1&gt;IF($U16&lt;2022,2022,$U16),IF(AH$1-IF($U16&lt;2022,2022,$U16)=1,IF(AG16&lt;$N16,AG16,$N16)*VLOOKUP(LEFT($A16,3),Paramétres!$A:$D,3,0),IF(AG16&lt;$N16,AG16,$N16)*VLOOKUP(LEFT($A16,3),Paramétres!$A:$D,4)),0))</f>
        <v>0</v>
      </c>
      <c r="AI16" s="11">
        <f>IF(AH16&lt;$N16,AH16,$N16)-IF(AI$1&lt;=$U16,0,IF(AI$1&gt;IF($U16&lt;2022,2022,$U16),IF(AI$1-IF($U16&lt;2022,2022,$U16)=1,IF(AH16&lt;$N16,AH16,$N16)*VLOOKUP(LEFT($A16,3),Paramétres!$A:$D,3,0),IF(AH16&lt;$N16,AH16,$N16)*VLOOKUP(LEFT($A16,3),Paramétres!$A:$D,4)),0))</f>
        <v>0</v>
      </c>
      <c r="AJ16" s="11">
        <f>IF(AI16&lt;$N16,AI16,$N16)-IF(AJ$1&lt;=$U16,0,IF(AJ$1&gt;IF($U16&lt;2022,2022,$U16),IF(AJ$1-IF($U16&lt;2022,2022,$U16)=1,IF(AI16&lt;$N16,AI16,$N16)*VLOOKUP(LEFT($A16,3),Paramétres!$A:$D,3,0),IF(AI16&lt;$N16,AI16,$N16)*VLOOKUP(LEFT($A16,3),Paramétres!$A:$D,4)),0))</f>
        <v>0</v>
      </c>
      <c r="AK16" s="11">
        <f>IF(AJ16&lt;$N16,AJ16,$N16)-IF(AK$1&lt;=$U16,0,IF(AK$1&gt;IF($U16&lt;2022,2022,$U16),IF(AK$1-IF($U16&lt;2022,2022,$U16)=1,IF(AJ16&lt;$N16,AJ16,$N16)*VLOOKUP(LEFT($A16,3),Paramétres!$A:$D,3,0),IF(AJ16&lt;$N16,AJ16,$N16)*VLOOKUP(LEFT($A16,3),Paramétres!$A:$D,4)),0))</f>
        <v>0</v>
      </c>
    </row>
    <row r="17" spans="1:37" x14ac:dyDescent="0.25">
      <c r="A17" s="1" t="s">
        <v>49</v>
      </c>
      <c r="D17" s="1" t="s">
        <v>50</v>
      </c>
      <c r="M17" s="3">
        <f>T_BASE[[#This Row],[VALEUR ACHAT]]</f>
        <v>0</v>
      </c>
      <c r="N17" s="3">
        <f>T_BASE[[#This Row],[MONTANT PEC APRES AMORT.]]</f>
        <v>0</v>
      </c>
      <c r="Q17" s="4"/>
      <c r="R17" s="3">
        <v>0</v>
      </c>
      <c r="S17" s="3">
        <v>120</v>
      </c>
      <c r="T17" s="66">
        <f t="shared" si="1"/>
        <v>0</v>
      </c>
      <c r="U17" s="1">
        <f t="shared" si="0"/>
        <v>1900</v>
      </c>
      <c r="V17" s="11">
        <f>T_BASE[[#This Row],[ANNEE ACQT]]+T_BASE[[#This Row],[AMORT.]]</f>
        <v>1900</v>
      </c>
      <c r="W17" s="11">
        <f>$N17-IF(W$1&lt;=$V17,0,IF(W$1&gt;IF($V17&lt;2022,2022,$V17),IF(W$1-IF($V17&lt;2022,2022,$V17)=1,$N17*VLOOKUP(LEFT($A17,3),Paramétres!A:D,3,0),$N17*VLOOKUP(LEFT($A17,3),Paramétres!A:D,4)),0))</f>
        <v>0</v>
      </c>
      <c r="X17" s="11">
        <f>IF(W17&lt;$N17,W17,$N17)-IF(X$1&lt;=$U17,0,IF(X$1&gt;IF($U17&lt;2022,2022,$U17),IF(X$1-IF($U17&lt;2022,2022,$U17)=1,IF(W17&lt;$N17,W17,$N17)*VLOOKUP(LEFT($A17,3),Paramétres!$A:$D,3,0),IF(W17&lt;$N17,W17,$N17)*VLOOKUP(LEFT($A17,3),Paramétres!$A:$D,4)),0))</f>
        <v>0</v>
      </c>
      <c r="Y17" s="11">
        <f>IF(X17&lt;$N17,X17,$N17)-IF(Y$1&lt;=$U17,0,IF(Y$1&gt;IF($U17&lt;2022,2022,$U17),IF(Y$1-IF($U17&lt;2022,2022,$U17)=1,IF(X17&lt;$N17,X17,$N17)*VLOOKUP(LEFT($A17,3),Paramétres!$A:$D,3,0),IF(X17&lt;$N17,X17,$N17)*VLOOKUP(LEFT($A17,3),Paramétres!$A:$D,4)),0))</f>
        <v>0</v>
      </c>
      <c r="Z17" s="11">
        <f>IF(Y17&lt;$N17,Y17,$N17)-IF(Z$1&lt;=$U17,0,IF(Z$1&gt;IF($U17&lt;2022,2022,$U17),IF(Z$1-IF($U17&lt;2022,2022,$U17)=1,IF(Y17&lt;$N17,Y17,$N17)*VLOOKUP(LEFT($A17,3),Paramétres!$A:$D,3,0),IF(Y17&lt;$N17,Y17,$N17)*VLOOKUP(LEFT($A17,3),Paramétres!$A:$D,4)),0))</f>
        <v>0</v>
      </c>
      <c r="AA17" s="11">
        <f>IF(Z17&lt;$N17,Z17,$N17)-IF(AA$1&lt;=$U17,0,IF(AA$1&gt;IF($U17&lt;2022,2022,$U17),IF(AA$1-IF($U17&lt;2022,2022,$U17)=1,IF(Z17&lt;$N17,Z17,$N17)*VLOOKUP(LEFT($A17,3),Paramétres!$A:$D,3,0),IF(Z17&lt;$N17,Z17,$N17)*VLOOKUP(LEFT($A17,3),Paramétres!$A:$D,4)),0))</f>
        <v>0</v>
      </c>
      <c r="AB17" s="11">
        <f>IF(AA17&lt;$N17,AA17,$N17)-IF(AB$1&lt;=$U17,0,IF(AB$1&gt;IF($U17&lt;2022,2022,$U17),IF(AB$1-IF($U17&lt;2022,2022,$U17)=1,IF(AA17&lt;$N17,AA17,$N17)*VLOOKUP(LEFT($A17,3),Paramétres!$A:$D,3,0),IF(AA17&lt;$N17,AA17,$N17)*VLOOKUP(LEFT($A17,3),Paramétres!$A:$D,4)),0))</f>
        <v>0</v>
      </c>
      <c r="AC17" s="11">
        <f>IF(AB17&lt;$N17,AB17,$N17)-IF(AC$1&lt;=$U17,0,IF(AC$1&gt;IF($U17&lt;2022,2022,$U17),IF(AC$1-IF($U17&lt;2022,2022,$U17)=1,IF(AB17&lt;$N17,AB17,$N17)*VLOOKUP(LEFT($A17,3),Paramétres!$A:$D,3,0),IF(AB17&lt;$N17,AB17,$N17)*VLOOKUP(LEFT($A17,3),Paramétres!$A:$D,4)),0))</f>
        <v>0</v>
      </c>
      <c r="AD17" s="11">
        <f>IF(AC17&lt;$N17,AC17,$N17)-IF(AD$1&lt;=$U17,0,IF(AD$1&gt;IF($U17&lt;2022,2022,$U17),IF(AD$1-IF($U17&lt;2022,2022,$U17)=1,IF(AC17&lt;$N17,AC17,$N17)*VLOOKUP(LEFT($A17,3),Paramétres!$A:$D,3,0),IF(AC17&lt;$N17,AC17,$N17)*VLOOKUP(LEFT($A17,3),Paramétres!$A:$D,4)),0))</f>
        <v>0</v>
      </c>
      <c r="AE17" s="11">
        <f>IF(AD17&lt;$N17,AD17,$N17)-IF(AE$1&lt;=$U17,0,IF(AE$1&gt;IF($U17&lt;2022,2022,$U17),IF(AE$1-IF($U17&lt;2022,2022,$U17)=1,IF(AD17&lt;$N17,AD17,$N17)*VLOOKUP(LEFT($A17,3),Paramétres!$A:$D,3,0),IF(AD17&lt;$N17,AD17,$N17)*VLOOKUP(LEFT($A17,3),Paramétres!$A:$D,4)),0))</f>
        <v>0</v>
      </c>
      <c r="AF17" s="11">
        <f>IF(AE17&lt;$N17,AE17,$N17)-IF(AF$1&lt;=$U17,0,IF(AF$1&gt;IF($U17&lt;2022,2022,$U17),IF(AF$1-IF($U17&lt;2022,2022,$U17)=1,IF(AE17&lt;$N17,AE17,$N17)*VLOOKUP(LEFT($A17,3),Paramétres!$A:$D,3,0),IF(AE17&lt;$N17,AE17,$N17)*VLOOKUP(LEFT($A17,3),Paramétres!$A:$D,4)),0))</f>
        <v>0</v>
      </c>
      <c r="AG17" s="11">
        <f>IF(AF17&lt;$N17,AF17,$N17)-IF(AG$1&lt;=$U17,0,IF(AG$1&gt;IF($U17&lt;2022,2022,$U17),IF(AG$1-IF($U17&lt;2022,2022,$U17)=1,IF(AF17&lt;$N17,AF17,$N17)*VLOOKUP(LEFT($A17,3),Paramétres!$A:$D,3,0),IF(AF17&lt;$N17,AF17,$N17)*VLOOKUP(LEFT($A17,3),Paramétres!$A:$D,4)),0))</f>
        <v>0</v>
      </c>
      <c r="AH17" s="11">
        <f>IF(AG17&lt;$N17,AG17,$N17)-IF(AH$1&lt;=$U17,0,IF(AH$1&gt;IF($U17&lt;2022,2022,$U17),IF(AH$1-IF($U17&lt;2022,2022,$U17)=1,IF(AG17&lt;$N17,AG17,$N17)*VLOOKUP(LEFT($A17,3),Paramétres!$A:$D,3,0),IF(AG17&lt;$N17,AG17,$N17)*VLOOKUP(LEFT($A17,3),Paramétres!$A:$D,4)),0))</f>
        <v>0</v>
      </c>
      <c r="AI17" s="11">
        <f>IF(AH17&lt;$N17,AH17,$N17)-IF(AI$1&lt;=$U17,0,IF(AI$1&gt;IF($U17&lt;2022,2022,$U17),IF(AI$1-IF($U17&lt;2022,2022,$U17)=1,IF(AH17&lt;$N17,AH17,$N17)*VLOOKUP(LEFT($A17,3),Paramétres!$A:$D,3,0),IF(AH17&lt;$N17,AH17,$N17)*VLOOKUP(LEFT($A17,3),Paramétres!$A:$D,4)),0))</f>
        <v>0</v>
      </c>
      <c r="AJ17" s="11">
        <f>IF(AI17&lt;$N17,AI17,$N17)-IF(AJ$1&lt;=$U17,0,IF(AJ$1&gt;IF($U17&lt;2022,2022,$U17),IF(AJ$1-IF($U17&lt;2022,2022,$U17)=1,IF(AI17&lt;$N17,AI17,$N17)*VLOOKUP(LEFT($A17,3),Paramétres!$A:$D,3,0),IF(AI17&lt;$N17,AI17,$N17)*VLOOKUP(LEFT($A17,3),Paramétres!$A:$D,4)),0))</f>
        <v>0</v>
      </c>
      <c r="AK17" s="11">
        <f>IF(AJ17&lt;$N17,AJ17,$N17)-IF(AK$1&lt;=$U17,0,IF(AK$1&gt;IF($U17&lt;2022,2022,$U17),IF(AK$1-IF($U17&lt;2022,2022,$U17)=1,IF(AJ17&lt;$N17,AJ17,$N17)*VLOOKUP(LEFT($A17,3),Paramétres!$A:$D,3,0),IF(AJ17&lt;$N17,AJ17,$N17)*VLOOKUP(LEFT($A17,3),Paramétres!$A:$D,4)),0))</f>
        <v>0</v>
      </c>
    </row>
    <row r="18" spans="1:37" x14ac:dyDescent="0.25">
      <c r="A18" s="1" t="s">
        <v>63</v>
      </c>
      <c r="D18" s="1" t="s">
        <v>64</v>
      </c>
      <c r="E18" s="1" t="s">
        <v>62</v>
      </c>
      <c r="F18" s="1" t="s">
        <v>65</v>
      </c>
      <c r="J18" s="2">
        <v>42753</v>
      </c>
      <c r="K18" s="3">
        <v>1900</v>
      </c>
      <c r="L18" s="3" t="s">
        <v>235</v>
      </c>
      <c r="M18" s="3">
        <f>T_BASE[[#This Row],[VALEUR ACHAT]]</f>
        <v>1900</v>
      </c>
      <c r="N18" s="3">
        <f>T_BASE[[#This Row],[MONTANT PEC APRES AMORT.]]</f>
        <v>1900</v>
      </c>
      <c r="O18" s="1">
        <v>36</v>
      </c>
      <c r="P18" s="2">
        <v>44561</v>
      </c>
      <c r="Q18" s="3">
        <v>445.5</v>
      </c>
      <c r="R18" s="3">
        <v>0</v>
      </c>
      <c r="S18" s="3">
        <v>120</v>
      </c>
      <c r="T18" s="66">
        <f t="shared" si="1"/>
        <v>3</v>
      </c>
      <c r="U18" s="1">
        <f t="shared" si="0"/>
        <v>2017</v>
      </c>
      <c r="V18" s="11">
        <f>T_BASE[[#This Row],[ANNEE ACQT]]+T_BASE[[#This Row],[AMORT.]]</f>
        <v>2020</v>
      </c>
      <c r="W18" s="11">
        <f>$N18-IF(W$1&lt;=$V18,0,IF(W$1&gt;IF($V18&lt;2022,2022,$V18),IF(W$1-IF($V18&lt;2022,2022,$V18)=1,$N18*VLOOKUP(LEFT($A18,3),Paramétres!A:D,3,0),$N18*VLOOKUP(LEFT($A18,3),Paramétres!A:D,4)),0))</f>
        <v>1890.5</v>
      </c>
      <c r="X18" s="11">
        <f>IF(W18&lt;$N18,W18,$N18)-IF(X$1&lt;=$U18,0,IF(X$1&gt;IF($U18&lt;2022,2022,$U18),IF(X$1-IF($U18&lt;2022,2022,$U18)=1,IF(W18&lt;$N18,W18,$N18)*VLOOKUP(LEFT($A18,3),Paramétres!$A:$D,3,0),IF(W18&lt;$N18,W18,$N18)*VLOOKUP(LEFT($A18,3),Paramétres!$A:$D,4)),0))</f>
        <v>1758.165</v>
      </c>
      <c r="Y18" s="11">
        <f>IF(X18&lt;$N18,X18,$N18)-IF(Y$1&lt;=$U18,0,IF(Y$1&gt;IF($U18&lt;2022,2022,$U18),IF(Y$1-IF($U18&lt;2022,2022,$U18)=1,IF(X18&lt;$N18,X18,$N18)*VLOOKUP(LEFT($A18,3),Paramétres!$A:$D,3,0),IF(X18&lt;$N18,X18,$N18)*VLOOKUP(LEFT($A18,3),Paramétres!$A:$D,4)),0))</f>
        <v>1635.0934499999998</v>
      </c>
      <c r="Z18" s="11">
        <f>IF(Y18&lt;$N18,Y18,$N18)-IF(Z$1&lt;=$U18,0,IF(Z$1&gt;IF($U18&lt;2022,2022,$U18),IF(Z$1-IF($U18&lt;2022,2022,$U18)=1,IF(Y18&lt;$N18,Y18,$N18)*VLOOKUP(LEFT($A18,3),Paramétres!$A:$D,3,0),IF(Y18&lt;$N18,Y18,$N18)*VLOOKUP(LEFT($A18,3),Paramétres!$A:$D,4)),0))</f>
        <v>1520.6369084999999</v>
      </c>
      <c r="AA18" s="11">
        <f>IF(Z18&lt;$N18,Z18,$N18)-IF(AA$1&lt;=$U18,0,IF(AA$1&gt;IF($U18&lt;2022,2022,$U18),IF(AA$1-IF($U18&lt;2022,2022,$U18)=1,IF(Z18&lt;$N18,Z18,$N18)*VLOOKUP(LEFT($A18,3),Paramétres!$A:$D,3,0),IF(Z18&lt;$N18,Z18,$N18)*VLOOKUP(LEFT($A18,3),Paramétres!$A:$D,4)),0))</f>
        <v>1414.1923249049999</v>
      </c>
      <c r="AB18" s="11">
        <f>IF(AA18&lt;$N18,AA18,$N18)-IF(AB$1&lt;=$U18,0,IF(AB$1&gt;IF($U18&lt;2022,2022,$U18),IF(AB$1-IF($U18&lt;2022,2022,$U18)=1,IF(AA18&lt;$N18,AA18,$N18)*VLOOKUP(LEFT($A18,3),Paramétres!$A:$D,3,0),IF(AA18&lt;$N18,AA18,$N18)*VLOOKUP(LEFT($A18,3),Paramétres!$A:$D,4)),0))</f>
        <v>1315.1988621616499</v>
      </c>
      <c r="AC18" s="11">
        <f>IF(AB18&lt;$N18,AB18,$N18)-IF(AC$1&lt;=$U18,0,IF(AC$1&gt;IF($U18&lt;2022,2022,$U18),IF(AC$1-IF($U18&lt;2022,2022,$U18)=1,IF(AB18&lt;$N18,AB18,$N18)*VLOOKUP(LEFT($A18,3),Paramétres!$A:$D,3,0),IF(AB18&lt;$N18,AB18,$N18)*VLOOKUP(LEFT($A18,3),Paramétres!$A:$D,4)),0))</f>
        <v>1223.1349418103343</v>
      </c>
      <c r="AD18" s="11">
        <f>IF(AC18&lt;$N18,AC18,$N18)-IF(AD$1&lt;=$U18,0,IF(AD$1&gt;IF($U18&lt;2022,2022,$U18),IF(AD$1-IF($U18&lt;2022,2022,$U18)=1,IF(AC18&lt;$N18,AC18,$N18)*VLOOKUP(LEFT($A18,3),Paramétres!$A:$D,3,0),IF(AC18&lt;$N18,AC18,$N18)*VLOOKUP(LEFT($A18,3),Paramétres!$A:$D,4)),0))</f>
        <v>1137.515495883611</v>
      </c>
      <c r="AE18" s="11">
        <f>IF(AD18&lt;$N18,AD18,$N18)-IF(AE$1&lt;=$U18,0,IF(AE$1&gt;IF($U18&lt;2022,2022,$U18),IF(AE$1-IF($U18&lt;2022,2022,$U18)=1,IF(AD18&lt;$N18,AD18,$N18)*VLOOKUP(LEFT($A18,3),Paramétres!$A:$D,3,0),IF(AD18&lt;$N18,AD18,$N18)*VLOOKUP(LEFT($A18,3),Paramétres!$A:$D,4)),0))</f>
        <v>1057.8894111717582</v>
      </c>
      <c r="AF18" s="11">
        <f>IF(AE18&lt;$N18,AE18,$N18)-IF(AF$1&lt;=$U18,0,IF(AF$1&gt;IF($U18&lt;2022,2022,$U18),IF(AF$1-IF($U18&lt;2022,2022,$U18)=1,IF(AE18&lt;$N18,AE18,$N18)*VLOOKUP(LEFT($A18,3),Paramétres!$A:$D,3,0),IF(AE18&lt;$N18,AE18,$N18)*VLOOKUP(LEFT($A18,3),Paramétres!$A:$D,4)),0))</f>
        <v>983.83715238973514</v>
      </c>
      <c r="AG18" s="11">
        <f>IF(AF18&lt;$N18,AF18,$N18)-IF(AG$1&lt;=$U18,0,IF(AG$1&gt;IF($U18&lt;2022,2022,$U18),IF(AG$1-IF($U18&lt;2022,2022,$U18)=1,IF(AF18&lt;$N18,AF18,$N18)*VLOOKUP(LEFT($A18,3),Paramétres!$A:$D,3,0),IF(AF18&lt;$N18,AF18,$N18)*VLOOKUP(LEFT($A18,3),Paramétres!$A:$D,4)),0))</f>
        <v>914.96855172245364</v>
      </c>
      <c r="AH18" s="11">
        <f>IF(AG18&lt;$N18,AG18,$N18)-IF(AH$1&lt;=$U18,0,IF(AH$1&gt;IF($U18&lt;2022,2022,$U18),IF(AH$1-IF($U18&lt;2022,2022,$U18)=1,IF(AG18&lt;$N18,AG18,$N18)*VLOOKUP(LEFT($A18,3),Paramétres!$A:$D,3,0),IF(AG18&lt;$N18,AG18,$N18)*VLOOKUP(LEFT($A18,3),Paramétres!$A:$D,4)),0))</f>
        <v>850.92075310188193</v>
      </c>
      <c r="AI18" s="11">
        <f>IF(AH18&lt;$N18,AH18,$N18)-IF(AI$1&lt;=$U18,0,IF(AI$1&gt;IF($U18&lt;2022,2022,$U18),IF(AI$1-IF($U18&lt;2022,2022,$U18)=1,IF(AH18&lt;$N18,AH18,$N18)*VLOOKUP(LEFT($A18,3),Paramétres!$A:$D,3,0),IF(AH18&lt;$N18,AH18,$N18)*VLOOKUP(LEFT($A18,3),Paramétres!$A:$D,4)),0))</f>
        <v>791.35630038475017</v>
      </c>
      <c r="AJ18" s="11">
        <f>IF(AI18&lt;$N18,AI18,$N18)-IF(AJ$1&lt;=$U18,0,IF(AJ$1&gt;IF($U18&lt;2022,2022,$U18),IF(AJ$1-IF($U18&lt;2022,2022,$U18)=1,IF(AI18&lt;$N18,AI18,$N18)*VLOOKUP(LEFT($A18,3),Paramétres!$A:$D,3,0),IF(AI18&lt;$N18,AI18,$N18)*VLOOKUP(LEFT($A18,3),Paramétres!$A:$D,4)),0))</f>
        <v>735.96135935781763</v>
      </c>
      <c r="AK18" s="11">
        <f>IF(AJ18&lt;$N18,AJ18,$N18)-IF(AK$1&lt;=$U18,0,IF(AK$1&gt;IF($U18&lt;2022,2022,$U18),IF(AK$1-IF($U18&lt;2022,2022,$U18)=1,IF(AJ18&lt;$N18,AJ18,$N18)*VLOOKUP(LEFT($A18,3),Paramétres!$A:$D,3,0),IF(AJ18&lt;$N18,AJ18,$N18)*VLOOKUP(LEFT($A18,3),Paramétres!$A:$D,4)),0))</f>
        <v>684.44406420277039</v>
      </c>
    </row>
    <row r="19" spans="1:37" x14ac:dyDescent="0.25">
      <c r="A19" s="1" t="s">
        <v>66</v>
      </c>
      <c r="D19" s="1" t="s">
        <v>64</v>
      </c>
      <c r="E19" s="1" t="s">
        <v>62</v>
      </c>
      <c r="F19" s="1" t="s">
        <v>67</v>
      </c>
      <c r="J19" s="2">
        <v>42856</v>
      </c>
      <c r="K19" s="3">
        <v>5495</v>
      </c>
      <c r="L19" s="3" t="s">
        <v>231</v>
      </c>
      <c r="M19" s="3">
        <f>T_BASE[[#This Row],[VALEUR ACHAT]]</f>
        <v>5495</v>
      </c>
      <c r="N19" s="3">
        <f>T_BASE[[#This Row],[MONTANT PEC APRES AMORT.]]</f>
        <v>5495</v>
      </c>
      <c r="O19" s="1">
        <v>48</v>
      </c>
      <c r="P19" s="2">
        <v>44290</v>
      </c>
      <c r="Q19" s="3">
        <v>445.5</v>
      </c>
      <c r="R19" s="3">
        <v>0</v>
      </c>
      <c r="S19" s="3">
        <v>120</v>
      </c>
      <c r="T19" s="66">
        <f t="shared" si="1"/>
        <v>4</v>
      </c>
      <c r="U19" s="1">
        <f t="shared" si="0"/>
        <v>2017</v>
      </c>
      <c r="V19" s="11">
        <f>T_BASE[[#This Row],[ANNEE ACQT]]+T_BASE[[#This Row],[AMORT.]]</f>
        <v>2021</v>
      </c>
      <c r="W19" s="11">
        <f>$N19-IF(W$1&lt;=$V19,0,IF(W$1&gt;IF($V19&lt;2022,2022,$V19),IF(W$1-IF($V19&lt;2022,2022,$V19)=1,$N19*VLOOKUP(LEFT($A19,3),Paramétres!A:D,3,0),$N19*VLOOKUP(LEFT($A19,3),Paramétres!A:D,4)),0))</f>
        <v>5467.5249999999996</v>
      </c>
      <c r="X19" s="11">
        <f>IF(W19&lt;$N19,W19,$N19)-IF(X$1&lt;=$U19,0,IF(X$1&gt;IF($U19&lt;2022,2022,$U19),IF(X$1-IF($U19&lt;2022,2022,$U19)=1,IF(W19&lt;$N19,W19,$N19)*VLOOKUP(LEFT($A19,3),Paramétres!$A:$D,3,0),IF(W19&lt;$N19,W19,$N19)*VLOOKUP(LEFT($A19,3),Paramétres!$A:$D,4)),0))</f>
        <v>5084.7982499999998</v>
      </c>
      <c r="Y19" s="11">
        <f>IF(X19&lt;$N19,X19,$N19)-IF(Y$1&lt;=$U19,0,IF(Y$1&gt;IF($U19&lt;2022,2022,$U19),IF(Y$1-IF($U19&lt;2022,2022,$U19)=1,IF(X19&lt;$N19,X19,$N19)*VLOOKUP(LEFT($A19,3),Paramétres!$A:$D,3,0),IF(X19&lt;$N19,X19,$N19)*VLOOKUP(LEFT($A19,3),Paramétres!$A:$D,4)),0))</f>
        <v>4728.8623724999998</v>
      </c>
      <c r="Z19" s="11">
        <f>IF(Y19&lt;$N19,Y19,$N19)-IF(Z$1&lt;=$U19,0,IF(Z$1&gt;IF($U19&lt;2022,2022,$U19),IF(Z$1-IF($U19&lt;2022,2022,$U19)=1,IF(Y19&lt;$N19,Y19,$N19)*VLOOKUP(LEFT($A19,3),Paramétres!$A:$D,3,0),IF(Y19&lt;$N19,Y19,$N19)*VLOOKUP(LEFT($A19,3),Paramétres!$A:$D,4)),0))</f>
        <v>4397.8420064249995</v>
      </c>
      <c r="AA19" s="11">
        <f>IF(Z19&lt;$N19,Z19,$N19)-IF(AA$1&lt;=$U19,0,IF(AA$1&gt;IF($U19&lt;2022,2022,$U19),IF(AA$1-IF($U19&lt;2022,2022,$U19)=1,IF(Z19&lt;$N19,Z19,$N19)*VLOOKUP(LEFT($A19,3),Paramétres!$A:$D,3,0),IF(Z19&lt;$N19,Z19,$N19)*VLOOKUP(LEFT($A19,3),Paramétres!$A:$D,4)),0))</f>
        <v>4089.9930659752495</v>
      </c>
      <c r="AB19" s="11">
        <f>IF(AA19&lt;$N19,AA19,$N19)-IF(AB$1&lt;=$U19,0,IF(AB$1&gt;IF($U19&lt;2022,2022,$U19),IF(AB$1-IF($U19&lt;2022,2022,$U19)=1,IF(AA19&lt;$N19,AA19,$N19)*VLOOKUP(LEFT($A19,3),Paramétres!$A:$D,3,0),IF(AA19&lt;$N19,AA19,$N19)*VLOOKUP(LEFT($A19,3),Paramétres!$A:$D,4)),0))</f>
        <v>3803.693551356982</v>
      </c>
      <c r="AC19" s="11">
        <f>IF(AB19&lt;$N19,AB19,$N19)-IF(AC$1&lt;=$U19,0,IF(AC$1&gt;IF($U19&lt;2022,2022,$U19),IF(AC$1-IF($U19&lt;2022,2022,$U19)=1,IF(AB19&lt;$N19,AB19,$N19)*VLOOKUP(LEFT($A19,3),Paramétres!$A:$D,3,0),IF(AB19&lt;$N19,AB19,$N19)*VLOOKUP(LEFT($A19,3),Paramétres!$A:$D,4)),0))</f>
        <v>3537.435002761993</v>
      </c>
      <c r="AD19" s="11">
        <f>IF(AC19&lt;$N19,AC19,$N19)-IF(AD$1&lt;=$U19,0,IF(AD$1&gt;IF($U19&lt;2022,2022,$U19),IF(AD$1-IF($U19&lt;2022,2022,$U19)=1,IF(AC19&lt;$N19,AC19,$N19)*VLOOKUP(LEFT($A19,3),Paramétres!$A:$D,3,0),IF(AC19&lt;$N19,AC19,$N19)*VLOOKUP(LEFT($A19,3),Paramétres!$A:$D,4)),0))</f>
        <v>3289.8145525686537</v>
      </c>
      <c r="AE19" s="11">
        <f>IF(AD19&lt;$N19,AD19,$N19)-IF(AE$1&lt;=$U19,0,IF(AE$1&gt;IF($U19&lt;2022,2022,$U19),IF(AE$1-IF($U19&lt;2022,2022,$U19)=1,IF(AD19&lt;$N19,AD19,$N19)*VLOOKUP(LEFT($A19,3),Paramétres!$A:$D,3,0),IF(AD19&lt;$N19,AD19,$N19)*VLOOKUP(LEFT($A19,3),Paramétres!$A:$D,4)),0))</f>
        <v>3059.5275338888478</v>
      </c>
      <c r="AF19" s="11">
        <f>IF(AE19&lt;$N19,AE19,$N19)-IF(AF$1&lt;=$U19,0,IF(AF$1&gt;IF($U19&lt;2022,2022,$U19),IF(AF$1-IF($U19&lt;2022,2022,$U19)=1,IF(AE19&lt;$N19,AE19,$N19)*VLOOKUP(LEFT($A19,3),Paramétres!$A:$D,3,0),IF(AE19&lt;$N19,AE19,$N19)*VLOOKUP(LEFT($A19,3),Paramétres!$A:$D,4)),0))</f>
        <v>2845.3606065166282</v>
      </c>
      <c r="AG19" s="11">
        <f>IF(AF19&lt;$N19,AF19,$N19)-IF(AG$1&lt;=$U19,0,IF(AG$1&gt;IF($U19&lt;2022,2022,$U19),IF(AG$1-IF($U19&lt;2022,2022,$U19)=1,IF(AF19&lt;$N19,AF19,$N19)*VLOOKUP(LEFT($A19,3),Paramétres!$A:$D,3,0),IF(AF19&lt;$N19,AF19,$N19)*VLOOKUP(LEFT($A19,3),Paramétres!$A:$D,4)),0))</f>
        <v>2646.1853640604641</v>
      </c>
      <c r="AH19" s="11">
        <f>IF(AG19&lt;$N19,AG19,$N19)-IF(AH$1&lt;=$U19,0,IF(AH$1&gt;IF($U19&lt;2022,2022,$U19),IF(AH$1-IF($U19&lt;2022,2022,$U19)=1,IF(AG19&lt;$N19,AG19,$N19)*VLOOKUP(LEFT($A19,3),Paramétres!$A:$D,3,0),IF(AG19&lt;$N19,AG19,$N19)*VLOOKUP(LEFT($A19,3),Paramétres!$A:$D,4)),0))</f>
        <v>2460.9523885762314</v>
      </c>
      <c r="AI19" s="11">
        <f>IF(AH19&lt;$N19,AH19,$N19)-IF(AI$1&lt;=$U19,0,IF(AI$1&gt;IF($U19&lt;2022,2022,$U19),IF(AI$1-IF($U19&lt;2022,2022,$U19)=1,IF(AH19&lt;$N19,AH19,$N19)*VLOOKUP(LEFT($A19,3),Paramétres!$A:$D,3,0),IF(AH19&lt;$N19,AH19,$N19)*VLOOKUP(LEFT($A19,3),Paramétres!$A:$D,4)),0))</f>
        <v>2288.6857213758954</v>
      </c>
      <c r="AJ19" s="11">
        <f>IF(AI19&lt;$N19,AI19,$N19)-IF(AJ$1&lt;=$U19,0,IF(AJ$1&gt;IF($U19&lt;2022,2022,$U19),IF(AJ$1-IF($U19&lt;2022,2022,$U19)=1,IF(AI19&lt;$N19,AI19,$N19)*VLOOKUP(LEFT($A19,3),Paramétres!$A:$D,3,0),IF(AI19&lt;$N19,AI19,$N19)*VLOOKUP(LEFT($A19,3),Paramétres!$A:$D,4)),0))</f>
        <v>2128.4777208795826</v>
      </c>
      <c r="AK19" s="11">
        <f>IF(AJ19&lt;$N19,AJ19,$N19)-IF(AK$1&lt;=$U19,0,IF(AK$1&gt;IF($U19&lt;2022,2022,$U19),IF(AK$1-IF($U19&lt;2022,2022,$U19)=1,IF(AJ19&lt;$N19,AJ19,$N19)*VLOOKUP(LEFT($A19,3),Paramétres!$A:$D,3,0),IF(AJ19&lt;$N19,AJ19,$N19)*VLOOKUP(LEFT($A19,3),Paramétres!$A:$D,4)),0))</f>
        <v>1979.4842804180118</v>
      </c>
    </row>
    <row r="20" spans="1:37" x14ac:dyDescent="0.25">
      <c r="A20" s="1" t="s">
        <v>68</v>
      </c>
      <c r="D20" s="1" t="s">
        <v>64</v>
      </c>
      <c r="E20" s="1" t="s">
        <v>69</v>
      </c>
      <c r="F20" s="1" t="s">
        <v>70</v>
      </c>
      <c r="J20" s="2">
        <v>43069</v>
      </c>
      <c r="K20" s="3">
        <v>19906.900000000001</v>
      </c>
      <c r="L20" s="3" t="s">
        <v>232</v>
      </c>
      <c r="M20" s="3">
        <f>T_BASE[[#This Row],[VALEUR ACHAT]]</f>
        <v>19906.900000000001</v>
      </c>
      <c r="N20" s="3">
        <f>T_BASE[[#This Row],[MONTANT PEC APRES AMORT.]]</f>
        <v>19906.900000000001</v>
      </c>
      <c r="O20" s="1">
        <v>48</v>
      </c>
      <c r="P20" s="2">
        <v>44500</v>
      </c>
      <c r="Q20" s="3">
        <v>445.5</v>
      </c>
      <c r="R20" s="3">
        <v>0</v>
      </c>
      <c r="S20" s="3">
        <v>120</v>
      </c>
      <c r="T20" s="66">
        <f t="shared" si="1"/>
        <v>4</v>
      </c>
      <c r="U20" s="1">
        <f t="shared" si="0"/>
        <v>2017</v>
      </c>
      <c r="V20" s="11">
        <f>T_BASE[[#This Row],[ANNEE ACQT]]+T_BASE[[#This Row],[AMORT.]]</f>
        <v>2021</v>
      </c>
      <c r="W20" s="11">
        <f>$N20-IF(W$1&lt;=$V20,0,IF(W$1&gt;IF($V20&lt;2022,2022,$V20),IF(W$1-IF($V20&lt;2022,2022,$V20)=1,$N20*VLOOKUP(LEFT($A20,3),Paramétres!A:D,3,0),$N20*VLOOKUP(LEFT($A20,3),Paramétres!A:D,4)),0))</f>
        <v>19807.3655</v>
      </c>
      <c r="X20" s="11">
        <f>IF(W20&lt;$N20,W20,$N20)-IF(X$1&lt;=$U20,0,IF(X$1&gt;IF($U20&lt;2022,2022,$U20),IF(X$1-IF($U20&lt;2022,2022,$U20)=1,IF(W20&lt;$N20,W20,$N20)*VLOOKUP(LEFT($A20,3),Paramétres!$A:$D,3,0),IF(W20&lt;$N20,W20,$N20)*VLOOKUP(LEFT($A20,3),Paramétres!$A:$D,4)),0))</f>
        <v>18420.849914999999</v>
      </c>
      <c r="Y20" s="11">
        <f>IF(X20&lt;$N20,X20,$N20)-IF(Y$1&lt;=$U20,0,IF(Y$1&gt;IF($U20&lt;2022,2022,$U20),IF(Y$1-IF($U20&lt;2022,2022,$U20)=1,IF(X20&lt;$N20,X20,$N20)*VLOOKUP(LEFT($A20,3),Paramétres!$A:$D,3,0),IF(X20&lt;$N20,X20,$N20)*VLOOKUP(LEFT($A20,3),Paramétres!$A:$D,4)),0))</f>
        <v>17131.39042095</v>
      </c>
      <c r="Z20" s="11">
        <f>IF(Y20&lt;$N20,Y20,$N20)-IF(Z$1&lt;=$U20,0,IF(Z$1&gt;IF($U20&lt;2022,2022,$U20),IF(Z$1-IF($U20&lt;2022,2022,$U20)=1,IF(Y20&lt;$N20,Y20,$N20)*VLOOKUP(LEFT($A20,3),Paramétres!$A:$D,3,0),IF(Y20&lt;$N20,Y20,$N20)*VLOOKUP(LEFT($A20,3),Paramétres!$A:$D,4)),0))</f>
        <v>15932.193091483499</v>
      </c>
      <c r="AA20" s="11">
        <f>IF(Z20&lt;$N20,Z20,$N20)-IF(AA$1&lt;=$U20,0,IF(AA$1&gt;IF($U20&lt;2022,2022,$U20),IF(AA$1-IF($U20&lt;2022,2022,$U20)=1,IF(Z20&lt;$N20,Z20,$N20)*VLOOKUP(LEFT($A20,3),Paramétres!$A:$D,3,0),IF(Z20&lt;$N20,Z20,$N20)*VLOOKUP(LEFT($A20,3),Paramétres!$A:$D,4)),0))</f>
        <v>14816.939575079654</v>
      </c>
      <c r="AB20" s="11">
        <f>IF(AA20&lt;$N20,AA20,$N20)-IF(AB$1&lt;=$U20,0,IF(AB$1&gt;IF($U20&lt;2022,2022,$U20),IF(AB$1-IF($U20&lt;2022,2022,$U20)=1,IF(AA20&lt;$N20,AA20,$N20)*VLOOKUP(LEFT($A20,3),Paramétres!$A:$D,3,0),IF(AA20&lt;$N20,AA20,$N20)*VLOOKUP(LEFT($A20,3),Paramétres!$A:$D,4)),0))</f>
        <v>13779.753804824079</v>
      </c>
      <c r="AC20" s="11">
        <f>IF(AB20&lt;$N20,AB20,$N20)-IF(AC$1&lt;=$U20,0,IF(AC$1&gt;IF($U20&lt;2022,2022,$U20),IF(AC$1-IF($U20&lt;2022,2022,$U20)=1,IF(AB20&lt;$N20,AB20,$N20)*VLOOKUP(LEFT($A20,3),Paramétres!$A:$D,3,0),IF(AB20&lt;$N20,AB20,$N20)*VLOOKUP(LEFT($A20,3),Paramétres!$A:$D,4)),0))</f>
        <v>12815.171038486393</v>
      </c>
      <c r="AD20" s="11">
        <f>IF(AC20&lt;$N20,AC20,$N20)-IF(AD$1&lt;=$U20,0,IF(AD$1&gt;IF($U20&lt;2022,2022,$U20),IF(AD$1-IF($U20&lt;2022,2022,$U20)=1,IF(AC20&lt;$N20,AC20,$N20)*VLOOKUP(LEFT($A20,3),Paramétres!$A:$D,3,0),IF(AC20&lt;$N20,AC20,$N20)*VLOOKUP(LEFT($A20,3),Paramétres!$A:$D,4)),0))</f>
        <v>11918.109065792345</v>
      </c>
      <c r="AE20" s="11">
        <f>IF(AD20&lt;$N20,AD20,$N20)-IF(AE$1&lt;=$U20,0,IF(AE$1&gt;IF($U20&lt;2022,2022,$U20),IF(AE$1-IF($U20&lt;2022,2022,$U20)=1,IF(AD20&lt;$N20,AD20,$N20)*VLOOKUP(LEFT($A20,3),Paramétres!$A:$D,3,0),IF(AD20&lt;$N20,AD20,$N20)*VLOOKUP(LEFT($A20,3),Paramétres!$A:$D,4)),0))</f>
        <v>11083.84143118688</v>
      </c>
      <c r="AF20" s="11">
        <f>IF(AE20&lt;$N20,AE20,$N20)-IF(AF$1&lt;=$U20,0,IF(AF$1&gt;IF($U20&lt;2022,2022,$U20),IF(AF$1-IF($U20&lt;2022,2022,$U20)=1,IF(AE20&lt;$N20,AE20,$N20)*VLOOKUP(LEFT($A20,3),Paramétres!$A:$D,3,0),IF(AE20&lt;$N20,AE20,$N20)*VLOOKUP(LEFT($A20,3),Paramétres!$A:$D,4)),0))</f>
        <v>10307.972531003797</v>
      </c>
      <c r="AG20" s="11">
        <f>IF(AF20&lt;$N20,AF20,$N20)-IF(AG$1&lt;=$U20,0,IF(AG$1&gt;IF($U20&lt;2022,2022,$U20),IF(AG$1-IF($U20&lt;2022,2022,$U20)=1,IF(AF20&lt;$N20,AF20,$N20)*VLOOKUP(LEFT($A20,3),Paramétres!$A:$D,3,0),IF(AF20&lt;$N20,AF20,$N20)*VLOOKUP(LEFT($A20,3),Paramétres!$A:$D,4)),0))</f>
        <v>9586.4144538335313</v>
      </c>
      <c r="AH20" s="11">
        <f>IF(AG20&lt;$N20,AG20,$N20)-IF(AH$1&lt;=$U20,0,IF(AH$1&gt;IF($U20&lt;2022,2022,$U20),IF(AH$1-IF($U20&lt;2022,2022,$U20)=1,IF(AG20&lt;$N20,AG20,$N20)*VLOOKUP(LEFT($A20,3),Paramétres!$A:$D,3,0),IF(AG20&lt;$N20,AG20,$N20)*VLOOKUP(LEFT($A20,3),Paramétres!$A:$D,4)),0))</f>
        <v>8915.3654420651837</v>
      </c>
      <c r="AI20" s="11">
        <f>IF(AH20&lt;$N20,AH20,$N20)-IF(AI$1&lt;=$U20,0,IF(AI$1&gt;IF($U20&lt;2022,2022,$U20),IF(AI$1-IF($U20&lt;2022,2022,$U20)=1,IF(AH20&lt;$N20,AH20,$N20)*VLOOKUP(LEFT($A20,3),Paramétres!$A:$D,3,0),IF(AH20&lt;$N20,AH20,$N20)*VLOOKUP(LEFT($A20,3),Paramétres!$A:$D,4)),0))</f>
        <v>8291.2898611206201</v>
      </c>
      <c r="AJ20" s="11">
        <f>IF(AI20&lt;$N20,AI20,$N20)-IF(AJ$1&lt;=$U20,0,IF(AJ$1&gt;IF($U20&lt;2022,2022,$U20),IF(AJ$1-IF($U20&lt;2022,2022,$U20)=1,IF(AI20&lt;$N20,AI20,$N20)*VLOOKUP(LEFT($A20,3),Paramétres!$A:$D,3,0),IF(AI20&lt;$N20,AI20,$N20)*VLOOKUP(LEFT($A20,3),Paramétres!$A:$D,4)),0))</f>
        <v>7710.8995708421771</v>
      </c>
      <c r="AK20" s="11">
        <f>IF(AJ20&lt;$N20,AJ20,$N20)-IF(AK$1&lt;=$U20,0,IF(AK$1&gt;IF($U20&lt;2022,2022,$U20),IF(AK$1-IF($U20&lt;2022,2022,$U20)=1,IF(AJ20&lt;$N20,AJ20,$N20)*VLOOKUP(LEFT($A20,3),Paramétres!$A:$D,3,0),IF(AJ20&lt;$N20,AJ20,$N20)*VLOOKUP(LEFT($A20,3),Paramétres!$A:$D,4)),0))</f>
        <v>7171.1366008832247</v>
      </c>
    </row>
    <row r="21" spans="1:37" x14ac:dyDescent="0.25">
      <c r="A21" s="1" t="s">
        <v>71</v>
      </c>
      <c r="D21" s="1" t="s">
        <v>64</v>
      </c>
      <c r="E21" s="1" t="s">
        <v>62</v>
      </c>
      <c r="F21" s="1" t="s">
        <v>59</v>
      </c>
      <c r="J21" s="2">
        <v>43553</v>
      </c>
      <c r="K21" s="3">
        <v>17306.669999999998</v>
      </c>
      <c r="L21" s="3"/>
      <c r="M21" s="3">
        <f>T_BASE[[#This Row],[VALEUR ACHAT]]</f>
        <v>17306.669999999998</v>
      </c>
      <c r="N21" s="3">
        <f>T_BASE[[#This Row],[MONTANT PEC APRES AMORT.]]</f>
        <v>17306.669999999998</v>
      </c>
      <c r="O21" s="1">
        <v>48</v>
      </c>
      <c r="P21" s="2">
        <v>45077</v>
      </c>
      <c r="Q21" s="3">
        <v>540</v>
      </c>
      <c r="R21" s="3">
        <v>0</v>
      </c>
      <c r="S21" s="3">
        <v>120</v>
      </c>
      <c r="T21" s="66">
        <f t="shared" si="1"/>
        <v>4</v>
      </c>
      <c r="U21" s="1">
        <f t="shared" si="0"/>
        <v>2019</v>
      </c>
      <c r="V21" s="11">
        <f>T_BASE[[#This Row],[ANNEE ACQT]]+T_BASE[[#This Row],[AMORT.]]</f>
        <v>2023</v>
      </c>
      <c r="W21" s="11">
        <f>$N21-IF(W$1&lt;=$V21,0,IF(W$1&gt;IF($V21&lt;2022,2022,$V21),IF(W$1-IF($V21&lt;2022,2022,$V21)=1,$N21*VLOOKUP(LEFT($A21,3),Paramétres!A:D,3,0),$N21*VLOOKUP(LEFT($A21,3),Paramétres!A:D,4)),0))</f>
        <v>16095.203099999999</v>
      </c>
      <c r="X21" s="11">
        <f>IF(W21&lt;$N21,W21,$N21)-IF(X$1&lt;=$U21,0,IF(X$1&gt;IF($U21&lt;2022,2022,$U21),IF(X$1-IF($U21&lt;2022,2022,$U21)=1,IF(W21&lt;$N21,W21,$N21)*VLOOKUP(LEFT($A21,3),Paramétres!$A:$D,3,0),IF(W21&lt;$N21,W21,$N21)*VLOOKUP(LEFT($A21,3),Paramétres!$A:$D,4)),0))</f>
        <v>14968.538882999999</v>
      </c>
      <c r="Y21" s="11">
        <f>IF(X21&lt;$N21,X21,$N21)-IF(Y$1&lt;=$U21,0,IF(Y$1&gt;IF($U21&lt;2022,2022,$U21),IF(Y$1-IF($U21&lt;2022,2022,$U21)=1,IF(X21&lt;$N21,X21,$N21)*VLOOKUP(LEFT($A21,3),Paramétres!$A:$D,3,0),IF(X21&lt;$N21,X21,$N21)*VLOOKUP(LEFT($A21,3),Paramétres!$A:$D,4)),0))</f>
        <v>13920.741161189999</v>
      </c>
      <c r="Z21" s="11">
        <f>IF(Y21&lt;$N21,Y21,$N21)-IF(Z$1&lt;=$U21,0,IF(Z$1&gt;IF($U21&lt;2022,2022,$U21),IF(Z$1-IF($U21&lt;2022,2022,$U21)=1,IF(Y21&lt;$N21,Y21,$N21)*VLOOKUP(LEFT($A21,3),Paramétres!$A:$D,3,0),IF(Y21&lt;$N21,Y21,$N21)*VLOOKUP(LEFT($A21,3),Paramétres!$A:$D,4)),0))</f>
        <v>12946.289279906699</v>
      </c>
      <c r="AA21" s="11">
        <f>IF(Z21&lt;$N21,Z21,$N21)-IF(AA$1&lt;=$U21,0,IF(AA$1&gt;IF($U21&lt;2022,2022,$U21),IF(AA$1-IF($U21&lt;2022,2022,$U21)=1,IF(Z21&lt;$N21,Z21,$N21)*VLOOKUP(LEFT($A21,3),Paramétres!$A:$D,3,0),IF(Z21&lt;$N21,Z21,$N21)*VLOOKUP(LEFT($A21,3),Paramétres!$A:$D,4)),0))</f>
        <v>12040.04903031323</v>
      </c>
      <c r="AB21" s="11">
        <f>IF(AA21&lt;$N21,AA21,$N21)-IF(AB$1&lt;=$U21,0,IF(AB$1&gt;IF($U21&lt;2022,2022,$U21),IF(AB$1-IF($U21&lt;2022,2022,$U21)=1,IF(AA21&lt;$N21,AA21,$N21)*VLOOKUP(LEFT($A21,3),Paramétres!$A:$D,3,0),IF(AA21&lt;$N21,AA21,$N21)*VLOOKUP(LEFT($A21,3),Paramétres!$A:$D,4)),0))</f>
        <v>11197.245598191304</v>
      </c>
      <c r="AC21" s="11">
        <f>IF(AB21&lt;$N21,AB21,$N21)-IF(AC$1&lt;=$U21,0,IF(AC$1&gt;IF($U21&lt;2022,2022,$U21),IF(AC$1-IF($U21&lt;2022,2022,$U21)=1,IF(AB21&lt;$N21,AB21,$N21)*VLOOKUP(LEFT($A21,3),Paramétres!$A:$D,3,0),IF(AB21&lt;$N21,AB21,$N21)*VLOOKUP(LEFT($A21,3),Paramétres!$A:$D,4)),0))</f>
        <v>10413.438406317913</v>
      </c>
      <c r="AD21" s="11">
        <f>IF(AC21&lt;$N21,AC21,$N21)-IF(AD$1&lt;=$U21,0,IF(AD$1&gt;IF($U21&lt;2022,2022,$U21),IF(AD$1-IF($U21&lt;2022,2022,$U21)=1,IF(AC21&lt;$N21,AC21,$N21)*VLOOKUP(LEFT($A21,3),Paramétres!$A:$D,3,0),IF(AC21&lt;$N21,AC21,$N21)*VLOOKUP(LEFT($A21,3),Paramétres!$A:$D,4)),0))</f>
        <v>9684.4977178756599</v>
      </c>
      <c r="AE21" s="11">
        <f>IF(AD21&lt;$N21,AD21,$N21)-IF(AE$1&lt;=$U21,0,IF(AE$1&gt;IF($U21&lt;2022,2022,$U21),IF(AE$1-IF($U21&lt;2022,2022,$U21)=1,IF(AD21&lt;$N21,AD21,$N21)*VLOOKUP(LEFT($A21,3),Paramétres!$A:$D,3,0),IF(AD21&lt;$N21,AD21,$N21)*VLOOKUP(LEFT($A21,3),Paramétres!$A:$D,4)),0))</f>
        <v>9006.5828776243634</v>
      </c>
      <c r="AF21" s="11">
        <f>IF(AE21&lt;$N21,AE21,$N21)-IF(AF$1&lt;=$U21,0,IF(AF$1&gt;IF($U21&lt;2022,2022,$U21),IF(AF$1-IF($U21&lt;2022,2022,$U21)=1,IF(AE21&lt;$N21,AE21,$N21)*VLOOKUP(LEFT($A21,3),Paramétres!$A:$D,3,0),IF(AE21&lt;$N21,AE21,$N21)*VLOOKUP(LEFT($A21,3),Paramétres!$A:$D,4)),0))</f>
        <v>8376.1220761906588</v>
      </c>
      <c r="AG21" s="11">
        <f>IF(AF21&lt;$N21,AF21,$N21)-IF(AG$1&lt;=$U21,0,IF(AG$1&gt;IF($U21&lt;2022,2022,$U21),IF(AG$1-IF($U21&lt;2022,2022,$U21)=1,IF(AF21&lt;$N21,AF21,$N21)*VLOOKUP(LEFT($A21,3),Paramétres!$A:$D,3,0),IF(AF21&lt;$N21,AF21,$N21)*VLOOKUP(LEFT($A21,3),Paramétres!$A:$D,4)),0))</f>
        <v>7789.7935308573124</v>
      </c>
      <c r="AH21" s="11">
        <f>IF(AG21&lt;$N21,AG21,$N21)-IF(AH$1&lt;=$U21,0,IF(AH$1&gt;IF($U21&lt;2022,2022,$U21),IF(AH$1-IF($U21&lt;2022,2022,$U21)=1,IF(AG21&lt;$N21,AG21,$N21)*VLOOKUP(LEFT($A21,3),Paramétres!$A:$D,3,0),IF(AG21&lt;$N21,AG21,$N21)*VLOOKUP(LEFT($A21,3),Paramétres!$A:$D,4)),0))</f>
        <v>7244.5079836973</v>
      </c>
      <c r="AI21" s="11">
        <f>IF(AH21&lt;$N21,AH21,$N21)-IF(AI$1&lt;=$U21,0,IF(AI$1&gt;IF($U21&lt;2022,2022,$U21),IF(AI$1-IF($U21&lt;2022,2022,$U21)=1,IF(AH21&lt;$N21,AH21,$N21)*VLOOKUP(LEFT($A21,3),Paramétres!$A:$D,3,0),IF(AH21&lt;$N21,AH21,$N21)*VLOOKUP(LEFT($A21,3),Paramétres!$A:$D,4)),0))</f>
        <v>6737.3924248384892</v>
      </c>
      <c r="AJ21" s="11">
        <f>IF(AI21&lt;$N21,AI21,$N21)-IF(AJ$1&lt;=$U21,0,IF(AJ$1&gt;IF($U21&lt;2022,2022,$U21),IF(AJ$1-IF($U21&lt;2022,2022,$U21)=1,IF(AI21&lt;$N21,AI21,$N21)*VLOOKUP(LEFT($A21,3),Paramétres!$A:$D,3,0),IF(AI21&lt;$N21,AI21,$N21)*VLOOKUP(LEFT($A21,3),Paramétres!$A:$D,4)),0))</f>
        <v>6265.7749550997951</v>
      </c>
      <c r="AK21" s="11">
        <f>IF(AJ21&lt;$N21,AJ21,$N21)-IF(AK$1&lt;=$U21,0,IF(AK$1&gt;IF($U21&lt;2022,2022,$U21),IF(AK$1-IF($U21&lt;2022,2022,$U21)=1,IF(AJ21&lt;$N21,AJ21,$N21)*VLOOKUP(LEFT($A21,3),Paramétres!$A:$D,3,0),IF(AJ21&lt;$N21,AJ21,$N21)*VLOOKUP(LEFT($A21,3),Paramétres!$A:$D,4)),0))</f>
        <v>5827.1707082428093</v>
      </c>
    </row>
    <row r="22" spans="1:37" x14ac:dyDescent="0.25">
      <c r="A22" s="1" t="s">
        <v>72</v>
      </c>
      <c r="D22" s="1" t="s">
        <v>64</v>
      </c>
      <c r="E22" s="1" t="s">
        <v>51</v>
      </c>
      <c r="F22" s="1" t="s">
        <v>57</v>
      </c>
      <c r="J22" s="2">
        <v>43701</v>
      </c>
      <c r="K22" s="3">
        <v>23750</v>
      </c>
      <c r="L22" s="3"/>
      <c r="M22" s="3">
        <f>T_BASE[[#This Row],[VALEUR ACHAT]]</f>
        <v>23750</v>
      </c>
      <c r="N22" s="3">
        <f>T_BASE[[#This Row],[MONTANT PEC APRES AMORT.]]</f>
        <v>23750</v>
      </c>
      <c r="O22" s="1">
        <v>62</v>
      </c>
      <c r="P22" s="2">
        <v>45540</v>
      </c>
      <c r="Q22" s="3">
        <v>585</v>
      </c>
      <c r="R22" s="3">
        <v>0</v>
      </c>
      <c r="S22" s="3">
        <v>120</v>
      </c>
      <c r="T22" s="66">
        <f t="shared" si="1"/>
        <v>5.166666666666667</v>
      </c>
      <c r="U22" s="1">
        <f t="shared" si="0"/>
        <v>2019</v>
      </c>
      <c r="V22" s="11">
        <f>T_BASE[[#This Row],[ANNEE ACQT]]+T_BASE[[#This Row],[AMORT.]]</f>
        <v>2024.1666666666667</v>
      </c>
      <c r="W22" s="11">
        <f>$N22-IF(W$1&lt;=$V22,0,IF(W$1&gt;IF($V22&lt;2022,2022,$V22),IF(W$1-IF($V22&lt;2022,2022,$V22)=1,$N22*VLOOKUP(LEFT($A22,3),Paramétres!A:D,3,0),$N22*VLOOKUP(LEFT($A22,3),Paramétres!A:D,4)),0))</f>
        <v>22087.5</v>
      </c>
      <c r="X22" s="11">
        <f>IF(W22&lt;$N22,W22,$N22)-IF(X$1&lt;=$U22,0,IF(X$1&gt;IF($U22&lt;2022,2022,$U22),IF(X$1-IF($U22&lt;2022,2022,$U22)=1,IF(W22&lt;$N22,W22,$N22)*VLOOKUP(LEFT($A22,3),Paramétres!$A:$D,3,0),IF(W22&lt;$N22,W22,$N22)*VLOOKUP(LEFT($A22,3),Paramétres!$A:$D,4)),0))</f>
        <v>20541.375</v>
      </c>
      <c r="Y22" s="11">
        <f>IF(X22&lt;$N22,X22,$N22)-IF(Y$1&lt;=$U22,0,IF(Y$1&gt;IF($U22&lt;2022,2022,$U22),IF(Y$1-IF($U22&lt;2022,2022,$U22)=1,IF(X22&lt;$N22,X22,$N22)*VLOOKUP(LEFT($A22,3),Paramétres!$A:$D,3,0),IF(X22&lt;$N22,X22,$N22)*VLOOKUP(LEFT($A22,3),Paramétres!$A:$D,4)),0))</f>
        <v>19103.478749999998</v>
      </c>
      <c r="Z22" s="11">
        <f>IF(Y22&lt;$N22,Y22,$N22)-IF(Z$1&lt;=$U22,0,IF(Z$1&gt;IF($U22&lt;2022,2022,$U22),IF(Z$1-IF($U22&lt;2022,2022,$U22)=1,IF(Y22&lt;$N22,Y22,$N22)*VLOOKUP(LEFT($A22,3),Paramétres!$A:$D,3,0),IF(Y22&lt;$N22,Y22,$N22)*VLOOKUP(LEFT($A22,3),Paramétres!$A:$D,4)),0))</f>
        <v>17766.235237499997</v>
      </c>
      <c r="AA22" s="11">
        <f>IF(Z22&lt;$N22,Z22,$N22)-IF(AA$1&lt;=$U22,0,IF(AA$1&gt;IF($U22&lt;2022,2022,$U22),IF(AA$1-IF($U22&lt;2022,2022,$U22)=1,IF(Z22&lt;$N22,Z22,$N22)*VLOOKUP(LEFT($A22,3),Paramétres!$A:$D,3,0),IF(Z22&lt;$N22,Z22,$N22)*VLOOKUP(LEFT($A22,3),Paramétres!$A:$D,4)),0))</f>
        <v>16522.598770874996</v>
      </c>
      <c r="AB22" s="11">
        <f>IF(AA22&lt;$N22,AA22,$N22)-IF(AB$1&lt;=$U22,0,IF(AB$1&gt;IF($U22&lt;2022,2022,$U22),IF(AB$1-IF($U22&lt;2022,2022,$U22)=1,IF(AA22&lt;$N22,AA22,$N22)*VLOOKUP(LEFT($A22,3),Paramétres!$A:$D,3,0),IF(AA22&lt;$N22,AA22,$N22)*VLOOKUP(LEFT($A22,3),Paramétres!$A:$D,4)),0))</f>
        <v>15366.016856913746</v>
      </c>
      <c r="AC22" s="11">
        <f>IF(AB22&lt;$N22,AB22,$N22)-IF(AC$1&lt;=$U22,0,IF(AC$1&gt;IF($U22&lt;2022,2022,$U22),IF(AC$1-IF($U22&lt;2022,2022,$U22)=1,IF(AB22&lt;$N22,AB22,$N22)*VLOOKUP(LEFT($A22,3),Paramétres!$A:$D,3,0),IF(AB22&lt;$N22,AB22,$N22)*VLOOKUP(LEFT($A22,3),Paramétres!$A:$D,4)),0))</f>
        <v>14290.395676929784</v>
      </c>
      <c r="AD22" s="11">
        <f>IF(AC22&lt;$N22,AC22,$N22)-IF(AD$1&lt;=$U22,0,IF(AD$1&gt;IF($U22&lt;2022,2022,$U22),IF(AD$1-IF($U22&lt;2022,2022,$U22)=1,IF(AC22&lt;$N22,AC22,$N22)*VLOOKUP(LEFT($A22,3),Paramétres!$A:$D,3,0),IF(AC22&lt;$N22,AC22,$N22)*VLOOKUP(LEFT($A22,3),Paramétres!$A:$D,4)),0))</f>
        <v>13290.067979544699</v>
      </c>
      <c r="AE22" s="11">
        <f>IF(AD22&lt;$N22,AD22,$N22)-IF(AE$1&lt;=$U22,0,IF(AE$1&gt;IF($U22&lt;2022,2022,$U22),IF(AE$1-IF($U22&lt;2022,2022,$U22)=1,IF(AD22&lt;$N22,AD22,$N22)*VLOOKUP(LEFT($A22,3),Paramétres!$A:$D,3,0),IF(AD22&lt;$N22,AD22,$N22)*VLOOKUP(LEFT($A22,3),Paramétres!$A:$D,4)),0))</f>
        <v>12359.763220976571</v>
      </c>
      <c r="AF22" s="11">
        <f>IF(AE22&lt;$N22,AE22,$N22)-IF(AF$1&lt;=$U22,0,IF(AF$1&gt;IF($U22&lt;2022,2022,$U22),IF(AF$1-IF($U22&lt;2022,2022,$U22)=1,IF(AE22&lt;$N22,AE22,$N22)*VLOOKUP(LEFT($A22,3),Paramétres!$A:$D,3,0),IF(AE22&lt;$N22,AE22,$N22)*VLOOKUP(LEFT($A22,3),Paramétres!$A:$D,4)),0))</f>
        <v>11494.579795508211</v>
      </c>
      <c r="AG22" s="11">
        <f>IF(AF22&lt;$N22,AF22,$N22)-IF(AG$1&lt;=$U22,0,IF(AG$1&gt;IF($U22&lt;2022,2022,$U22),IF(AG$1-IF($U22&lt;2022,2022,$U22)=1,IF(AF22&lt;$N22,AF22,$N22)*VLOOKUP(LEFT($A22,3),Paramétres!$A:$D,3,0),IF(AF22&lt;$N22,AF22,$N22)*VLOOKUP(LEFT($A22,3),Paramétres!$A:$D,4)),0))</f>
        <v>10689.959209822637</v>
      </c>
      <c r="AH22" s="11">
        <f>IF(AG22&lt;$N22,AG22,$N22)-IF(AH$1&lt;=$U22,0,IF(AH$1&gt;IF($U22&lt;2022,2022,$U22),IF(AH$1-IF($U22&lt;2022,2022,$U22)=1,IF(AG22&lt;$N22,AG22,$N22)*VLOOKUP(LEFT($A22,3),Paramétres!$A:$D,3,0),IF(AG22&lt;$N22,AG22,$N22)*VLOOKUP(LEFT($A22,3),Paramétres!$A:$D,4)),0))</f>
        <v>9941.6620651350513</v>
      </c>
      <c r="AI22" s="11">
        <f>IF(AH22&lt;$N22,AH22,$N22)-IF(AI$1&lt;=$U22,0,IF(AI$1&gt;IF($U22&lt;2022,2022,$U22),IF(AI$1-IF($U22&lt;2022,2022,$U22)=1,IF(AH22&lt;$N22,AH22,$N22)*VLOOKUP(LEFT($A22,3),Paramétres!$A:$D,3,0),IF(AH22&lt;$N22,AH22,$N22)*VLOOKUP(LEFT($A22,3),Paramétres!$A:$D,4)),0))</f>
        <v>9245.7457205755982</v>
      </c>
      <c r="AJ22" s="11">
        <f>IF(AI22&lt;$N22,AI22,$N22)-IF(AJ$1&lt;=$U22,0,IF(AJ$1&gt;IF($U22&lt;2022,2022,$U22),IF(AJ$1-IF($U22&lt;2022,2022,$U22)=1,IF(AI22&lt;$N22,AI22,$N22)*VLOOKUP(LEFT($A22,3),Paramétres!$A:$D,3,0),IF(AI22&lt;$N22,AI22,$N22)*VLOOKUP(LEFT($A22,3),Paramétres!$A:$D,4)),0))</f>
        <v>8598.5435201353066</v>
      </c>
      <c r="AK22" s="11">
        <f>IF(AJ22&lt;$N22,AJ22,$N22)-IF(AK$1&lt;=$U22,0,IF(AK$1&gt;IF($U22&lt;2022,2022,$U22),IF(AK$1-IF($U22&lt;2022,2022,$U22)=1,IF(AJ22&lt;$N22,AJ22,$N22)*VLOOKUP(LEFT($A22,3),Paramétres!$A:$D,3,0),IF(AJ22&lt;$N22,AJ22,$N22)*VLOOKUP(LEFT($A22,3),Paramétres!$A:$D,4)),0))</f>
        <v>7996.6454737258355</v>
      </c>
    </row>
    <row r="23" spans="1:37" x14ac:dyDescent="0.25">
      <c r="A23" s="1" t="s">
        <v>73</v>
      </c>
      <c r="D23" s="1" t="s">
        <v>64</v>
      </c>
      <c r="E23" s="1" t="s">
        <v>62</v>
      </c>
      <c r="F23" s="1" t="s">
        <v>65</v>
      </c>
      <c r="J23" s="2">
        <v>43929</v>
      </c>
      <c r="K23" s="3">
        <v>4302.79</v>
      </c>
      <c r="L23" s="3"/>
      <c r="M23" s="3">
        <f>T_BASE[[#This Row],[VALEUR ACHAT]]</f>
        <v>4302.79</v>
      </c>
      <c r="N23" s="3">
        <f>T_BASE[[#This Row],[MONTANT PEC APRES AMORT.]]</f>
        <v>4302.79</v>
      </c>
      <c r="O23" s="1">
        <v>48</v>
      </c>
      <c r="P23" s="2">
        <v>45448</v>
      </c>
      <c r="Q23" s="3">
        <v>396</v>
      </c>
      <c r="R23" s="3">
        <v>0</v>
      </c>
      <c r="S23" s="3">
        <v>120</v>
      </c>
      <c r="T23" s="66">
        <f t="shared" si="1"/>
        <v>4</v>
      </c>
      <c r="U23" s="1">
        <f t="shared" si="0"/>
        <v>2020</v>
      </c>
      <c r="V23" s="11">
        <f>T_BASE[[#This Row],[ANNEE ACQT]]+T_BASE[[#This Row],[AMORT.]]</f>
        <v>2024</v>
      </c>
      <c r="W23" s="11">
        <f>$N23-IF(W$1&lt;=$V23,0,IF(W$1&gt;IF($V23&lt;2022,2022,$V23),IF(W$1-IF($V23&lt;2022,2022,$V23)=1,$N23*VLOOKUP(LEFT($A23,3),Paramétres!A:D,3,0),$N23*VLOOKUP(LEFT($A23,3),Paramétres!A:D,4)),0))</f>
        <v>4001.5947000000001</v>
      </c>
      <c r="X23" s="11">
        <f>IF(W23&lt;$N23,W23,$N23)-IF(X$1&lt;=$U23,0,IF(X$1&gt;IF($U23&lt;2022,2022,$U23),IF(X$1-IF($U23&lt;2022,2022,$U23)=1,IF(W23&lt;$N23,W23,$N23)*VLOOKUP(LEFT($A23,3),Paramétres!$A:$D,3,0),IF(W23&lt;$N23,W23,$N23)*VLOOKUP(LEFT($A23,3),Paramétres!$A:$D,4)),0))</f>
        <v>3721.4830710000001</v>
      </c>
      <c r="Y23" s="11">
        <f>IF(X23&lt;$N23,X23,$N23)-IF(Y$1&lt;=$U23,0,IF(Y$1&gt;IF($U23&lt;2022,2022,$U23),IF(Y$1-IF($U23&lt;2022,2022,$U23)=1,IF(X23&lt;$N23,X23,$N23)*VLOOKUP(LEFT($A23,3),Paramétres!$A:$D,3,0),IF(X23&lt;$N23,X23,$N23)*VLOOKUP(LEFT($A23,3),Paramétres!$A:$D,4)),0))</f>
        <v>3460.9792560300002</v>
      </c>
      <c r="Z23" s="11">
        <f>IF(Y23&lt;$N23,Y23,$N23)-IF(Z$1&lt;=$U23,0,IF(Z$1&gt;IF($U23&lt;2022,2022,$U23),IF(Z$1-IF($U23&lt;2022,2022,$U23)=1,IF(Y23&lt;$N23,Y23,$N23)*VLOOKUP(LEFT($A23,3),Paramétres!$A:$D,3,0),IF(Y23&lt;$N23,Y23,$N23)*VLOOKUP(LEFT($A23,3),Paramétres!$A:$D,4)),0))</f>
        <v>3218.7107081079002</v>
      </c>
      <c r="AA23" s="11">
        <f>IF(Z23&lt;$N23,Z23,$N23)-IF(AA$1&lt;=$U23,0,IF(AA$1&gt;IF($U23&lt;2022,2022,$U23),IF(AA$1-IF($U23&lt;2022,2022,$U23)=1,IF(Z23&lt;$N23,Z23,$N23)*VLOOKUP(LEFT($A23,3),Paramétres!$A:$D,3,0),IF(Z23&lt;$N23,Z23,$N23)*VLOOKUP(LEFT($A23,3),Paramétres!$A:$D,4)),0))</f>
        <v>2993.4009585403473</v>
      </c>
      <c r="AB23" s="11">
        <f>IF(AA23&lt;$N23,AA23,$N23)-IF(AB$1&lt;=$U23,0,IF(AB$1&gt;IF($U23&lt;2022,2022,$U23),IF(AB$1-IF($U23&lt;2022,2022,$U23)=1,IF(AA23&lt;$N23,AA23,$N23)*VLOOKUP(LEFT($A23,3),Paramétres!$A:$D,3,0),IF(AA23&lt;$N23,AA23,$N23)*VLOOKUP(LEFT($A23,3),Paramétres!$A:$D,4)),0))</f>
        <v>2783.8628914425231</v>
      </c>
      <c r="AC23" s="11">
        <f>IF(AB23&lt;$N23,AB23,$N23)-IF(AC$1&lt;=$U23,0,IF(AC$1&gt;IF($U23&lt;2022,2022,$U23),IF(AC$1-IF($U23&lt;2022,2022,$U23)=1,IF(AB23&lt;$N23,AB23,$N23)*VLOOKUP(LEFT($A23,3),Paramétres!$A:$D,3,0),IF(AB23&lt;$N23,AB23,$N23)*VLOOKUP(LEFT($A23,3),Paramétres!$A:$D,4)),0))</f>
        <v>2588.9924890415464</v>
      </c>
      <c r="AD23" s="11">
        <f>IF(AC23&lt;$N23,AC23,$N23)-IF(AD$1&lt;=$U23,0,IF(AD$1&gt;IF($U23&lt;2022,2022,$U23),IF(AD$1-IF($U23&lt;2022,2022,$U23)=1,IF(AC23&lt;$N23,AC23,$N23)*VLOOKUP(LEFT($A23,3),Paramétres!$A:$D,3,0),IF(AC23&lt;$N23,AC23,$N23)*VLOOKUP(LEFT($A23,3),Paramétres!$A:$D,4)),0))</f>
        <v>2407.7630148086382</v>
      </c>
      <c r="AE23" s="11">
        <f>IF(AD23&lt;$N23,AD23,$N23)-IF(AE$1&lt;=$U23,0,IF(AE$1&gt;IF($U23&lt;2022,2022,$U23),IF(AE$1-IF($U23&lt;2022,2022,$U23)=1,IF(AD23&lt;$N23,AD23,$N23)*VLOOKUP(LEFT($A23,3),Paramétres!$A:$D,3,0),IF(AD23&lt;$N23,AD23,$N23)*VLOOKUP(LEFT($A23,3),Paramétres!$A:$D,4)),0))</f>
        <v>2239.2196037720337</v>
      </c>
      <c r="AF23" s="11">
        <f>IF(AE23&lt;$N23,AE23,$N23)-IF(AF$1&lt;=$U23,0,IF(AF$1&gt;IF($U23&lt;2022,2022,$U23),IF(AF$1-IF($U23&lt;2022,2022,$U23)=1,IF(AE23&lt;$N23,AE23,$N23)*VLOOKUP(LEFT($A23,3),Paramétres!$A:$D,3,0),IF(AE23&lt;$N23,AE23,$N23)*VLOOKUP(LEFT($A23,3),Paramétres!$A:$D,4)),0))</f>
        <v>2082.4742315079911</v>
      </c>
      <c r="AG23" s="11">
        <f>IF(AF23&lt;$N23,AF23,$N23)-IF(AG$1&lt;=$U23,0,IF(AG$1&gt;IF($U23&lt;2022,2022,$U23),IF(AG$1-IF($U23&lt;2022,2022,$U23)=1,IF(AF23&lt;$N23,AF23,$N23)*VLOOKUP(LEFT($A23,3),Paramétres!$A:$D,3,0),IF(AF23&lt;$N23,AF23,$N23)*VLOOKUP(LEFT($A23,3),Paramétres!$A:$D,4)),0))</f>
        <v>1936.7010353024318</v>
      </c>
      <c r="AH23" s="11">
        <f>IF(AG23&lt;$N23,AG23,$N23)-IF(AH$1&lt;=$U23,0,IF(AH$1&gt;IF($U23&lt;2022,2022,$U23),IF(AH$1-IF($U23&lt;2022,2022,$U23)=1,IF(AG23&lt;$N23,AG23,$N23)*VLOOKUP(LEFT($A23,3),Paramétres!$A:$D,3,0),IF(AG23&lt;$N23,AG23,$N23)*VLOOKUP(LEFT($A23,3),Paramétres!$A:$D,4)),0))</f>
        <v>1801.1319628312615</v>
      </c>
      <c r="AI23" s="11">
        <f>IF(AH23&lt;$N23,AH23,$N23)-IF(AI$1&lt;=$U23,0,IF(AI$1&gt;IF($U23&lt;2022,2022,$U23),IF(AI$1-IF($U23&lt;2022,2022,$U23)=1,IF(AH23&lt;$N23,AH23,$N23)*VLOOKUP(LEFT($A23,3),Paramétres!$A:$D,3,0),IF(AH23&lt;$N23,AH23,$N23)*VLOOKUP(LEFT($A23,3),Paramétres!$A:$D,4)),0))</f>
        <v>1675.0527254330732</v>
      </c>
      <c r="AJ23" s="11">
        <f>IF(AI23&lt;$N23,AI23,$N23)-IF(AJ$1&lt;=$U23,0,IF(AJ$1&gt;IF($U23&lt;2022,2022,$U23),IF(AJ$1-IF($U23&lt;2022,2022,$U23)=1,IF(AI23&lt;$N23,AI23,$N23)*VLOOKUP(LEFT($A23,3),Paramétres!$A:$D,3,0),IF(AI23&lt;$N23,AI23,$N23)*VLOOKUP(LEFT($A23,3),Paramétres!$A:$D,4)),0))</f>
        <v>1557.7990346527581</v>
      </c>
      <c r="AK23" s="11">
        <f>IF(AJ23&lt;$N23,AJ23,$N23)-IF(AK$1&lt;=$U23,0,IF(AK$1&gt;IF($U23&lt;2022,2022,$U23),IF(AK$1-IF($U23&lt;2022,2022,$U23)=1,IF(AJ23&lt;$N23,AJ23,$N23)*VLOOKUP(LEFT($A23,3),Paramétres!$A:$D,3,0),IF(AJ23&lt;$N23,AJ23,$N23)*VLOOKUP(LEFT($A23,3),Paramétres!$A:$D,4)),0))</f>
        <v>1448.753102227065</v>
      </c>
    </row>
    <row r="24" spans="1:37" x14ac:dyDescent="0.25">
      <c r="A24" s="1" t="s">
        <v>74</v>
      </c>
      <c r="D24" s="1" t="s">
        <v>64</v>
      </c>
      <c r="E24" s="1" t="s">
        <v>58</v>
      </c>
      <c r="F24" s="1" t="s">
        <v>75</v>
      </c>
      <c r="J24" s="2">
        <v>44279</v>
      </c>
      <c r="K24" s="3">
        <v>21541.88</v>
      </c>
      <c r="L24" s="3"/>
      <c r="M24" s="3">
        <f>T_BASE[[#This Row],[VALEUR ACHAT]]</f>
        <v>21541.88</v>
      </c>
      <c r="N24" s="3">
        <f>T_BASE[[#This Row],[MONTANT PEC APRES AMORT.]]</f>
        <v>21541.88</v>
      </c>
      <c r="O24" s="1">
        <v>48</v>
      </c>
      <c r="P24" s="2">
        <v>45728</v>
      </c>
      <c r="Q24" s="3">
        <v>445.5</v>
      </c>
      <c r="R24" s="3">
        <v>0</v>
      </c>
      <c r="S24" s="3">
        <v>120</v>
      </c>
      <c r="T24" s="66">
        <f t="shared" si="1"/>
        <v>4</v>
      </c>
      <c r="U24" s="1">
        <f t="shared" si="0"/>
        <v>2021</v>
      </c>
      <c r="V24" s="11">
        <f>T_BASE[[#This Row],[ANNEE ACQT]]+T_BASE[[#This Row],[AMORT.]]</f>
        <v>2025</v>
      </c>
      <c r="W24" s="11">
        <f>$N24-IF(W$1&lt;=$V24,0,IF(W$1&gt;IF($V24&lt;2022,2022,$V24),IF(W$1-IF($V24&lt;2022,2022,$V24)=1,$N24*VLOOKUP(LEFT($A24,3),Paramétres!A:D,3,0),$N24*VLOOKUP(LEFT($A24,3),Paramétres!A:D,4)),0))</f>
        <v>20033.948400000001</v>
      </c>
      <c r="X24" s="11">
        <f>IF(W24&lt;$N24,W24,$N24)-IF(X$1&lt;=$U24,0,IF(X$1&gt;IF($U24&lt;2022,2022,$U24),IF(X$1-IF($U24&lt;2022,2022,$U24)=1,IF(W24&lt;$N24,W24,$N24)*VLOOKUP(LEFT($A24,3),Paramétres!$A:$D,3,0),IF(W24&lt;$N24,W24,$N24)*VLOOKUP(LEFT($A24,3),Paramétres!$A:$D,4)),0))</f>
        <v>18631.572012000001</v>
      </c>
      <c r="Y24" s="11">
        <f>IF(X24&lt;$N24,X24,$N24)-IF(Y$1&lt;=$U24,0,IF(Y$1&gt;IF($U24&lt;2022,2022,$U24),IF(Y$1-IF($U24&lt;2022,2022,$U24)=1,IF(X24&lt;$N24,X24,$N24)*VLOOKUP(LEFT($A24,3),Paramétres!$A:$D,3,0),IF(X24&lt;$N24,X24,$N24)*VLOOKUP(LEFT($A24,3),Paramétres!$A:$D,4)),0))</f>
        <v>17327.36197116</v>
      </c>
      <c r="Z24" s="11">
        <f>IF(Y24&lt;$N24,Y24,$N24)-IF(Z$1&lt;=$U24,0,IF(Z$1&gt;IF($U24&lt;2022,2022,$U24),IF(Z$1-IF($U24&lt;2022,2022,$U24)=1,IF(Y24&lt;$N24,Y24,$N24)*VLOOKUP(LEFT($A24,3),Paramétres!$A:$D,3,0),IF(Y24&lt;$N24,Y24,$N24)*VLOOKUP(LEFT($A24,3),Paramétres!$A:$D,4)),0))</f>
        <v>16114.446633178801</v>
      </c>
      <c r="AA24" s="11">
        <f>IF(Z24&lt;$N24,Z24,$N24)-IF(AA$1&lt;=$U24,0,IF(AA$1&gt;IF($U24&lt;2022,2022,$U24),IF(AA$1-IF($U24&lt;2022,2022,$U24)=1,IF(Z24&lt;$N24,Z24,$N24)*VLOOKUP(LEFT($A24,3),Paramétres!$A:$D,3,0),IF(Z24&lt;$N24,Z24,$N24)*VLOOKUP(LEFT($A24,3),Paramétres!$A:$D,4)),0))</f>
        <v>14986.435368856284</v>
      </c>
      <c r="AB24" s="11">
        <f>IF(AA24&lt;$N24,AA24,$N24)-IF(AB$1&lt;=$U24,0,IF(AB$1&gt;IF($U24&lt;2022,2022,$U24),IF(AB$1-IF($U24&lt;2022,2022,$U24)=1,IF(AA24&lt;$N24,AA24,$N24)*VLOOKUP(LEFT($A24,3),Paramétres!$A:$D,3,0),IF(AA24&lt;$N24,AA24,$N24)*VLOOKUP(LEFT($A24,3),Paramétres!$A:$D,4)),0))</f>
        <v>13937.384893036344</v>
      </c>
      <c r="AC24" s="11">
        <f>IF(AB24&lt;$N24,AB24,$N24)-IF(AC$1&lt;=$U24,0,IF(AC$1&gt;IF($U24&lt;2022,2022,$U24),IF(AC$1-IF($U24&lt;2022,2022,$U24)=1,IF(AB24&lt;$N24,AB24,$N24)*VLOOKUP(LEFT($A24,3),Paramétres!$A:$D,3,0),IF(AB24&lt;$N24,AB24,$N24)*VLOOKUP(LEFT($A24,3),Paramétres!$A:$D,4)),0))</f>
        <v>12961.767950523799</v>
      </c>
      <c r="AD24" s="11">
        <f>IF(AC24&lt;$N24,AC24,$N24)-IF(AD$1&lt;=$U24,0,IF(AD$1&gt;IF($U24&lt;2022,2022,$U24),IF(AD$1-IF($U24&lt;2022,2022,$U24)=1,IF(AC24&lt;$N24,AC24,$N24)*VLOOKUP(LEFT($A24,3),Paramétres!$A:$D,3,0),IF(AC24&lt;$N24,AC24,$N24)*VLOOKUP(LEFT($A24,3),Paramétres!$A:$D,4)),0))</f>
        <v>12054.444193987134</v>
      </c>
      <c r="AE24" s="11">
        <f>IF(AD24&lt;$N24,AD24,$N24)-IF(AE$1&lt;=$U24,0,IF(AE$1&gt;IF($U24&lt;2022,2022,$U24),IF(AE$1-IF($U24&lt;2022,2022,$U24)=1,IF(AD24&lt;$N24,AD24,$N24)*VLOOKUP(LEFT($A24,3),Paramétres!$A:$D,3,0),IF(AD24&lt;$N24,AD24,$N24)*VLOOKUP(LEFT($A24,3),Paramétres!$A:$D,4)),0))</f>
        <v>11210.633100408035</v>
      </c>
      <c r="AF24" s="11">
        <f>IF(AE24&lt;$N24,AE24,$N24)-IF(AF$1&lt;=$U24,0,IF(AF$1&gt;IF($U24&lt;2022,2022,$U24),IF(AF$1-IF($U24&lt;2022,2022,$U24)=1,IF(AE24&lt;$N24,AE24,$N24)*VLOOKUP(LEFT($A24,3),Paramétres!$A:$D,3,0),IF(AE24&lt;$N24,AE24,$N24)*VLOOKUP(LEFT($A24,3),Paramétres!$A:$D,4)),0))</f>
        <v>10425.888783379472</v>
      </c>
      <c r="AG24" s="11">
        <f>IF(AF24&lt;$N24,AF24,$N24)-IF(AG$1&lt;=$U24,0,IF(AG$1&gt;IF($U24&lt;2022,2022,$U24),IF(AG$1-IF($U24&lt;2022,2022,$U24)=1,IF(AF24&lt;$N24,AF24,$N24)*VLOOKUP(LEFT($A24,3),Paramétres!$A:$D,3,0),IF(AF24&lt;$N24,AF24,$N24)*VLOOKUP(LEFT($A24,3),Paramétres!$A:$D,4)),0))</f>
        <v>9696.0765685429087</v>
      </c>
      <c r="AH24" s="11">
        <f>IF(AG24&lt;$N24,AG24,$N24)-IF(AH$1&lt;=$U24,0,IF(AH$1&gt;IF($U24&lt;2022,2022,$U24),IF(AH$1-IF($U24&lt;2022,2022,$U24)=1,IF(AG24&lt;$N24,AG24,$N24)*VLOOKUP(LEFT($A24,3),Paramétres!$A:$D,3,0),IF(AG24&lt;$N24,AG24,$N24)*VLOOKUP(LEFT($A24,3),Paramétres!$A:$D,4)),0))</f>
        <v>9017.3512087449053</v>
      </c>
      <c r="AI24" s="11">
        <f>IF(AH24&lt;$N24,AH24,$N24)-IF(AI$1&lt;=$U24,0,IF(AI$1&gt;IF($U24&lt;2022,2022,$U24),IF(AI$1-IF($U24&lt;2022,2022,$U24)=1,IF(AH24&lt;$N24,AH24,$N24)*VLOOKUP(LEFT($A24,3),Paramétres!$A:$D,3,0),IF(AH24&lt;$N24,AH24,$N24)*VLOOKUP(LEFT($A24,3),Paramétres!$A:$D,4)),0))</f>
        <v>8386.1366241327614</v>
      </c>
      <c r="AJ24" s="11">
        <f>IF(AI24&lt;$N24,AI24,$N24)-IF(AJ$1&lt;=$U24,0,IF(AJ$1&gt;IF($U24&lt;2022,2022,$U24),IF(AJ$1-IF($U24&lt;2022,2022,$U24)=1,IF(AI24&lt;$N24,AI24,$N24)*VLOOKUP(LEFT($A24,3),Paramétres!$A:$D,3,0),IF(AI24&lt;$N24,AI24,$N24)*VLOOKUP(LEFT($A24,3),Paramétres!$A:$D,4)),0))</f>
        <v>7799.1070604434681</v>
      </c>
      <c r="AK24" s="11">
        <f>IF(AJ24&lt;$N24,AJ24,$N24)-IF(AK$1&lt;=$U24,0,IF(AK$1&gt;IF($U24&lt;2022,2022,$U24),IF(AK$1-IF($U24&lt;2022,2022,$U24)=1,IF(AJ24&lt;$N24,AJ24,$N24)*VLOOKUP(LEFT($A24,3),Paramétres!$A:$D,3,0),IF(AJ24&lt;$N24,AJ24,$N24)*VLOOKUP(LEFT($A24,3),Paramétres!$A:$D,4)),0))</f>
        <v>7253.1695662124257</v>
      </c>
    </row>
    <row r="25" spans="1:37" x14ac:dyDescent="0.25">
      <c r="A25" s="1" t="s">
        <v>76</v>
      </c>
      <c r="D25" s="1" t="s">
        <v>64</v>
      </c>
      <c r="E25" s="1" t="s">
        <v>77</v>
      </c>
      <c r="F25" s="1" t="s">
        <v>78</v>
      </c>
      <c r="J25" s="2">
        <v>44535</v>
      </c>
      <c r="K25" s="3">
        <v>17799.16</v>
      </c>
      <c r="L25" s="3"/>
      <c r="M25" s="3">
        <f>T_BASE[[#This Row],[VALEUR ACHAT]]</f>
        <v>17799.16</v>
      </c>
      <c r="N25" s="3">
        <f>T_BASE[[#This Row],[MONTANT PEC APRES AMORT.]]</f>
        <v>17799.16</v>
      </c>
      <c r="O25" s="1">
        <v>48</v>
      </c>
      <c r="P25" s="2">
        <v>45959</v>
      </c>
      <c r="Q25" s="3">
        <v>445.5</v>
      </c>
      <c r="R25" s="3">
        <v>0</v>
      </c>
      <c r="S25" s="3">
        <v>120</v>
      </c>
      <c r="T25" s="66">
        <f t="shared" si="1"/>
        <v>4</v>
      </c>
      <c r="U25" s="1">
        <f t="shared" si="0"/>
        <v>2021</v>
      </c>
      <c r="V25" s="11">
        <f>T_BASE[[#This Row],[ANNEE ACQT]]+T_BASE[[#This Row],[AMORT.]]</f>
        <v>2025</v>
      </c>
      <c r="W25" s="11">
        <f>$N25-IF(W$1&lt;=$V25,0,IF(W$1&gt;IF($V25&lt;2022,2022,$V25),IF(W$1-IF($V25&lt;2022,2022,$V25)=1,$N25*VLOOKUP(LEFT($A25,3),Paramétres!A:D,3,0),$N25*VLOOKUP(LEFT($A25,3),Paramétres!A:D,4)),0))</f>
        <v>16553.218799999999</v>
      </c>
      <c r="X25" s="11">
        <f>IF(W25&lt;$N25,W25,$N25)-IF(X$1&lt;=$U25,0,IF(X$1&gt;IF($U25&lt;2022,2022,$U25),IF(X$1-IF($U25&lt;2022,2022,$U25)=1,IF(W25&lt;$N25,W25,$N25)*VLOOKUP(LEFT($A25,3),Paramétres!$A:$D,3,0),IF(W25&lt;$N25,W25,$N25)*VLOOKUP(LEFT($A25,3),Paramétres!$A:$D,4)),0))</f>
        <v>15394.493483999999</v>
      </c>
      <c r="Y25" s="11">
        <f>IF(X25&lt;$N25,X25,$N25)-IF(Y$1&lt;=$U25,0,IF(Y$1&gt;IF($U25&lt;2022,2022,$U25),IF(Y$1-IF($U25&lt;2022,2022,$U25)=1,IF(X25&lt;$N25,X25,$N25)*VLOOKUP(LEFT($A25,3),Paramétres!$A:$D,3,0),IF(X25&lt;$N25,X25,$N25)*VLOOKUP(LEFT($A25,3),Paramétres!$A:$D,4)),0))</f>
        <v>14316.878940119999</v>
      </c>
      <c r="Z25" s="11">
        <f>IF(Y25&lt;$N25,Y25,$N25)-IF(Z$1&lt;=$U25,0,IF(Z$1&gt;IF($U25&lt;2022,2022,$U25),IF(Z$1-IF($U25&lt;2022,2022,$U25)=1,IF(Y25&lt;$N25,Y25,$N25)*VLOOKUP(LEFT($A25,3),Paramétres!$A:$D,3,0),IF(Y25&lt;$N25,Y25,$N25)*VLOOKUP(LEFT($A25,3),Paramétres!$A:$D,4)),0))</f>
        <v>13314.697414311599</v>
      </c>
      <c r="AA25" s="11">
        <f>IF(Z25&lt;$N25,Z25,$N25)-IF(AA$1&lt;=$U25,0,IF(AA$1&gt;IF($U25&lt;2022,2022,$U25),IF(AA$1-IF($U25&lt;2022,2022,$U25)=1,IF(Z25&lt;$N25,Z25,$N25)*VLOOKUP(LEFT($A25,3),Paramétres!$A:$D,3,0),IF(Z25&lt;$N25,Z25,$N25)*VLOOKUP(LEFT($A25,3),Paramétres!$A:$D,4)),0))</f>
        <v>12382.668595309786</v>
      </c>
      <c r="AB25" s="11">
        <f>IF(AA25&lt;$N25,AA25,$N25)-IF(AB$1&lt;=$U25,0,IF(AB$1&gt;IF($U25&lt;2022,2022,$U25),IF(AB$1-IF($U25&lt;2022,2022,$U25)=1,IF(AA25&lt;$N25,AA25,$N25)*VLOOKUP(LEFT($A25,3),Paramétres!$A:$D,3,0),IF(AA25&lt;$N25,AA25,$N25)*VLOOKUP(LEFT($A25,3),Paramétres!$A:$D,4)),0))</f>
        <v>11515.8817936381</v>
      </c>
      <c r="AC25" s="11">
        <f>IF(AB25&lt;$N25,AB25,$N25)-IF(AC$1&lt;=$U25,0,IF(AC$1&gt;IF($U25&lt;2022,2022,$U25),IF(AC$1-IF($U25&lt;2022,2022,$U25)=1,IF(AB25&lt;$N25,AB25,$N25)*VLOOKUP(LEFT($A25,3),Paramétres!$A:$D,3,0),IF(AB25&lt;$N25,AB25,$N25)*VLOOKUP(LEFT($A25,3),Paramétres!$A:$D,4)),0))</f>
        <v>10709.770068083433</v>
      </c>
      <c r="AD25" s="11">
        <f>IF(AC25&lt;$N25,AC25,$N25)-IF(AD$1&lt;=$U25,0,IF(AD$1&gt;IF($U25&lt;2022,2022,$U25),IF(AD$1-IF($U25&lt;2022,2022,$U25)=1,IF(AC25&lt;$N25,AC25,$N25)*VLOOKUP(LEFT($A25,3),Paramétres!$A:$D,3,0),IF(AC25&lt;$N25,AC25,$N25)*VLOOKUP(LEFT($A25,3),Paramétres!$A:$D,4)),0))</f>
        <v>9960.0861633175919</v>
      </c>
      <c r="AE25" s="11">
        <f>IF(AD25&lt;$N25,AD25,$N25)-IF(AE$1&lt;=$U25,0,IF(AE$1&gt;IF($U25&lt;2022,2022,$U25),IF(AE$1-IF($U25&lt;2022,2022,$U25)=1,IF(AD25&lt;$N25,AD25,$N25)*VLOOKUP(LEFT($A25,3),Paramétres!$A:$D,3,0),IF(AD25&lt;$N25,AD25,$N25)*VLOOKUP(LEFT($A25,3),Paramétres!$A:$D,4)),0))</f>
        <v>9262.8801318853602</v>
      </c>
      <c r="AF25" s="11">
        <f>IF(AE25&lt;$N25,AE25,$N25)-IF(AF$1&lt;=$U25,0,IF(AF$1&gt;IF($U25&lt;2022,2022,$U25),IF(AF$1-IF($U25&lt;2022,2022,$U25)=1,IF(AE25&lt;$N25,AE25,$N25)*VLOOKUP(LEFT($A25,3),Paramétres!$A:$D,3,0),IF(AE25&lt;$N25,AE25,$N25)*VLOOKUP(LEFT($A25,3),Paramétres!$A:$D,4)),0))</f>
        <v>8614.4785226533859</v>
      </c>
      <c r="AG25" s="11">
        <f>IF(AF25&lt;$N25,AF25,$N25)-IF(AG$1&lt;=$U25,0,IF(AG$1&gt;IF($U25&lt;2022,2022,$U25),IF(AG$1-IF($U25&lt;2022,2022,$U25)=1,IF(AF25&lt;$N25,AF25,$N25)*VLOOKUP(LEFT($A25,3),Paramétres!$A:$D,3,0),IF(AF25&lt;$N25,AF25,$N25)*VLOOKUP(LEFT($A25,3),Paramétres!$A:$D,4)),0))</f>
        <v>8011.465026067649</v>
      </c>
      <c r="AH25" s="11">
        <f>IF(AG25&lt;$N25,AG25,$N25)-IF(AH$1&lt;=$U25,0,IF(AH$1&gt;IF($U25&lt;2022,2022,$U25),IF(AH$1-IF($U25&lt;2022,2022,$U25)=1,IF(AG25&lt;$N25,AG25,$N25)*VLOOKUP(LEFT($A25,3),Paramétres!$A:$D,3,0),IF(AG25&lt;$N25,AG25,$N25)*VLOOKUP(LEFT($A25,3),Paramétres!$A:$D,4)),0))</f>
        <v>7450.662474242914</v>
      </c>
      <c r="AI25" s="11">
        <f>IF(AH25&lt;$N25,AH25,$N25)-IF(AI$1&lt;=$U25,0,IF(AI$1&gt;IF($U25&lt;2022,2022,$U25),IF(AI$1-IF($U25&lt;2022,2022,$U25)=1,IF(AH25&lt;$N25,AH25,$N25)*VLOOKUP(LEFT($A25,3),Paramétres!$A:$D,3,0),IF(AH25&lt;$N25,AH25,$N25)*VLOOKUP(LEFT($A25,3),Paramétres!$A:$D,4)),0))</f>
        <v>6929.11610104591</v>
      </c>
      <c r="AJ25" s="11">
        <f>IF(AI25&lt;$N25,AI25,$N25)-IF(AJ$1&lt;=$U25,0,IF(AJ$1&gt;IF($U25&lt;2022,2022,$U25),IF(AJ$1-IF($U25&lt;2022,2022,$U25)=1,IF(AI25&lt;$N25,AI25,$N25)*VLOOKUP(LEFT($A25,3),Paramétres!$A:$D,3,0),IF(AI25&lt;$N25,AI25,$N25)*VLOOKUP(LEFT($A25,3),Paramétres!$A:$D,4)),0))</f>
        <v>6444.0779739726959</v>
      </c>
      <c r="AK25" s="11">
        <f>IF(AJ25&lt;$N25,AJ25,$N25)-IF(AK$1&lt;=$U25,0,IF(AK$1&gt;IF($U25&lt;2022,2022,$U25),IF(AK$1-IF($U25&lt;2022,2022,$U25)=1,IF(AJ25&lt;$N25,AJ25,$N25)*VLOOKUP(LEFT($A25,3),Paramétres!$A:$D,3,0),IF(AJ25&lt;$N25,AJ25,$N25)*VLOOKUP(LEFT($A25,3),Paramétres!$A:$D,4)),0))</f>
        <v>5992.9925157946072</v>
      </c>
    </row>
    <row r="26" spans="1:37" x14ac:dyDescent="0.25">
      <c r="A26" s="1" t="s">
        <v>79</v>
      </c>
      <c r="D26" s="1" t="s">
        <v>64</v>
      </c>
      <c r="E26" s="1" t="s">
        <v>77</v>
      </c>
      <c r="F26" s="1" t="s">
        <v>80</v>
      </c>
      <c r="J26" s="2">
        <v>44376</v>
      </c>
      <c r="K26" s="3">
        <v>22801.279999999999</v>
      </c>
      <c r="L26" s="3"/>
      <c r="M26" s="3">
        <f>T_BASE[[#This Row],[VALEUR ACHAT]]</f>
        <v>22801.279999999999</v>
      </c>
      <c r="N26" s="3">
        <f>T_BASE[[#This Row],[MONTANT PEC APRES AMORT.]]</f>
        <v>22801.279999999999</v>
      </c>
      <c r="O26" s="1">
        <v>49</v>
      </c>
      <c r="Q26" s="3">
        <v>180</v>
      </c>
      <c r="R26" s="3">
        <v>0</v>
      </c>
      <c r="S26" s="3">
        <v>120</v>
      </c>
      <c r="T26" s="66">
        <f t="shared" si="1"/>
        <v>4.083333333333333</v>
      </c>
      <c r="U26" s="1">
        <f t="shared" si="0"/>
        <v>2021</v>
      </c>
      <c r="V26" s="11">
        <f>T_BASE[[#This Row],[ANNEE ACQT]]+T_BASE[[#This Row],[AMORT.]]</f>
        <v>2025.0833333333333</v>
      </c>
      <c r="W26" s="11">
        <f>$N26-IF(W$1&lt;=$V26,0,IF(W$1&gt;IF($V26&lt;2022,2022,$V26),IF(W$1-IF($V26&lt;2022,2022,$V26)=1,$N26*VLOOKUP(LEFT($A26,3),Paramétres!A:D,3,0),$N26*VLOOKUP(LEFT($A26,3),Paramétres!A:D,4)),0))</f>
        <v>21205.190399999999</v>
      </c>
      <c r="X26" s="11">
        <f>IF(W26&lt;$N26,W26,$N26)-IF(X$1&lt;=$U26,0,IF(X$1&gt;IF($U26&lt;2022,2022,$U26),IF(X$1-IF($U26&lt;2022,2022,$U26)=1,IF(W26&lt;$N26,W26,$N26)*VLOOKUP(LEFT($A26,3),Paramétres!$A:$D,3,0),IF(W26&lt;$N26,W26,$N26)*VLOOKUP(LEFT($A26,3),Paramétres!$A:$D,4)),0))</f>
        <v>19720.827072</v>
      </c>
      <c r="Y26" s="11">
        <f>IF(X26&lt;$N26,X26,$N26)-IF(Y$1&lt;=$U26,0,IF(Y$1&gt;IF($U26&lt;2022,2022,$U26),IF(Y$1-IF($U26&lt;2022,2022,$U26)=1,IF(X26&lt;$N26,X26,$N26)*VLOOKUP(LEFT($A26,3),Paramétres!$A:$D,3,0),IF(X26&lt;$N26,X26,$N26)*VLOOKUP(LEFT($A26,3),Paramétres!$A:$D,4)),0))</f>
        <v>18340.369176960001</v>
      </c>
      <c r="Z26" s="11">
        <f>IF(Y26&lt;$N26,Y26,$N26)-IF(Z$1&lt;=$U26,0,IF(Z$1&gt;IF($U26&lt;2022,2022,$U26),IF(Z$1-IF($U26&lt;2022,2022,$U26)=1,IF(Y26&lt;$N26,Y26,$N26)*VLOOKUP(LEFT($A26,3),Paramétres!$A:$D,3,0),IF(Y26&lt;$N26,Y26,$N26)*VLOOKUP(LEFT($A26,3),Paramétres!$A:$D,4)),0))</f>
        <v>17056.543334572802</v>
      </c>
      <c r="AA26" s="11">
        <f>IF(Z26&lt;$N26,Z26,$N26)-IF(AA$1&lt;=$U26,0,IF(AA$1&gt;IF($U26&lt;2022,2022,$U26),IF(AA$1-IF($U26&lt;2022,2022,$U26)=1,IF(Z26&lt;$N26,Z26,$N26)*VLOOKUP(LEFT($A26,3),Paramétres!$A:$D,3,0),IF(Z26&lt;$N26,Z26,$N26)*VLOOKUP(LEFT($A26,3),Paramétres!$A:$D,4)),0))</f>
        <v>15862.585301152705</v>
      </c>
      <c r="AB26" s="11">
        <f>IF(AA26&lt;$N26,AA26,$N26)-IF(AB$1&lt;=$U26,0,IF(AB$1&gt;IF($U26&lt;2022,2022,$U26),IF(AB$1-IF($U26&lt;2022,2022,$U26)=1,IF(AA26&lt;$N26,AA26,$N26)*VLOOKUP(LEFT($A26,3),Paramétres!$A:$D,3,0),IF(AA26&lt;$N26,AA26,$N26)*VLOOKUP(LEFT($A26,3),Paramétres!$A:$D,4)),0))</f>
        <v>14752.204330072016</v>
      </c>
      <c r="AC26" s="11">
        <f>IF(AB26&lt;$N26,AB26,$N26)-IF(AC$1&lt;=$U26,0,IF(AC$1&gt;IF($U26&lt;2022,2022,$U26),IF(AC$1-IF($U26&lt;2022,2022,$U26)=1,IF(AB26&lt;$N26,AB26,$N26)*VLOOKUP(LEFT($A26,3),Paramétres!$A:$D,3,0),IF(AB26&lt;$N26,AB26,$N26)*VLOOKUP(LEFT($A26,3),Paramétres!$A:$D,4)),0))</f>
        <v>13719.550026966976</v>
      </c>
      <c r="AD26" s="11">
        <f>IF(AC26&lt;$N26,AC26,$N26)-IF(AD$1&lt;=$U26,0,IF(AD$1&gt;IF($U26&lt;2022,2022,$U26),IF(AD$1-IF($U26&lt;2022,2022,$U26)=1,IF(AC26&lt;$N26,AC26,$N26)*VLOOKUP(LEFT($A26,3),Paramétres!$A:$D,3,0),IF(AC26&lt;$N26,AC26,$N26)*VLOOKUP(LEFT($A26,3),Paramétres!$A:$D,4)),0))</f>
        <v>12759.181525079288</v>
      </c>
      <c r="AE26" s="11">
        <f>IF(AD26&lt;$N26,AD26,$N26)-IF(AE$1&lt;=$U26,0,IF(AE$1&gt;IF($U26&lt;2022,2022,$U26),IF(AE$1-IF($U26&lt;2022,2022,$U26)=1,IF(AD26&lt;$N26,AD26,$N26)*VLOOKUP(LEFT($A26,3),Paramétres!$A:$D,3,0),IF(AD26&lt;$N26,AD26,$N26)*VLOOKUP(LEFT($A26,3),Paramétres!$A:$D,4)),0))</f>
        <v>11866.038818323737</v>
      </c>
      <c r="AF26" s="11">
        <f>IF(AE26&lt;$N26,AE26,$N26)-IF(AF$1&lt;=$U26,0,IF(AF$1&gt;IF($U26&lt;2022,2022,$U26),IF(AF$1-IF($U26&lt;2022,2022,$U26)=1,IF(AE26&lt;$N26,AE26,$N26)*VLOOKUP(LEFT($A26,3),Paramétres!$A:$D,3,0),IF(AE26&lt;$N26,AE26,$N26)*VLOOKUP(LEFT($A26,3),Paramétres!$A:$D,4)),0))</f>
        <v>11035.416101041075</v>
      </c>
      <c r="AG26" s="11">
        <f>IF(AF26&lt;$N26,AF26,$N26)-IF(AG$1&lt;=$U26,0,IF(AG$1&gt;IF($U26&lt;2022,2022,$U26),IF(AG$1-IF($U26&lt;2022,2022,$U26)=1,IF(AF26&lt;$N26,AF26,$N26)*VLOOKUP(LEFT($A26,3),Paramétres!$A:$D,3,0),IF(AF26&lt;$N26,AF26,$N26)*VLOOKUP(LEFT($A26,3),Paramétres!$A:$D,4)),0))</f>
        <v>10262.936973968201</v>
      </c>
      <c r="AH26" s="11">
        <f>IF(AG26&lt;$N26,AG26,$N26)-IF(AH$1&lt;=$U26,0,IF(AH$1&gt;IF($U26&lt;2022,2022,$U26),IF(AH$1-IF($U26&lt;2022,2022,$U26)=1,IF(AG26&lt;$N26,AG26,$N26)*VLOOKUP(LEFT($A26,3),Paramétres!$A:$D,3,0),IF(AG26&lt;$N26,AG26,$N26)*VLOOKUP(LEFT($A26,3),Paramétres!$A:$D,4)),0))</f>
        <v>9544.5313857904257</v>
      </c>
      <c r="AI26" s="11">
        <f>IF(AH26&lt;$N26,AH26,$N26)-IF(AI$1&lt;=$U26,0,IF(AI$1&gt;IF($U26&lt;2022,2022,$U26),IF(AI$1-IF($U26&lt;2022,2022,$U26)=1,IF(AH26&lt;$N26,AH26,$N26)*VLOOKUP(LEFT($A26,3),Paramétres!$A:$D,3,0),IF(AH26&lt;$N26,AH26,$N26)*VLOOKUP(LEFT($A26,3),Paramétres!$A:$D,4)),0))</f>
        <v>8876.4141887850965</v>
      </c>
      <c r="AJ26" s="11">
        <f>IF(AI26&lt;$N26,AI26,$N26)-IF(AJ$1&lt;=$U26,0,IF(AJ$1&gt;IF($U26&lt;2022,2022,$U26),IF(AJ$1-IF($U26&lt;2022,2022,$U26)=1,IF(AI26&lt;$N26,AI26,$N26)*VLOOKUP(LEFT($A26,3),Paramétres!$A:$D,3,0),IF(AI26&lt;$N26,AI26,$N26)*VLOOKUP(LEFT($A26,3),Paramétres!$A:$D,4)),0))</f>
        <v>8255.0651955701396</v>
      </c>
      <c r="AK26" s="11">
        <f>IF(AJ26&lt;$N26,AJ26,$N26)-IF(AK$1&lt;=$U26,0,IF(AK$1&gt;IF($U26&lt;2022,2022,$U26),IF(AK$1-IF($U26&lt;2022,2022,$U26)=1,IF(AJ26&lt;$N26,AJ26,$N26)*VLOOKUP(LEFT($A26,3),Paramétres!$A:$D,3,0),IF(AJ26&lt;$N26,AJ26,$N26)*VLOOKUP(LEFT($A26,3),Paramétres!$A:$D,4)),0))</f>
        <v>7677.2106318802298</v>
      </c>
    </row>
    <row r="27" spans="1:37" x14ac:dyDescent="0.25">
      <c r="A27" s="1" t="s">
        <v>81</v>
      </c>
      <c r="D27" s="1" t="s">
        <v>64</v>
      </c>
      <c r="E27" s="1" t="s">
        <v>62</v>
      </c>
      <c r="F27" s="1" t="s">
        <v>82</v>
      </c>
      <c r="J27" s="2">
        <v>44999</v>
      </c>
      <c r="K27" s="3">
        <v>22918.959999999999</v>
      </c>
      <c r="L27" s="3"/>
      <c r="M27" s="3">
        <f>T_BASE[[#This Row],[VALEUR ACHAT]]</f>
        <v>22918.959999999999</v>
      </c>
      <c r="N27" s="3">
        <f>T_BASE[[#This Row],[MONTANT PEC APRES AMORT.]]</f>
        <v>22918.959999999999</v>
      </c>
      <c r="O27" s="1">
        <v>60</v>
      </c>
      <c r="Q27" s="3"/>
      <c r="R27" s="3">
        <v>0</v>
      </c>
      <c r="S27" s="3">
        <v>120</v>
      </c>
      <c r="T27" s="66">
        <f t="shared" si="1"/>
        <v>5</v>
      </c>
      <c r="U27" s="1">
        <f t="shared" si="0"/>
        <v>2023</v>
      </c>
      <c r="V27" s="11">
        <f>T_BASE[[#This Row],[ANNEE ACQT]]+T_BASE[[#This Row],[AMORT.]]</f>
        <v>2028</v>
      </c>
      <c r="W27" s="11">
        <f>$N27-IF(W$1&lt;=$V27,0,IF(W$1&gt;IF($V27&lt;2022,2022,$V27),IF(W$1-IF($V27&lt;2022,2022,$V27)=1,$N27*VLOOKUP(LEFT($A27,3),Paramétres!A:D,3,0),$N27*VLOOKUP(LEFT($A27,3),Paramétres!A:D,4)),0))</f>
        <v>21314.632799999999</v>
      </c>
      <c r="X27" s="11">
        <f>IF(W27&lt;$N27,W27,$N27)-IF(X$1&lt;=$U27,0,IF(X$1&gt;IF($U27&lt;2022,2022,$U27),IF(X$1-IF($U27&lt;2022,2022,$U27)=1,IF(W27&lt;$N27,W27,$N27)*VLOOKUP(LEFT($A27,3),Paramétres!$A:$D,3,0),IF(W27&lt;$N27,W27,$N27)*VLOOKUP(LEFT($A27,3),Paramétres!$A:$D,4)),0))</f>
        <v>21208.059635999998</v>
      </c>
      <c r="Y27" s="11">
        <f>IF(X27&lt;$N27,X27,$N27)-IF(Y$1&lt;=$U27,0,IF(Y$1&gt;IF($U27&lt;2022,2022,$U27),IF(Y$1-IF($U27&lt;2022,2022,$U27)=1,IF(X27&lt;$N27,X27,$N27)*VLOOKUP(LEFT($A27,3),Paramétres!$A:$D,3,0),IF(X27&lt;$N27,X27,$N27)*VLOOKUP(LEFT($A27,3),Paramétres!$A:$D,4)),0))</f>
        <v>19723.495461479997</v>
      </c>
      <c r="Z27" s="11">
        <f>IF(Y27&lt;$N27,Y27,$N27)-IF(Z$1&lt;=$U27,0,IF(Z$1&gt;IF($U27&lt;2022,2022,$U27),IF(Z$1-IF($U27&lt;2022,2022,$U27)=1,IF(Y27&lt;$N27,Y27,$N27)*VLOOKUP(LEFT($A27,3),Paramétres!$A:$D,3,0),IF(Y27&lt;$N27,Y27,$N27)*VLOOKUP(LEFT($A27,3),Paramétres!$A:$D,4)),0))</f>
        <v>18342.850779176399</v>
      </c>
      <c r="AA27" s="11">
        <f>IF(Z27&lt;$N27,Z27,$N27)-IF(AA$1&lt;=$U27,0,IF(AA$1&gt;IF($U27&lt;2022,2022,$U27),IF(AA$1-IF($U27&lt;2022,2022,$U27)=1,IF(Z27&lt;$N27,Z27,$N27)*VLOOKUP(LEFT($A27,3),Paramétres!$A:$D,3,0),IF(Z27&lt;$N27,Z27,$N27)*VLOOKUP(LEFT($A27,3),Paramétres!$A:$D,4)),0))</f>
        <v>17058.851224634051</v>
      </c>
      <c r="AB27" s="11">
        <f>IF(AA27&lt;$N27,AA27,$N27)-IF(AB$1&lt;=$U27,0,IF(AB$1&gt;IF($U27&lt;2022,2022,$U27),IF(AB$1-IF($U27&lt;2022,2022,$U27)=1,IF(AA27&lt;$N27,AA27,$N27)*VLOOKUP(LEFT($A27,3),Paramétres!$A:$D,3,0),IF(AA27&lt;$N27,AA27,$N27)*VLOOKUP(LEFT($A27,3),Paramétres!$A:$D,4)),0))</f>
        <v>15864.731638909667</v>
      </c>
      <c r="AC27" s="11">
        <f>IF(AB27&lt;$N27,AB27,$N27)-IF(AC$1&lt;=$U27,0,IF(AC$1&gt;IF($U27&lt;2022,2022,$U27),IF(AC$1-IF($U27&lt;2022,2022,$U27)=1,IF(AB27&lt;$N27,AB27,$N27)*VLOOKUP(LEFT($A27,3),Paramétres!$A:$D,3,0),IF(AB27&lt;$N27,AB27,$N27)*VLOOKUP(LEFT($A27,3),Paramétres!$A:$D,4)),0))</f>
        <v>14754.20042418599</v>
      </c>
      <c r="AD27" s="11">
        <f>IF(AC27&lt;$N27,AC27,$N27)-IF(AD$1&lt;=$U27,0,IF(AD$1&gt;IF($U27&lt;2022,2022,$U27),IF(AD$1-IF($U27&lt;2022,2022,$U27)=1,IF(AC27&lt;$N27,AC27,$N27)*VLOOKUP(LEFT($A27,3),Paramétres!$A:$D,3,0),IF(AC27&lt;$N27,AC27,$N27)*VLOOKUP(LEFT($A27,3),Paramétres!$A:$D,4)),0))</f>
        <v>13721.406394492971</v>
      </c>
      <c r="AE27" s="11">
        <f>IF(AD27&lt;$N27,AD27,$N27)-IF(AE$1&lt;=$U27,0,IF(AE$1&gt;IF($U27&lt;2022,2022,$U27),IF(AE$1-IF($U27&lt;2022,2022,$U27)=1,IF(AD27&lt;$N27,AD27,$N27)*VLOOKUP(LEFT($A27,3),Paramétres!$A:$D,3,0),IF(AD27&lt;$N27,AD27,$N27)*VLOOKUP(LEFT($A27,3),Paramétres!$A:$D,4)),0))</f>
        <v>12760.907946878464</v>
      </c>
      <c r="AF27" s="11">
        <f>IF(AE27&lt;$N27,AE27,$N27)-IF(AF$1&lt;=$U27,0,IF(AF$1&gt;IF($U27&lt;2022,2022,$U27),IF(AF$1-IF($U27&lt;2022,2022,$U27)=1,IF(AE27&lt;$N27,AE27,$N27)*VLOOKUP(LEFT($A27,3),Paramétres!$A:$D,3,0),IF(AE27&lt;$N27,AE27,$N27)*VLOOKUP(LEFT($A27,3),Paramétres!$A:$D,4)),0))</f>
        <v>11867.644390596972</v>
      </c>
      <c r="AG27" s="11">
        <f>IF(AF27&lt;$N27,AF27,$N27)-IF(AG$1&lt;=$U27,0,IF(AG$1&gt;IF($U27&lt;2022,2022,$U27),IF(AG$1-IF($U27&lt;2022,2022,$U27)=1,IF(AF27&lt;$N27,AF27,$N27)*VLOOKUP(LEFT($A27,3),Paramétres!$A:$D,3,0),IF(AF27&lt;$N27,AF27,$N27)*VLOOKUP(LEFT($A27,3),Paramétres!$A:$D,4)),0))</f>
        <v>11036.909283255183</v>
      </c>
      <c r="AH27" s="11">
        <f>IF(AG27&lt;$N27,AG27,$N27)-IF(AH$1&lt;=$U27,0,IF(AH$1&gt;IF($U27&lt;2022,2022,$U27),IF(AH$1-IF($U27&lt;2022,2022,$U27)=1,IF(AG27&lt;$N27,AG27,$N27)*VLOOKUP(LEFT($A27,3),Paramétres!$A:$D,3,0),IF(AG27&lt;$N27,AG27,$N27)*VLOOKUP(LEFT($A27,3),Paramétres!$A:$D,4)),0))</f>
        <v>10264.325633427321</v>
      </c>
      <c r="AI27" s="11">
        <f>IF(AH27&lt;$N27,AH27,$N27)-IF(AI$1&lt;=$U27,0,IF(AI$1&gt;IF($U27&lt;2022,2022,$U27),IF(AI$1-IF($U27&lt;2022,2022,$U27)=1,IF(AH27&lt;$N27,AH27,$N27)*VLOOKUP(LEFT($A27,3),Paramétres!$A:$D,3,0),IF(AH27&lt;$N27,AH27,$N27)*VLOOKUP(LEFT($A27,3),Paramétres!$A:$D,4)),0))</f>
        <v>9545.8228390874083</v>
      </c>
      <c r="AJ27" s="11">
        <f>IF(AI27&lt;$N27,AI27,$N27)-IF(AJ$1&lt;=$U27,0,IF(AJ$1&gt;IF($U27&lt;2022,2022,$U27),IF(AJ$1-IF($U27&lt;2022,2022,$U27)=1,IF(AI27&lt;$N27,AI27,$N27)*VLOOKUP(LEFT($A27,3),Paramétres!$A:$D,3,0),IF(AI27&lt;$N27,AI27,$N27)*VLOOKUP(LEFT($A27,3),Paramétres!$A:$D,4)),0))</f>
        <v>8877.6152403512897</v>
      </c>
      <c r="AK27" s="11">
        <f>IF(AJ27&lt;$N27,AJ27,$N27)-IF(AK$1&lt;=$U27,0,IF(AK$1&gt;IF($U27&lt;2022,2022,$U27),IF(AK$1-IF($U27&lt;2022,2022,$U27)=1,IF(AJ27&lt;$N27,AJ27,$N27)*VLOOKUP(LEFT($A27,3),Paramétres!$A:$D,3,0),IF(AJ27&lt;$N27,AJ27,$N27)*VLOOKUP(LEFT($A27,3),Paramétres!$A:$D,4)),0))</f>
        <v>8256.1821735266985</v>
      </c>
    </row>
    <row r="28" spans="1:37" x14ac:dyDescent="0.25">
      <c r="A28" s="1" t="s">
        <v>84</v>
      </c>
      <c r="D28" s="1" t="s">
        <v>64</v>
      </c>
      <c r="E28" s="1" t="s">
        <v>77</v>
      </c>
      <c r="F28" s="1" t="s">
        <v>83</v>
      </c>
      <c r="J28" s="2">
        <v>42885</v>
      </c>
      <c r="K28" s="3">
        <v>28533.4</v>
      </c>
      <c r="L28" s="3"/>
      <c r="M28" s="3">
        <f>T_BASE[[#This Row],[VALEUR ACHAT]]</f>
        <v>28533.4</v>
      </c>
      <c r="N28" s="3">
        <f>T_BASE[[#This Row],[MONTANT PEC APRES AMORT.]]</f>
        <v>28533.4</v>
      </c>
      <c r="O28" s="1">
        <v>66</v>
      </c>
      <c r="P28" s="2">
        <v>44867</v>
      </c>
      <c r="Q28" s="3">
        <v>405</v>
      </c>
      <c r="R28" s="3">
        <v>0</v>
      </c>
      <c r="S28" s="3">
        <v>120</v>
      </c>
      <c r="T28" s="66">
        <f t="shared" si="1"/>
        <v>5.5</v>
      </c>
      <c r="U28" s="1">
        <f t="shared" si="0"/>
        <v>2017</v>
      </c>
      <c r="V28" s="11">
        <f>T_BASE[[#This Row],[ANNEE ACQT]]+T_BASE[[#This Row],[AMORT.]]</f>
        <v>2022.5</v>
      </c>
      <c r="W28" s="11">
        <f>$N28-IF(W$1&lt;=$V28,0,IF(W$1&gt;IF($V28&lt;2022,2022,$V28),IF(W$1-IF($V28&lt;2022,2022,$V28)=1,$N28*VLOOKUP(LEFT($A28,3),Paramétres!A:D,3,0),$N28*VLOOKUP(LEFT($A28,3),Paramétres!A:D,4)),0))</f>
        <v>26536.062000000002</v>
      </c>
      <c r="X28" s="11">
        <f>IF(W28&lt;$N28,W28,$N28)-IF(X$1&lt;=$U28,0,IF(X$1&gt;IF($U28&lt;2022,2022,$U28),IF(X$1-IF($U28&lt;2022,2022,$U28)=1,IF(W28&lt;$N28,W28,$N28)*VLOOKUP(LEFT($A28,3),Paramétres!$A:$D,3,0),IF(W28&lt;$N28,W28,$N28)*VLOOKUP(LEFT($A28,3),Paramétres!$A:$D,4)),0))</f>
        <v>24678.537660000002</v>
      </c>
      <c r="Y28" s="11">
        <f>IF(X28&lt;$N28,X28,$N28)-IF(Y$1&lt;=$U28,0,IF(Y$1&gt;IF($U28&lt;2022,2022,$U28),IF(Y$1-IF($U28&lt;2022,2022,$U28)=1,IF(X28&lt;$N28,X28,$N28)*VLOOKUP(LEFT($A28,3),Paramétres!$A:$D,3,0),IF(X28&lt;$N28,X28,$N28)*VLOOKUP(LEFT($A28,3),Paramétres!$A:$D,4)),0))</f>
        <v>22951.0400238</v>
      </c>
      <c r="Z28" s="11">
        <f>IF(Y28&lt;$N28,Y28,$N28)-IF(Z$1&lt;=$U28,0,IF(Z$1&gt;IF($U28&lt;2022,2022,$U28),IF(Z$1-IF($U28&lt;2022,2022,$U28)=1,IF(Y28&lt;$N28,Y28,$N28)*VLOOKUP(LEFT($A28,3),Paramétres!$A:$D,3,0),IF(Y28&lt;$N28,Y28,$N28)*VLOOKUP(LEFT($A28,3),Paramétres!$A:$D,4)),0))</f>
        <v>21344.467222134001</v>
      </c>
      <c r="AA28" s="11">
        <f>IF(Z28&lt;$N28,Z28,$N28)-IF(AA$1&lt;=$U28,0,IF(AA$1&gt;IF($U28&lt;2022,2022,$U28),IF(AA$1-IF($U28&lt;2022,2022,$U28)=1,IF(Z28&lt;$N28,Z28,$N28)*VLOOKUP(LEFT($A28,3),Paramétres!$A:$D,3,0),IF(Z28&lt;$N28,Z28,$N28)*VLOOKUP(LEFT($A28,3),Paramétres!$A:$D,4)),0))</f>
        <v>19850.354516584619</v>
      </c>
      <c r="AB28" s="11">
        <f>IF(AA28&lt;$N28,AA28,$N28)-IF(AB$1&lt;=$U28,0,IF(AB$1&gt;IF($U28&lt;2022,2022,$U28),IF(AB$1-IF($U28&lt;2022,2022,$U28)=1,IF(AA28&lt;$N28,AA28,$N28)*VLOOKUP(LEFT($A28,3),Paramétres!$A:$D,3,0),IF(AA28&lt;$N28,AA28,$N28)*VLOOKUP(LEFT($A28,3),Paramétres!$A:$D,4)),0))</f>
        <v>18460.829700423696</v>
      </c>
      <c r="AC28" s="11">
        <f>IF(AB28&lt;$N28,AB28,$N28)-IF(AC$1&lt;=$U28,0,IF(AC$1&gt;IF($U28&lt;2022,2022,$U28),IF(AC$1-IF($U28&lt;2022,2022,$U28)=1,IF(AB28&lt;$N28,AB28,$N28)*VLOOKUP(LEFT($A28,3),Paramétres!$A:$D,3,0),IF(AB28&lt;$N28,AB28,$N28)*VLOOKUP(LEFT($A28,3),Paramétres!$A:$D,4)),0))</f>
        <v>17168.571621394036</v>
      </c>
      <c r="AD28" s="11">
        <f>IF(AC28&lt;$N28,AC28,$N28)-IF(AD$1&lt;=$U28,0,IF(AD$1&gt;IF($U28&lt;2022,2022,$U28),IF(AD$1-IF($U28&lt;2022,2022,$U28)=1,IF(AC28&lt;$N28,AC28,$N28)*VLOOKUP(LEFT($A28,3),Paramétres!$A:$D,3,0),IF(AC28&lt;$N28,AC28,$N28)*VLOOKUP(LEFT($A28,3),Paramétres!$A:$D,4)),0))</f>
        <v>15966.771607896453</v>
      </c>
      <c r="AE28" s="11">
        <f>IF(AD28&lt;$N28,AD28,$N28)-IF(AE$1&lt;=$U28,0,IF(AE$1&gt;IF($U28&lt;2022,2022,$U28),IF(AE$1-IF($U28&lt;2022,2022,$U28)=1,IF(AD28&lt;$N28,AD28,$N28)*VLOOKUP(LEFT($A28,3),Paramétres!$A:$D,3,0),IF(AD28&lt;$N28,AD28,$N28)*VLOOKUP(LEFT($A28,3),Paramétres!$A:$D,4)),0))</f>
        <v>14849.097595343701</v>
      </c>
      <c r="AF28" s="11">
        <f>IF(AE28&lt;$N28,AE28,$N28)-IF(AF$1&lt;=$U28,0,IF(AF$1&gt;IF($U28&lt;2022,2022,$U28),IF(AF$1-IF($U28&lt;2022,2022,$U28)=1,IF(AE28&lt;$N28,AE28,$N28)*VLOOKUP(LEFT($A28,3),Paramétres!$A:$D,3,0),IF(AE28&lt;$N28,AE28,$N28)*VLOOKUP(LEFT($A28,3),Paramétres!$A:$D,4)),0))</f>
        <v>13809.660763669643</v>
      </c>
      <c r="AG28" s="11">
        <f>IF(AF28&lt;$N28,AF28,$N28)-IF(AG$1&lt;=$U28,0,IF(AG$1&gt;IF($U28&lt;2022,2022,$U28),IF(AG$1-IF($U28&lt;2022,2022,$U28)=1,IF(AF28&lt;$N28,AF28,$N28)*VLOOKUP(LEFT($A28,3),Paramétres!$A:$D,3,0),IF(AF28&lt;$N28,AF28,$N28)*VLOOKUP(LEFT($A28,3),Paramétres!$A:$D,4)),0))</f>
        <v>12842.984510212767</v>
      </c>
      <c r="AH28" s="11">
        <f>IF(AG28&lt;$N28,AG28,$N28)-IF(AH$1&lt;=$U28,0,IF(AH$1&gt;IF($U28&lt;2022,2022,$U28),IF(AH$1-IF($U28&lt;2022,2022,$U28)=1,IF(AG28&lt;$N28,AG28,$N28)*VLOOKUP(LEFT($A28,3),Paramétres!$A:$D,3,0),IF(AG28&lt;$N28,AG28,$N28)*VLOOKUP(LEFT($A28,3),Paramétres!$A:$D,4)),0))</f>
        <v>11943.975594497873</v>
      </c>
      <c r="AI28" s="11">
        <f>IF(AH28&lt;$N28,AH28,$N28)-IF(AI$1&lt;=$U28,0,IF(AI$1&gt;IF($U28&lt;2022,2022,$U28),IF(AI$1-IF($U28&lt;2022,2022,$U28)=1,IF(AH28&lt;$N28,AH28,$N28)*VLOOKUP(LEFT($A28,3),Paramétres!$A:$D,3,0),IF(AH28&lt;$N28,AH28,$N28)*VLOOKUP(LEFT($A28,3),Paramétres!$A:$D,4)),0))</f>
        <v>11107.897302883022</v>
      </c>
      <c r="AJ28" s="11">
        <f>IF(AI28&lt;$N28,AI28,$N28)-IF(AJ$1&lt;=$U28,0,IF(AJ$1&gt;IF($U28&lt;2022,2022,$U28),IF(AJ$1-IF($U28&lt;2022,2022,$U28)=1,IF(AI28&lt;$N28,AI28,$N28)*VLOOKUP(LEFT($A28,3),Paramétres!$A:$D,3,0),IF(AI28&lt;$N28,AI28,$N28)*VLOOKUP(LEFT($A28,3),Paramétres!$A:$D,4)),0))</f>
        <v>10330.344491681211</v>
      </c>
      <c r="AK28" s="11">
        <f>IF(AJ28&lt;$N28,AJ28,$N28)-IF(AK$1&lt;=$U28,0,IF(AK$1&gt;IF($U28&lt;2022,2022,$U28),IF(AK$1-IF($U28&lt;2022,2022,$U28)=1,IF(AJ28&lt;$N28,AJ28,$N28)*VLOOKUP(LEFT($A28,3),Paramétres!$A:$D,3,0),IF(AJ28&lt;$N28,AJ28,$N28)*VLOOKUP(LEFT($A28,3),Paramétres!$A:$D,4)),0))</f>
        <v>9607.2203772635257</v>
      </c>
    </row>
    <row r="29" spans="1:37" x14ac:dyDescent="0.25">
      <c r="A29" s="1" t="s">
        <v>85</v>
      </c>
      <c r="D29" s="1" t="s">
        <v>151</v>
      </c>
      <c r="E29" s="1" t="s">
        <v>86</v>
      </c>
      <c r="F29" s="1" t="s">
        <v>87</v>
      </c>
      <c r="K29" s="3"/>
      <c r="L29" s="3"/>
      <c r="M29" s="3">
        <f>T_BASE[[#This Row],[VALEUR ACHAT]]</f>
        <v>0</v>
      </c>
      <c r="N29" s="3">
        <f>T_BASE[[#This Row],[MONTANT PEC APRES AMORT.]]</f>
        <v>0</v>
      </c>
      <c r="Q29" s="4"/>
      <c r="R29" s="3">
        <v>0</v>
      </c>
      <c r="S29" s="3">
        <v>80</v>
      </c>
      <c r="T29" s="66">
        <f t="shared" si="1"/>
        <v>0</v>
      </c>
      <c r="U29" s="1">
        <f t="shared" si="0"/>
        <v>1900</v>
      </c>
      <c r="V29" s="11">
        <f>T_BASE[[#This Row],[ANNEE ACQT]]+T_BASE[[#This Row],[AMORT.]]</f>
        <v>1900</v>
      </c>
      <c r="W29" s="11">
        <f>$N29-IF(W$1&lt;=$V29,0,IF(W$1&gt;IF($V29&lt;2022,2022,$V29),IF(W$1-IF($V29&lt;2022,2022,$V29)=1,$N29*VLOOKUP(LEFT($A29,3),Paramétres!A:D,3,0),$N29*VLOOKUP(LEFT($A29,3),Paramétres!A:D,4)),0))</f>
        <v>0</v>
      </c>
      <c r="X29" s="11">
        <f>IF(W29&lt;$N29,W29,$N29)-IF(X$1&lt;=$U29,0,IF(X$1&gt;IF($U29&lt;2022,2022,$U29),IF(X$1-IF($U29&lt;2022,2022,$U29)=1,IF(W29&lt;$N29,W29,$N29)*VLOOKUP(LEFT($A29,3),Paramétres!$A:$D,3,0),IF(W29&lt;$N29,W29,$N29)*VLOOKUP(LEFT($A29,3),Paramétres!$A:$D,4)),0))</f>
        <v>0</v>
      </c>
      <c r="Y29" s="11">
        <f>IF(X29&lt;$N29,X29,$N29)-IF(Y$1&lt;=$U29,0,IF(Y$1&gt;IF($U29&lt;2022,2022,$U29),IF(Y$1-IF($U29&lt;2022,2022,$U29)=1,IF(X29&lt;$N29,X29,$N29)*VLOOKUP(LEFT($A29,3),Paramétres!$A:$D,3,0),IF(X29&lt;$N29,X29,$N29)*VLOOKUP(LEFT($A29,3),Paramétres!$A:$D,4)),0))</f>
        <v>0</v>
      </c>
      <c r="Z29" s="11">
        <f>IF(Y29&lt;$N29,Y29,$N29)-IF(Z$1&lt;=$U29,0,IF(Z$1&gt;IF($U29&lt;2022,2022,$U29),IF(Z$1-IF($U29&lt;2022,2022,$U29)=1,IF(Y29&lt;$N29,Y29,$N29)*VLOOKUP(LEFT($A29,3),Paramétres!$A:$D,3,0),IF(Y29&lt;$N29,Y29,$N29)*VLOOKUP(LEFT($A29,3),Paramétres!$A:$D,4)),0))</f>
        <v>0</v>
      </c>
      <c r="AA29" s="11">
        <f>IF(Z29&lt;$N29,Z29,$N29)-IF(AA$1&lt;=$U29,0,IF(AA$1&gt;IF($U29&lt;2022,2022,$U29),IF(AA$1-IF($U29&lt;2022,2022,$U29)=1,IF(Z29&lt;$N29,Z29,$N29)*VLOOKUP(LEFT($A29,3),Paramétres!$A:$D,3,0),IF(Z29&lt;$N29,Z29,$N29)*VLOOKUP(LEFT($A29,3),Paramétres!$A:$D,4)),0))</f>
        <v>0</v>
      </c>
      <c r="AB29" s="11">
        <f>IF(AA29&lt;$N29,AA29,$N29)-IF(AB$1&lt;=$U29,0,IF(AB$1&gt;IF($U29&lt;2022,2022,$U29),IF(AB$1-IF($U29&lt;2022,2022,$U29)=1,IF(AA29&lt;$N29,AA29,$N29)*VLOOKUP(LEFT($A29,3),Paramétres!$A:$D,3,0),IF(AA29&lt;$N29,AA29,$N29)*VLOOKUP(LEFT($A29,3),Paramétres!$A:$D,4)),0))</f>
        <v>0</v>
      </c>
      <c r="AC29" s="11">
        <f>IF(AB29&lt;$N29,AB29,$N29)-IF(AC$1&lt;=$U29,0,IF(AC$1&gt;IF($U29&lt;2022,2022,$U29),IF(AC$1-IF($U29&lt;2022,2022,$U29)=1,IF(AB29&lt;$N29,AB29,$N29)*VLOOKUP(LEFT($A29,3),Paramétres!$A:$D,3,0),IF(AB29&lt;$N29,AB29,$N29)*VLOOKUP(LEFT($A29,3),Paramétres!$A:$D,4)),0))</f>
        <v>0</v>
      </c>
      <c r="AD29" s="11">
        <f>IF(AC29&lt;$N29,AC29,$N29)-IF(AD$1&lt;=$U29,0,IF(AD$1&gt;IF($U29&lt;2022,2022,$U29),IF(AD$1-IF($U29&lt;2022,2022,$U29)=1,IF(AC29&lt;$N29,AC29,$N29)*VLOOKUP(LEFT($A29,3),Paramétres!$A:$D,3,0),IF(AC29&lt;$N29,AC29,$N29)*VLOOKUP(LEFT($A29,3),Paramétres!$A:$D,4)),0))</f>
        <v>0</v>
      </c>
      <c r="AE29" s="11">
        <f>IF(AD29&lt;$N29,AD29,$N29)-IF(AE$1&lt;=$U29,0,IF(AE$1&gt;IF($U29&lt;2022,2022,$U29),IF(AE$1-IF($U29&lt;2022,2022,$U29)=1,IF(AD29&lt;$N29,AD29,$N29)*VLOOKUP(LEFT($A29,3),Paramétres!$A:$D,3,0),IF(AD29&lt;$N29,AD29,$N29)*VLOOKUP(LEFT($A29,3),Paramétres!$A:$D,4)),0))</f>
        <v>0</v>
      </c>
      <c r="AF29" s="11">
        <f>IF(AE29&lt;$N29,AE29,$N29)-IF(AF$1&lt;=$U29,0,IF(AF$1&gt;IF($U29&lt;2022,2022,$U29),IF(AF$1-IF($U29&lt;2022,2022,$U29)=1,IF(AE29&lt;$N29,AE29,$N29)*VLOOKUP(LEFT($A29,3),Paramétres!$A:$D,3,0),IF(AE29&lt;$N29,AE29,$N29)*VLOOKUP(LEFT($A29,3),Paramétres!$A:$D,4)),0))</f>
        <v>0</v>
      </c>
      <c r="AG29" s="11">
        <f>IF(AF29&lt;$N29,AF29,$N29)-IF(AG$1&lt;=$U29,0,IF(AG$1&gt;IF($U29&lt;2022,2022,$U29),IF(AG$1-IF($U29&lt;2022,2022,$U29)=1,IF(AF29&lt;$N29,AF29,$N29)*VLOOKUP(LEFT($A29,3),Paramétres!$A:$D,3,0),IF(AF29&lt;$N29,AF29,$N29)*VLOOKUP(LEFT($A29,3),Paramétres!$A:$D,4)),0))</f>
        <v>0</v>
      </c>
      <c r="AH29" s="11">
        <f>IF(AG29&lt;$N29,AG29,$N29)-IF(AH$1&lt;=$U29,0,IF(AH$1&gt;IF($U29&lt;2022,2022,$U29),IF(AH$1-IF($U29&lt;2022,2022,$U29)=1,IF(AG29&lt;$N29,AG29,$N29)*VLOOKUP(LEFT($A29,3),Paramétres!$A:$D,3,0),IF(AG29&lt;$N29,AG29,$N29)*VLOOKUP(LEFT($A29,3),Paramétres!$A:$D,4)),0))</f>
        <v>0</v>
      </c>
      <c r="AI29" s="11">
        <f>IF(AH29&lt;$N29,AH29,$N29)-IF(AI$1&lt;=$U29,0,IF(AI$1&gt;IF($U29&lt;2022,2022,$U29),IF(AI$1-IF($U29&lt;2022,2022,$U29)=1,IF(AH29&lt;$N29,AH29,$N29)*VLOOKUP(LEFT($A29,3),Paramétres!$A:$D,3,0),IF(AH29&lt;$N29,AH29,$N29)*VLOOKUP(LEFT($A29,3),Paramétres!$A:$D,4)),0))</f>
        <v>0</v>
      </c>
      <c r="AJ29" s="11">
        <f>IF(AI29&lt;$N29,AI29,$N29)-IF(AJ$1&lt;=$U29,0,IF(AJ$1&gt;IF($U29&lt;2022,2022,$U29),IF(AJ$1-IF($U29&lt;2022,2022,$U29)=1,IF(AI29&lt;$N29,AI29,$N29)*VLOOKUP(LEFT($A29,3),Paramétres!$A:$D,3,0),IF(AI29&lt;$N29,AI29,$N29)*VLOOKUP(LEFT($A29,3),Paramétres!$A:$D,4)),0))</f>
        <v>0</v>
      </c>
      <c r="AK29" s="11">
        <f>IF(AJ29&lt;$N29,AJ29,$N29)-IF(AK$1&lt;=$U29,0,IF(AK$1&gt;IF($U29&lt;2022,2022,$U29),IF(AK$1-IF($U29&lt;2022,2022,$U29)=1,IF(AJ29&lt;$N29,AJ29,$N29)*VLOOKUP(LEFT($A29,3),Paramétres!$A:$D,3,0),IF(AJ29&lt;$N29,AJ29,$N29)*VLOOKUP(LEFT($A29,3),Paramétres!$A:$D,4)),0))</f>
        <v>0</v>
      </c>
    </row>
    <row r="30" spans="1:37" x14ac:dyDescent="0.25">
      <c r="A30" s="1" t="s">
        <v>88</v>
      </c>
      <c r="D30" s="1" t="s">
        <v>151</v>
      </c>
      <c r="E30" s="1" t="s">
        <v>86</v>
      </c>
      <c r="F30" s="1" t="s">
        <v>89</v>
      </c>
      <c r="K30" s="3">
        <v>1200</v>
      </c>
      <c r="L30" s="3"/>
      <c r="M30" s="3">
        <f>T_BASE[[#This Row],[VALEUR ACHAT]]</f>
        <v>1200</v>
      </c>
      <c r="N30" s="3">
        <f>T_BASE[[#This Row],[MONTANT PEC APRES AMORT.]]</f>
        <v>1200</v>
      </c>
      <c r="Q30" s="4"/>
      <c r="R30" s="3">
        <v>0</v>
      </c>
      <c r="S30" s="3">
        <v>80</v>
      </c>
      <c r="T30" s="66">
        <f t="shared" si="1"/>
        <v>0</v>
      </c>
      <c r="U30" s="1">
        <f t="shared" si="0"/>
        <v>1900</v>
      </c>
      <c r="V30" s="11">
        <f>T_BASE[[#This Row],[ANNEE ACQT]]+T_BASE[[#This Row],[AMORT.]]</f>
        <v>1900</v>
      </c>
      <c r="W30" s="11">
        <f>$N30-IF(W$1&lt;=$V30,0,IF(W$1&gt;IF($V30&lt;2022,2022,$V30),IF(W$1-IF($V30&lt;2022,2022,$V30)=1,$N30*VLOOKUP(LEFT($A30,3),Paramétres!A:D,3,0),$N30*VLOOKUP(LEFT($A30,3),Paramétres!A:D,4)),0))</f>
        <v>1194</v>
      </c>
      <c r="X30" s="11">
        <f>IF(W30&lt;$N30,W30,$N30)-IF(X$1&lt;=$U30,0,IF(X$1&gt;IF($U30&lt;2022,2022,$U30),IF(X$1-IF($U30&lt;2022,2022,$U30)=1,IF(W30&lt;$N30,W30,$N30)*VLOOKUP(LEFT($A30,3),Paramétres!$A:$D,3,0),IF(W30&lt;$N30,W30,$N30)*VLOOKUP(LEFT($A30,3),Paramétres!$A:$D,4)),0))</f>
        <v>1110.42</v>
      </c>
      <c r="Y30" s="11">
        <f>IF(X30&lt;$N30,X30,$N30)-IF(Y$1&lt;=$U30,0,IF(Y$1&gt;IF($U30&lt;2022,2022,$U30),IF(Y$1-IF($U30&lt;2022,2022,$U30)=1,IF(X30&lt;$N30,X30,$N30)*VLOOKUP(LEFT($A30,3),Paramétres!$A:$D,3,0),IF(X30&lt;$N30,X30,$N30)*VLOOKUP(LEFT($A30,3),Paramétres!$A:$D,4)),0))</f>
        <v>1032.6906000000001</v>
      </c>
      <c r="Z30" s="11">
        <f>IF(Y30&lt;$N30,Y30,$N30)-IF(Z$1&lt;=$U30,0,IF(Z$1&gt;IF($U30&lt;2022,2022,$U30),IF(Z$1-IF($U30&lt;2022,2022,$U30)=1,IF(Y30&lt;$N30,Y30,$N30)*VLOOKUP(LEFT($A30,3),Paramétres!$A:$D,3,0),IF(Y30&lt;$N30,Y30,$N30)*VLOOKUP(LEFT($A30,3),Paramétres!$A:$D,4)),0))</f>
        <v>960.40225800000007</v>
      </c>
      <c r="AA30" s="11">
        <f>IF(Z30&lt;$N30,Z30,$N30)-IF(AA$1&lt;=$U30,0,IF(AA$1&gt;IF($U30&lt;2022,2022,$U30),IF(AA$1-IF($U30&lt;2022,2022,$U30)=1,IF(Z30&lt;$N30,Z30,$N30)*VLOOKUP(LEFT($A30,3),Paramétres!$A:$D,3,0),IF(Z30&lt;$N30,Z30,$N30)*VLOOKUP(LEFT($A30,3),Paramétres!$A:$D,4)),0))</f>
        <v>893.17409994000002</v>
      </c>
      <c r="AB30" s="11">
        <f>IF(AA30&lt;$N30,AA30,$N30)-IF(AB$1&lt;=$U30,0,IF(AB$1&gt;IF($U30&lt;2022,2022,$U30),IF(AB$1-IF($U30&lt;2022,2022,$U30)=1,IF(AA30&lt;$N30,AA30,$N30)*VLOOKUP(LEFT($A30,3),Paramétres!$A:$D,3,0),IF(AA30&lt;$N30,AA30,$N30)*VLOOKUP(LEFT($A30,3),Paramétres!$A:$D,4)),0))</f>
        <v>830.65191294420003</v>
      </c>
      <c r="AC30" s="11">
        <f>IF(AB30&lt;$N30,AB30,$N30)-IF(AC$1&lt;=$U30,0,IF(AC$1&gt;IF($U30&lt;2022,2022,$U30),IF(AC$1-IF($U30&lt;2022,2022,$U30)=1,IF(AB30&lt;$N30,AB30,$N30)*VLOOKUP(LEFT($A30,3),Paramétres!$A:$D,3,0),IF(AB30&lt;$N30,AB30,$N30)*VLOOKUP(LEFT($A30,3),Paramétres!$A:$D,4)),0))</f>
        <v>772.50627903810607</v>
      </c>
      <c r="AD30" s="11">
        <f>IF(AC30&lt;$N30,AC30,$N30)-IF(AD$1&lt;=$U30,0,IF(AD$1&gt;IF($U30&lt;2022,2022,$U30),IF(AD$1-IF($U30&lt;2022,2022,$U30)=1,IF(AC30&lt;$N30,AC30,$N30)*VLOOKUP(LEFT($A30,3),Paramétres!$A:$D,3,0),IF(AC30&lt;$N30,AC30,$N30)*VLOOKUP(LEFT($A30,3),Paramétres!$A:$D,4)),0))</f>
        <v>718.4308395054386</v>
      </c>
      <c r="AE30" s="11">
        <f>IF(AD30&lt;$N30,AD30,$N30)-IF(AE$1&lt;=$U30,0,IF(AE$1&gt;IF($U30&lt;2022,2022,$U30),IF(AE$1-IF($U30&lt;2022,2022,$U30)=1,IF(AD30&lt;$N30,AD30,$N30)*VLOOKUP(LEFT($A30,3),Paramétres!$A:$D,3,0),IF(AD30&lt;$N30,AD30,$N30)*VLOOKUP(LEFT($A30,3),Paramétres!$A:$D,4)),0))</f>
        <v>668.14068074005786</v>
      </c>
      <c r="AF30" s="11">
        <f>IF(AE30&lt;$N30,AE30,$N30)-IF(AF$1&lt;=$U30,0,IF(AF$1&gt;IF($U30&lt;2022,2022,$U30),IF(AF$1-IF($U30&lt;2022,2022,$U30)=1,IF(AE30&lt;$N30,AE30,$N30)*VLOOKUP(LEFT($A30,3),Paramétres!$A:$D,3,0),IF(AE30&lt;$N30,AE30,$N30)*VLOOKUP(LEFT($A30,3),Paramétres!$A:$D,4)),0))</f>
        <v>621.37083308825379</v>
      </c>
      <c r="AG30" s="11">
        <f>IF(AF30&lt;$N30,AF30,$N30)-IF(AG$1&lt;=$U30,0,IF(AG$1&gt;IF($U30&lt;2022,2022,$U30),IF(AG$1-IF($U30&lt;2022,2022,$U30)=1,IF(AF30&lt;$N30,AF30,$N30)*VLOOKUP(LEFT($A30,3),Paramétres!$A:$D,3,0),IF(AF30&lt;$N30,AF30,$N30)*VLOOKUP(LEFT($A30,3),Paramétres!$A:$D,4)),0))</f>
        <v>577.87487477207605</v>
      </c>
      <c r="AH30" s="11">
        <f>IF(AG30&lt;$N30,AG30,$N30)-IF(AH$1&lt;=$U30,0,IF(AH$1&gt;IF($U30&lt;2022,2022,$U30),IF(AH$1-IF($U30&lt;2022,2022,$U30)=1,IF(AG30&lt;$N30,AG30,$N30)*VLOOKUP(LEFT($A30,3),Paramétres!$A:$D,3,0),IF(AG30&lt;$N30,AG30,$N30)*VLOOKUP(LEFT($A30,3),Paramétres!$A:$D,4)),0))</f>
        <v>537.42363353803069</v>
      </c>
      <c r="AI30" s="11">
        <f>IF(AH30&lt;$N30,AH30,$N30)-IF(AI$1&lt;=$U30,0,IF(AI$1&gt;IF($U30&lt;2022,2022,$U30),IF(AI$1-IF($U30&lt;2022,2022,$U30)=1,IF(AH30&lt;$N30,AH30,$N30)*VLOOKUP(LEFT($A30,3),Paramétres!$A:$D,3,0),IF(AH30&lt;$N30,AH30,$N30)*VLOOKUP(LEFT($A30,3),Paramétres!$A:$D,4)),0))</f>
        <v>499.80397919036852</v>
      </c>
      <c r="AJ30" s="11">
        <f>IF(AI30&lt;$N30,AI30,$N30)-IF(AJ$1&lt;=$U30,0,IF(AJ$1&gt;IF($U30&lt;2022,2022,$U30),IF(AJ$1-IF($U30&lt;2022,2022,$U30)=1,IF(AI30&lt;$N30,AI30,$N30)*VLOOKUP(LEFT($A30,3),Paramétres!$A:$D,3,0),IF(AI30&lt;$N30,AI30,$N30)*VLOOKUP(LEFT($A30,3),Paramétres!$A:$D,4)),0))</f>
        <v>464.81770064704273</v>
      </c>
      <c r="AK30" s="11">
        <f>IF(AJ30&lt;$N30,AJ30,$N30)-IF(AK$1&lt;=$U30,0,IF(AK$1&gt;IF($U30&lt;2022,2022,$U30),IF(AK$1-IF($U30&lt;2022,2022,$U30)=1,IF(AJ30&lt;$N30,AJ30,$N30)*VLOOKUP(LEFT($A30,3),Paramétres!$A:$D,3,0),IF(AJ30&lt;$N30,AJ30,$N30)*VLOOKUP(LEFT($A30,3),Paramétres!$A:$D,4)),0))</f>
        <v>432.28046160174972</v>
      </c>
    </row>
    <row r="31" spans="1:37" x14ac:dyDescent="0.25">
      <c r="A31" s="1" t="s">
        <v>90</v>
      </c>
      <c r="D31" s="1" t="s">
        <v>151</v>
      </c>
      <c r="E31" s="1" t="s">
        <v>91</v>
      </c>
      <c r="F31" s="1" t="s">
        <v>92</v>
      </c>
      <c r="K31" s="3">
        <v>1024.25</v>
      </c>
      <c r="L31" s="3"/>
      <c r="M31" s="3">
        <f>T_BASE[[#This Row],[VALEUR ACHAT]]</f>
        <v>1024.25</v>
      </c>
      <c r="N31" s="3">
        <f>T_BASE[[#This Row],[MONTANT PEC APRES AMORT.]]</f>
        <v>1024.25</v>
      </c>
      <c r="Q31" s="4"/>
      <c r="R31" s="3">
        <v>0</v>
      </c>
      <c r="S31" s="3">
        <v>80</v>
      </c>
      <c r="T31" s="66">
        <f t="shared" si="1"/>
        <v>0</v>
      </c>
      <c r="U31" s="1">
        <f t="shared" si="0"/>
        <v>1900</v>
      </c>
      <c r="V31" s="11">
        <f>T_BASE[[#This Row],[ANNEE ACQT]]+T_BASE[[#This Row],[AMORT.]]</f>
        <v>1900</v>
      </c>
      <c r="W31" s="11">
        <f>$N31-IF(W$1&lt;=$V31,0,IF(W$1&gt;IF($V31&lt;2022,2022,$V31),IF(W$1-IF($V31&lt;2022,2022,$V31)=1,$N31*VLOOKUP(LEFT($A31,3),Paramétres!A:D,3,0),$N31*VLOOKUP(LEFT($A31,3),Paramétres!A:D,4)),0))</f>
        <v>1019.12875</v>
      </c>
      <c r="X31" s="11">
        <f>IF(W31&lt;$N31,W31,$N31)-IF(X$1&lt;=$U31,0,IF(X$1&gt;IF($U31&lt;2022,2022,$U31),IF(X$1-IF($U31&lt;2022,2022,$U31)=1,IF(W31&lt;$N31,W31,$N31)*VLOOKUP(LEFT($A31,3),Paramétres!$A:$D,3,0),IF(W31&lt;$N31,W31,$N31)*VLOOKUP(LEFT($A31,3),Paramétres!$A:$D,4)),0))</f>
        <v>947.7897375</v>
      </c>
      <c r="Y31" s="11">
        <f>IF(X31&lt;$N31,X31,$N31)-IF(Y$1&lt;=$U31,0,IF(Y$1&gt;IF($U31&lt;2022,2022,$U31),IF(Y$1-IF($U31&lt;2022,2022,$U31)=1,IF(X31&lt;$N31,X31,$N31)*VLOOKUP(LEFT($A31,3),Paramétres!$A:$D,3,0),IF(X31&lt;$N31,X31,$N31)*VLOOKUP(LEFT($A31,3),Paramétres!$A:$D,4)),0))</f>
        <v>881.44445587500002</v>
      </c>
      <c r="Z31" s="11">
        <f>IF(Y31&lt;$N31,Y31,$N31)-IF(Z$1&lt;=$U31,0,IF(Z$1&gt;IF($U31&lt;2022,2022,$U31),IF(Z$1-IF($U31&lt;2022,2022,$U31)=1,IF(Y31&lt;$N31,Y31,$N31)*VLOOKUP(LEFT($A31,3),Paramétres!$A:$D,3,0),IF(Y31&lt;$N31,Y31,$N31)*VLOOKUP(LEFT($A31,3),Paramétres!$A:$D,4)),0))</f>
        <v>819.74334396375002</v>
      </c>
      <c r="AA31" s="11">
        <f>IF(Z31&lt;$N31,Z31,$N31)-IF(AA$1&lt;=$U31,0,IF(AA$1&gt;IF($U31&lt;2022,2022,$U31),IF(AA$1-IF($U31&lt;2022,2022,$U31)=1,IF(Z31&lt;$N31,Z31,$N31)*VLOOKUP(LEFT($A31,3),Paramétres!$A:$D,3,0),IF(Z31&lt;$N31,Z31,$N31)*VLOOKUP(LEFT($A31,3),Paramétres!$A:$D,4)),0))</f>
        <v>762.36130988628747</v>
      </c>
      <c r="AB31" s="11">
        <f>IF(AA31&lt;$N31,AA31,$N31)-IF(AB$1&lt;=$U31,0,IF(AB$1&gt;IF($U31&lt;2022,2022,$U31),IF(AB$1-IF($U31&lt;2022,2022,$U31)=1,IF(AA31&lt;$N31,AA31,$N31)*VLOOKUP(LEFT($A31,3),Paramétres!$A:$D,3,0),IF(AA31&lt;$N31,AA31,$N31)*VLOOKUP(LEFT($A31,3),Paramétres!$A:$D,4)),0))</f>
        <v>708.99601819424731</v>
      </c>
      <c r="AC31" s="11">
        <f>IF(AB31&lt;$N31,AB31,$N31)-IF(AC$1&lt;=$U31,0,IF(AC$1&gt;IF($U31&lt;2022,2022,$U31),IF(AC$1-IF($U31&lt;2022,2022,$U31)=1,IF(AB31&lt;$N31,AB31,$N31)*VLOOKUP(LEFT($A31,3),Paramétres!$A:$D,3,0),IF(AB31&lt;$N31,AB31,$N31)*VLOOKUP(LEFT($A31,3),Paramétres!$A:$D,4)),0))</f>
        <v>659.36629692065003</v>
      </c>
      <c r="AD31" s="11">
        <f>IF(AC31&lt;$N31,AC31,$N31)-IF(AD$1&lt;=$U31,0,IF(AD$1&gt;IF($U31&lt;2022,2022,$U31),IF(AD$1-IF($U31&lt;2022,2022,$U31)=1,IF(AC31&lt;$N31,AC31,$N31)*VLOOKUP(LEFT($A31,3),Paramétres!$A:$D,3,0),IF(AC31&lt;$N31,AC31,$N31)*VLOOKUP(LEFT($A31,3),Paramétres!$A:$D,4)),0))</f>
        <v>613.21065613620453</v>
      </c>
      <c r="AE31" s="11">
        <f>IF(AD31&lt;$N31,AD31,$N31)-IF(AE$1&lt;=$U31,0,IF(AE$1&gt;IF($U31&lt;2022,2022,$U31),IF(AE$1-IF($U31&lt;2022,2022,$U31)=1,IF(AD31&lt;$N31,AD31,$N31)*VLOOKUP(LEFT($A31,3),Paramétres!$A:$D,3,0),IF(AD31&lt;$N31,AD31,$N31)*VLOOKUP(LEFT($A31,3),Paramétres!$A:$D,4)),0))</f>
        <v>570.28591020667022</v>
      </c>
      <c r="AF31" s="11">
        <f>IF(AE31&lt;$N31,AE31,$N31)-IF(AF$1&lt;=$U31,0,IF(AF$1&gt;IF($U31&lt;2022,2022,$U31),IF(AF$1-IF($U31&lt;2022,2022,$U31)=1,IF(AE31&lt;$N31,AE31,$N31)*VLOOKUP(LEFT($A31,3),Paramétres!$A:$D,3,0),IF(AE31&lt;$N31,AE31,$N31)*VLOOKUP(LEFT($A31,3),Paramétres!$A:$D,4)),0))</f>
        <v>530.36589649220332</v>
      </c>
      <c r="AG31" s="11">
        <f>IF(AF31&lt;$N31,AF31,$N31)-IF(AG$1&lt;=$U31,0,IF(AG$1&gt;IF($U31&lt;2022,2022,$U31),IF(AG$1-IF($U31&lt;2022,2022,$U31)=1,IF(AF31&lt;$N31,AF31,$N31)*VLOOKUP(LEFT($A31,3),Paramétres!$A:$D,3,0),IF(AF31&lt;$N31,AF31,$N31)*VLOOKUP(LEFT($A31,3),Paramétres!$A:$D,4)),0))</f>
        <v>493.24028373774911</v>
      </c>
      <c r="AH31" s="11">
        <f>IF(AG31&lt;$N31,AG31,$N31)-IF(AH$1&lt;=$U31,0,IF(AH$1&gt;IF($U31&lt;2022,2022,$U31),IF(AH$1-IF($U31&lt;2022,2022,$U31)=1,IF(AG31&lt;$N31,AG31,$N31)*VLOOKUP(LEFT($A31,3),Paramétres!$A:$D,3,0),IF(AG31&lt;$N31,AG31,$N31)*VLOOKUP(LEFT($A31,3),Paramétres!$A:$D,4)),0))</f>
        <v>458.71346387610669</v>
      </c>
      <c r="AI31" s="11">
        <f>IF(AH31&lt;$N31,AH31,$N31)-IF(AI$1&lt;=$U31,0,IF(AI$1&gt;IF($U31&lt;2022,2022,$U31),IF(AI$1-IF($U31&lt;2022,2022,$U31)=1,IF(AH31&lt;$N31,AH31,$N31)*VLOOKUP(LEFT($A31,3),Paramétres!$A:$D,3,0),IF(AH31&lt;$N31,AH31,$N31)*VLOOKUP(LEFT($A31,3),Paramétres!$A:$D,4)),0))</f>
        <v>426.6035214047792</v>
      </c>
      <c r="AJ31" s="11">
        <f>IF(AI31&lt;$N31,AI31,$N31)-IF(AJ$1&lt;=$U31,0,IF(AJ$1&gt;IF($U31&lt;2022,2022,$U31),IF(AJ$1-IF($U31&lt;2022,2022,$U31)=1,IF(AI31&lt;$N31,AI31,$N31)*VLOOKUP(LEFT($A31,3),Paramétres!$A:$D,3,0),IF(AI31&lt;$N31,AI31,$N31)*VLOOKUP(LEFT($A31,3),Paramétres!$A:$D,4)),0))</f>
        <v>396.74127490644463</v>
      </c>
      <c r="AK31" s="11">
        <f>IF(AJ31&lt;$N31,AJ31,$N31)-IF(AK$1&lt;=$U31,0,IF(AK$1&gt;IF($U31&lt;2022,2022,$U31),IF(AK$1-IF($U31&lt;2022,2022,$U31)=1,IF(AJ31&lt;$N31,AJ31,$N31)*VLOOKUP(LEFT($A31,3),Paramétres!$A:$D,3,0),IF(AJ31&lt;$N31,AJ31,$N31)*VLOOKUP(LEFT($A31,3),Paramétres!$A:$D,4)),0))</f>
        <v>368.96938566299349</v>
      </c>
    </row>
    <row r="32" spans="1:37" x14ac:dyDescent="0.25">
      <c r="A32" s="1" t="s">
        <v>93</v>
      </c>
      <c r="D32" s="1" t="s">
        <v>151</v>
      </c>
      <c r="E32" s="1" t="s">
        <v>86</v>
      </c>
      <c r="F32" s="1" t="s">
        <v>94</v>
      </c>
      <c r="K32" s="3">
        <v>4329</v>
      </c>
      <c r="L32" s="3"/>
      <c r="M32" s="3">
        <f>T_BASE[[#This Row],[VALEUR ACHAT]]</f>
        <v>4329</v>
      </c>
      <c r="N32" s="3">
        <f>T_BASE[[#This Row],[MONTANT PEC APRES AMORT.]]</f>
        <v>4329</v>
      </c>
      <c r="O32" s="1">
        <v>60</v>
      </c>
      <c r="Q32" s="4"/>
      <c r="R32" s="3">
        <v>0</v>
      </c>
      <c r="S32" s="3">
        <v>80</v>
      </c>
      <c r="T32" s="66">
        <f t="shared" si="1"/>
        <v>5</v>
      </c>
      <c r="U32" s="1">
        <f t="shared" si="0"/>
        <v>1900</v>
      </c>
      <c r="V32" s="11">
        <f>T_BASE[[#This Row],[ANNEE ACQT]]+T_BASE[[#This Row],[AMORT.]]</f>
        <v>1905</v>
      </c>
      <c r="W32" s="11">
        <f>$N32-IF(W$1&lt;=$V32,0,IF(W$1&gt;IF($V32&lt;2022,2022,$V32),IF(W$1-IF($V32&lt;2022,2022,$V32)=1,$N32*VLOOKUP(LEFT($A32,3),Paramétres!A:D,3,0),$N32*VLOOKUP(LEFT($A32,3),Paramétres!A:D,4)),0))</f>
        <v>4307.3549999999996</v>
      </c>
      <c r="X32" s="11">
        <f>IF(W32&lt;$N32,W32,$N32)-IF(X$1&lt;=$U32,0,IF(X$1&gt;IF($U32&lt;2022,2022,$U32),IF(X$1-IF($U32&lt;2022,2022,$U32)=1,IF(W32&lt;$N32,W32,$N32)*VLOOKUP(LEFT($A32,3),Paramétres!$A:$D,3,0),IF(W32&lt;$N32,W32,$N32)*VLOOKUP(LEFT($A32,3),Paramétres!$A:$D,4)),0))</f>
        <v>4005.8401499999995</v>
      </c>
      <c r="Y32" s="11">
        <f>IF(X32&lt;$N32,X32,$N32)-IF(Y$1&lt;=$U32,0,IF(Y$1&gt;IF($U32&lt;2022,2022,$U32),IF(Y$1-IF($U32&lt;2022,2022,$U32)=1,IF(X32&lt;$N32,X32,$N32)*VLOOKUP(LEFT($A32,3),Paramétres!$A:$D,3,0),IF(X32&lt;$N32,X32,$N32)*VLOOKUP(LEFT($A32,3),Paramétres!$A:$D,4)),0))</f>
        <v>3725.4313394999995</v>
      </c>
      <c r="Z32" s="11">
        <f>IF(Y32&lt;$N32,Y32,$N32)-IF(Z$1&lt;=$U32,0,IF(Z$1&gt;IF($U32&lt;2022,2022,$U32),IF(Z$1-IF($U32&lt;2022,2022,$U32)=1,IF(Y32&lt;$N32,Y32,$N32)*VLOOKUP(LEFT($A32,3),Paramétres!$A:$D,3,0),IF(Y32&lt;$N32,Y32,$N32)*VLOOKUP(LEFT($A32,3),Paramétres!$A:$D,4)),0))</f>
        <v>3464.6511457349993</v>
      </c>
      <c r="AA32" s="11">
        <f>IF(Z32&lt;$N32,Z32,$N32)-IF(AA$1&lt;=$U32,0,IF(AA$1&gt;IF($U32&lt;2022,2022,$U32),IF(AA$1-IF($U32&lt;2022,2022,$U32)=1,IF(Z32&lt;$N32,Z32,$N32)*VLOOKUP(LEFT($A32,3),Paramétres!$A:$D,3,0),IF(Z32&lt;$N32,Z32,$N32)*VLOOKUP(LEFT($A32,3),Paramétres!$A:$D,4)),0))</f>
        <v>3222.1255655335494</v>
      </c>
      <c r="AB32" s="11">
        <f>IF(AA32&lt;$N32,AA32,$N32)-IF(AB$1&lt;=$U32,0,IF(AB$1&gt;IF($U32&lt;2022,2022,$U32),IF(AB$1-IF($U32&lt;2022,2022,$U32)=1,IF(AA32&lt;$N32,AA32,$N32)*VLOOKUP(LEFT($A32,3),Paramétres!$A:$D,3,0),IF(AA32&lt;$N32,AA32,$N32)*VLOOKUP(LEFT($A32,3),Paramétres!$A:$D,4)),0))</f>
        <v>2996.576775946201</v>
      </c>
      <c r="AC32" s="11">
        <f>IF(AB32&lt;$N32,AB32,$N32)-IF(AC$1&lt;=$U32,0,IF(AC$1&gt;IF($U32&lt;2022,2022,$U32),IF(AC$1-IF($U32&lt;2022,2022,$U32)=1,IF(AB32&lt;$N32,AB32,$N32)*VLOOKUP(LEFT($A32,3),Paramétres!$A:$D,3,0),IF(AB32&lt;$N32,AB32,$N32)*VLOOKUP(LEFT($A32,3),Paramétres!$A:$D,4)),0))</f>
        <v>2786.816401629967</v>
      </c>
      <c r="AD32" s="11">
        <f>IF(AC32&lt;$N32,AC32,$N32)-IF(AD$1&lt;=$U32,0,IF(AD$1&gt;IF($U32&lt;2022,2022,$U32),IF(AD$1-IF($U32&lt;2022,2022,$U32)=1,IF(AC32&lt;$N32,AC32,$N32)*VLOOKUP(LEFT($A32,3),Paramétres!$A:$D,3,0),IF(AC32&lt;$N32,AC32,$N32)*VLOOKUP(LEFT($A32,3),Paramétres!$A:$D,4)),0))</f>
        <v>2591.7392535158692</v>
      </c>
      <c r="AE32" s="11">
        <f>IF(AD32&lt;$N32,AD32,$N32)-IF(AE$1&lt;=$U32,0,IF(AE$1&gt;IF($U32&lt;2022,2022,$U32),IF(AE$1-IF($U32&lt;2022,2022,$U32)=1,IF(AD32&lt;$N32,AD32,$N32)*VLOOKUP(LEFT($A32,3),Paramétres!$A:$D,3,0),IF(AD32&lt;$N32,AD32,$N32)*VLOOKUP(LEFT($A32,3),Paramétres!$A:$D,4)),0))</f>
        <v>2410.3175057697586</v>
      </c>
      <c r="AF32" s="11">
        <f>IF(AE32&lt;$N32,AE32,$N32)-IF(AF$1&lt;=$U32,0,IF(AF$1&gt;IF($U32&lt;2022,2022,$U32),IF(AF$1-IF($U32&lt;2022,2022,$U32)=1,IF(AE32&lt;$N32,AE32,$N32)*VLOOKUP(LEFT($A32,3),Paramétres!$A:$D,3,0),IF(AE32&lt;$N32,AE32,$N32)*VLOOKUP(LEFT($A32,3),Paramétres!$A:$D,4)),0))</f>
        <v>2241.5952803658756</v>
      </c>
      <c r="AG32" s="11">
        <f>IF(AF32&lt;$N32,AF32,$N32)-IF(AG$1&lt;=$U32,0,IF(AG$1&gt;IF($U32&lt;2022,2022,$U32),IF(AG$1-IF($U32&lt;2022,2022,$U32)=1,IF(AF32&lt;$N32,AF32,$N32)*VLOOKUP(LEFT($A32,3),Paramétres!$A:$D,3,0),IF(AF32&lt;$N32,AF32,$N32)*VLOOKUP(LEFT($A32,3),Paramétres!$A:$D,4)),0))</f>
        <v>2084.6836107402642</v>
      </c>
      <c r="AH32" s="11">
        <f>IF(AG32&lt;$N32,AG32,$N32)-IF(AH$1&lt;=$U32,0,IF(AH$1&gt;IF($U32&lt;2022,2022,$U32),IF(AH$1-IF($U32&lt;2022,2022,$U32)=1,IF(AG32&lt;$N32,AG32,$N32)*VLOOKUP(LEFT($A32,3),Paramétres!$A:$D,3,0),IF(AG32&lt;$N32,AG32,$N32)*VLOOKUP(LEFT($A32,3),Paramétres!$A:$D,4)),0))</f>
        <v>1938.7557579884456</v>
      </c>
      <c r="AI32" s="11">
        <f>IF(AH32&lt;$N32,AH32,$N32)-IF(AI$1&lt;=$U32,0,IF(AI$1&gt;IF($U32&lt;2022,2022,$U32),IF(AI$1-IF($U32&lt;2022,2022,$U32)=1,IF(AH32&lt;$N32,AH32,$N32)*VLOOKUP(LEFT($A32,3),Paramétres!$A:$D,3,0),IF(AH32&lt;$N32,AH32,$N32)*VLOOKUP(LEFT($A32,3),Paramétres!$A:$D,4)),0))</f>
        <v>1803.0428549292544</v>
      </c>
      <c r="AJ32" s="11">
        <f>IF(AI32&lt;$N32,AI32,$N32)-IF(AJ$1&lt;=$U32,0,IF(AJ$1&gt;IF($U32&lt;2022,2022,$U32),IF(AJ$1-IF($U32&lt;2022,2022,$U32)=1,IF(AI32&lt;$N32,AI32,$N32)*VLOOKUP(LEFT($A32,3),Paramétres!$A:$D,3,0),IF(AI32&lt;$N32,AI32,$N32)*VLOOKUP(LEFT($A32,3),Paramétres!$A:$D,4)),0))</f>
        <v>1676.8298550842067</v>
      </c>
      <c r="AK32" s="11">
        <f>IF(AJ32&lt;$N32,AJ32,$N32)-IF(AK$1&lt;=$U32,0,IF(AK$1&gt;IF($U32&lt;2022,2022,$U32),IF(AK$1-IF($U32&lt;2022,2022,$U32)=1,IF(AJ32&lt;$N32,AJ32,$N32)*VLOOKUP(LEFT($A32,3),Paramétres!$A:$D,3,0),IF(AJ32&lt;$N32,AJ32,$N32)*VLOOKUP(LEFT($A32,3),Paramétres!$A:$D,4)),0))</f>
        <v>1559.4517652283121</v>
      </c>
    </row>
    <row r="33" spans="1:37" x14ac:dyDescent="0.25">
      <c r="A33" s="1" t="s">
        <v>95</v>
      </c>
      <c r="D33" s="1" t="s">
        <v>151</v>
      </c>
      <c r="E33" s="1" t="s">
        <v>86</v>
      </c>
      <c r="F33" s="1" t="s">
        <v>96</v>
      </c>
      <c r="K33" s="3"/>
      <c r="L33" s="3"/>
      <c r="M33" s="3">
        <f>T_BASE[[#This Row],[VALEUR ACHAT]]</f>
        <v>0</v>
      </c>
      <c r="N33" s="3">
        <f>T_BASE[[#This Row],[MONTANT PEC APRES AMORT.]]</f>
        <v>0</v>
      </c>
      <c r="Q33" s="4"/>
      <c r="R33" s="3">
        <v>0</v>
      </c>
      <c r="S33" s="3">
        <v>80</v>
      </c>
      <c r="T33" s="66">
        <f t="shared" si="1"/>
        <v>0</v>
      </c>
      <c r="U33" s="1">
        <f t="shared" si="0"/>
        <v>1900</v>
      </c>
      <c r="V33" s="11">
        <f>T_BASE[[#This Row],[ANNEE ACQT]]+T_BASE[[#This Row],[AMORT.]]</f>
        <v>1900</v>
      </c>
      <c r="W33" s="11">
        <f>$N33-IF(W$1&lt;=$V33,0,IF(W$1&gt;IF($V33&lt;2022,2022,$V33),IF(W$1-IF($V33&lt;2022,2022,$V33)=1,$N33*VLOOKUP(LEFT($A33,3),Paramétres!A:D,3,0),$N33*VLOOKUP(LEFT($A33,3),Paramétres!A:D,4)),0))</f>
        <v>0</v>
      </c>
      <c r="X33" s="11">
        <f>IF(W33&lt;$N33,W33,$N33)-IF(X$1&lt;=$U33,0,IF(X$1&gt;IF($U33&lt;2022,2022,$U33),IF(X$1-IF($U33&lt;2022,2022,$U33)=1,IF(W33&lt;$N33,W33,$N33)*VLOOKUP(LEFT($A33,3),Paramétres!$A:$D,3,0),IF(W33&lt;$N33,W33,$N33)*VLOOKUP(LEFT($A33,3),Paramétres!$A:$D,4)),0))</f>
        <v>0</v>
      </c>
      <c r="Y33" s="11">
        <f>IF(X33&lt;$N33,X33,$N33)-IF(Y$1&lt;=$U33,0,IF(Y$1&gt;IF($U33&lt;2022,2022,$U33),IF(Y$1-IF($U33&lt;2022,2022,$U33)=1,IF(X33&lt;$N33,X33,$N33)*VLOOKUP(LEFT($A33,3),Paramétres!$A:$D,3,0),IF(X33&lt;$N33,X33,$N33)*VLOOKUP(LEFT($A33,3),Paramétres!$A:$D,4)),0))</f>
        <v>0</v>
      </c>
      <c r="Z33" s="11">
        <f>IF(Y33&lt;$N33,Y33,$N33)-IF(Z$1&lt;=$U33,0,IF(Z$1&gt;IF($U33&lt;2022,2022,$U33),IF(Z$1-IF($U33&lt;2022,2022,$U33)=1,IF(Y33&lt;$N33,Y33,$N33)*VLOOKUP(LEFT($A33,3),Paramétres!$A:$D,3,0),IF(Y33&lt;$N33,Y33,$N33)*VLOOKUP(LEFT($A33,3),Paramétres!$A:$D,4)),0))</f>
        <v>0</v>
      </c>
      <c r="AA33" s="11">
        <f>IF(Z33&lt;$N33,Z33,$N33)-IF(AA$1&lt;=$U33,0,IF(AA$1&gt;IF($U33&lt;2022,2022,$U33),IF(AA$1-IF($U33&lt;2022,2022,$U33)=1,IF(Z33&lt;$N33,Z33,$N33)*VLOOKUP(LEFT($A33,3),Paramétres!$A:$D,3,0),IF(Z33&lt;$N33,Z33,$N33)*VLOOKUP(LEFT($A33,3),Paramétres!$A:$D,4)),0))</f>
        <v>0</v>
      </c>
      <c r="AB33" s="11">
        <f>IF(AA33&lt;$N33,AA33,$N33)-IF(AB$1&lt;=$U33,0,IF(AB$1&gt;IF($U33&lt;2022,2022,$U33),IF(AB$1-IF($U33&lt;2022,2022,$U33)=1,IF(AA33&lt;$N33,AA33,$N33)*VLOOKUP(LEFT($A33,3),Paramétres!$A:$D,3,0),IF(AA33&lt;$N33,AA33,$N33)*VLOOKUP(LEFT($A33,3),Paramétres!$A:$D,4)),0))</f>
        <v>0</v>
      </c>
      <c r="AC33" s="11">
        <f>IF(AB33&lt;$N33,AB33,$N33)-IF(AC$1&lt;=$U33,0,IF(AC$1&gt;IF($U33&lt;2022,2022,$U33),IF(AC$1-IF($U33&lt;2022,2022,$U33)=1,IF(AB33&lt;$N33,AB33,$N33)*VLOOKUP(LEFT($A33,3),Paramétres!$A:$D,3,0),IF(AB33&lt;$N33,AB33,$N33)*VLOOKUP(LEFT($A33,3),Paramétres!$A:$D,4)),0))</f>
        <v>0</v>
      </c>
      <c r="AD33" s="11">
        <f>IF(AC33&lt;$N33,AC33,$N33)-IF(AD$1&lt;=$U33,0,IF(AD$1&gt;IF($U33&lt;2022,2022,$U33),IF(AD$1-IF($U33&lt;2022,2022,$U33)=1,IF(AC33&lt;$N33,AC33,$N33)*VLOOKUP(LEFT($A33,3),Paramétres!$A:$D,3,0),IF(AC33&lt;$N33,AC33,$N33)*VLOOKUP(LEFT($A33,3),Paramétres!$A:$D,4)),0))</f>
        <v>0</v>
      </c>
      <c r="AE33" s="11">
        <f>IF(AD33&lt;$N33,AD33,$N33)-IF(AE$1&lt;=$U33,0,IF(AE$1&gt;IF($U33&lt;2022,2022,$U33),IF(AE$1-IF($U33&lt;2022,2022,$U33)=1,IF(AD33&lt;$N33,AD33,$N33)*VLOOKUP(LEFT($A33,3),Paramétres!$A:$D,3,0),IF(AD33&lt;$N33,AD33,$N33)*VLOOKUP(LEFT($A33,3),Paramétres!$A:$D,4)),0))</f>
        <v>0</v>
      </c>
      <c r="AF33" s="11">
        <f>IF(AE33&lt;$N33,AE33,$N33)-IF(AF$1&lt;=$U33,0,IF(AF$1&gt;IF($U33&lt;2022,2022,$U33),IF(AF$1-IF($U33&lt;2022,2022,$U33)=1,IF(AE33&lt;$N33,AE33,$N33)*VLOOKUP(LEFT($A33,3),Paramétres!$A:$D,3,0),IF(AE33&lt;$N33,AE33,$N33)*VLOOKUP(LEFT($A33,3),Paramétres!$A:$D,4)),0))</f>
        <v>0</v>
      </c>
      <c r="AG33" s="11">
        <f>IF(AF33&lt;$N33,AF33,$N33)-IF(AG$1&lt;=$U33,0,IF(AG$1&gt;IF($U33&lt;2022,2022,$U33),IF(AG$1-IF($U33&lt;2022,2022,$U33)=1,IF(AF33&lt;$N33,AF33,$N33)*VLOOKUP(LEFT($A33,3),Paramétres!$A:$D,3,0),IF(AF33&lt;$N33,AF33,$N33)*VLOOKUP(LEFT($A33,3),Paramétres!$A:$D,4)),0))</f>
        <v>0</v>
      </c>
      <c r="AH33" s="11">
        <f>IF(AG33&lt;$N33,AG33,$N33)-IF(AH$1&lt;=$U33,0,IF(AH$1&gt;IF($U33&lt;2022,2022,$U33),IF(AH$1-IF($U33&lt;2022,2022,$U33)=1,IF(AG33&lt;$N33,AG33,$N33)*VLOOKUP(LEFT($A33,3),Paramétres!$A:$D,3,0),IF(AG33&lt;$N33,AG33,$N33)*VLOOKUP(LEFT($A33,3),Paramétres!$A:$D,4)),0))</f>
        <v>0</v>
      </c>
      <c r="AI33" s="11">
        <f>IF(AH33&lt;$N33,AH33,$N33)-IF(AI$1&lt;=$U33,0,IF(AI$1&gt;IF($U33&lt;2022,2022,$U33),IF(AI$1-IF($U33&lt;2022,2022,$U33)=1,IF(AH33&lt;$N33,AH33,$N33)*VLOOKUP(LEFT($A33,3),Paramétres!$A:$D,3,0),IF(AH33&lt;$N33,AH33,$N33)*VLOOKUP(LEFT($A33,3),Paramétres!$A:$D,4)),0))</f>
        <v>0</v>
      </c>
      <c r="AJ33" s="11">
        <f>IF(AI33&lt;$N33,AI33,$N33)-IF(AJ$1&lt;=$U33,0,IF(AJ$1&gt;IF($U33&lt;2022,2022,$U33),IF(AJ$1-IF($U33&lt;2022,2022,$U33)=1,IF(AI33&lt;$N33,AI33,$N33)*VLOOKUP(LEFT($A33,3),Paramétres!$A:$D,3,0),IF(AI33&lt;$N33,AI33,$N33)*VLOOKUP(LEFT($A33,3),Paramétres!$A:$D,4)),0))</f>
        <v>0</v>
      </c>
      <c r="AK33" s="11">
        <f>IF(AJ33&lt;$N33,AJ33,$N33)-IF(AK$1&lt;=$U33,0,IF(AK$1&gt;IF($U33&lt;2022,2022,$U33),IF(AK$1-IF($U33&lt;2022,2022,$U33)=1,IF(AJ33&lt;$N33,AJ33,$N33)*VLOOKUP(LEFT($A33,3),Paramétres!$A:$D,3,0),IF(AJ33&lt;$N33,AJ33,$N33)*VLOOKUP(LEFT($A33,3),Paramétres!$A:$D,4)),0))</f>
        <v>0</v>
      </c>
    </row>
    <row r="34" spans="1:37" x14ac:dyDescent="0.25">
      <c r="A34" s="1" t="s">
        <v>97</v>
      </c>
      <c r="D34" s="1" t="s">
        <v>151</v>
      </c>
      <c r="E34" s="1" t="s">
        <v>86</v>
      </c>
      <c r="F34" s="1" t="s">
        <v>98</v>
      </c>
      <c r="K34" s="3">
        <v>2426</v>
      </c>
      <c r="L34" s="3"/>
      <c r="M34" s="3">
        <f>T_BASE[[#This Row],[VALEUR ACHAT]]</f>
        <v>2426</v>
      </c>
      <c r="N34" s="3">
        <f>T_BASE[[#This Row],[MONTANT PEC APRES AMORT.]]</f>
        <v>2426</v>
      </c>
      <c r="O34" s="1">
        <v>24</v>
      </c>
      <c r="Q34" s="4"/>
      <c r="R34" s="3">
        <v>0</v>
      </c>
      <c r="S34" s="3">
        <v>80</v>
      </c>
      <c r="T34" s="66">
        <f t="shared" si="1"/>
        <v>2</v>
      </c>
      <c r="U34" s="1">
        <f t="shared" ref="U34:U60" si="2">YEAR(J34)</f>
        <v>1900</v>
      </c>
      <c r="V34" s="11">
        <f>T_BASE[[#This Row],[ANNEE ACQT]]+T_BASE[[#This Row],[AMORT.]]</f>
        <v>1902</v>
      </c>
      <c r="W34" s="11">
        <f>$N34-IF(W$1&lt;=$V34,0,IF(W$1&gt;IF($V34&lt;2022,2022,$V34),IF(W$1-IF($V34&lt;2022,2022,$V34)=1,$N34*VLOOKUP(LEFT($A34,3),Paramétres!A:D,3,0),$N34*VLOOKUP(LEFT($A34,3),Paramétres!A:D,4)),0))</f>
        <v>2413.87</v>
      </c>
      <c r="X34" s="11">
        <f>IF(W34&lt;$N34,W34,$N34)-IF(X$1&lt;=$U34,0,IF(X$1&gt;IF($U34&lt;2022,2022,$U34),IF(X$1-IF($U34&lt;2022,2022,$U34)=1,IF(W34&lt;$N34,W34,$N34)*VLOOKUP(LEFT($A34,3),Paramétres!$A:$D,3,0),IF(W34&lt;$N34,W34,$N34)*VLOOKUP(LEFT($A34,3),Paramétres!$A:$D,4)),0))</f>
        <v>2244.8991000000001</v>
      </c>
      <c r="Y34" s="11">
        <f>IF(X34&lt;$N34,X34,$N34)-IF(Y$1&lt;=$U34,0,IF(Y$1&gt;IF($U34&lt;2022,2022,$U34),IF(Y$1-IF($U34&lt;2022,2022,$U34)=1,IF(X34&lt;$N34,X34,$N34)*VLOOKUP(LEFT($A34,3),Paramétres!$A:$D,3,0),IF(X34&lt;$N34,X34,$N34)*VLOOKUP(LEFT($A34,3),Paramétres!$A:$D,4)),0))</f>
        <v>2087.756163</v>
      </c>
      <c r="Z34" s="11">
        <f>IF(Y34&lt;$N34,Y34,$N34)-IF(Z$1&lt;=$U34,0,IF(Z$1&gt;IF($U34&lt;2022,2022,$U34),IF(Z$1-IF($U34&lt;2022,2022,$U34)=1,IF(Y34&lt;$N34,Y34,$N34)*VLOOKUP(LEFT($A34,3),Paramétres!$A:$D,3,0),IF(Y34&lt;$N34,Y34,$N34)*VLOOKUP(LEFT($A34,3),Paramétres!$A:$D,4)),0))</f>
        <v>1941.6132315899999</v>
      </c>
      <c r="AA34" s="11">
        <f>IF(Z34&lt;$N34,Z34,$N34)-IF(AA$1&lt;=$U34,0,IF(AA$1&gt;IF($U34&lt;2022,2022,$U34),IF(AA$1-IF($U34&lt;2022,2022,$U34)=1,IF(Z34&lt;$N34,Z34,$N34)*VLOOKUP(LEFT($A34,3),Paramétres!$A:$D,3,0),IF(Z34&lt;$N34,Z34,$N34)*VLOOKUP(LEFT($A34,3),Paramétres!$A:$D,4)),0))</f>
        <v>1805.7003053787</v>
      </c>
      <c r="AB34" s="11">
        <f>IF(AA34&lt;$N34,AA34,$N34)-IF(AB$1&lt;=$U34,0,IF(AB$1&gt;IF($U34&lt;2022,2022,$U34),IF(AB$1-IF($U34&lt;2022,2022,$U34)=1,IF(AA34&lt;$N34,AA34,$N34)*VLOOKUP(LEFT($A34,3),Paramétres!$A:$D,3,0),IF(AA34&lt;$N34,AA34,$N34)*VLOOKUP(LEFT($A34,3),Paramétres!$A:$D,4)),0))</f>
        <v>1679.3012840021911</v>
      </c>
      <c r="AC34" s="11">
        <f>IF(AB34&lt;$N34,AB34,$N34)-IF(AC$1&lt;=$U34,0,IF(AC$1&gt;IF($U34&lt;2022,2022,$U34),IF(AC$1-IF($U34&lt;2022,2022,$U34)=1,IF(AB34&lt;$N34,AB34,$N34)*VLOOKUP(LEFT($A34,3),Paramétres!$A:$D,3,0),IF(AB34&lt;$N34,AB34,$N34)*VLOOKUP(LEFT($A34,3),Paramétres!$A:$D,4)),0))</f>
        <v>1561.7501941220378</v>
      </c>
      <c r="AD34" s="11">
        <f>IF(AC34&lt;$N34,AC34,$N34)-IF(AD$1&lt;=$U34,0,IF(AD$1&gt;IF($U34&lt;2022,2022,$U34),IF(AD$1-IF($U34&lt;2022,2022,$U34)=1,IF(AC34&lt;$N34,AC34,$N34)*VLOOKUP(LEFT($A34,3),Paramétres!$A:$D,3,0),IF(AC34&lt;$N34,AC34,$N34)*VLOOKUP(LEFT($A34,3),Paramétres!$A:$D,4)),0))</f>
        <v>1452.427680533495</v>
      </c>
      <c r="AE34" s="11">
        <f>IF(AD34&lt;$N34,AD34,$N34)-IF(AE$1&lt;=$U34,0,IF(AE$1&gt;IF($U34&lt;2022,2022,$U34),IF(AE$1-IF($U34&lt;2022,2022,$U34)=1,IF(AD34&lt;$N34,AD34,$N34)*VLOOKUP(LEFT($A34,3),Paramétres!$A:$D,3,0),IF(AD34&lt;$N34,AD34,$N34)*VLOOKUP(LEFT($A34,3),Paramétres!$A:$D,4)),0))</f>
        <v>1350.7577428961504</v>
      </c>
      <c r="AF34" s="11">
        <f>IF(AE34&lt;$N34,AE34,$N34)-IF(AF$1&lt;=$U34,0,IF(AF$1&gt;IF($U34&lt;2022,2022,$U34),IF(AF$1-IF($U34&lt;2022,2022,$U34)=1,IF(AE34&lt;$N34,AE34,$N34)*VLOOKUP(LEFT($A34,3),Paramétres!$A:$D,3,0),IF(AE34&lt;$N34,AE34,$N34)*VLOOKUP(LEFT($A34,3),Paramétres!$A:$D,4)),0))</f>
        <v>1256.2047008934198</v>
      </c>
      <c r="AG34" s="11">
        <f>IF(AF34&lt;$N34,AF34,$N34)-IF(AG$1&lt;=$U34,0,IF(AG$1&gt;IF($U34&lt;2022,2022,$U34),IF(AG$1-IF($U34&lt;2022,2022,$U34)=1,IF(AF34&lt;$N34,AF34,$N34)*VLOOKUP(LEFT($A34,3),Paramétres!$A:$D,3,0),IF(AF34&lt;$N34,AF34,$N34)*VLOOKUP(LEFT($A34,3),Paramétres!$A:$D,4)),0))</f>
        <v>1168.2703718308805</v>
      </c>
      <c r="AH34" s="11">
        <f>IF(AG34&lt;$N34,AG34,$N34)-IF(AH$1&lt;=$U34,0,IF(AH$1&gt;IF($U34&lt;2022,2022,$U34),IF(AH$1-IF($U34&lt;2022,2022,$U34)=1,IF(AG34&lt;$N34,AG34,$N34)*VLOOKUP(LEFT($A34,3),Paramétres!$A:$D,3,0),IF(AG34&lt;$N34,AG34,$N34)*VLOOKUP(LEFT($A34,3),Paramétres!$A:$D,4)),0))</f>
        <v>1086.491445802719</v>
      </c>
      <c r="AI34" s="11">
        <f>IF(AH34&lt;$N34,AH34,$N34)-IF(AI$1&lt;=$U34,0,IF(AI$1&gt;IF($U34&lt;2022,2022,$U34),IF(AI$1-IF($U34&lt;2022,2022,$U34)=1,IF(AH34&lt;$N34,AH34,$N34)*VLOOKUP(LEFT($A34,3),Paramétres!$A:$D,3,0),IF(AH34&lt;$N34,AH34,$N34)*VLOOKUP(LEFT($A34,3),Paramétres!$A:$D,4)),0))</f>
        <v>1010.4370445965287</v>
      </c>
      <c r="AJ34" s="11">
        <f>IF(AI34&lt;$N34,AI34,$N34)-IF(AJ$1&lt;=$U34,0,IF(AJ$1&gt;IF($U34&lt;2022,2022,$U34),IF(AJ$1-IF($U34&lt;2022,2022,$U34)=1,IF(AI34&lt;$N34,AI34,$N34)*VLOOKUP(LEFT($A34,3),Paramétres!$A:$D,3,0),IF(AI34&lt;$N34,AI34,$N34)*VLOOKUP(LEFT($A34,3),Paramétres!$A:$D,4)),0))</f>
        <v>939.70645147477171</v>
      </c>
      <c r="AK34" s="11">
        <f>IF(AJ34&lt;$N34,AJ34,$N34)-IF(AK$1&lt;=$U34,0,IF(AK$1&gt;IF($U34&lt;2022,2022,$U34),IF(AK$1-IF($U34&lt;2022,2022,$U34)=1,IF(AJ34&lt;$N34,AJ34,$N34)*VLOOKUP(LEFT($A34,3),Paramétres!$A:$D,3,0),IF(AJ34&lt;$N34,AJ34,$N34)*VLOOKUP(LEFT($A34,3),Paramétres!$A:$D,4)),0))</f>
        <v>873.92699987153765</v>
      </c>
    </row>
    <row r="35" spans="1:37" x14ac:dyDescent="0.25">
      <c r="A35" s="1" t="s">
        <v>99</v>
      </c>
      <c r="D35" s="1" t="s">
        <v>151</v>
      </c>
      <c r="E35" s="1" t="s">
        <v>86</v>
      </c>
      <c r="F35" s="1" t="s">
        <v>98</v>
      </c>
      <c r="K35" s="3">
        <v>2400</v>
      </c>
      <c r="L35" s="3"/>
      <c r="M35" s="3">
        <f>T_BASE[[#This Row],[VALEUR ACHAT]]</f>
        <v>2400</v>
      </c>
      <c r="N35" s="3">
        <f>T_BASE[[#This Row],[MONTANT PEC APRES AMORT.]]</f>
        <v>2400</v>
      </c>
      <c r="O35" s="1">
        <v>12</v>
      </c>
      <c r="Q35" s="4"/>
      <c r="R35" s="3">
        <v>0</v>
      </c>
      <c r="S35" s="3">
        <v>80</v>
      </c>
      <c r="T35" s="66">
        <f t="shared" si="1"/>
        <v>1</v>
      </c>
      <c r="U35" s="1">
        <f t="shared" si="2"/>
        <v>1900</v>
      </c>
      <c r="V35" s="11">
        <f>T_BASE[[#This Row],[ANNEE ACQT]]+T_BASE[[#This Row],[AMORT.]]</f>
        <v>1901</v>
      </c>
      <c r="W35" s="11">
        <f>$N35-IF(W$1&lt;=$V35,0,IF(W$1&gt;IF($V35&lt;2022,2022,$V35),IF(W$1-IF($V35&lt;2022,2022,$V35)=1,$N35*VLOOKUP(LEFT($A35,3),Paramétres!A:D,3,0),$N35*VLOOKUP(LEFT($A35,3),Paramétres!A:D,4)),0))</f>
        <v>2388</v>
      </c>
      <c r="X35" s="11">
        <f>IF(W35&lt;$N35,W35,$N35)-IF(X$1&lt;=$U35,0,IF(X$1&gt;IF($U35&lt;2022,2022,$U35),IF(X$1-IF($U35&lt;2022,2022,$U35)=1,IF(W35&lt;$N35,W35,$N35)*VLOOKUP(LEFT($A35,3),Paramétres!$A:$D,3,0),IF(W35&lt;$N35,W35,$N35)*VLOOKUP(LEFT($A35,3),Paramétres!$A:$D,4)),0))</f>
        <v>2220.84</v>
      </c>
      <c r="Y35" s="11">
        <f>IF(X35&lt;$N35,X35,$N35)-IF(Y$1&lt;=$U35,0,IF(Y$1&gt;IF($U35&lt;2022,2022,$U35),IF(Y$1-IF($U35&lt;2022,2022,$U35)=1,IF(X35&lt;$N35,X35,$N35)*VLOOKUP(LEFT($A35,3),Paramétres!$A:$D,3,0),IF(X35&lt;$N35,X35,$N35)*VLOOKUP(LEFT($A35,3),Paramétres!$A:$D,4)),0))</f>
        <v>2065.3812000000003</v>
      </c>
      <c r="Z35" s="11">
        <f>IF(Y35&lt;$N35,Y35,$N35)-IF(Z$1&lt;=$U35,0,IF(Z$1&gt;IF($U35&lt;2022,2022,$U35),IF(Z$1-IF($U35&lt;2022,2022,$U35)=1,IF(Y35&lt;$N35,Y35,$N35)*VLOOKUP(LEFT($A35,3),Paramétres!$A:$D,3,0),IF(Y35&lt;$N35,Y35,$N35)*VLOOKUP(LEFT($A35,3),Paramétres!$A:$D,4)),0))</f>
        <v>1920.8045160000001</v>
      </c>
      <c r="AA35" s="11">
        <f>IF(Z35&lt;$N35,Z35,$N35)-IF(AA$1&lt;=$U35,0,IF(AA$1&gt;IF($U35&lt;2022,2022,$U35),IF(AA$1-IF($U35&lt;2022,2022,$U35)=1,IF(Z35&lt;$N35,Z35,$N35)*VLOOKUP(LEFT($A35,3),Paramétres!$A:$D,3,0),IF(Z35&lt;$N35,Z35,$N35)*VLOOKUP(LEFT($A35,3),Paramétres!$A:$D,4)),0))</f>
        <v>1786.34819988</v>
      </c>
      <c r="AB35" s="11">
        <f>IF(AA35&lt;$N35,AA35,$N35)-IF(AB$1&lt;=$U35,0,IF(AB$1&gt;IF($U35&lt;2022,2022,$U35),IF(AB$1-IF($U35&lt;2022,2022,$U35)=1,IF(AA35&lt;$N35,AA35,$N35)*VLOOKUP(LEFT($A35,3),Paramétres!$A:$D,3,0),IF(AA35&lt;$N35,AA35,$N35)*VLOOKUP(LEFT($A35,3),Paramétres!$A:$D,4)),0))</f>
        <v>1661.3038258884001</v>
      </c>
      <c r="AC35" s="11">
        <f>IF(AB35&lt;$N35,AB35,$N35)-IF(AC$1&lt;=$U35,0,IF(AC$1&gt;IF($U35&lt;2022,2022,$U35),IF(AC$1-IF($U35&lt;2022,2022,$U35)=1,IF(AB35&lt;$N35,AB35,$N35)*VLOOKUP(LEFT($A35,3),Paramétres!$A:$D,3,0),IF(AB35&lt;$N35,AB35,$N35)*VLOOKUP(LEFT($A35,3),Paramétres!$A:$D,4)),0))</f>
        <v>1545.0125580762121</v>
      </c>
      <c r="AD35" s="11">
        <f>IF(AC35&lt;$N35,AC35,$N35)-IF(AD$1&lt;=$U35,0,IF(AD$1&gt;IF($U35&lt;2022,2022,$U35),IF(AD$1-IF($U35&lt;2022,2022,$U35)=1,IF(AC35&lt;$N35,AC35,$N35)*VLOOKUP(LEFT($A35,3),Paramétres!$A:$D,3,0),IF(AC35&lt;$N35,AC35,$N35)*VLOOKUP(LEFT($A35,3),Paramétres!$A:$D,4)),0))</f>
        <v>1436.8616790108772</v>
      </c>
      <c r="AE35" s="11">
        <f>IF(AD35&lt;$N35,AD35,$N35)-IF(AE$1&lt;=$U35,0,IF(AE$1&gt;IF($U35&lt;2022,2022,$U35),IF(AE$1-IF($U35&lt;2022,2022,$U35)=1,IF(AD35&lt;$N35,AD35,$N35)*VLOOKUP(LEFT($A35,3),Paramétres!$A:$D,3,0),IF(AD35&lt;$N35,AD35,$N35)*VLOOKUP(LEFT($A35,3),Paramétres!$A:$D,4)),0))</f>
        <v>1336.2813614801157</v>
      </c>
      <c r="AF35" s="11">
        <f>IF(AE35&lt;$N35,AE35,$N35)-IF(AF$1&lt;=$U35,0,IF(AF$1&gt;IF($U35&lt;2022,2022,$U35),IF(AF$1-IF($U35&lt;2022,2022,$U35)=1,IF(AE35&lt;$N35,AE35,$N35)*VLOOKUP(LEFT($A35,3),Paramétres!$A:$D,3,0),IF(AE35&lt;$N35,AE35,$N35)*VLOOKUP(LEFT($A35,3),Paramétres!$A:$D,4)),0))</f>
        <v>1242.7416661765076</v>
      </c>
      <c r="AG35" s="11">
        <f>IF(AF35&lt;$N35,AF35,$N35)-IF(AG$1&lt;=$U35,0,IF(AG$1&gt;IF($U35&lt;2022,2022,$U35),IF(AG$1-IF($U35&lt;2022,2022,$U35)=1,IF(AF35&lt;$N35,AF35,$N35)*VLOOKUP(LEFT($A35,3),Paramétres!$A:$D,3,0),IF(AF35&lt;$N35,AF35,$N35)*VLOOKUP(LEFT($A35,3),Paramétres!$A:$D,4)),0))</f>
        <v>1155.7497495441521</v>
      </c>
      <c r="AH35" s="11">
        <f>IF(AG35&lt;$N35,AG35,$N35)-IF(AH$1&lt;=$U35,0,IF(AH$1&gt;IF($U35&lt;2022,2022,$U35),IF(AH$1-IF($U35&lt;2022,2022,$U35)=1,IF(AG35&lt;$N35,AG35,$N35)*VLOOKUP(LEFT($A35,3),Paramétres!$A:$D,3,0),IF(AG35&lt;$N35,AG35,$N35)*VLOOKUP(LEFT($A35,3),Paramétres!$A:$D,4)),0))</f>
        <v>1074.8472670760614</v>
      </c>
      <c r="AI35" s="11">
        <f>IF(AH35&lt;$N35,AH35,$N35)-IF(AI$1&lt;=$U35,0,IF(AI$1&gt;IF($U35&lt;2022,2022,$U35),IF(AI$1-IF($U35&lt;2022,2022,$U35)=1,IF(AH35&lt;$N35,AH35,$N35)*VLOOKUP(LEFT($A35,3),Paramétres!$A:$D,3,0),IF(AH35&lt;$N35,AH35,$N35)*VLOOKUP(LEFT($A35,3),Paramétres!$A:$D,4)),0))</f>
        <v>999.60795838073705</v>
      </c>
      <c r="AJ35" s="11">
        <f>IF(AI35&lt;$N35,AI35,$N35)-IF(AJ$1&lt;=$U35,0,IF(AJ$1&gt;IF($U35&lt;2022,2022,$U35),IF(AJ$1-IF($U35&lt;2022,2022,$U35)=1,IF(AI35&lt;$N35,AI35,$N35)*VLOOKUP(LEFT($A35,3),Paramétres!$A:$D,3,0),IF(AI35&lt;$N35,AI35,$N35)*VLOOKUP(LEFT($A35,3),Paramétres!$A:$D,4)),0))</f>
        <v>929.63540129408545</v>
      </c>
      <c r="AK35" s="11">
        <f>IF(AJ35&lt;$N35,AJ35,$N35)-IF(AK$1&lt;=$U35,0,IF(AK$1&gt;IF($U35&lt;2022,2022,$U35),IF(AK$1-IF($U35&lt;2022,2022,$U35)=1,IF(AJ35&lt;$N35,AJ35,$N35)*VLOOKUP(LEFT($A35,3),Paramétres!$A:$D,3,0),IF(AJ35&lt;$N35,AJ35,$N35)*VLOOKUP(LEFT($A35,3),Paramétres!$A:$D,4)),0))</f>
        <v>864.56092320349944</v>
      </c>
    </row>
    <row r="36" spans="1:37" x14ac:dyDescent="0.25">
      <c r="A36" s="1" t="s">
        <v>100</v>
      </c>
      <c r="D36" s="1" t="s">
        <v>151</v>
      </c>
      <c r="E36" s="1" t="s">
        <v>86</v>
      </c>
      <c r="F36" s="1" t="s">
        <v>89</v>
      </c>
      <c r="K36" s="3">
        <v>875</v>
      </c>
      <c r="L36" s="3"/>
      <c r="M36" s="3">
        <f>T_BASE[[#This Row],[VALEUR ACHAT]]</f>
        <v>875</v>
      </c>
      <c r="N36" s="3">
        <f>T_BASE[[#This Row],[MONTANT PEC APRES AMORT.]]</f>
        <v>875</v>
      </c>
      <c r="O36" s="1">
        <v>12</v>
      </c>
      <c r="Q36" s="4"/>
      <c r="R36" s="3">
        <v>0</v>
      </c>
      <c r="S36" s="3">
        <v>80</v>
      </c>
      <c r="T36" s="66">
        <f t="shared" si="1"/>
        <v>1</v>
      </c>
      <c r="U36" s="1">
        <f t="shared" si="2"/>
        <v>1900</v>
      </c>
      <c r="V36" s="11">
        <f>T_BASE[[#This Row],[ANNEE ACQT]]+T_BASE[[#This Row],[AMORT.]]</f>
        <v>1901</v>
      </c>
      <c r="W36" s="11">
        <f>$N36-IF(W$1&lt;=$V36,0,IF(W$1&gt;IF($V36&lt;2022,2022,$V36),IF(W$1-IF($V36&lt;2022,2022,$V36)=1,$N36*VLOOKUP(LEFT($A36,3),Paramétres!A:D,3,0),$N36*VLOOKUP(LEFT($A36,3),Paramétres!A:D,4)),0))</f>
        <v>870.625</v>
      </c>
      <c r="X36" s="11">
        <f>IF(W36&lt;$N36,W36,$N36)-IF(X$1&lt;=$U36,0,IF(X$1&gt;IF($U36&lt;2022,2022,$U36),IF(X$1-IF($U36&lt;2022,2022,$U36)=1,IF(W36&lt;$N36,W36,$N36)*VLOOKUP(LEFT($A36,3),Paramétres!$A:$D,3,0),IF(W36&lt;$N36,W36,$N36)*VLOOKUP(LEFT($A36,3),Paramétres!$A:$D,4)),0))</f>
        <v>809.68124999999998</v>
      </c>
      <c r="Y36" s="11">
        <f>IF(X36&lt;$N36,X36,$N36)-IF(Y$1&lt;=$U36,0,IF(Y$1&gt;IF($U36&lt;2022,2022,$U36),IF(Y$1-IF($U36&lt;2022,2022,$U36)=1,IF(X36&lt;$N36,X36,$N36)*VLOOKUP(LEFT($A36,3),Paramétres!$A:$D,3,0),IF(X36&lt;$N36,X36,$N36)*VLOOKUP(LEFT($A36,3),Paramétres!$A:$D,4)),0))</f>
        <v>753.00356249999993</v>
      </c>
      <c r="Z36" s="11">
        <f>IF(Y36&lt;$N36,Y36,$N36)-IF(Z$1&lt;=$U36,0,IF(Z$1&gt;IF($U36&lt;2022,2022,$U36),IF(Z$1-IF($U36&lt;2022,2022,$U36)=1,IF(Y36&lt;$N36,Y36,$N36)*VLOOKUP(LEFT($A36,3),Paramétres!$A:$D,3,0),IF(Y36&lt;$N36,Y36,$N36)*VLOOKUP(LEFT($A36,3),Paramétres!$A:$D,4)),0))</f>
        <v>700.29331312499994</v>
      </c>
      <c r="AA36" s="11">
        <f>IF(Z36&lt;$N36,Z36,$N36)-IF(AA$1&lt;=$U36,0,IF(AA$1&gt;IF($U36&lt;2022,2022,$U36),IF(AA$1-IF($U36&lt;2022,2022,$U36)=1,IF(Z36&lt;$N36,Z36,$N36)*VLOOKUP(LEFT($A36,3),Paramétres!$A:$D,3,0),IF(Z36&lt;$N36,Z36,$N36)*VLOOKUP(LEFT($A36,3),Paramétres!$A:$D,4)),0))</f>
        <v>651.27278120624999</v>
      </c>
      <c r="AB36" s="11">
        <f>IF(AA36&lt;$N36,AA36,$N36)-IF(AB$1&lt;=$U36,0,IF(AB$1&gt;IF($U36&lt;2022,2022,$U36),IF(AB$1-IF($U36&lt;2022,2022,$U36)=1,IF(AA36&lt;$N36,AA36,$N36)*VLOOKUP(LEFT($A36,3),Paramétres!$A:$D,3,0),IF(AA36&lt;$N36,AA36,$N36)*VLOOKUP(LEFT($A36,3),Paramétres!$A:$D,4)),0))</f>
        <v>605.68368652181243</v>
      </c>
      <c r="AC36" s="11">
        <f>IF(AB36&lt;$N36,AB36,$N36)-IF(AC$1&lt;=$U36,0,IF(AC$1&gt;IF($U36&lt;2022,2022,$U36),IF(AC$1-IF($U36&lt;2022,2022,$U36)=1,IF(AB36&lt;$N36,AB36,$N36)*VLOOKUP(LEFT($A36,3),Paramétres!$A:$D,3,0),IF(AB36&lt;$N36,AB36,$N36)*VLOOKUP(LEFT($A36,3),Paramétres!$A:$D,4)),0))</f>
        <v>563.28582846528559</v>
      </c>
      <c r="AD36" s="11">
        <f>IF(AC36&lt;$N36,AC36,$N36)-IF(AD$1&lt;=$U36,0,IF(AD$1&gt;IF($U36&lt;2022,2022,$U36),IF(AD$1-IF($U36&lt;2022,2022,$U36)=1,IF(AC36&lt;$N36,AC36,$N36)*VLOOKUP(LEFT($A36,3),Paramétres!$A:$D,3,0),IF(AC36&lt;$N36,AC36,$N36)*VLOOKUP(LEFT($A36,3),Paramétres!$A:$D,4)),0))</f>
        <v>523.85582047271555</v>
      </c>
      <c r="AE36" s="11">
        <f>IF(AD36&lt;$N36,AD36,$N36)-IF(AE$1&lt;=$U36,0,IF(AE$1&gt;IF($U36&lt;2022,2022,$U36),IF(AE$1-IF($U36&lt;2022,2022,$U36)=1,IF(AD36&lt;$N36,AD36,$N36)*VLOOKUP(LEFT($A36,3),Paramétres!$A:$D,3,0),IF(AD36&lt;$N36,AD36,$N36)*VLOOKUP(LEFT($A36,3),Paramétres!$A:$D,4)),0))</f>
        <v>487.18591303962546</v>
      </c>
      <c r="AF36" s="11">
        <f>IF(AE36&lt;$N36,AE36,$N36)-IF(AF$1&lt;=$U36,0,IF(AF$1&gt;IF($U36&lt;2022,2022,$U36),IF(AF$1-IF($U36&lt;2022,2022,$U36)=1,IF(AE36&lt;$N36,AE36,$N36)*VLOOKUP(LEFT($A36,3),Paramétres!$A:$D,3,0),IF(AE36&lt;$N36,AE36,$N36)*VLOOKUP(LEFT($A36,3),Paramétres!$A:$D,4)),0))</f>
        <v>453.08289912685166</v>
      </c>
      <c r="AG36" s="11">
        <f>IF(AF36&lt;$N36,AF36,$N36)-IF(AG$1&lt;=$U36,0,IF(AG$1&gt;IF($U36&lt;2022,2022,$U36),IF(AG$1-IF($U36&lt;2022,2022,$U36)=1,IF(AF36&lt;$N36,AF36,$N36)*VLOOKUP(LEFT($A36,3),Paramétres!$A:$D,3,0),IF(AF36&lt;$N36,AF36,$N36)*VLOOKUP(LEFT($A36,3),Paramétres!$A:$D,4)),0))</f>
        <v>421.36709618797204</v>
      </c>
      <c r="AH36" s="11">
        <f>IF(AG36&lt;$N36,AG36,$N36)-IF(AH$1&lt;=$U36,0,IF(AH$1&gt;IF($U36&lt;2022,2022,$U36),IF(AH$1-IF($U36&lt;2022,2022,$U36)=1,IF(AG36&lt;$N36,AG36,$N36)*VLOOKUP(LEFT($A36,3),Paramétres!$A:$D,3,0),IF(AG36&lt;$N36,AG36,$N36)*VLOOKUP(LEFT($A36,3),Paramétres!$A:$D,4)),0))</f>
        <v>391.87139945481397</v>
      </c>
      <c r="AI36" s="11">
        <f>IF(AH36&lt;$N36,AH36,$N36)-IF(AI$1&lt;=$U36,0,IF(AI$1&gt;IF($U36&lt;2022,2022,$U36),IF(AI$1-IF($U36&lt;2022,2022,$U36)=1,IF(AH36&lt;$N36,AH36,$N36)*VLOOKUP(LEFT($A36,3),Paramétres!$A:$D,3,0),IF(AH36&lt;$N36,AH36,$N36)*VLOOKUP(LEFT($A36,3),Paramétres!$A:$D,4)),0))</f>
        <v>364.440401492977</v>
      </c>
      <c r="AJ36" s="11">
        <f>IF(AI36&lt;$N36,AI36,$N36)-IF(AJ$1&lt;=$U36,0,IF(AJ$1&gt;IF($U36&lt;2022,2022,$U36),IF(AJ$1-IF($U36&lt;2022,2022,$U36)=1,IF(AI36&lt;$N36,AI36,$N36)*VLOOKUP(LEFT($A36,3),Paramétres!$A:$D,3,0),IF(AI36&lt;$N36,AI36,$N36)*VLOOKUP(LEFT($A36,3),Paramétres!$A:$D,4)),0))</f>
        <v>338.92957338846861</v>
      </c>
      <c r="AK36" s="11">
        <f>IF(AJ36&lt;$N36,AJ36,$N36)-IF(AK$1&lt;=$U36,0,IF(AK$1&gt;IF($U36&lt;2022,2022,$U36),IF(AK$1-IF($U36&lt;2022,2022,$U36)=1,IF(AJ36&lt;$N36,AJ36,$N36)*VLOOKUP(LEFT($A36,3),Paramétres!$A:$D,3,0),IF(AJ36&lt;$N36,AJ36,$N36)*VLOOKUP(LEFT($A36,3),Paramétres!$A:$D,4)),0))</f>
        <v>315.20450325127581</v>
      </c>
    </row>
    <row r="37" spans="1:37" x14ac:dyDescent="0.25">
      <c r="A37" s="1" t="s">
        <v>101</v>
      </c>
      <c r="D37" s="1" t="s">
        <v>151</v>
      </c>
      <c r="E37" s="6" t="s">
        <v>102</v>
      </c>
      <c r="F37" s="6" t="s">
        <v>103</v>
      </c>
      <c r="G37" s="6"/>
      <c r="H37" s="6"/>
      <c r="I37" s="6"/>
      <c r="J37" s="6"/>
      <c r="K37" s="8"/>
      <c r="L37" s="8"/>
      <c r="M37" s="3">
        <f>T_BASE[[#This Row],[VALEUR ACHAT]]</f>
        <v>0</v>
      </c>
      <c r="N37" s="3">
        <f>T_BASE[[#This Row],[MONTANT PEC APRES AMORT.]]</f>
        <v>0</v>
      </c>
      <c r="O37" s="6"/>
      <c r="P37" s="6"/>
      <c r="Q37" s="4"/>
      <c r="R37" s="3">
        <v>0</v>
      </c>
      <c r="S37" s="8">
        <v>80</v>
      </c>
      <c r="T37" s="66">
        <f t="shared" si="1"/>
        <v>0</v>
      </c>
      <c r="U37" s="1">
        <f t="shared" si="2"/>
        <v>1900</v>
      </c>
      <c r="V37" s="11">
        <f>T_BASE[[#This Row],[ANNEE ACQT]]+T_BASE[[#This Row],[AMORT.]]</f>
        <v>1900</v>
      </c>
      <c r="W37" s="11">
        <f>$N37-IF(W$1&lt;=$V37,0,IF(W$1&gt;IF($V37&lt;2022,2022,$V37),IF(W$1-IF($V37&lt;2022,2022,$V37)=1,$N37*VLOOKUP(LEFT($A37,3),Paramétres!A:D,3,0),$N37*VLOOKUP(LEFT($A37,3),Paramétres!A:D,4)),0))</f>
        <v>0</v>
      </c>
      <c r="X37" s="11">
        <f>IF(W37&lt;$N37,W37,$N37)-IF(X$1&lt;=$U37,0,IF(X$1&gt;IF($U37&lt;2022,2022,$U37),IF(X$1-IF($U37&lt;2022,2022,$U37)=1,IF(W37&lt;$N37,W37,$N37)*VLOOKUP(LEFT($A37,3),Paramétres!$A:$D,3,0),IF(W37&lt;$N37,W37,$N37)*VLOOKUP(LEFT($A37,3),Paramétres!$A:$D,4)),0))</f>
        <v>0</v>
      </c>
      <c r="Y37" s="11">
        <f>IF(X37&lt;$N37,X37,$N37)-IF(Y$1&lt;=$U37,0,IF(Y$1&gt;IF($U37&lt;2022,2022,$U37),IF(Y$1-IF($U37&lt;2022,2022,$U37)=1,IF(X37&lt;$N37,X37,$N37)*VLOOKUP(LEFT($A37,3),Paramétres!$A:$D,3,0),IF(X37&lt;$N37,X37,$N37)*VLOOKUP(LEFT($A37,3),Paramétres!$A:$D,4)),0))</f>
        <v>0</v>
      </c>
      <c r="Z37" s="11">
        <f>IF(Y37&lt;$N37,Y37,$N37)-IF(Z$1&lt;=$U37,0,IF(Z$1&gt;IF($U37&lt;2022,2022,$U37),IF(Z$1-IF($U37&lt;2022,2022,$U37)=1,IF(Y37&lt;$N37,Y37,$N37)*VLOOKUP(LEFT($A37,3),Paramétres!$A:$D,3,0),IF(Y37&lt;$N37,Y37,$N37)*VLOOKUP(LEFT($A37,3),Paramétres!$A:$D,4)),0))</f>
        <v>0</v>
      </c>
      <c r="AA37" s="11">
        <f>IF(Z37&lt;$N37,Z37,$N37)-IF(AA$1&lt;=$U37,0,IF(AA$1&gt;IF($U37&lt;2022,2022,$U37),IF(AA$1-IF($U37&lt;2022,2022,$U37)=1,IF(Z37&lt;$N37,Z37,$N37)*VLOOKUP(LEFT($A37,3),Paramétres!$A:$D,3,0),IF(Z37&lt;$N37,Z37,$N37)*VLOOKUP(LEFT($A37,3),Paramétres!$A:$D,4)),0))</f>
        <v>0</v>
      </c>
      <c r="AB37" s="11">
        <f>IF(AA37&lt;$N37,AA37,$N37)-IF(AB$1&lt;=$U37,0,IF(AB$1&gt;IF($U37&lt;2022,2022,$U37),IF(AB$1-IF($U37&lt;2022,2022,$U37)=1,IF(AA37&lt;$N37,AA37,$N37)*VLOOKUP(LEFT($A37,3),Paramétres!$A:$D,3,0),IF(AA37&lt;$N37,AA37,$N37)*VLOOKUP(LEFT($A37,3),Paramétres!$A:$D,4)),0))</f>
        <v>0</v>
      </c>
      <c r="AC37" s="11">
        <f>IF(AB37&lt;$N37,AB37,$N37)-IF(AC$1&lt;=$U37,0,IF(AC$1&gt;IF($U37&lt;2022,2022,$U37),IF(AC$1-IF($U37&lt;2022,2022,$U37)=1,IF(AB37&lt;$N37,AB37,$N37)*VLOOKUP(LEFT($A37,3),Paramétres!$A:$D,3,0),IF(AB37&lt;$N37,AB37,$N37)*VLOOKUP(LEFT($A37,3),Paramétres!$A:$D,4)),0))</f>
        <v>0</v>
      </c>
      <c r="AD37" s="11">
        <f>IF(AC37&lt;$N37,AC37,$N37)-IF(AD$1&lt;=$U37,0,IF(AD$1&gt;IF($U37&lt;2022,2022,$U37),IF(AD$1-IF($U37&lt;2022,2022,$U37)=1,IF(AC37&lt;$N37,AC37,$N37)*VLOOKUP(LEFT($A37,3),Paramétres!$A:$D,3,0),IF(AC37&lt;$N37,AC37,$N37)*VLOOKUP(LEFT($A37,3),Paramétres!$A:$D,4)),0))</f>
        <v>0</v>
      </c>
      <c r="AE37" s="11">
        <f>IF(AD37&lt;$N37,AD37,$N37)-IF(AE$1&lt;=$U37,0,IF(AE$1&gt;IF($U37&lt;2022,2022,$U37),IF(AE$1-IF($U37&lt;2022,2022,$U37)=1,IF(AD37&lt;$N37,AD37,$N37)*VLOOKUP(LEFT($A37,3),Paramétres!$A:$D,3,0),IF(AD37&lt;$N37,AD37,$N37)*VLOOKUP(LEFT($A37,3),Paramétres!$A:$D,4)),0))</f>
        <v>0</v>
      </c>
      <c r="AF37" s="11">
        <f>IF(AE37&lt;$N37,AE37,$N37)-IF(AF$1&lt;=$U37,0,IF(AF$1&gt;IF($U37&lt;2022,2022,$U37),IF(AF$1-IF($U37&lt;2022,2022,$U37)=1,IF(AE37&lt;$N37,AE37,$N37)*VLOOKUP(LEFT($A37,3),Paramétres!$A:$D,3,0),IF(AE37&lt;$N37,AE37,$N37)*VLOOKUP(LEFT($A37,3),Paramétres!$A:$D,4)),0))</f>
        <v>0</v>
      </c>
      <c r="AG37" s="11">
        <f>IF(AF37&lt;$N37,AF37,$N37)-IF(AG$1&lt;=$U37,0,IF(AG$1&gt;IF($U37&lt;2022,2022,$U37),IF(AG$1-IF($U37&lt;2022,2022,$U37)=1,IF(AF37&lt;$N37,AF37,$N37)*VLOOKUP(LEFT($A37,3),Paramétres!$A:$D,3,0),IF(AF37&lt;$N37,AF37,$N37)*VLOOKUP(LEFT($A37,3),Paramétres!$A:$D,4)),0))</f>
        <v>0</v>
      </c>
      <c r="AH37" s="11">
        <f>IF(AG37&lt;$N37,AG37,$N37)-IF(AH$1&lt;=$U37,0,IF(AH$1&gt;IF($U37&lt;2022,2022,$U37),IF(AH$1-IF($U37&lt;2022,2022,$U37)=1,IF(AG37&lt;$N37,AG37,$N37)*VLOOKUP(LEFT($A37,3),Paramétres!$A:$D,3,0),IF(AG37&lt;$N37,AG37,$N37)*VLOOKUP(LEFT($A37,3),Paramétres!$A:$D,4)),0))</f>
        <v>0</v>
      </c>
      <c r="AI37" s="11">
        <f>IF(AH37&lt;$N37,AH37,$N37)-IF(AI$1&lt;=$U37,0,IF(AI$1&gt;IF($U37&lt;2022,2022,$U37),IF(AI$1-IF($U37&lt;2022,2022,$U37)=1,IF(AH37&lt;$N37,AH37,$N37)*VLOOKUP(LEFT($A37,3),Paramétres!$A:$D,3,0),IF(AH37&lt;$N37,AH37,$N37)*VLOOKUP(LEFT($A37,3),Paramétres!$A:$D,4)),0))</f>
        <v>0</v>
      </c>
      <c r="AJ37" s="11">
        <f>IF(AI37&lt;$N37,AI37,$N37)-IF(AJ$1&lt;=$U37,0,IF(AJ$1&gt;IF($U37&lt;2022,2022,$U37),IF(AJ$1-IF($U37&lt;2022,2022,$U37)=1,IF(AI37&lt;$N37,AI37,$N37)*VLOOKUP(LEFT($A37,3),Paramétres!$A:$D,3,0),IF(AI37&lt;$N37,AI37,$N37)*VLOOKUP(LEFT($A37,3),Paramétres!$A:$D,4)),0))</f>
        <v>0</v>
      </c>
      <c r="AK37" s="11">
        <f>IF(AJ37&lt;$N37,AJ37,$N37)-IF(AK$1&lt;=$U37,0,IF(AK$1&gt;IF($U37&lt;2022,2022,$U37),IF(AK$1-IF($U37&lt;2022,2022,$U37)=1,IF(AJ37&lt;$N37,AJ37,$N37)*VLOOKUP(LEFT($A37,3),Paramétres!$A:$D,3,0),IF(AJ37&lt;$N37,AJ37,$N37)*VLOOKUP(LEFT($A37,3),Paramétres!$A:$D,4)),0))</f>
        <v>0</v>
      </c>
    </row>
    <row r="38" spans="1:37" x14ac:dyDescent="0.25">
      <c r="A38" s="1" t="s">
        <v>104</v>
      </c>
      <c r="D38" s="1" t="s">
        <v>151</v>
      </c>
      <c r="E38" s="1" t="s">
        <v>102</v>
      </c>
      <c r="F38" s="1" t="s">
        <v>103</v>
      </c>
      <c r="J38" s="2">
        <v>43903</v>
      </c>
      <c r="K38" s="3">
        <v>1158.33</v>
      </c>
      <c r="L38" s="3"/>
      <c r="M38" s="3">
        <f>T_BASE[[#This Row],[VALEUR ACHAT]]</f>
        <v>1158.33</v>
      </c>
      <c r="N38" s="3">
        <f>T_BASE[[#This Row],[MONTANT PEC APRES AMORT.]]</f>
        <v>1158.33</v>
      </c>
      <c r="O38" s="1">
        <v>24</v>
      </c>
      <c r="Q38" s="4"/>
      <c r="R38" s="3">
        <v>0</v>
      </c>
      <c r="S38" s="3">
        <v>80</v>
      </c>
      <c r="T38" s="66">
        <f t="shared" si="1"/>
        <v>2</v>
      </c>
      <c r="U38" s="1">
        <f t="shared" si="2"/>
        <v>2020</v>
      </c>
      <c r="V38" s="11">
        <f>T_BASE[[#This Row],[ANNEE ACQT]]+T_BASE[[#This Row],[AMORT.]]</f>
        <v>2022</v>
      </c>
      <c r="W38" s="11">
        <f>$N38-IF(W$1&lt;=$V38,0,IF(W$1&gt;IF($V38&lt;2022,2022,$V38),IF(W$1-IF($V38&lt;2022,2022,$V38)=1,$N38*VLOOKUP(LEFT($A38,3),Paramétres!A:D,3,0),$N38*VLOOKUP(LEFT($A38,3),Paramétres!A:D,4)),0))</f>
        <v>1152.53835</v>
      </c>
      <c r="X38" s="11">
        <f>IF(W38&lt;$N38,W38,$N38)-IF(X$1&lt;=$U38,0,IF(X$1&gt;IF($U38&lt;2022,2022,$U38),IF(X$1-IF($U38&lt;2022,2022,$U38)=1,IF(W38&lt;$N38,W38,$N38)*VLOOKUP(LEFT($A38,3),Paramétres!$A:$D,3,0),IF(W38&lt;$N38,W38,$N38)*VLOOKUP(LEFT($A38,3),Paramétres!$A:$D,4)),0))</f>
        <v>1071.8606655000001</v>
      </c>
      <c r="Y38" s="11">
        <f>IF(X38&lt;$N38,X38,$N38)-IF(Y$1&lt;=$U38,0,IF(Y$1&gt;IF($U38&lt;2022,2022,$U38),IF(Y$1-IF($U38&lt;2022,2022,$U38)=1,IF(X38&lt;$N38,X38,$N38)*VLOOKUP(LEFT($A38,3),Paramétres!$A:$D,3,0),IF(X38&lt;$N38,X38,$N38)*VLOOKUP(LEFT($A38,3),Paramétres!$A:$D,4)),0))</f>
        <v>996.83041891500011</v>
      </c>
      <c r="Z38" s="11">
        <f>IF(Y38&lt;$N38,Y38,$N38)-IF(Z$1&lt;=$U38,0,IF(Z$1&gt;IF($U38&lt;2022,2022,$U38),IF(Z$1-IF($U38&lt;2022,2022,$U38)=1,IF(Y38&lt;$N38,Y38,$N38)*VLOOKUP(LEFT($A38,3),Paramétres!$A:$D,3,0),IF(Y38&lt;$N38,Y38,$N38)*VLOOKUP(LEFT($A38,3),Paramétres!$A:$D,4)),0))</f>
        <v>927.05228959095007</v>
      </c>
      <c r="AA38" s="11">
        <f>IF(Z38&lt;$N38,Z38,$N38)-IF(AA$1&lt;=$U38,0,IF(AA$1&gt;IF($U38&lt;2022,2022,$U38),IF(AA$1-IF($U38&lt;2022,2022,$U38)=1,IF(Z38&lt;$N38,Z38,$N38)*VLOOKUP(LEFT($A38,3),Paramétres!$A:$D,3,0),IF(Z38&lt;$N38,Z38,$N38)*VLOOKUP(LEFT($A38,3),Paramétres!$A:$D,4)),0))</f>
        <v>862.1586293195835</v>
      </c>
      <c r="AB38" s="11">
        <f>IF(AA38&lt;$N38,AA38,$N38)-IF(AB$1&lt;=$U38,0,IF(AB$1&gt;IF($U38&lt;2022,2022,$U38),IF(AB$1-IF($U38&lt;2022,2022,$U38)=1,IF(AA38&lt;$N38,AA38,$N38)*VLOOKUP(LEFT($A38,3),Paramétres!$A:$D,3,0),IF(AA38&lt;$N38,AA38,$N38)*VLOOKUP(LEFT($A38,3),Paramétres!$A:$D,4)),0))</f>
        <v>801.80752526721267</v>
      </c>
      <c r="AC38" s="11">
        <f>IF(AB38&lt;$N38,AB38,$N38)-IF(AC$1&lt;=$U38,0,IF(AC$1&gt;IF($U38&lt;2022,2022,$U38),IF(AC$1-IF($U38&lt;2022,2022,$U38)=1,IF(AB38&lt;$N38,AB38,$N38)*VLOOKUP(LEFT($A38,3),Paramétres!$A:$D,3,0),IF(AB38&lt;$N38,AB38,$N38)*VLOOKUP(LEFT($A38,3),Paramétres!$A:$D,4)),0))</f>
        <v>745.68099849850773</v>
      </c>
      <c r="AD38" s="11">
        <f>IF(AC38&lt;$N38,AC38,$N38)-IF(AD$1&lt;=$U38,0,IF(AD$1&gt;IF($U38&lt;2022,2022,$U38),IF(AD$1-IF($U38&lt;2022,2022,$U38)=1,IF(AC38&lt;$N38,AC38,$N38)*VLOOKUP(LEFT($A38,3),Paramétres!$A:$D,3,0),IF(AC38&lt;$N38,AC38,$N38)*VLOOKUP(LEFT($A38,3),Paramétres!$A:$D,4)),0))</f>
        <v>693.48332860361222</v>
      </c>
      <c r="AE38" s="11">
        <f>IF(AD38&lt;$N38,AD38,$N38)-IF(AE$1&lt;=$U38,0,IF(AE$1&gt;IF($U38&lt;2022,2022,$U38),IF(AE$1-IF($U38&lt;2022,2022,$U38)=1,IF(AD38&lt;$N38,AD38,$N38)*VLOOKUP(LEFT($A38,3),Paramétres!$A:$D,3,0),IF(AD38&lt;$N38,AD38,$N38)*VLOOKUP(LEFT($A38,3),Paramétres!$A:$D,4)),0))</f>
        <v>644.93949560135934</v>
      </c>
      <c r="AF38" s="11">
        <f>IF(AE38&lt;$N38,AE38,$N38)-IF(AF$1&lt;=$U38,0,IF(AF$1&gt;IF($U38&lt;2022,2022,$U38),IF(AF$1-IF($U38&lt;2022,2022,$U38)=1,IF(AE38&lt;$N38,AE38,$N38)*VLOOKUP(LEFT($A38,3),Paramétres!$A:$D,3,0),IF(AE38&lt;$N38,AE38,$N38)*VLOOKUP(LEFT($A38,3),Paramétres!$A:$D,4)),0))</f>
        <v>599.79373090926424</v>
      </c>
      <c r="AG38" s="11">
        <f>IF(AF38&lt;$N38,AF38,$N38)-IF(AG$1&lt;=$U38,0,IF(AG$1&gt;IF($U38&lt;2022,2022,$U38),IF(AG$1-IF($U38&lt;2022,2022,$U38)=1,IF(AF38&lt;$N38,AF38,$N38)*VLOOKUP(LEFT($A38,3),Paramétres!$A:$D,3,0),IF(AF38&lt;$N38,AF38,$N38)*VLOOKUP(LEFT($A38,3),Paramétres!$A:$D,4)),0))</f>
        <v>557.80816974561571</v>
      </c>
      <c r="AH38" s="11">
        <f>IF(AG38&lt;$N38,AG38,$N38)-IF(AH$1&lt;=$U38,0,IF(AH$1&gt;IF($U38&lt;2022,2022,$U38),IF(AH$1-IF($U38&lt;2022,2022,$U38)=1,IF(AG38&lt;$N38,AG38,$N38)*VLOOKUP(LEFT($A38,3),Paramétres!$A:$D,3,0),IF(AG38&lt;$N38,AG38,$N38)*VLOOKUP(LEFT($A38,3),Paramétres!$A:$D,4)),0))</f>
        <v>518.76159786342259</v>
      </c>
      <c r="AI38" s="11">
        <f>IF(AH38&lt;$N38,AH38,$N38)-IF(AI$1&lt;=$U38,0,IF(AI$1&gt;IF($U38&lt;2022,2022,$U38),IF(AI$1-IF($U38&lt;2022,2022,$U38)=1,IF(AH38&lt;$N38,AH38,$N38)*VLOOKUP(LEFT($A38,3),Paramétres!$A:$D,3,0),IF(AH38&lt;$N38,AH38,$N38)*VLOOKUP(LEFT($A38,3),Paramétres!$A:$D,4)),0))</f>
        <v>482.44828601298303</v>
      </c>
      <c r="AJ38" s="11">
        <f>IF(AI38&lt;$N38,AI38,$N38)-IF(AJ$1&lt;=$U38,0,IF(AJ$1&gt;IF($U38&lt;2022,2022,$U38),IF(AJ$1-IF($U38&lt;2022,2022,$U38)=1,IF(AI38&lt;$N38,AI38,$N38)*VLOOKUP(LEFT($A38,3),Paramétres!$A:$D,3,0),IF(AI38&lt;$N38,AI38,$N38)*VLOOKUP(LEFT($A38,3),Paramétres!$A:$D,4)),0))</f>
        <v>448.67690599207424</v>
      </c>
      <c r="AK38" s="11">
        <f>IF(AJ38&lt;$N38,AJ38,$N38)-IF(AK$1&lt;=$U38,0,IF(AK$1&gt;IF($U38&lt;2022,2022,$U38),IF(AK$1-IF($U38&lt;2022,2022,$U38)=1,IF(AJ38&lt;$N38,AJ38,$N38)*VLOOKUP(LEFT($A38,3),Paramétres!$A:$D,3,0),IF(AJ38&lt;$N38,AJ38,$N38)*VLOOKUP(LEFT($A38,3),Paramétres!$A:$D,4)),0))</f>
        <v>417.26952257262906</v>
      </c>
    </row>
    <row r="39" spans="1:37" x14ac:dyDescent="0.25">
      <c r="A39" s="1" t="s">
        <v>105</v>
      </c>
      <c r="D39" s="1" t="s">
        <v>151</v>
      </c>
      <c r="E39" s="1" t="s">
        <v>102</v>
      </c>
      <c r="F39" s="1" t="s">
        <v>103</v>
      </c>
      <c r="J39" s="2">
        <v>44120</v>
      </c>
      <c r="K39" s="3">
        <v>1158.33</v>
      </c>
      <c r="L39" s="3"/>
      <c r="M39" s="3">
        <f>T_BASE[[#This Row],[VALEUR ACHAT]]</f>
        <v>1158.33</v>
      </c>
      <c r="N39" s="3">
        <f>T_BASE[[#This Row],[MONTANT PEC APRES AMORT.]]</f>
        <v>1158.33</v>
      </c>
      <c r="O39" s="1">
        <v>24</v>
      </c>
      <c r="Q39" s="4"/>
      <c r="R39" s="3">
        <v>0</v>
      </c>
      <c r="S39" s="3">
        <v>80</v>
      </c>
      <c r="T39" s="66">
        <f t="shared" si="1"/>
        <v>2</v>
      </c>
      <c r="U39" s="1">
        <f t="shared" si="2"/>
        <v>2020</v>
      </c>
      <c r="V39" s="11">
        <f>T_BASE[[#This Row],[ANNEE ACQT]]+T_BASE[[#This Row],[AMORT.]]</f>
        <v>2022</v>
      </c>
      <c r="W39" s="11">
        <f>$N39-IF(W$1&lt;=$V39,0,IF(W$1&gt;IF($V39&lt;2022,2022,$V39),IF(W$1-IF($V39&lt;2022,2022,$V39)=1,$N39*VLOOKUP(LEFT($A39,3),Paramétres!A:D,3,0),$N39*VLOOKUP(LEFT($A39,3),Paramétres!A:D,4)),0))</f>
        <v>1152.53835</v>
      </c>
      <c r="X39" s="11">
        <f>IF(W39&lt;$N39,W39,$N39)-IF(X$1&lt;=$U39,0,IF(X$1&gt;IF($U39&lt;2022,2022,$U39),IF(X$1-IF($U39&lt;2022,2022,$U39)=1,IF(W39&lt;$N39,W39,$N39)*VLOOKUP(LEFT($A39,3),Paramétres!$A:$D,3,0),IF(W39&lt;$N39,W39,$N39)*VLOOKUP(LEFT($A39,3),Paramétres!$A:$D,4)),0))</f>
        <v>1071.8606655000001</v>
      </c>
      <c r="Y39" s="11">
        <f>IF(X39&lt;$N39,X39,$N39)-IF(Y$1&lt;=$U39,0,IF(Y$1&gt;IF($U39&lt;2022,2022,$U39),IF(Y$1-IF($U39&lt;2022,2022,$U39)=1,IF(X39&lt;$N39,X39,$N39)*VLOOKUP(LEFT($A39,3),Paramétres!$A:$D,3,0),IF(X39&lt;$N39,X39,$N39)*VLOOKUP(LEFT($A39,3),Paramétres!$A:$D,4)),0))</f>
        <v>996.83041891500011</v>
      </c>
      <c r="Z39" s="11">
        <f>IF(Y39&lt;$N39,Y39,$N39)-IF(Z$1&lt;=$U39,0,IF(Z$1&gt;IF($U39&lt;2022,2022,$U39),IF(Z$1-IF($U39&lt;2022,2022,$U39)=1,IF(Y39&lt;$N39,Y39,$N39)*VLOOKUP(LEFT($A39,3),Paramétres!$A:$D,3,0),IF(Y39&lt;$N39,Y39,$N39)*VLOOKUP(LEFT($A39,3),Paramétres!$A:$D,4)),0))</f>
        <v>927.05228959095007</v>
      </c>
      <c r="AA39" s="11">
        <f>IF(Z39&lt;$N39,Z39,$N39)-IF(AA$1&lt;=$U39,0,IF(AA$1&gt;IF($U39&lt;2022,2022,$U39),IF(AA$1-IF($U39&lt;2022,2022,$U39)=1,IF(Z39&lt;$N39,Z39,$N39)*VLOOKUP(LEFT($A39,3),Paramétres!$A:$D,3,0),IF(Z39&lt;$N39,Z39,$N39)*VLOOKUP(LEFT($A39,3),Paramétres!$A:$D,4)),0))</f>
        <v>862.1586293195835</v>
      </c>
      <c r="AB39" s="11">
        <f>IF(AA39&lt;$N39,AA39,$N39)-IF(AB$1&lt;=$U39,0,IF(AB$1&gt;IF($U39&lt;2022,2022,$U39),IF(AB$1-IF($U39&lt;2022,2022,$U39)=1,IF(AA39&lt;$N39,AA39,$N39)*VLOOKUP(LEFT($A39,3),Paramétres!$A:$D,3,0),IF(AA39&lt;$N39,AA39,$N39)*VLOOKUP(LEFT($A39,3),Paramétres!$A:$D,4)),0))</f>
        <v>801.80752526721267</v>
      </c>
      <c r="AC39" s="11">
        <f>IF(AB39&lt;$N39,AB39,$N39)-IF(AC$1&lt;=$U39,0,IF(AC$1&gt;IF($U39&lt;2022,2022,$U39),IF(AC$1-IF($U39&lt;2022,2022,$U39)=1,IF(AB39&lt;$N39,AB39,$N39)*VLOOKUP(LEFT($A39,3),Paramétres!$A:$D,3,0),IF(AB39&lt;$N39,AB39,$N39)*VLOOKUP(LEFT($A39,3),Paramétres!$A:$D,4)),0))</f>
        <v>745.68099849850773</v>
      </c>
      <c r="AD39" s="11">
        <f>IF(AC39&lt;$N39,AC39,$N39)-IF(AD$1&lt;=$U39,0,IF(AD$1&gt;IF($U39&lt;2022,2022,$U39),IF(AD$1-IF($U39&lt;2022,2022,$U39)=1,IF(AC39&lt;$N39,AC39,$N39)*VLOOKUP(LEFT($A39,3),Paramétres!$A:$D,3,0),IF(AC39&lt;$N39,AC39,$N39)*VLOOKUP(LEFT($A39,3),Paramétres!$A:$D,4)),0))</f>
        <v>693.48332860361222</v>
      </c>
      <c r="AE39" s="11">
        <f>IF(AD39&lt;$N39,AD39,$N39)-IF(AE$1&lt;=$U39,0,IF(AE$1&gt;IF($U39&lt;2022,2022,$U39),IF(AE$1-IF($U39&lt;2022,2022,$U39)=1,IF(AD39&lt;$N39,AD39,$N39)*VLOOKUP(LEFT($A39,3),Paramétres!$A:$D,3,0),IF(AD39&lt;$N39,AD39,$N39)*VLOOKUP(LEFT($A39,3),Paramétres!$A:$D,4)),0))</f>
        <v>644.93949560135934</v>
      </c>
      <c r="AF39" s="11">
        <f>IF(AE39&lt;$N39,AE39,$N39)-IF(AF$1&lt;=$U39,0,IF(AF$1&gt;IF($U39&lt;2022,2022,$U39),IF(AF$1-IF($U39&lt;2022,2022,$U39)=1,IF(AE39&lt;$N39,AE39,$N39)*VLOOKUP(LEFT($A39,3),Paramétres!$A:$D,3,0),IF(AE39&lt;$N39,AE39,$N39)*VLOOKUP(LEFT($A39,3),Paramétres!$A:$D,4)),0))</f>
        <v>599.79373090926424</v>
      </c>
      <c r="AG39" s="11">
        <f>IF(AF39&lt;$N39,AF39,$N39)-IF(AG$1&lt;=$U39,0,IF(AG$1&gt;IF($U39&lt;2022,2022,$U39),IF(AG$1-IF($U39&lt;2022,2022,$U39)=1,IF(AF39&lt;$N39,AF39,$N39)*VLOOKUP(LEFT($A39,3),Paramétres!$A:$D,3,0),IF(AF39&lt;$N39,AF39,$N39)*VLOOKUP(LEFT($A39,3),Paramétres!$A:$D,4)),0))</f>
        <v>557.80816974561571</v>
      </c>
      <c r="AH39" s="11">
        <f>IF(AG39&lt;$N39,AG39,$N39)-IF(AH$1&lt;=$U39,0,IF(AH$1&gt;IF($U39&lt;2022,2022,$U39),IF(AH$1-IF($U39&lt;2022,2022,$U39)=1,IF(AG39&lt;$N39,AG39,$N39)*VLOOKUP(LEFT($A39,3),Paramétres!$A:$D,3,0),IF(AG39&lt;$N39,AG39,$N39)*VLOOKUP(LEFT($A39,3),Paramétres!$A:$D,4)),0))</f>
        <v>518.76159786342259</v>
      </c>
      <c r="AI39" s="11">
        <f>IF(AH39&lt;$N39,AH39,$N39)-IF(AI$1&lt;=$U39,0,IF(AI$1&gt;IF($U39&lt;2022,2022,$U39),IF(AI$1-IF($U39&lt;2022,2022,$U39)=1,IF(AH39&lt;$N39,AH39,$N39)*VLOOKUP(LEFT($A39,3),Paramétres!$A:$D,3,0),IF(AH39&lt;$N39,AH39,$N39)*VLOOKUP(LEFT($A39,3),Paramétres!$A:$D,4)),0))</f>
        <v>482.44828601298303</v>
      </c>
      <c r="AJ39" s="11">
        <f>IF(AI39&lt;$N39,AI39,$N39)-IF(AJ$1&lt;=$U39,0,IF(AJ$1&gt;IF($U39&lt;2022,2022,$U39),IF(AJ$1-IF($U39&lt;2022,2022,$U39)=1,IF(AI39&lt;$N39,AI39,$N39)*VLOOKUP(LEFT($A39,3),Paramétres!$A:$D,3,0),IF(AI39&lt;$N39,AI39,$N39)*VLOOKUP(LEFT($A39,3),Paramétres!$A:$D,4)),0))</f>
        <v>448.67690599207424</v>
      </c>
      <c r="AK39" s="11">
        <f>IF(AJ39&lt;$N39,AJ39,$N39)-IF(AK$1&lt;=$U39,0,IF(AK$1&gt;IF($U39&lt;2022,2022,$U39),IF(AK$1-IF($U39&lt;2022,2022,$U39)=1,IF(AJ39&lt;$N39,AJ39,$N39)*VLOOKUP(LEFT($A39,3),Paramétres!$A:$D,3,0),IF(AJ39&lt;$N39,AJ39,$N39)*VLOOKUP(LEFT($A39,3),Paramétres!$A:$D,4)),0))</f>
        <v>417.26952257262906</v>
      </c>
    </row>
    <row r="40" spans="1:37" x14ac:dyDescent="0.25">
      <c r="A40" s="1" t="s">
        <v>106</v>
      </c>
      <c r="D40" s="1" t="s">
        <v>151</v>
      </c>
      <c r="E40" s="1" t="s">
        <v>107</v>
      </c>
      <c r="F40" s="1" t="s">
        <v>103</v>
      </c>
      <c r="J40" s="2">
        <v>44138</v>
      </c>
      <c r="K40" s="3">
        <v>1525.01</v>
      </c>
      <c r="L40" s="3"/>
      <c r="M40" s="3">
        <f>T_BASE[[#This Row],[VALEUR ACHAT]]</f>
        <v>1525.01</v>
      </c>
      <c r="N40" s="3">
        <f>T_BASE[[#This Row],[MONTANT PEC APRES AMORT.]]</f>
        <v>1525.01</v>
      </c>
      <c r="O40" s="1">
        <v>24</v>
      </c>
      <c r="Q40" s="4"/>
      <c r="R40" s="3">
        <v>0</v>
      </c>
      <c r="S40" s="3">
        <v>80</v>
      </c>
      <c r="T40" s="66">
        <f t="shared" si="1"/>
        <v>2</v>
      </c>
      <c r="U40" s="1">
        <f t="shared" si="2"/>
        <v>2020</v>
      </c>
      <c r="V40" s="11">
        <f>T_BASE[[#This Row],[ANNEE ACQT]]+T_BASE[[#This Row],[AMORT.]]</f>
        <v>2022</v>
      </c>
      <c r="W40" s="11">
        <f>$N40-IF(W$1&lt;=$V40,0,IF(W$1&gt;IF($V40&lt;2022,2022,$V40),IF(W$1-IF($V40&lt;2022,2022,$V40)=1,$N40*VLOOKUP(LEFT($A40,3),Paramétres!A:D,3,0),$N40*VLOOKUP(LEFT($A40,3),Paramétres!A:D,4)),0))</f>
        <v>1517.3849499999999</v>
      </c>
      <c r="X40" s="11">
        <f>IF(W40&lt;$N40,W40,$N40)-IF(X$1&lt;=$U40,0,IF(X$1&gt;IF($U40&lt;2022,2022,$U40),IF(X$1-IF($U40&lt;2022,2022,$U40)=1,IF(W40&lt;$N40,W40,$N40)*VLOOKUP(LEFT($A40,3),Paramétres!$A:$D,3,0),IF(W40&lt;$N40,W40,$N40)*VLOOKUP(LEFT($A40,3),Paramétres!$A:$D,4)),0))</f>
        <v>1411.1680034999999</v>
      </c>
      <c r="Y40" s="11">
        <f>IF(X40&lt;$N40,X40,$N40)-IF(Y$1&lt;=$U40,0,IF(Y$1&gt;IF($U40&lt;2022,2022,$U40),IF(Y$1-IF($U40&lt;2022,2022,$U40)=1,IF(X40&lt;$N40,X40,$N40)*VLOOKUP(LEFT($A40,3),Paramétres!$A:$D,3,0),IF(X40&lt;$N40,X40,$N40)*VLOOKUP(LEFT($A40,3),Paramétres!$A:$D,4)),0))</f>
        <v>1312.386243255</v>
      </c>
      <c r="Z40" s="11">
        <f>IF(Y40&lt;$N40,Y40,$N40)-IF(Z$1&lt;=$U40,0,IF(Z$1&gt;IF($U40&lt;2022,2022,$U40),IF(Z$1-IF($U40&lt;2022,2022,$U40)=1,IF(Y40&lt;$N40,Y40,$N40)*VLOOKUP(LEFT($A40,3),Paramétres!$A:$D,3,0),IF(Y40&lt;$N40,Y40,$N40)*VLOOKUP(LEFT($A40,3),Paramétres!$A:$D,4)),0))</f>
        <v>1220.5192062271499</v>
      </c>
      <c r="AA40" s="11">
        <f>IF(Z40&lt;$N40,Z40,$N40)-IF(AA$1&lt;=$U40,0,IF(AA$1&gt;IF($U40&lt;2022,2022,$U40),IF(AA$1-IF($U40&lt;2022,2022,$U40)=1,IF(Z40&lt;$N40,Z40,$N40)*VLOOKUP(LEFT($A40,3),Paramétres!$A:$D,3,0),IF(Z40&lt;$N40,Z40,$N40)*VLOOKUP(LEFT($A40,3),Paramétres!$A:$D,4)),0))</f>
        <v>1135.0828617912493</v>
      </c>
      <c r="AB40" s="11">
        <f>IF(AA40&lt;$N40,AA40,$N40)-IF(AB$1&lt;=$U40,0,IF(AB$1&gt;IF($U40&lt;2022,2022,$U40),IF(AB$1-IF($U40&lt;2022,2022,$U40)=1,IF(AA40&lt;$N40,AA40,$N40)*VLOOKUP(LEFT($A40,3),Paramétres!$A:$D,3,0),IF(AA40&lt;$N40,AA40,$N40)*VLOOKUP(LEFT($A40,3),Paramétres!$A:$D,4)),0))</f>
        <v>1055.627061465862</v>
      </c>
      <c r="AC40" s="11">
        <f>IF(AB40&lt;$N40,AB40,$N40)-IF(AC$1&lt;=$U40,0,IF(AC$1&gt;IF($U40&lt;2022,2022,$U40),IF(AC$1-IF($U40&lt;2022,2022,$U40)=1,IF(AB40&lt;$N40,AB40,$N40)*VLOOKUP(LEFT($A40,3),Paramétres!$A:$D,3,0),IF(AB40&lt;$N40,AB40,$N40)*VLOOKUP(LEFT($A40,3),Paramétres!$A:$D,4)),0))</f>
        <v>981.73316716325166</v>
      </c>
      <c r="AD40" s="11">
        <f>IF(AC40&lt;$N40,AC40,$N40)-IF(AD$1&lt;=$U40,0,IF(AD$1&gt;IF($U40&lt;2022,2022,$U40),IF(AD$1-IF($U40&lt;2022,2022,$U40)=1,IF(AC40&lt;$N40,AC40,$N40)*VLOOKUP(LEFT($A40,3),Paramétres!$A:$D,3,0),IF(AC40&lt;$N40,AC40,$N40)*VLOOKUP(LEFT($A40,3),Paramétres!$A:$D,4)),0))</f>
        <v>913.01184546182401</v>
      </c>
      <c r="AE40" s="11">
        <f>IF(AD40&lt;$N40,AD40,$N40)-IF(AE$1&lt;=$U40,0,IF(AE$1&gt;IF($U40&lt;2022,2022,$U40),IF(AE$1-IF($U40&lt;2022,2022,$U40)=1,IF(AD40&lt;$N40,AD40,$N40)*VLOOKUP(LEFT($A40,3),Paramétres!$A:$D,3,0),IF(AD40&lt;$N40,AD40,$N40)*VLOOKUP(LEFT($A40,3),Paramétres!$A:$D,4)),0))</f>
        <v>849.10101627949632</v>
      </c>
      <c r="AF40" s="11">
        <f>IF(AE40&lt;$N40,AE40,$N40)-IF(AF$1&lt;=$U40,0,IF(AF$1&gt;IF($U40&lt;2022,2022,$U40),IF(AF$1-IF($U40&lt;2022,2022,$U40)=1,IF(AE40&lt;$N40,AE40,$N40)*VLOOKUP(LEFT($A40,3),Paramétres!$A:$D,3,0),IF(AE40&lt;$N40,AE40,$N40)*VLOOKUP(LEFT($A40,3),Paramétres!$A:$D,4)),0))</f>
        <v>789.66394513993157</v>
      </c>
      <c r="AG40" s="11">
        <f>IF(AF40&lt;$N40,AF40,$N40)-IF(AG$1&lt;=$U40,0,IF(AG$1&gt;IF($U40&lt;2022,2022,$U40),IF(AG$1-IF($U40&lt;2022,2022,$U40)=1,IF(AF40&lt;$N40,AF40,$N40)*VLOOKUP(LEFT($A40,3),Paramétres!$A:$D,3,0),IF(AF40&lt;$N40,AF40,$N40)*VLOOKUP(LEFT($A40,3),Paramétres!$A:$D,4)),0))</f>
        <v>734.3874689801363</v>
      </c>
      <c r="AH40" s="11">
        <f>IF(AG40&lt;$N40,AG40,$N40)-IF(AH$1&lt;=$U40,0,IF(AH$1&gt;IF($U40&lt;2022,2022,$U40),IF(AH$1-IF($U40&lt;2022,2022,$U40)=1,IF(AG40&lt;$N40,AG40,$N40)*VLOOKUP(LEFT($A40,3),Paramétres!$A:$D,3,0),IF(AG40&lt;$N40,AG40,$N40)*VLOOKUP(LEFT($A40,3),Paramétres!$A:$D,4)),0))</f>
        <v>682.98034615152676</v>
      </c>
      <c r="AI40" s="11">
        <f>IF(AH40&lt;$N40,AH40,$N40)-IF(AI$1&lt;=$U40,0,IF(AI$1&gt;IF($U40&lt;2022,2022,$U40),IF(AI$1-IF($U40&lt;2022,2022,$U40)=1,IF(AH40&lt;$N40,AH40,$N40)*VLOOKUP(LEFT($A40,3),Paramétres!$A:$D,3,0),IF(AH40&lt;$N40,AH40,$N40)*VLOOKUP(LEFT($A40,3),Paramétres!$A:$D,4)),0))</f>
        <v>635.17172192091994</v>
      </c>
      <c r="AJ40" s="11">
        <f>IF(AI40&lt;$N40,AI40,$N40)-IF(AJ$1&lt;=$U40,0,IF(AJ$1&gt;IF($U40&lt;2022,2022,$U40),IF(AJ$1-IF($U40&lt;2022,2022,$U40)=1,IF(AI40&lt;$N40,AI40,$N40)*VLOOKUP(LEFT($A40,3),Paramétres!$A:$D,3,0),IF(AI40&lt;$N40,AI40,$N40)*VLOOKUP(LEFT($A40,3),Paramétres!$A:$D,4)),0))</f>
        <v>590.70970138645555</v>
      </c>
      <c r="AK40" s="11">
        <f>IF(AJ40&lt;$N40,AJ40,$N40)-IF(AK$1&lt;=$U40,0,IF(AK$1&gt;IF($U40&lt;2022,2022,$U40),IF(AK$1-IF($U40&lt;2022,2022,$U40)=1,IF(AJ40&lt;$N40,AJ40,$N40)*VLOOKUP(LEFT($A40,3),Paramétres!$A:$D,3,0),IF(AJ40&lt;$N40,AJ40,$N40)*VLOOKUP(LEFT($A40,3),Paramétres!$A:$D,4)),0))</f>
        <v>549.36002228940367</v>
      </c>
    </row>
    <row r="41" spans="1:37" x14ac:dyDescent="0.25">
      <c r="A41" s="1" t="s">
        <v>108</v>
      </c>
      <c r="D41" s="1" t="s">
        <v>151</v>
      </c>
      <c r="E41" s="1" t="s">
        <v>102</v>
      </c>
      <c r="F41" s="1" t="s">
        <v>103</v>
      </c>
      <c r="J41" s="2">
        <v>44158</v>
      </c>
      <c r="K41" s="3">
        <v>1158.33</v>
      </c>
      <c r="L41" s="3"/>
      <c r="M41" s="3">
        <f>T_BASE[[#This Row],[VALEUR ACHAT]]</f>
        <v>1158.33</v>
      </c>
      <c r="N41" s="3">
        <f>T_BASE[[#This Row],[MONTANT PEC APRES AMORT.]]</f>
        <v>1158.33</v>
      </c>
      <c r="O41" s="1">
        <v>24</v>
      </c>
      <c r="Q41" s="4"/>
      <c r="R41" s="3">
        <v>0</v>
      </c>
      <c r="S41" s="3">
        <v>80</v>
      </c>
      <c r="T41" s="66">
        <f t="shared" si="1"/>
        <v>2</v>
      </c>
      <c r="U41" s="1">
        <f t="shared" si="2"/>
        <v>2020</v>
      </c>
      <c r="V41" s="11">
        <f>T_BASE[[#This Row],[ANNEE ACQT]]+T_BASE[[#This Row],[AMORT.]]</f>
        <v>2022</v>
      </c>
      <c r="W41" s="11">
        <f>$N41-IF(W$1&lt;=$V41,0,IF(W$1&gt;IF($V41&lt;2022,2022,$V41),IF(W$1-IF($V41&lt;2022,2022,$V41)=1,$N41*VLOOKUP(LEFT($A41,3),Paramétres!A:D,3,0),$N41*VLOOKUP(LEFT($A41,3),Paramétres!A:D,4)),0))</f>
        <v>1152.53835</v>
      </c>
      <c r="X41" s="11">
        <f>IF(W41&lt;$N41,W41,$N41)-IF(X$1&lt;=$U41,0,IF(X$1&gt;IF($U41&lt;2022,2022,$U41),IF(X$1-IF($U41&lt;2022,2022,$U41)=1,IF(W41&lt;$N41,W41,$N41)*VLOOKUP(LEFT($A41,3),Paramétres!$A:$D,3,0),IF(W41&lt;$N41,W41,$N41)*VLOOKUP(LEFT($A41,3),Paramétres!$A:$D,4)),0))</f>
        <v>1071.8606655000001</v>
      </c>
      <c r="Y41" s="11">
        <f>IF(X41&lt;$N41,X41,$N41)-IF(Y$1&lt;=$U41,0,IF(Y$1&gt;IF($U41&lt;2022,2022,$U41),IF(Y$1-IF($U41&lt;2022,2022,$U41)=1,IF(X41&lt;$N41,X41,$N41)*VLOOKUP(LEFT($A41,3),Paramétres!$A:$D,3,0),IF(X41&lt;$N41,X41,$N41)*VLOOKUP(LEFT($A41,3),Paramétres!$A:$D,4)),0))</f>
        <v>996.83041891500011</v>
      </c>
      <c r="Z41" s="11">
        <f>IF(Y41&lt;$N41,Y41,$N41)-IF(Z$1&lt;=$U41,0,IF(Z$1&gt;IF($U41&lt;2022,2022,$U41),IF(Z$1-IF($U41&lt;2022,2022,$U41)=1,IF(Y41&lt;$N41,Y41,$N41)*VLOOKUP(LEFT($A41,3),Paramétres!$A:$D,3,0),IF(Y41&lt;$N41,Y41,$N41)*VLOOKUP(LEFT($A41,3),Paramétres!$A:$D,4)),0))</f>
        <v>927.05228959095007</v>
      </c>
      <c r="AA41" s="11">
        <f>IF(Z41&lt;$N41,Z41,$N41)-IF(AA$1&lt;=$U41,0,IF(AA$1&gt;IF($U41&lt;2022,2022,$U41),IF(AA$1-IF($U41&lt;2022,2022,$U41)=1,IF(Z41&lt;$N41,Z41,$N41)*VLOOKUP(LEFT($A41,3),Paramétres!$A:$D,3,0),IF(Z41&lt;$N41,Z41,$N41)*VLOOKUP(LEFT($A41,3),Paramétres!$A:$D,4)),0))</f>
        <v>862.1586293195835</v>
      </c>
      <c r="AB41" s="11">
        <f>IF(AA41&lt;$N41,AA41,$N41)-IF(AB$1&lt;=$U41,0,IF(AB$1&gt;IF($U41&lt;2022,2022,$U41),IF(AB$1-IF($U41&lt;2022,2022,$U41)=1,IF(AA41&lt;$N41,AA41,$N41)*VLOOKUP(LEFT($A41,3),Paramétres!$A:$D,3,0),IF(AA41&lt;$N41,AA41,$N41)*VLOOKUP(LEFT($A41,3),Paramétres!$A:$D,4)),0))</f>
        <v>801.80752526721267</v>
      </c>
      <c r="AC41" s="11">
        <f>IF(AB41&lt;$N41,AB41,$N41)-IF(AC$1&lt;=$U41,0,IF(AC$1&gt;IF($U41&lt;2022,2022,$U41),IF(AC$1-IF($U41&lt;2022,2022,$U41)=1,IF(AB41&lt;$N41,AB41,$N41)*VLOOKUP(LEFT($A41,3),Paramétres!$A:$D,3,0),IF(AB41&lt;$N41,AB41,$N41)*VLOOKUP(LEFT($A41,3),Paramétres!$A:$D,4)),0))</f>
        <v>745.68099849850773</v>
      </c>
      <c r="AD41" s="11">
        <f>IF(AC41&lt;$N41,AC41,$N41)-IF(AD$1&lt;=$U41,0,IF(AD$1&gt;IF($U41&lt;2022,2022,$U41),IF(AD$1-IF($U41&lt;2022,2022,$U41)=1,IF(AC41&lt;$N41,AC41,$N41)*VLOOKUP(LEFT($A41,3),Paramétres!$A:$D,3,0),IF(AC41&lt;$N41,AC41,$N41)*VLOOKUP(LEFT($A41,3),Paramétres!$A:$D,4)),0))</f>
        <v>693.48332860361222</v>
      </c>
      <c r="AE41" s="11">
        <f>IF(AD41&lt;$N41,AD41,$N41)-IF(AE$1&lt;=$U41,0,IF(AE$1&gt;IF($U41&lt;2022,2022,$U41),IF(AE$1-IF($U41&lt;2022,2022,$U41)=1,IF(AD41&lt;$N41,AD41,$N41)*VLOOKUP(LEFT($A41,3),Paramétres!$A:$D,3,0),IF(AD41&lt;$N41,AD41,$N41)*VLOOKUP(LEFT($A41,3),Paramétres!$A:$D,4)),0))</f>
        <v>644.93949560135934</v>
      </c>
      <c r="AF41" s="11">
        <f>IF(AE41&lt;$N41,AE41,$N41)-IF(AF$1&lt;=$U41,0,IF(AF$1&gt;IF($U41&lt;2022,2022,$U41),IF(AF$1-IF($U41&lt;2022,2022,$U41)=1,IF(AE41&lt;$N41,AE41,$N41)*VLOOKUP(LEFT($A41,3),Paramétres!$A:$D,3,0),IF(AE41&lt;$N41,AE41,$N41)*VLOOKUP(LEFT($A41,3),Paramétres!$A:$D,4)),0))</f>
        <v>599.79373090926424</v>
      </c>
      <c r="AG41" s="11">
        <f>IF(AF41&lt;$N41,AF41,$N41)-IF(AG$1&lt;=$U41,0,IF(AG$1&gt;IF($U41&lt;2022,2022,$U41),IF(AG$1-IF($U41&lt;2022,2022,$U41)=1,IF(AF41&lt;$N41,AF41,$N41)*VLOOKUP(LEFT($A41,3),Paramétres!$A:$D,3,0),IF(AF41&lt;$N41,AF41,$N41)*VLOOKUP(LEFT($A41,3),Paramétres!$A:$D,4)),0))</f>
        <v>557.80816974561571</v>
      </c>
      <c r="AH41" s="11">
        <f>IF(AG41&lt;$N41,AG41,$N41)-IF(AH$1&lt;=$U41,0,IF(AH$1&gt;IF($U41&lt;2022,2022,$U41),IF(AH$1-IF($U41&lt;2022,2022,$U41)=1,IF(AG41&lt;$N41,AG41,$N41)*VLOOKUP(LEFT($A41,3),Paramétres!$A:$D,3,0),IF(AG41&lt;$N41,AG41,$N41)*VLOOKUP(LEFT($A41,3),Paramétres!$A:$D,4)),0))</f>
        <v>518.76159786342259</v>
      </c>
      <c r="AI41" s="11">
        <f>IF(AH41&lt;$N41,AH41,$N41)-IF(AI$1&lt;=$U41,0,IF(AI$1&gt;IF($U41&lt;2022,2022,$U41),IF(AI$1-IF($U41&lt;2022,2022,$U41)=1,IF(AH41&lt;$N41,AH41,$N41)*VLOOKUP(LEFT($A41,3),Paramétres!$A:$D,3,0),IF(AH41&lt;$N41,AH41,$N41)*VLOOKUP(LEFT($A41,3),Paramétres!$A:$D,4)),0))</f>
        <v>482.44828601298303</v>
      </c>
      <c r="AJ41" s="11">
        <f>IF(AI41&lt;$N41,AI41,$N41)-IF(AJ$1&lt;=$U41,0,IF(AJ$1&gt;IF($U41&lt;2022,2022,$U41),IF(AJ$1-IF($U41&lt;2022,2022,$U41)=1,IF(AI41&lt;$N41,AI41,$N41)*VLOOKUP(LEFT($A41,3),Paramétres!$A:$D,3,0),IF(AI41&lt;$N41,AI41,$N41)*VLOOKUP(LEFT($A41,3),Paramétres!$A:$D,4)),0))</f>
        <v>448.67690599207424</v>
      </c>
      <c r="AK41" s="11">
        <f>IF(AJ41&lt;$N41,AJ41,$N41)-IF(AK$1&lt;=$U41,0,IF(AK$1&gt;IF($U41&lt;2022,2022,$U41),IF(AK$1-IF($U41&lt;2022,2022,$U41)=1,IF(AJ41&lt;$N41,AJ41,$N41)*VLOOKUP(LEFT($A41,3),Paramétres!$A:$D,3,0),IF(AJ41&lt;$N41,AJ41,$N41)*VLOOKUP(LEFT($A41,3),Paramétres!$A:$D,4)),0))</f>
        <v>417.26952257262906</v>
      </c>
    </row>
    <row r="42" spans="1:37" x14ac:dyDescent="0.25">
      <c r="A42" s="1" t="s">
        <v>109</v>
      </c>
      <c r="D42" s="1" t="s">
        <v>151</v>
      </c>
      <c r="E42" s="1" t="s">
        <v>102</v>
      </c>
      <c r="F42" s="1" t="s">
        <v>103</v>
      </c>
      <c r="J42" s="2">
        <v>44370</v>
      </c>
      <c r="K42" s="3">
        <v>1316.67</v>
      </c>
      <c r="L42" s="3"/>
      <c r="M42" s="3">
        <f>T_BASE[[#This Row],[VALEUR ACHAT]]</f>
        <v>1316.67</v>
      </c>
      <c r="N42" s="3">
        <f>T_BASE[[#This Row],[MONTANT PEC APRES AMORT.]]</f>
        <v>1316.67</v>
      </c>
      <c r="O42" s="1">
        <v>24</v>
      </c>
      <c r="Q42" s="4"/>
      <c r="R42" s="3">
        <v>0</v>
      </c>
      <c r="S42" s="3">
        <v>80</v>
      </c>
      <c r="T42" s="66">
        <f t="shared" si="1"/>
        <v>2</v>
      </c>
      <c r="U42" s="1">
        <f t="shared" si="2"/>
        <v>2021</v>
      </c>
      <c r="V42" s="11">
        <f>T_BASE[[#This Row],[ANNEE ACQT]]+T_BASE[[#This Row],[AMORT.]]</f>
        <v>2023</v>
      </c>
      <c r="W42" s="11">
        <f>$N42-IF(W$1&lt;=$V42,0,IF(W$1&gt;IF($V42&lt;2022,2022,$V42),IF(W$1-IF($V42&lt;2022,2022,$V42)=1,$N42*VLOOKUP(LEFT($A42,3),Paramétres!A:D,3,0),$N42*VLOOKUP(LEFT($A42,3),Paramétres!A:D,4)),0))</f>
        <v>1224.5031000000001</v>
      </c>
      <c r="X42" s="11">
        <f>IF(W42&lt;$N42,W42,$N42)-IF(X$1&lt;=$U42,0,IF(X$1&gt;IF($U42&lt;2022,2022,$U42),IF(X$1-IF($U42&lt;2022,2022,$U42)=1,IF(W42&lt;$N42,W42,$N42)*VLOOKUP(LEFT($A42,3),Paramétres!$A:$D,3,0),IF(W42&lt;$N42,W42,$N42)*VLOOKUP(LEFT($A42,3),Paramétres!$A:$D,4)),0))</f>
        <v>1138.7878830000002</v>
      </c>
      <c r="Y42" s="11">
        <f>IF(X42&lt;$N42,X42,$N42)-IF(Y$1&lt;=$U42,0,IF(Y$1&gt;IF($U42&lt;2022,2022,$U42),IF(Y$1-IF($U42&lt;2022,2022,$U42)=1,IF(X42&lt;$N42,X42,$N42)*VLOOKUP(LEFT($A42,3),Paramétres!$A:$D,3,0),IF(X42&lt;$N42,X42,$N42)*VLOOKUP(LEFT($A42,3),Paramétres!$A:$D,4)),0))</f>
        <v>1059.0727311900002</v>
      </c>
      <c r="Z42" s="11">
        <f>IF(Y42&lt;$N42,Y42,$N42)-IF(Z$1&lt;=$U42,0,IF(Z$1&gt;IF($U42&lt;2022,2022,$U42),IF(Z$1-IF($U42&lt;2022,2022,$U42)=1,IF(Y42&lt;$N42,Y42,$N42)*VLOOKUP(LEFT($A42,3),Paramétres!$A:$D,3,0),IF(Y42&lt;$N42,Y42,$N42)*VLOOKUP(LEFT($A42,3),Paramétres!$A:$D,4)),0))</f>
        <v>984.93764000670024</v>
      </c>
      <c r="AA42" s="11">
        <f>IF(Z42&lt;$N42,Z42,$N42)-IF(AA$1&lt;=$U42,0,IF(AA$1&gt;IF($U42&lt;2022,2022,$U42),IF(AA$1-IF($U42&lt;2022,2022,$U42)=1,IF(Z42&lt;$N42,Z42,$N42)*VLOOKUP(LEFT($A42,3),Paramétres!$A:$D,3,0),IF(Z42&lt;$N42,Z42,$N42)*VLOOKUP(LEFT($A42,3),Paramétres!$A:$D,4)),0))</f>
        <v>915.99200520623117</v>
      </c>
      <c r="AB42" s="11">
        <f>IF(AA42&lt;$N42,AA42,$N42)-IF(AB$1&lt;=$U42,0,IF(AB$1&gt;IF($U42&lt;2022,2022,$U42),IF(AB$1-IF($U42&lt;2022,2022,$U42)=1,IF(AA42&lt;$N42,AA42,$N42)*VLOOKUP(LEFT($A42,3),Paramétres!$A:$D,3,0),IF(AA42&lt;$N42,AA42,$N42)*VLOOKUP(LEFT($A42,3),Paramétres!$A:$D,4)),0))</f>
        <v>851.872564841795</v>
      </c>
      <c r="AC42" s="11">
        <f>IF(AB42&lt;$N42,AB42,$N42)-IF(AC$1&lt;=$U42,0,IF(AC$1&gt;IF($U42&lt;2022,2022,$U42),IF(AC$1-IF($U42&lt;2022,2022,$U42)=1,IF(AB42&lt;$N42,AB42,$N42)*VLOOKUP(LEFT($A42,3),Paramétres!$A:$D,3,0),IF(AB42&lt;$N42,AB42,$N42)*VLOOKUP(LEFT($A42,3),Paramétres!$A:$D,4)),0))</f>
        <v>792.24148530286936</v>
      </c>
      <c r="AD42" s="11">
        <f>IF(AC42&lt;$N42,AC42,$N42)-IF(AD$1&lt;=$U42,0,IF(AD$1&gt;IF($U42&lt;2022,2022,$U42),IF(AD$1-IF($U42&lt;2022,2022,$U42)=1,IF(AC42&lt;$N42,AC42,$N42)*VLOOKUP(LEFT($A42,3),Paramétres!$A:$D,3,0),IF(AC42&lt;$N42,AC42,$N42)*VLOOKUP(LEFT($A42,3),Paramétres!$A:$D,4)),0))</f>
        <v>736.78458133166851</v>
      </c>
      <c r="AE42" s="11">
        <f>IF(AD42&lt;$N42,AD42,$N42)-IF(AE$1&lt;=$U42,0,IF(AE$1&gt;IF($U42&lt;2022,2022,$U42),IF(AE$1-IF($U42&lt;2022,2022,$U42)=1,IF(AD42&lt;$N42,AD42,$N42)*VLOOKUP(LEFT($A42,3),Paramétres!$A:$D,3,0),IF(AD42&lt;$N42,AD42,$N42)*VLOOKUP(LEFT($A42,3),Paramétres!$A:$D,4)),0))</f>
        <v>685.20966063845174</v>
      </c>
      <c r="AF42" s="11">
        <f>IF(AE42&lt;$N42,AE42,$N42)-IF(AF$1&lt;=$U42,0,IF(AF$1&gt;IF($U42&lt;2022,2022,$U42),IF(AF$1-IF($U42&lt;2022,2022,$U42)=1,IF(AE42&lt;$N42,AE42,$N42)*VLOOKUP(LEFT($A42,3),Paramétres!$A:$D,3,0),IF(AE42&lt;$N42,AE42,$N42)*VLOOKUP(LEFT($A42,3),Paramétres!$A:$D,4)),0))</f>
        <v>637.24498439376009</v>
      </c>
      <c r="AG42" s="11">
        <f>IF(AF42&lt;$N42,AF42,$N42)-IF(AG$1&lt;=$U42,0,IF(AG$1&gt;IF($U42&lt;2022,2022,$U42),IF(AG$1-IF($U42&lt;2022,2022,$U42)=1,IF(AF42&lt;$N42,AF42,$N42)*VLOOKUP(LEFT($A42,3),Paramétres!$A:$D,3,0),IF(AF42&lt;$N42,AF42,$N42)*VLOOKUP(LEFT($A42,3),Paramétres!$A:$D,4)),0))</f>
        <v>592.63783548619688</v>
      </c>
      <c r="AH42" s="11">
        <f>IF(AG42&lt;$N42,AG42,$N42)-IF(AH$1&lt;=$U42,0,IF(AH$1&gt;IF($U42&lt;2022,2022,$U42),IF(AH$1-IF($U42&lt;2022,2022,$U42)=1,IF(AG42&lt;$N42,AG42,$N42)*VLOOKUP(LEFT($A42,3),Paramétres!$A:$D,3,0),IF(AG42&lt;$N42,AG42,$N42)*VLOOKUP(LEFT($A42,3),Paramétres!$A:$D,4)),0))</f>
        <v>551.15318700216312</v>
      </c>
      <c r="AI42" s="11">
        <f>IF(AH42&lt;$N42,AH42,$N42)-IF(AI$1&lt;=$U42,0,IF(AI$1&gt;IF($U42&lt;2022,2022,$U42),IF(AI$1-IF($U42&lt;2022,2022,$U42)=1,IF(AH42&lt;$N42,AH42,$N42)*VLOOKUP(LEFT($A42,3),Paramétres!$A:$D,3,0),IF(AH42&lt;$N42,AH42,$N42)*VLOOKUP(LEFT($A42,3),Paramétres!$A:$D,4)),0))</f>
        <v>512.5724639120117</v>
      </c>
      <c r="AJ42" s="11">
        <f>IF(AI42&lt;$N42,AI42,$N42)-IF(AJ$1&lt;=$U42,0,IF(AJ$1&gt;IF($U42&lt;2022,2022,$U42),IF(AJ$1-IF($U42&lt;2022,2022,$U42)=1,IF(AI42&lt;$N42,AI42,$N42)*VLOOKUP(LEFT($A42,3),Paramétres!$A:$D,3,0),IF(AI42&lt;$N42,AI42,$N42)*VLOOKUP(LEFT($A42,3),Paramétres!$A:$D,4)),0))</f>
        <v>476.69239143817089</v>
      </c>
      <c r="AK42" s="11">
        <f>IF(AJ42&lt;$N42,AJ42,$N42)-IF(AK$1&lt;=$U42,0,IF(AK$1&gt;IF($U42&lt;2022,2022,$U42),IF(AK$1-IF($U42&lt;2022,2022,$U42)=1,IF(AJ42&lt;$N42,AJ42,$N42)*VLOOKUP(LEFT($A42,3),Paramétres!$A:$D,3,0),IF(AJ42&lt;$N42,AJ42,$N42)*VLOOKUP(LEFT($A42,3),Paramétres!$A:$D,4)),0))</f>
        <v>443.3239240374989</v>
      </c>
    </row>
    <row r="43" spans="1:37" x14ac:dyDescent="0.25">
      <c r="A43" s="1" t="s">
        <v>110</v>
      </c>
      <c r="D43" s="1" t="s">
        <v>151</v>
      </c>
      <c r="E43" s="1" t="s">
        <v>102</v>
      </c>
      <c r="F43" s="1" t="s">
        <v>103</v>
      </c>
      <c r="J43" s="2">
        <v>44370</v>
      </c>
      <c r="K43" s="3">
        <v>1316.67</v>
      </c>
      <c r="L43" s="3"/>
      <c r="M43" s="3">
        <f>T_BASE[[#This Row],[VALEUR ACHAT]]</f>
        <v>1316.67</v>
      </c>
      <c r="N43" s="3">
        <f>T_BASE[[#This Row],[MONTANT PEC APRES AMORT.]]</f>
        <v>1316.67</v>
      </c>
      <c r="O43" s="1">
        <v>24</v>
      </c>
      <c r="Q43" s="4"/>
      <c r="R43" s="3">
        <v>0</v>
      </c>
      <c r="S43" s="3">
        <v>80</v>
      </c>
      <c r="T43" s="66">
        <f t="shared" si="1"/>
        <v>2</v>
      </c>
      <c r="U43" s="1">
        <f t="shared" si="2"/>
        <v>2021</v>
      </c>
      <c r="V43" s="11">
        <f>T_BASE[[#This Row],[ANNEE ACQT]]+T_BASE[[#This Row],[AMORT.]]</f>
        <v>2023</v>
      </c>
      <c r="W43" s="11">
        <f>$N43-IF(W$1&lt;=$V43,0,IF(W$1&gt;IF($V43&lt;2022,2022,$V43),IF(W$1-IF($V43&lt;2022,2022,$V43)=1,$N43*VLOOKUP(LEFT($A43,3),Paramétres!A:D,3,0),$N43*VLOOKUP(LEFT($A43,3),Paramétres!A:D,4)),0))</f>
        <v>1224.5031000000001</v>
      </c>
      <c r="X43" s="11">
        <f>IF(W43&lt;$N43,W43,$N43)-IF(X$1&lt;=$U43,0,IF(X$1&gt;IF($U43&lt;2022,2022,$U43),IF(X$1-IF($U43&lt;2022,2022,$U43)=1,IF(W43&lt;$N43,W43,$N43)*VLOOKUP(LEFT($A43,3),Paramétres!$A:$D,3,0),IF(W43&lt;$N43,W43,$N43)*VLOOKUP(LEFT($A43,3),Paramétres!$A:$D,4)),0))</f>
        <v>1138.7878830000002</v>
      </c>
      <c r="Y43" s="11">
        <f>IF(X43&lt;$N43,X43,$N43)-IF(Y$1&lt;=$U43,0,IF(Y$1&gt;IF($U43&lt;2022,2022,$U43),IF(Y$1-IF($U43&lt;2022,2022,$U43)=1,IF(X43&lt;$N43,X43,$N43)*VLOOKUP(LEFT($A43,3),Paramétres!$A:$D,3,0),IF(X43&lt;$N43,X43,$N43)*VLOOKUP(LEFT($A43,3),Paramétres!$A:$D,4)),0))</f>
        <v>1059.0727311900002</v>
      </c>
      <c r="Z43" s="11">
        <f>IF(Y43&lt;$N43,Y43,$N43)-IF(Z$1&lt;=$U43,0,IF(Z$1&gt;IF($U43&lt;2022,2022,$U43),IF(Z$1-IF($U43&lt;2022,2022,$U43)=1,IF(Y43&lt;$N43,Y43,$N43)*VLOOKUP(LEFT($A43,3),Paramétres!$A:$D,3,0),IF(Y43&lt;$N43,Y43,$N43)*VLOOKUP(LEFT($A43,3),Paramétres!$A:$D,4)),0))</f>
        <v>984.93764000670024</v>
      </c>
      <c r="AA43" s="11">
        <f>IF(Z43&lt;$N43,Z43,$N43)-IF(AA$1&lt;=$U43,0,IF(AA$1&gt;IF($U43&lt;2022,2022,$U43),IF(AA$1-IF($U43&lt;2022,2022,$U43)=1,IF(Z43&lt;$N43,Z43,$N43)*VLOOKUP(LEFT($A43,3),Paramétres!$A:$D,3,0),IF(Z43&lt;$N43,Z43,$N43)*VLOOKUP(LEFT($A43,3),Paramétres!$A:$D,4)),0))</f>
        <v>915.99200520623117</v>
      </c>
      <c r="AB43" s="11">
        <f>IF(AA43&lt;$N43,AA43,$N43)-IF(AB$1&lt;=$U43,0,IF(AB$1&gt;IF($U43&lt;2022,2022,$U43),IF(AB$1-IF($U43&lt;2022,2022,$U43)=1,IF(AA43&lt;$N43,AA43,$N43)*VLOOKUP(LEFT($A43,3),Paramétres!$A:$D,3,0),IF(AA43&lt;$N43,AA43,$N43)*VLOOKUP(LEFT($A43,3),Paramétres!$A:$D,4)),0))</f>
        <v>851.872564841795</v>
      </c>
      <c r="AC43" s="11">
        <f>IF(AB43&lt;$N43,AB43,$N43)-IF(AC$1&lt;=$U43,0,IF(AC$1&gt;IF($U43&lt;2022,2022,$U43),IF(AC$1-IF($U43&lt;2022,2022,$U43)=1,IF(AB43&lt;$N43,AB43,$N43)*VLOOKUP(LEFT($A43,3),Paramétres!$A:$D,3,0),IF(AB43&lt;$N43,AB43,$N43)*VLOOKUP(LEFT($A43,3),Paramétres!$A:$D,4)),0))</f>
        <v>792.24148530286936</v>
      </c>
      <c r="AD43" s="11">
        <f>IF(AC43&lt;$N43,AC43,$N43)-IF(AD$1&lt;=$U43,0,IF(AD$1&gt;IF($U43&lt;2022,2022,$U43),IF(AD$1-IF($U43&lt;2022,2022,$U43)=1,IF(AC43&lt;$N43,AC43,$N43)*VLOOKUP(LEFT($A43,3),Paramétres!$A:$D,3,0),IF(AC43&lt;$N43,AC43,$N43)*VLOOKUP(LEFT($A43,3),Paramétres!$A:$D,4)),0))</f>
        <v>736.78458133166851</v>
      </c>
      <c r="AE43" s="11">
        <f>IF(AD43&lt;$N43,AD43,$N43)-IF(AE$1&lt;=$U43,0,IF(AE$1&gt;IF($U43&lt;2022,2022,$U43),IF(AE$1-IF($U43&lt;2022,2022,$U43)=1,IF(AD43&lt;$N43,AD43,$N43)*VLOOKUP(LEFT($A43,3),Paramétres!$A:$D,3,0),IF(AD43&lt;$N43,AD43,$N43)*VLOOKUP(LEFT($A43,3),Paramétres!$A:$D,4)),0))</f>
        <v>685.20966063845174</v>
      </c>
      <c r="AF43" s="11">
        <f>IF(AE43&lt;$N43,AE43,$N43)-IF(AF$1&lt;=$U43,0,IF(AF$1&gt;IF($U43&lt;2022,2022,$U43),IF(AF$1-IF($U43&lt;2022,2022,$U43)=1,IF(AE43&lt;$N43,AE43,$N43)*VLOOKUP(LEFT($A43,3),Paramétres!$A:$D,3,0),IF(AE43&lt;$N43,AE43,$N43)*VLOOKUP(LEFT($A43,3),Paramétres!$A:$D,4)),0))</f>
        <v>637.24498439376009</v>
      </c>
      <c r="AG43" s="11">
        <f>IF(AF43&lt;$N43,AF43,$N43)-IF(AG$1&lt;=$U43,0,IF(AG$1&gt;IF($U43&lt;2022,2022,$U43),IF(AG$1-IF($U43&lt;2022,2022,$U43)=1,IF(AF43&lt;$N43,AF43,$N43)*VLOOKUP(LEFT($A43,3),Paramétres!$A:$D,3,0),IF(AF43&lt;$N43,AF43,$N43)*VLOOKUP(LEFT($A43,3),Paramétres!$A:$D,4)),0))</f>
        <v>592.63783548619688</v>
      </c>
      <c r="AH43" s="11">
        <f>IF(AG43&lt;$N43,AG43,$N43)-IF(AH$1&lt;=$U43,0,IF(AH$1&gt;IF($U43&lt;2022,2022,$U43),IF(AH$1-IF($U43&lt;2022,2022,$U43)=1,IF(AG43&lt;$N43,AG43,$N43)*VLOOKUP(LEFT($A43,3),Paramétres!$A:$D,3,0),IF(AG43&lt;$N43,AG43,$N43)*VLOOKUP(LEFT($A43,3),Paramétres!$A:$D,4)),0))</f>
        <v>551.15318700216312</v>
      </c>
      <c r="AI43" s="11">
        <f>IF(AH43&lt;$N43,AH43,$N43)-IF(AI$1&lt;=$U43,0,IF(AI$1&gt;IF($U43&lt;2022,2022,$U43),IF(AI$1-IF($U43&lt;2022,2022,$U43)=1,IF(AH43&lt;$N43,AH43,$N43)*VLOOKUP(LEFT($A43,3),Paramétres!$A:$D,3,0),IF(AH43&lt;$N43,AH43,$N43)*VLOOKUP(LEFT($A43,3),Paramétres!$A:$D,4)),0))</f>
        <v>512.5724639120117</v>
      </c>
      <c r="AJ43" s="11">
        <f>IF(AI43&lt;$N43,AI43,$N43)-IF(AJ$1&lt;=$U43,0,IF(AJ$1&gt;IF($U43&lt;2022,2022,$U43),IF(AJ$1-IF($U43&lt;2022,2022,$U43)=1,IF(AI43&lt;$N43,AI43,$N43)*VLOOKUP(LEFT($A43,3),Paramétres!$A:$D,3,0),IF(AI43&lt;$N43,AI43,$N43)*VLOOKUP(LEFT($A43,3),Paramétres!$A:$D,4)),0))</f>
        <v>476.69239143817089</v>
      </c>
      <c r="AK43" s="11">
        <f>IF(AJ43&lt;$N43,AJ43,$N43)-IF(AK$1&lt;=$U43,0,IF(AK$1&gt;IF($U43&lt;2022,2022,$U43),IF(AK$1-IF($U43&lt;2022,2022,$U43)=1,IF(AJ43&lt;$N43,AJ43,$N43)*VLOOKUP(LEFT($A43,3),Paramétres!$A:$D,3,0),IF(AJ43&lt;$N43,AJ43,$N43)*VLOOKUP(LEFT($A43,3),Paramétres!$A:$D,4)),0))</f>
        <v>443.3239240374989</v>
      </c>
    </row>
    <row r="44" spans="1:37" x14ac:dyDescent="0.25">
      <c r="A44" s="1" t="s">
        <v>169</v>
      </c>
      <c r="D44" s="1" t="s">
        <v>152</v>
      </c>
      <c r="E44" s="1" t="s">
        <v>112</v>
      </c>
      <c r="F44" s="1" t="s">
        <v>113</v>
      </c>
      <c r="J44" s="2">
        <v>42885</v>
      </c>
      <c r="K44" s="3">
        <v>23900</v>
      </c>
      <c r="L44" s="3"/>
      <c r="M44" s="3">
        <f>T_BASE[[#This Row],[VALEUR ACHAT]]</f>
        <v>23900</v>
      </c>
      <c r="N44" s="3">
        <f>T_BASE[[#This Row],[MONTANT PEC APRES AMORT.]]</f>
        <v>23900</v>
      </c>
      <c r="O44" s="1">
        <v>60</v>
      </c>
      <c r="Q44" s="4"/>
      <c r="R44" s="3">
        <v>0</v>
      </c>
      <c r="S44" s="3">
        <v>80</v>
      </c>
      <c r="T44" s="66">
        <f t="shared" si="1"/>
        <v>5</v>
      </c>
      <c r="U44" s="1">
        <f t="shared" si="2"/>
        <v>2017</v>
      </c>
      <c r="V44" s="11">
        <f>T_BASE[[#This Row],[ANNEE ACQT]]+T_BASE[[#This Row],[AMORT.]]</f>
        <v>2022</v>
      </c>
      <c r="W44" s="11">
        <f>$N44-IF(W$1&lt;=$V44,0,IF(W$1&gt;IF($V44&lt;2022,2022,$V44),IF(W$1-IF($V44&lt;2022,2022,$V44)=1,$N44*VLOOKUP(LEFT($A44,3),Paramétres!A:D,3,0),$N44*VLOOKUP(LEFT($A44,3),Paramétres!A:D,4)),0))</f>
        <v>23780.5</v>
      </c>
      <c r="X44" s="11">
        <f>IF(W44&lt;$N44,W44,$N44)-IF(X$1&lt;=$U44,0,IF(X$1&gt;IF($U44&lt;2022,2022,$U44),IF(X$1-IF($U44&lt;2022,2022,$U44)=1,IF(W44&lt;$N44,W44,$N44)*VLOOKUP(LEFT($A44,3),Paramétres!$A:$D,3,0),IF(W44&lt;$N44,W44,$N44)*VLOOKUP(LEFT($A44,3),Paramétres!$A:$D,4)),0))</f>
        <v>22591.474999999999</v>
      </c>
      <c r="Y44" s="11">
        <f>IF(X44&lt;$N44,X44,$N44)-IF(Y$1&lt;=$U44,0,IF(Y$1&gt;IF($U44&lt;2022,2022,$U44),IF(Y$1-IF($U44&lt;2022,2022,$U44)=1,IF(X44&lt;$N44,X44,$N44)*VLOOKUP(LEFT($A44,3),Paramétres!$A:$D,3,0),IF(X44&lt;$N44,X44,$N44)*VLOOKUP(LEFT($A44,3),Paramétres!$A:$D,4)),0))</f>
        <v>21461.901249999999</v>
      </c>
      <c r="Z44" s="11">
        <f>IF(Y44&lt;$N44,Y44,$N44)-IF(Z$1&lt;=$U44,0,IF(Z$1&gt;IF($U44&lt;2022,2022,$U44),IF(Z$1-IF($U44&lt;2022,2022,$U44)=1,IF(Y44&lt;$N44,Y44,$N44)*VLOOKUP(LEFT($A44,3),Paramétres!$A:$D,3,0),IF(Y44&lt;$N44,Y44,$N44)*VLOOKUP(LEFT($A44,3),Paramétres!$A:$D,4)),0))</f>
        <v>20388.806187499998</v>
      </c>
      <c r="AA44" s="11">
        <f>IF(Z44&lt;$N44,Z44,$N44)-IF(AA$1&lt;=$U44,0,IF(AA$1&gt;IF($U44&lt;2022,2022,$U44),IF(AA$1-IF($U44&lt;2022,2022,$U44)=1,IF(Z44&lt;$N44,Z44,$N44)*VLOOKUP(LEFT($A44,3),Paramétres!$A:$D,3,0),IF(Z44&lt;$N44,Z44,$N44)*VLOOKUP(LEFT($A44,3),Paramétres!$A:$D,4)),0))</f>
        <v>19369.365878124998</v>
      </c>
      <c r="AB44" s="11">
        <f>IF(AA44&lt;$N44,AA44,$N44)-IF(AB$1&lt;=$U44,0,IF(AB$1&gt;IF($U44&lt;2022,2022,$U44),IF(AB$1-IF($U44&lt;2022,2022,$U44)=1,IF(AA44&lt;$N44,AA44,$N44)*VLOOKUP(LEFT($A44,3),Paramétres!$A:$D,3,0),IF(AA44&lt;$N44,AA44,$N44)*VLOOKUP(LEFT($A44,3),Paramétres!$A:$D,4)),0))</f>
        <v>18400.897584218746</v>
      </c>
      <c r="AC44" s="11">
        <f>IF(AB44&lt;$N44,AB44,$N44)-IF(AC$1&lt;=$U44,0,IF(AC$1&gt;IF($U44&lt;2022,2022,$U44),IF(AC$1-IF($U44&lt;2022,2022,$U44)=1,IF(AB44&lt;$N44,AB44,$N44)*VLOOKUP(LEFT($A44,3),Paramétres!$A:$D,3,0),IF(AB44&lt;$N44,AB44,$N44)*VLOOKUP(LEFT($A44,3),Paramétres!$A:$D,4)),0))</f>
        <v>17480.852705007808</v>
      </c>
      <c r="AD44" s="11">
        <f>IF(AC44&lt;$N44,AC44,$N44)-IF(AD$1&lt;=$U44,0,IF(AD$1&gt;IF($U44&lt;2022,2022,$U44),IF(AD$1-IF($U44&lt;2022,2022,$U44)=1,IF(AC44&lt;$N44,AC44,$N44)*VLOOKUP(LEFT($A44,3),Paramétres!$A:$D,3,0),IF(AC44&lt;$N44,AC44,$N44)*VLOOKUP(LEFT($A44,3),Paramétres!$A:$D,4)),0))</f>
        <v>16606.810069757419</v>
      </c>
      <c r="AE44" s="11">
        <f>IF(AD44&lt;$N44,AD44,$N44)-IF(AE$1&lt;=$U44,0,IF(AE$1&gt;IF($U44&lt;2022,2022,$U44),IF(AE$1-IF($U44&lt;2022,2022,$U44)=1,IF(AD44&lt;$N44,AD44,$N44)*VLOOKUP(LEFT($A44,3),Paramétres!$A:$D,3,0),IF(AD44&lt;$N44,AD44,$N44)*VLOOKUP(LEFT($A44,3),Paramétres!$A:$D,4)),0))</f>
        <v>15776.469566269549</v>
      </c>
      <c r="AF44" s="11">
        <f>IF(AE44&lt;$N44,AE44,$N44)-IF(AF$1&lt;=$U44,0,IF(AF$1&gt;IF($U44&lt;2022,2022,$U44),IF(AF$1-IF($U44&lt;2022,2022,$U44)=1,IF(AE44&lt;$N44,AE44,$N44)*VLOOKUP(LEFT($A44,3),Paramétres!$A:$D,3,0),IF(AE44&lt;$N44,AE44,$N44)*VLOOKUP(LEFT($A44,3),Paramétres!$A:$D,4)),0))</f>
        <v>14987.646087956071</v>
      </c>
      <c r="AG44" s="11">
        <f>IF(AF44&lt;$N44,AF44,$N44)-IF(AG$1&lt;=$U44,0,IF(AG$1&gt;IF($U44&lt;2022,2022,$U44),IF(AG$1-IF($U44&lt;2022,2022,$U44)=1,IF(AF44&lt;$N44,AF44,$N44)*VLOOKUP(LEFT($A44,3),Paramétres!$A:$D,3,0),IF(AF44&lt;$N44,AF44,$N44)*VLOOKUP(LEFT($A44,3),Paramétres!$A:$D,4)),0))</f>
        <v>14238.263783558268</v>
      </c>
      <c r="AH44" s="11">
        <f>IF(AG44&lt;$N44,AG44,$N44)-IF(AH$1&lt;=$U44,0,IF(AH$1&gt;IF($U44&lt;2022,2022,$U44),IF(AH$1-IF($U44&lt;2022,2022,$U44)=1,IF(AG44&lt;$N44,AG44,$N44)*VLOOKUP(LEFT($A44,3),Paramétres!$A:$D,3,0),IF(AG44&lt;$N44,AG44,$N44)*VLOOKUP(LEFT($A44,3),Paramétres!$A:$D,4)),0))</f>
        <v>13526.350594380354</v>
      </c>
      <c r="AI44" s="11">
        <f>IF(AH44&lt;$N44,AH44,$N44)-IF(AI$1&lt;=$U44,0,IF(AI$1&gt;IF($U44&lt;2022,2022,$U44),IF(AI$1-IF($U44&lt;2022,2022,$U44)=1,IF(AH44&lt;$N44,AH44,$N44)*VLOOKUP(LEFT($A44,3),Paramétres!$A:$D,3,0),IF(AH44&lt;$N44,AH44,$N44)*VLOOKUP(LEFT($A44,3),Paramétres!$A:$D,4)),0))</f>
        <v>12850.033064661337</v>
      </c>
      <c r="AJ44" s="11">
        <f>IF(AI44&lt;$N44,AI44,$N44)-IF(AJ$1&lt;=$U44,0,IF(AJ$1&gt;IF($U44&lt;2022,2022,$U44),IF(AJ$1-IF($U44&lt;2022,2022,$U44)=1,IF(AI44&lt;$N44,AI44,$N44)*VLOOKUP(LEFT($A44,3),Paramétres!$A:$D,3,0),IF(AI44&lt;$N44,AI44,$N44)*VLOOKUP(LEFT($A44,3),Paramétres!$A:$D,4)),0))</f>
        <v>12207.53141142827</v>
      </c>
      <c r="AK44" s="11">
        <f>IF(AJ44&lt;$N44,AJ44,$N44)-IF(AK$1&lt;=$U44,0,IF(AK$1&gt;IF($U44&lt;2022,2022,$U44),IF(AK$1-IF($U44&lt;2022,2022,$U44)=1,IF(AJ44&lt;$N44,AJ44,$N44)*VLOOKUP(LEFT($A44,3),Paramétres!$A:$D,3,0),IF(AJ44&lt;$N44,AJ44,$N44)*VLOOKUP(LEFT($A44,3),Paramétres!$A:$D,4)),0))</f>
        <v>11597.154840856856</v>
      </c>
    </row>
    <row r="45" spans="1:37" x14ac:dyDescent="0.25">
      <c r="A45" s="1" t="s">
        <v>170</v>
      </c>
      <c r="D45" s="1" t="s">
        <v>152</v>
      </c>
      <c r="E45" s="1" t="s">
        <v>115</v>
      </c>
      <c r="F45" s="1" t="s">
        <v>116</v>
      </c>
      <c r="J45" s="2">
        <v>44439</v>
      </c>
      <c r="K45" s="3">
        <v>28800</v>
      </c>
      <c r="L45" s="3"/>
      <c r="M45" s="3">
        <f>T_BASE[[#This Row],[VALEUR ACHAT]]</f>
        <v>28800</v>
      </c>
      <c r="N45" s="3">
        <f>T_BASE[[#This Row],[MONTANT PEC APRES AMORT.]]</f>
        <v>28800</v>
      </c>
      <c r="O45" s="1">
        <v>48</v>
      </c>
      <c r="Q45" s="4"/>
      <c r="R45" s="3">
        <v>0</v>
      </c>
      <c r="S45" s="3">
        <v>80</v>
      </c>
      <c r="T45" s="66">
        <f t="shared" si="1"/>
        <v>4</v>
      </c>
      <c r="U45" s="1">
        <f t="shared" si="2"/>
        <v>2021</v>
      </c>
      <c r="V45" s="11">
        <f>T_BASE[[#This Row],[ANNEE ACQT]]+T_BASE[[#This Row],[AMORT.]]</f>
        <v>2025</v>
      </c>
      <c r="W45" s="11">
        <f>$N45-IF(W$1&lt;=$V45,0,IF(W$1&gt;IF($V45&lt;2022,2022,$V45),IF(W$1-IF($V45&lt;2022,2022,$V45)=1,$N45*VLOOKUP(LEFT($A45,3),Paramétres!A:D,3,0),$N45*VLOOKUP(LEFT($A45,3),Paramétres!A:D,4)),0))</f>
        <v>27360</v>
      </c>
      <c r="X45" s="11">
        <f>IF(W45&lt;$N45,W45,$N45)-IF(X$1&lt;=$U45,0,IF(X$1&gt;IF($U45&lt;2022,2022,$U45),IF(X$1-IF($U45&lt;2022,2022,$U45)=1,IF(W45&lt;$N45,W45,$N45)*VLOOKUP(LEFT($A45,3),Paramétres!$A:$D,3,0),IF(W45&lt;$N45,W45,$N45)*VLOOKUP(LEFT($A45,3),Paramétres!$A:$D,4)),0))</f>
        <v>25992</v>
      </c>
      <c r="Y45" s="11">
        <f>IF(X45&lt;$N45,X45,$N45)-IF(Y$1&lt;=$U45,0,IF(Y$1&gt;IF($U45&lt;2022,2022,$U45),IF(Y$1-IF($U45&lt;2022,2022,$U45)=1,IF(X45&lt;$N45,X45,$N45)*VLOOKUP(LEFT($A45,3),Paramétres!$A:$D,3,0),IF(X45&lt;$N45,X45,$N45)*VLOOKUP(LEFT($A45,3),Paramétres!$A:$D,4)),0))</f>
        <v>24692.400000000001</v>
      </c>
      <c r="Z45" s="11">
        <f>IF(Y45&lt;$N45,Y45,$N45)-IF(Z$1&lt;=$U45,0,IF(Z$1&gt;IF($U45&lt;2022,2022,$U45),IF(Z$1-IF($U45&lt;2022,2022,$U45)=1,IF(Y45&lt;$N45,Y45,$N45)*VLOOKUP(LEFT($A45,3),Paramétres!$A:$D,3,0),IF(Y45&lt;$N45,Y45,$N45)*VLOOKUP(LEFT($A45,3),Paramétres!$A:$D,4)),0))</f>
        <v>23457.780000000002</v>
      </c>
      <c r="AA45" s="11">
        <f>IF(Z45&lt;$N45,Z45,$N45)-IF(AA$1&lt;=$U45,0,IF(AA$1&gt;IF($U45&lt;2022,2022,$U45),IF(AA$1-IF($U45&lt;2022,2022,$U45)=1,IF(Z45&lt;$N45,Z45,$N45)*VLOOKUP(LEFT($A45,3),Paramétres!$A:$D,3,0),IF(Z45&lt;$N45,Z45,$N45)*VLOOKUP(LEFT($A45,3),Paramétres!$A:$D,4)),0))</f>
        <v>22284.891000000003</v>
      </c>
      <c r="AB45" s="11">
        <f>IF(AA45&lt;$N45,AA45,$N45)-IF(AB$1&lt;=$U45,0,IF(AB$1&gt;IF($U45&lt;2022,2022,$U45),IF(AB$1-IF($U45&lt;2022,2022,$U45)=1,IF(AA45&lt;$N45,AA45,$N45)*VLOOKUP(LEFT($A45,3),Paramétres!$A:$D,3,0),IF(AA45&lt;$N45,AA45,$N45)*VLOOKUP(LEFT($A45,3),Paramétres!$A:$D,4)),0))</f>
        <v>21170.646450000004</v>
      </c>
      <c r="AC45" s="11">
        <f>IF(AB45&lt;$N45,AB45,$N45)-IF(AC$1&lt;=$U45,0,IF(AC$1&gt;IF($U45&lt;2022,2022,$U45),IF(AC$1-IF($U45&lt;2022,2022,$U45)=1,IF(AB45&lt;$N45,AB45,$N45)*VLOOKUP(LEFT($A45,3),Paramétres!$A:$D,3,0),IF(AB45&lt;$N45,AB45,$N45)*VLOOKUP(LEFT($A45,3),Paramétres!$A:$D,4)),0))</f>
        <v>20112.114127500005</v>
      </c>
      <c r="AD45" s="11">
        <f>IF(AC45&lt;$N45,AC45,$N45)-IF(AD$1&lt;=$U45,0,IF(AD$1&gt;IF($U45&lt;2022,2022,$U45),IF(AD$1-IF($U45&lt;2022,2022,$U45)=1,IF(AC45&lt;$N45,AC45,$N45)*VLOOKUP(LEFT($A45,3),Paramétres!$A:$D,3,0),IF(AC45&lt;$N45,AC45,$N45)*VLOOKUP(LEFT($A45,3),Paramétres!$A:$D,4)),0))</f>
        <v>19106.508421125003</v>
      </c>
      <c r="AE45" s="11">
        <f>IF(AD45&lt;$N45,AD45,$N45)-IF(AE$1&lt;=$U45,0,IF(AE$1&gt;IF($U45&lt;2022,2022,$U45),IF(AE$1-IF($U45&lt;2022,2022,$U45)=1,IF(AD45&lt;$N45,AD45,$N45)*VLOOKUP(LEFT($A45,3),Paramétres!$A:$D,3,0),IF(AD45&lt;$N45,AD45,$N45)*VLOOKUP(LEFT($A45,3),Paramétres!$A:$D,4)),0))</f>
        <v>18151.183000068751</v>
      </c>
      <c r="AF45" s="11">
        <f>IF(AE45&lt;$N45,AE45,$N45)-IF(AF$1&lt;=$U45,0,IF(AF$1&gt;IF($U45&lt;2022,2022,$U45),IF(AF$1-IF($U45&lt;2022,2022,$U45)=1,IF(AE45&lt;$N45,AE45,$N45)*VLOOKUP(LEFT($A45,3),Paramétres!$A:$D,3,0),IF(AE45&lt;$N45,AE45,$N45)*VLOOKUP(LEFT($A45,3),Paramétres!$A:$D,4)),0))</f>
        <v>17243.623850065313</v>
      </c>
      <c r="AG45" s="11">
        <f>IF(AF45&lt;$N45,AF45,$N45)-IF(AG$1&lt;=$U45,0,IF(AG$1&gt;IF($U45&lt;2022,2022,$U45),IF(AG$1-IF($U45&lt;2022,2022,$U45)=1,IF(AF45&lt;$N45,AF45,$N45)*VLOOKUP(LEFT($A45,3),Paramétres!$A:$D,3,0),IF(AF45&lt;$N45,AF45,$N45)*VLOOKUP(LEFT($A45,3),Paramétres!$A:$D,4)),0))</f>
        <v>16381.442657562047</v>
      </c>
      <c r="AH45" s="11">
        <f>IF(AG45&lt;$N45,AG45,$N45)-IF(AH$1&lt;=$U45,0,IF(AH$1&gt;IF($U45&lt;2022,2022,$U45),IF(AH$1-IF($U45&lt;2022,2022,$U45)=1,IF(AG45&lt;$N45,AG45,$N45)*VLOOKUP(LEFT($A45,3),Paramétres!$A:$D,3,0),IF(AG45&lt;$N45,AG45,$N45)*VLOOKUP(LEFT($A45,3),Paramétres!$A:$D,4)),0))</f>
        <v>15562.370524683945</v>
      </c>
      <c r="AI45" s="11">
        <f>IF(AH45&lt;$N45,AH45,$N45)-IF(AI$1&lt;=$U45,0,IF(AI$1&gt;IF($U45&lt;2022,2022,$U45),IF(AI$1-IF($U45&lt;2022,2022,$U45)=1,IF(AH45&lt;$N45,AH45,$N45)*VLOOKUP(LEFT($A45,3),Paramétres!$A:$D,3,0),IF(AH45&lt;$N45,AH45,$N45)*VLOOKUP(LEFT($A45,3),Paramétres!$A:$D,4)),0))</f>
        <v>14784.251998449748</v>
      </c>
      <c r="AJ45" s="11">
        <f>IF(AI45&lt;$N45,AI45,$N45)-IF(AJ$1&lt;=$U45,0,IF(AJ$1&gt;IF($U45&lt;2022,2022,$U45),IF(AJ$1-IF($U45&lt;2022,2022,$U45)=1,IF(AI45&lt;$N45,AI45,$N45)*VLOOKUP(LEFT($A45,3),Paramétres!$A:$D,3,0),IF(AI45&lt;$N45,AI45,$N45)*VLOOKUP(LEFT($A45,3),Paramétres!$A:$D,4)),0))</f>
        <v>14045.03939852726</v>
      </c>
      <c r="AK45" s="11">
        <f>IF(AJ45&lt;$N45,AJ45,$N45)-IF(AK$1&lt;=$U45,0,IF(AK$1&gt;IF($U45&lt;2022,2022,$U45),IF(AK$1-IF($U45&lt;2022,2022,$U45)=1,IF(AJ45&lt;$N45,AJ45,$N45)*VLOOKUP(LEFT($A45,3),Paramétres!$A:$D,3,0),IF(AJ45&lt;$N45,AJ45,$N45)*VLOOKUP(LEFT($A45,3),Paramétres!$A:$D,4)),0))</f>
        <v>13342.787428600897</v>
      </c>
    </row>
    <row r="46" spans="1:37" x14ac:dyDescent="0.25">
      <c r="A46" s="1" t="s">
        <v>117</v>
      </c>
      <c r="D46" s="1" t="s">
        <v>118</v>
      </c>
      <c r="E46" s="1" t="s">
        <v>119</v>
      </c>
      <c r="F46" s="1" t="s">
        <v>120</v>
      </c>
      <c r="G46" s="7"/>
      <c r="J46" s="2">
        <v>44298</v>
      </c>
      <c r="K46" s="3">
        <v>32000</v>
      </c>
      <c r="L46" s="3"/>
      <c r="M46" s="3">
        <f>T_BASE[[#This Row],[VALEUR ACHAT]]</f>
        <v>32000</v>
      </c>
      <c r="N46" s="3">
        <f>T_BASE[[#This Row],[MONTANT PEC APRES AMORT.]]</f>
        <v>32000</v>
      </c>
      <c r="Q46" s="4"/>
      <c r="R46" s="3">
        <v>0</v>
      </c>
      <c r="S46" s="3">
        <v>120</v>
      </c>
      <c r="T46" s="66">
        <f t="shared" si="1"/>
        <v>0</v>
      </c>
      <c r="U46" s="1">
        <f t="shared" si="2"/>
        <v>2021</v>
      </c>
      <c r="V46" s="11">
        <f>T_BASE[[#This Row],[ANNEE ACQT]]+T_BASE[[#This Row],[AMORT.]]</f>
        <v>2021</v>
      </c>
      <c r="W46" s="11">
        <f>$N46-IF(W$1&lt;=$V46,0,IF(W$1&gt;IF($V46&lt;2022,2022,$V46),IF(W$1-IF($V46&lt;2022,2022,$V46)=1,$N46*VLOOKUP(LEFT($A46,3),Paramétres!A:D,3,0),$N46*VLOOKUP(LEFT($A46,3),Paramétres!A:D,4)),0))</f>
        <v>31840</v>
      </c>
      <c r="X46" s="11">
        <f>IF(W46&lt;$N46,W46,$N46)-IF(X$1&lt;=$U46,0,IF(X$1&gt;IF($U46&lt;2022,2022,$U46),IF(X$1-IF($U46&lt;2022,2022,$U46)=1,IF(W46&lt;$N46,W46,$N46)*VLOOKUP(LEFT($A46,3),Paramétres!$A:$D,3,0),IF(W46&lt;$N46,W46,$N46)*VLOOKUP(LEFT($A46,3),Paramétres!$A:$D,4)),0))</f>
        <v>29611.200000000001</v>
      </c>
      <c r="Y46" s="11">
        <f>IF(X46&lt;$N46,X46,$N46)-IF(Y$1&lt;=$U46,0,IF(Y$1&gt;IF($U46&lt;2022,2022,$U46),IF(Y$1-IF($U46&lt;2022,2022,$U46)=1,IF(X46&lt;$N46,X46,$N46)*VLOOKUP(LEFT($A46,3),Paramétres!$A:$D,3,0),IF(X46&lt;$N46,X46,$N46)*VLOOKUP(LEFT($A46,3),Paramétres!$A:$D,4)),0))</f>
        <v>27538.416000000001</v>
      </c>
      <c r="Z46" s="11">
        <f>IF(Y46&lt;$N46,Y46,$N46)-IF(Z$1&lt;=$U46,0,IF(Z$1&gt;IF($U46&lt;2022,2022,$U46),IF(Z$1-IF($U46&lt;2022,2022,$U46)=1,IF(Y46&lt;$N46,Y46,$N46)*VLOOKUP(LEFT($A46,3),Paramétres!$A:$D,3,0),IF(Y46&lt;$N46,Y46,$N46)*VLOOKUP(LEFT($A46,3),Paramétres!$A:$D,4)),0))</f>
        <v>25610.726880000002</v>
      </c>
      <c r="AA46" s="11">
        <f>IF(Z46&lt;$N46,Z46,$N46)-IF(AA$1&lt;=$U46,0,IF(AA$1&gt;IF($U46&lt;2022,2022,$U46),IF(AA$1-IF($U46&lt;2022,2022,$U46)=1,IF(Z46&lt;$N46,Z46,$N46)*VLOOKUP(LEFT($A46,3),Paramétres!$A:$D,3,0),IF(Z46&lt;$N46,Z46,$N46)*VLOOKUP(LEFT($A46,3),Paramétres!$A:$D,4)),0))</f>
        <v>23817.975998400001</v>
      </c>
      <c r="AB46" s="11">
        <f>IF(AA46&lt;$N46,AA46,$N46)-IF(AB$1&lt;=$U46,0,IF(AB$1&gt;IF($U46&lt;2022,2022,$U46),IF(AB$1-IF($U46&lt;2022,2022,$U46)=1,IF(AA46&lt;$N46,AA46,$N46)*VLOOKUP(LEFT($A46,3),Paramétres!$A:$D,3,0),IF(AA46&lt;$N46,AA46,$N46)*VLOOKUP(LEFT($A46,3),Paramétres!$A:$D,4)),0))</f>
        <v>22150.717678512003</v>
      </c>
      <c r="AC46" s="11">
        <f>IF(AB46&lt;$N46,AB46,$N46)-IF(AC$1&lt;=$U46,0,IF(AC$1&gt;IF($U46&lt;2022,2022,$U46),IF(AC$1-IF($U46&lt;2022,2022,$U46)=1,IF(AB46&lt;$N46,AB46,$N46)*VLOOKUP(LEFT($A46,3),Paramétres!$A:$D,3,0),IF(AB46&lt;$N46,AB46,$N46)*VLOOKUP(LEFT($A46,3),Paramétres!$A:$D,4)),0))</f>
        <v>20600.167441016161</v>
      </c>
      <c r="AD46" s="11">
        <f>IF(AC46&lt;$N46,AC46,$N46)-IF(AD$1&lt;=$U46,0,IF(AD$1&gt;IF($U46&lt;2022,2022,$U46),IF(AD$1-IF($U46&lt;2022,2022,$U46)=1,IF(AC46&lt;$N46,AC46,$N46)*VLOOKUP(LEFT($A46,3),Paramétres!$A:$D,3,0),IF(AC46&lt;$N46,AC46,$N46)*VLOOKUP(LEFT($A46,3),Paramétres!$A:$D,4)),0))</f>
        <v>19158.155720145031</v>
      </c>
      <c r="AE46" s="11">
        <f>IF(AD46&lt;$N46,AD46,$N46)-IF(AE$1&lt;=$U46,0,IF(AE$1&gt;IF($U46&lt;2022,2022,$U46),IF(AE$1-IF($U46&lt;2022,2022,$U46)=1,IF(AD46&lt;$N46,AD46,$N46)*VLOOKUP(LEFT($A46,3),Paramétres!$A:$D,3,0),IF(AD46&lt;$N46,AD46,$N46)*VLOOKUP(LEFT($A46,3),Paramétres!$A:$D,4)),0))</f>
        <v>17817.084819734879</v>
      </c>
      <c r="AF46" s="11">
        <f>IF(AE46&lt;$N46,AE46,$N46)-IF(AF$1&lt;=$U46,0,IF(AF$1&gt;IF($U46&lt;2022,2022,$U46),IF(AF$1-IF($U46&lt;2022,2022,$U46)=1,IF(AE46&lt;$N46,AE46,$N46)*VLOOKUP(LEFT($A46,3),Paramétres!$A:$D,3,0),IF(AE46&lt;$N46,AE46,$N46)*VLOOKUP(LEFT($A46,3),Paramétres!$A:$D,4)),0))</f>
        <v>16569.888882353436</v>
      </c>
      <c r="AG46" s="11">
        <f>IF(AF46&lt;$N46,AF46,$N46)-IF(AG$1&lt;=$U46,0,IF(AG$1&gt;IF($U46&lt;2022,2022,$U46),IF(AG$1-IF($U46&lt;2022,2022,$U46)=1,IF(AF46&lt;$N46,AF46,$N46)*VLOOKUP(LEFT($A46,3),Paramétres!$A:$D,3,0),IF(AF46&lt;$N46,AF46,$N46)*VLOOKUP(LEFT($A46,3),Paramétres!$A:$D,4)),0))</f>
        <v>15409.996660588695</v>
      </c>
      <c r="AH46" s="11">
        <f>IF(AG46&lt;$N46,AG46,$N46)-IF(AH$1&lt;=$U46,0,IF(AH$1&gt;IF($U46&lt;2022,2022,$U46),IF(AH$1-IF($U46&lt;2022,2022,$U46)=1,IF(AG46&lt;$N46,AG46,$N46)*VLOOKUP(LEFT($A46,3),Paramétres!$A:$D,3,0),IF(AG46&lt;$N46,AG46,$N46)*VLOOKUP(LEFT($A46,3),Paramétres!$A:$D,4)),0))</f>
        <v>14331.296894347486</v>
      </c>
      <c r="AI46" s="11">
        <f>IF(AH46&lt;$N46,AH46,$N46)-IF(AI$1&lt;=$U46,0,IF(AI$1&gt;IF($U46&lt;2022,2022,$U46),IF(AI$1-IF($U46&lt;2022,2022,$U46)=1,IF(AH46&lt;$N46,AH46,$N46)*VLOOKUP(LEFT($A46,3),Paramétres!$A:$D,3,0),IF(AH46&lt;$N46,AH46,$N46)*VLOOKUP(LEFT($A46,3),Paramétres!$A:$D,4)),0))</f>
        <v>13328.106111743162</v>
      </c>
      <c r="AJ46" s="11">
        <f>IF(AI46&lt;$N46,AI46,$N46)-IF(AJ$1&lt;=$U46,0,IF(AJ$1&gt;IF($U46&lt;2022,2022,$U46),IF(AJ$1-IF($U46&lt;2022,2022,$U46)=1,IF(AI46&lt;$N46,AI46,$N46)*VLOOKUP(LEFT($A46,3),Paramétres!$A:$D,3,0),IF(AI46&lt;$N46,AI46,$N46)*VLOOKUP(LEFT($A46,3),Paramétres!$A:$D,4)),0))</f>
        <v>12395.138683921141</v>
      </c>
      <c r="AK46" s="11">
        <f>IF(AJ46&lt;$N46,AJ46,$N46)-IF(AK$1&lt;=$U46,0,IF(AK$1&gt;IF($U46&lt;2022,2022,$U46),IF(AK$1-IF($U46&lt;2022,2022,$U46)=1,IF(AJ46&lt;$N46,AJ46,$N46)*VLOOKUP(LEFT($A46,3),Paramétres!$A:$D,3,0),IF(AJ46&lt;$N46,AJ46,$N46)*VLOOKUP(LEFT($A46,3),Paramétres!$A:$D,4)),0))</f>
        <v>11527.478976046661</v>
      </c>
    </row>
    <row r="47" spans="1:37" x14ac:dyDescent="0.25">
      <c r="A47" s="1" t="s">
        <v>121</v>
      </c>
      <c r="D47" s="1" t="s">
        <v>118</v>
      </c>
      <c r="E47" s="1" t="s">
        <v>124</v>
      </c>
      <c r="F47" s="1" t="s">
        <v>122</v>
      </c>
      <c r="J47" s="2">
        <v>41061</v>
      </c>
      <c r="K47" s="3">
        <v>5500</v>
      </c>
      <c r="L47" s="3"/>
      <c r="M47" s="3">
        <f>T_BASE[[#This Row],[VALEUR ACHAT]]</f>
        <v>5500</v>
      </c>
      <c r="N47" s="3">
        <f>T_BASE[[#This Row],[MONTANT PEC APRES AMORT.]]</f>
        <v>5500</v>
      </c>
      <c r="Q47" s="4"/>
      <c r="R47" s="3">
        <v>0</v>
      </c>
      <c r="S47" s="3"/>
      <c r="T47" s="66">
        <f t="shared" si="1"/>
        <v>0</v>
      </c>
      <c r="U47" s="1">
        <f t="shared" si="2"/>
        <v>2012</v>
      </c>
      <c r="V47" s="11">
        <f>T_BASE[[#This Row],[ANNEE ACQT]]+T_BASE[[#This Row],[AMORT.]]</f>
        <v>2012</v>
      </c>
      <c r="W47" s="11">
        <f>$N47-IF(W$1&lt;=$V47,0,IF(W$1&gt;IF($V47&lt;2022,2022,$V47),IF(W$1-IF($V47&lt;2022,2022,$V47)=1,$N47*VLOOKUP(LEFT($A47,3),Paramétres!A:D,3,0),$N47*VLOOKUP(LEFT($A47,3),Paramétres!A:D,4)),0))</f>
        <v>5472.5</v>
      </c>
      <c r="X47" s="11">
        <f>IF(W47&lt;$N47,W47,$N47)-IF(X$1&lt;=$U47,0,IF(X$1&gt;IF($U47&lt;2022,2022,$U47),IF(X$1-IF($U47&lt;2022,2022,$U47)=1,IF(W47&lt;$N47,W47,$N47)*VLOOKUP(LEFT($A47,3),Paramétres!$A:$D,3,0),IF(W47&lt;$N47,W47,$N47)*VLOOKUP(LEFT($A47,3),Paramétres!$A:$D,4)),0))</f>
        <v>5089.4250000000002</v>
      </c>
      <c r="Y47" s="11">
        <f>IF(X47&lt;$N47,X47,$N47)-IF(Y$1&lt;=$U47,0,IF(Y$1&gt;IF($U47&lt;2022,2022,$U47),IF(Y$1-IF($U47&lt;2022,2022,$U47)=1,IF(X47&lt;$N47,X47,$N47)*VLOOKUP(LEFT($A47,3),Paramétres!$A:$D,3,0),IF(X47&lt;$N47,X47,$N47)*VLOOKUP(LEFT($A47,3),Paramétres!$A:$D,4)),0))</f>
        <v>4733.16525</v>
      </c>
      <c r="Z47" s="11">
        <f>IF(Y47&lt;$N47,Y47,$N47)-IF(Z$1&lt;=$U47,0,IF(Z$1&gt;IF($U47&lt;2022,2022,$U47),IF(Z$1-IF($U47&lt;2022,2022,$U47)=1,IF(Y47&lt;$N47,Y47,$N47)*VLOOKUP(LEFT($A47,3),Paramétres!$A:$D,3,0),IF(Y47&lt;$N47,Y47,$N47)*VLOOKUP(LEFT($A47,3),Paramétres!$A:$D,4)),0))</f>
        <v>4401.8436824999999</v>
      </c>
      <c r="AA47" s="11">
        <f>IF(Z47&lt;$N47,Z47,$N47)-IF(AA$1&lt;=$U47,0,IF(AA$1&gt;IF($U47&lt;2022,2022,$U47),IF(AA$1-IF($U47&lt;2022,2022,$U47)=1,IF(Z47&lt;$N47,Z47,$N47)*VLOOKUP(LEFT($A47,3),Paramétres!$A:$D,3,0),IF(Z47&lt;$N47,Z47,$N47)*VLOOKUP(LEFT($A47,3),Paramétres!$A:$D,4)),0))</f>
        <v>4093.7146247249998</v>
      </c>
      <c r="AB47" s="11">
        <f>IF(AA47&lt;$N47,AA47,$N47)-IF(AB$1&lt;=$U47,0,IF(AB$1&gt;IF($U47&lt;2022,2022,$U47),IF(AB$1-IF($U47&lt;2022,2022,$U47)=1,IF(AA47&lt;$N47,AA47,$N47)*VLOOKUP(LEFT($A47,3),Paramétres!$A:$D,3,0),IF(AA47&lt;$N47,AA47,$N47)*VLOOKUP(LEFT($A47,3),Paramétres!$A:$D,4)),0))</f>
        <v>3807.1546009942499</v>
      </c>
      <c r="AC47" s="11">
        <f>IF(AB47&lt;$N47,AB47,$N47)-IF(AC$1&lt;=$U47,0,IF(AC$1&gt;IF($U47&lt;2022,2022,$U47),IF(AC$1-IF($U47&lt;2022,2022,$U47)=1,IF(AB47&lt;$N47,AB47,$N47)*VLOOKUP(LEFT($A47,3),Paramétres!$A:$D,3,0),IF(AB47&lt;$N47,AB47,$N47)*VLOOKUP(LEFT($A47,3),Paramétres!$A:$D,4)),0))</f>
        <v>3540.6537789246522</v>
      </c>
      <c r="AD47" s="11">
        <f>IF(AC47&lt;$N47,AC47,$N47)-IF(AD$1&lt;=$U47,0,IF(AD$1&gt;IF($U47&lt;2022,2022,$U47),IF(AD$1-IF($U47&lt;2022,2022,$U47)=1,IF(AC47&lt;$N47,AC47,$N47)*VLOOKUP(LEFT($A47,3),Paramétres!$A:$D,3,0),IF(AC47&lt;$N47,AC47,$N47)*VLOOKUP(LEFT($A47,3),Paramétres!$A:$D,4)),0))</f>
        <v>3292.8080143999264</v>
      </c>
      <c r="AE47" s="11">
        <f>IF(AD47&lt;$N47,AD47,$N47)-IF(AE$1&lt;=$U47,0,IF(AE$1&gt;IF($U47&lt;2022,2022,$U47),IF(AE$1-IF($U47&lt;2022,2022,$U47)=1,IF(AD47&lt;$N47,AD47,$N47)*VLOOKUP(LEFT($A47,3),Paramétres!$A:$D,3,0),IF(AD47&lt;$N47,AD47,$N47)*VLOOKUP(LEFT($A47,3),Paramétres!$A:$D,4)),0))</f>
        <v>3062.3114533919315</v>
      </c>
      <c r="AF47" s="11">
        <f>IF(AE47&lt;$N47,AE47,$N47)-IF(AF$1&lt;=$U47,0,IF(AF$1&gt;IF($U47&lt;2022,2022,$U47),IF(AF$1-IF($U47&lt;2022,2022,$U47)=1,IF(AE47&lt;$N47,AE47,$N47)*VLOOKUP(LEFT($A47,3),Paramétres!$A:$D,3,0),IF(AE47&lt;$N47,AE47,$N47)*VLOOKUP(LEFT($A47,3),Paramétres!$A:$D,4)),0))</f>
        <v>2847.9496516544964</v>
      </c>
      <c r="AG47" s="11">
        <f>IF(AF47&lt;$N47,AF47,$N47)-IF(AG$1&lt;=$U47,0,IF(AG$1&gt;IF($U47&lt;2022,2022,$U47),IF(AG$1-IF($U47&lt;2022,2022,$U47)=1,IF(AF47&lt;$N47,AF47,$N47)*VLOOKUP(LEFT($A47,3),Paramétres!$A:$D,3,0),IF(AF47&lt;$N47,AF47,$N47)*VLOOKUP(LEFT($A47,3),Paramétres!$A:$D,4)),0))</f>
        <v>2648.5931760386816</v>
      </c>
      <c r="AH47" s="11">
        <f>IF(AG47&lt;$N47,AG47,$N47)-IF(AH$1&lt;=$U47,0,IF(AH$1&gt;IF($U47&lt;2022,2022,$U47),IF(AH$1-IF($U47&lt;2022,2022,$U47)=1,IF(AG47&lt;$N47,AG47,$N47)*VLOOKUP(LEFT($A47,3),Paramétres!$A:$D,3,0),IF(AG47&lt;$N47,AG47,$N47)*VLOOKUP(LEFT($A47,3),Paramétres!$A:$D,4)),0))</f>
        <v>2463.1916537159736</v>
      </c>
      <c r="AI47" s="11">
        <f>IF(AH47&lt;$N47,AH47,$N47)-IF(AI$1&lt;=$U47,0,IF(AI$1&gt;IF($U47&lt;2022,2022,$U47),IF(AI$1-IF($U47&lt;2022,2022,$U47)=1,IF(AH47&lt;$N47,AH47,$N47)*VLOOKUP(LEFT($A47,3),Paramétres!$A:$D,3,0),IF(AH47&lt;$N47,AH47,$N47)*VLOOKUP(LEFT($A47,3),Paramétres!$A:$D,4)),0))</f>
        <v>2290.7682379558555</v>
      </c>
      <c r="AJ47" s="11">
        <f>IF(AI47&lt;$N47,AI47,$N47)-IF(AJ$1&lt;=$U47,0,IF(AJ$1&gt;IF($U47&lt;2022,2022,$U47),IF(AJ$1-IF($U47&lt;2022,2022,$U47)=1,IF(AI47&lt;$N47,AI47,$N47)*VLOOKUP(LEFT($A47,3),Paramétres!$A:$D,3,0),IF(AI47&lt;$N47,AI47,$N47)*VLOOKUP(LEFT($A47,3),Paramétres!$A:$D,4)),0))</f>
        <v>2130.4144612989458</v>
      </c>
      <c r="AK47" s="11">
        <f>IF(AJ47&lt;$N47,AJ47,$N47)-IF(AK$1&lt;=$U47,0,IF(AK$1&gt;IF($U47&lt;2022,2022,$U47),IF(AK$1-IF($U47&lt;2022,2022,$U47)=1,IF(AJ47&lt;$N47,AJ47,$N47)*VLOOKUP(LEFT($A47,3),Paramétres!$A:$D,3,0),IF(AJ47&lt;$N47,AJ47,$N47)*VLOOKUP(LEFT($A47,3),Paramétres!$A:$D,4)),0))</f>
        <v>1981.2854490080194</v>
      </c>
    </row>
    <row r="48" spans="1:37" x14ac:dyDescent="0.25">
      <c r="A48" s="1" t="s">
        <v>123</v>
      </c>
      <c r="D48" s="1" t="s">
        <v>118</v>
      </c>
      <c r="E48" s="1" t="s">
        <v>124</v>
      </c>
      <c r="F48" s="1" t="s">
        <v>125</v>
      </c>
      <c r="J48" s="2">
        <v>41275</v>
      </c>
      <c r="K48" s="3"/>
      <c r="L48" s="3"/>
      <c r="M48" s="3">
        <f>T_BASE[[#This Row],[VALEUR ACHAT]]</f>
        <v>0</v>
      </c>
      <c r="N48" s="3">
        <f>T_BASE[[#This Row],[MONTANT PEC APRES AMORT.]]</f>
        <v>0</v>
      </c>
      <c r="Q48" s="4"/>
      <c r="R48" s="3">
        <v>0</v>
      </c>
      <c r="S48" s="3"/>
      <c r="T48" s="66">
        <f t="shared" si="1"/>
        <v>0</v>
      </c>
      <c r="U48" s="1">
        <f t="shared" si="2"/>
        <v>2013</v>
      </c>
      <c r="V48" s="11">
        <f>T_BASE[[#This Row],[ANNEE ACQT]]+T_BASE[[#This Row],[AMORT.]]</f>
        <v>2013</v>
      </c>
      <c r="W48" s="11">
        <f>$N48-IF(W$1&lt;=$V48,0,IF(W$1&gt;IF($V48&lt;2022,2022,$V48),IF(W$1-IF($V48&lt;2022,2022,$V48)=1,$N48*VLOOKUP(LEFT($A48,3),Paramétres!A:D,3,0),$N48*VLOOKUP(LEFT($A48,3),Paramétres!A:D,4)),0))</f>
        <v>0</v>
      </c>
      <c r="X48" s="11">
        <f>IF(W48&lt;$N48,W48,$N48)-IF(X$1&lt;=$U48,0,IF(X$1&gt;IF($U48&lt;2022,2022,$U48),IF(X$1-IF($U48&lt;2022,2022,$U48)=1,IF(W48&lt;$N48,W48,$N48)*VLOOKUP(LEFT($A48,3),Paramétres!$A:$D,3,0),IF(W48&lt;$N48,W48,$N48)*VLOOKUP(LEFT($A48,3),Paramétres!$A:$D,4)),0))</f>
        <v>0</v>
      </c>
      <c r="Y48" s="11">
        <f>IF(X48&lt;$N48,X48,$N48)-IF(Y$1&lt;=$U48,0,IF(Y$1&gt;IF($U48&lt;2022,2022,$U48),IF(Y$1-IF($U48&lt;2022,2022,$U48)=1,IF(X48&lt;$N48,X48,$N48)*VLOOKUP(LEFT($A48,3),Paramétres!$A:$D,3,0),IF(X48&lt;$N48,X48,$N48)*VLOOKUP(LEFT($A48,3),Paramétres!$A:$D,4)),0))</f>
        <v>0</v>
      </c>
      <c r="Z48" s="11">
        <f>IF(Y48&lt;$N48,Y48,$N48)-IF(Z$1&lt;=$U48,0,IF(Z$1&gt;IF($U48&lt;2022,2022,$U48),IF(Z$1-IF($U48&lt;2022,2022,$U48)=1,IF(Y48&lt;$N48,Y48,$N48)*VLOOKUP(LEFT($A48,3),Paramétres!$A:$D,3,0),IF(Y48&lt;$N48,Y48,$N48)*VLOOKUP(LEFT($A48,3),Paramétres!$A:$D,4)),0))</f>
        <v>0</v>
      </c>
      <c r="AA48" s="11">
        <f>IF(Z48&lt;$N48,Z48,$N48)-IF(AA$1&lt;=$U48,0,IF(AA$1&gt;IF($U48&lt;2022,2022,$U48),IF(AA$1-IF($U48&lt;2022,2022,$U48)=1,IF(Z48&lt;$N48,Z48,$N48)*VLOOKUP(LEFT($A48,3),Paramétres!$A:$D,3,0),IF(Z48&lt;$N48,Z48,$N48)*VLOOKUP(LEFT($A48,3),Paramétres!$A:$D,4)),0))</f>
        <v>0</v>
      </c>
      <c r="AB48" s="11">
        <f>IF(AA48&lt;$N48,AA48,$N48)-IF(AB$1&lt;=$U48,0,IF(AB$1&gt;IF($U48&lt;2022,2022,$U48),IF(AB$1-IF($U48&lt;2022,2022,$U48)=1,IF(AA48&lt;$N48,AA48,$N48)*VLOOKUP(LEFT($A48,3),Paramétres!$A:$D,3,0),IF(AA48&lt;$N48,AA48,$N48)*VLOOKUP(LEFT($A48,3),Paramétres!$A:$D,4)),0))</f>
        <v>0</v>
      </c>
      <c r="AC48" s="11">
        <f>IF(AB48&lt;$N48,AB48,$N48)-IF(AC$1&lt;=$U48,0,IF(AC$1&gt;IF($U48&lt;2022,2022,$U48),IF(AC$1-IF($U48&lt;2022,2022,$U48)=1,IF(AB48&lt;$N48,AB48,$N48)*VLOOKUP(LEFT($A48,3),Paramétres!$A:$D,3,0),IF(AB48&lt;$N48,AB48,$N48)*VLOOKUP(LEFT($A48,3),Paramétres!$A:$D,4)),0))</f>
        <v>0</v>
      </c>
      <c r="AD48" s="11">
        <f>IF(AC48&lt;$N48,AC48,$N48)-IF(AD$1&lt;=$U48,0,IF(AD$1&gt;IF($U48&lt;2022,2022,$U48),IF(AD$1-IF($U48&lt;2022,2022,$U48)=1,IF(AC48&lt;$N48,AC48,$N48)*VLOOKUP(LEFT($A48,3),Paramétres!$A:$D,3,0),IF(AC48&lt;$N48,AC48,$N48)*VLOOKUP(LEFT($A48,3),Paramétres!$A:$D,4)),0))</f>
        <v>0</v>
      </c>
      <c r="AE48" s="11">
        <f>IF(AD48&lt;$N48,AD48,$N48)-IF(AE$1&lt;=$U48,0,IF(AE$1&gt;IF($U48&lt;2022,2022,$U48),IF(AE$1-IF($U48&lt;2022,2022,$U48)=1,IF(AD48&lt;$N48,AD48,$N48)*VLOOKUP(LEFT($A48,3),Paramétres!$A:$D,3,0),IF(AD48&lt;$N48,AD48,$N48)*VLOOKUP(LEFT($A48,3),Paramétres!$A:$D,4)),0))</f>
        <v>0</v>
      </c>
      <c r="AF48" s="11">
        <f>IF(AE48&lt;$N48,AE48,$N48)-IF(AF$1&lt;=$U48,0,IF(AF$1&gt;IF($U48&lt;2022,2022,$U48),IF(AF$1-IF($U48&lt;2022,2022,$U48)=1,IF(AE48&lt;$N48,AE48,$N48)*VLOOKUP(LEFT($A48,3),Paramétres!$A:$D,3,0),IF(AE48&lt;$N48,AE48,$N48)*VLOOKUP(LEFT($A48,3),Paramétres!$A:$D,4)),0))</f>
        <v>0</v>
      </c>
      <c r="AG48" s="11">
        <f>IF(AF48&lt;$N48,AF48,$N48)-IF(AG$1&lt;=$U48,0,IF(AG$1&gt;IF($U48&lt;2022,2022,$U48),IF(AG$1-IF($U48&lt;2022,2022,$U48)=1,IF(AF48&lt;$N48,AF48,$N48)*VLOOKUP(LEFT($A48,3),Paramétres!$A:$D,3,0),IF(AF48&lt;$N48,AF48,$N48)*VLOOKUP(LEFT($A48,3),Paramétres!$A:$D,4)),0))</f>
        <v>0</v>
      </c>
      <c r="AH48" s="11">
        <f>IF(AG48&lt;$N48,AG48,$N48)-IF(AH$1&lt;=$U48,0,IF(AH$1&gt;IF($U48&lt;2022,2022,$U48),IF(AH$1-IF($U48&lt;2022,2022,$U48)=1,IF(AG48&lt;$N48,AG48,$N48)*VLOOKUP(LEFT($A48,3),Paramétres!$A:$D,3,0),IF(AG48&lt;$N48,AG48,$N48)*VLOOKUP(LEFT($A48,3),Paramétres!$A:$D,4)),0))</f>
        <v>0</v>
      </c>
      <c r="AI48" s="11">
        <f>IF(AH48&lt;$N48,AH48,$N48)-IF(AI$1&lt;=$U48,0,IF(AI$1&gt;IF($U48&lt;2022,2022,$U48),IF(AI$1-IF($U48&lt;2022,2022,$U48)=1,IF(AH48&lt;$N48,AH48,$N48)*VLOOKUP(LEFT($A48,3),Paramétres!$A:$D,3,0),IF(AH48&lt;$N48,AH48,$N48)*VLOOKUP(LEFT($A48,3),Paramétres!$A:$D,4)),0))</f>
        <v>0</v>
      </c>
      <c r="AJ48" s="11">
        <f>IF(AI48&lt;$N48,AI48,$N48)-IF(AJ$1&lt;=$U48,0,IF(AJ$1&gt;IF($U48&lt;2022,2022,$U48),IF(AJ$1-IF($U48&lt;2022,2022,$U48)=1,IF(AI48&lt;$N48,AI48,$N48)*VLOOKUP(LEFT($A48,3),Paramétres!$A:$D,3,0),IF(AI48&lt;$N48,AI48,$N48)*VLOOKUP(LEFT($A48,3),Paramétres!$A:$D,4)),0))</f>
        <v>0</v>
      </c>
      <c r="AK48" s="11">
        <f>IF(AJ48&lt;$N48,AJ48,$N48)-IF(AK$1&lt;=$U48,0,IF(AK$1&gt;IF($U48&lt;2022,2022,$U48),IF(AK$1-IF($U48&lt;2022,2022,$U48)=1,IF(AJ48&lt;$N48,AJ48,$N48)*VLOOKUP(LEFT($A48,3),Paramétres!$A:$D,3,0),IF(AJ48&lt;$N48,AJ48,$N48)*VLOOKUP(LEFT($A48,3),Paramétres!$A:$D,4)),0))</f>
        <v>0</v>
      </c>
    </row>
    <row r="49" spans="1:37" x14ac:dyDescent="0.25">
      <c r="A49" s="1" t="s">
        <v>126</v>
      </c>
      <c r="D49" s="1" t="s">
        <v>118</v>
      </c>
      <c r="E49" s="1" t="s">
        <v>124</v>
      </c>
      <c r="F49" s="1" t="s">
        <v>127</v>
      </c>
      <c r="K49" s="3">
        <v>20000</v>
      </c>
      <c r="L49" s="3"/>
      <c r="M49" s="3">
        <f>T_BASE[[#This Row],[VALEUR ACHAT]]</f>
        <v>20000</v>
      </c>
      <c r="N49" s="3">
        <f>T_BASE[[#This Row],[MONTANT PEC APRES AMORT.]]</f>
        <v>20000</v>
      </c>
      <c r="Q49" s="4"/>
      <c r="R49" s="3">
        <v>0</v>
      </c>
      <c r="S49" s="3"/>
      <c r="T49" s="66">
        <f t="shared" si="1"/>
        <v>0</v>
      </c>
      <c r="U49" s="1">
        <f t="shared" si="2"/>
        <v>1900</v>
      </c>
      <c r="V49" s="11">
        <f>T_BASE[[#This Row],[ANNEE ACQT]]+T_BASE[[#This Row],[AMORT.]]</f>
        <v>1900</v>
      </c>
      <c r="W49" s="11">
        <f>$N49-IF(W$1&lt;=$V49,0,IF(W$1&gt;IF($V49&lt;2022,2022,$V49),IF(W$1-IF($V49&lt;2022,2022,$V49)=1,$N49*VLOOKUP(LEFT($A49,3),Paramétres!A:D,3,0),$N49*VLOOKUP(LEFT($A49,3),Paramétres!A:D,4)),0))</f>
        <v>19900</v>
      </c>
      <c r="X49" s="11">
        <f>IF(W49&lt;$N49,W49,$N49)-IF(X$1&lt;=$U49,0,IF(X$1&gt;IF($U49&lt;2022,2022,$U49),IF(X$1-IF($U49&lt;2022,2022,$U49)=1,IF(W49&lt;$N49,W49,$N49)*VLOOKUP(LEFT($A49,3),Paramétres!$A:$D,3,0),IF(W49&lt;$N49,W49,$N49)*VLOOKUP(LEFT($A49,3),Paramétres!$A:$D,4)),0))</f>
        <v>18507</v>
      </c>
      <c r="Y49" s="11">
        <f>IF(X49&lt;$N49,X49,$N49)-IF(Y$1&lt;=$U49,0,IF(Y$1&gt;IF($U49&lt;2022,2022,$U49),IF(Y$1-IF($U49&lt;2022,2022,$U49)=1,IF(X49&lt;$N49,X49,$N49)*VLOOKUP(LEFT($A49,3),Paramétres!$A:$D,3,0),IF(X49&lt;$N49,X49,$N49)*VLOOKUP(LEFT($A49,3),Paramétres!$A:$D,4)),0))</f>
        <v>17211.509999999998</v>
      </c>
      <c r="Z49" s="11">
        <f>IF(Y49&lt;$N49,Y49,$N49)-IF(Z$1&lt;=$U49,0,IF(Z$1&gt;IF($U49&lt;2022,2022,$U49),IF(Z$1-IF($U49&lt;2022,2022,$U49)=1,IF(Y49&lt;$N49,Y49,$N49)*VLOOKUP(LEFT($A49,3),Paramétres!$A:$D,3,0),IF(Y49&lt;$N49,Y49,$N49)*VLOOKUP(LEFT($A49,3),Paramétres!$A:$D,4)),0))</f>
        <v>16006.704299999998</v>
      </c>
      <c r="AA49" s="11">
        <f>IF(Z49&lt;$N49,Z49,$N49)-IF(AA$1&lt;=$U49,0,IF(AA$1&gt;IF($U49&lt;2022,2022,$U49),IF(AA$1-IF($U49&lt;2022,2022,$U49)=1,IF(Z49&lt;$N49,Z49,$N49)*VLOOKUP(LEFT($A49,3),Paramétres!$A:$D,3,0),IF(Z49&lt;$N49,Z49,$N49)*VLOOKUP(LEFT($A49,3),Paramétres!$A:$D,4)),0))</f>
        <v>14886.234998999998</v>
      </c>
      <c r="AB49" s="11">
        <f>IF(AA49&lt;$N49,AA49,$N49)-IF(AB$1&lt;=$U49,0,IF(AB$1&gt;IF($U49&lt;2022,2022,$U49),IF(AB$1-IF($U49&lt;2022,2022,$U49)=1,IF(AA49&lt;$N49,AA49,$N49)*VLOOKUP(LEFT($A49,3),Paramétres!$A:$D,3,0),IF(AA49&lt;$N49,AA49,$N49)*VLOOKUP(LEFT($A49,3),Paramétres!$A:$D,4)),0))</f>
        <v>13844.198549069999</v>
      </c>
      <c r="AC49" s="11">
        <f>IF(AB49&lt;$N49,AB49,$N49)-IF(AC$1&lt;=$U49,0,IF(AC$1&gt;IF($U49&lt;2022,2022,$U49),IF(AC$1-IF($U49&lt;2022,2022,$U49)=1,IF(AB49&lt;$N49,AB49,$N49)*VLOOKUP(LEFT($A49,3),Paramétres!$A:$D,3,0),IF(AB49&lt;$N49,AB49,$N49)*VLOOKUP(LEFT($A49,3),Paramétres!$A:$D,4)),0))</f>
        <v>12875.104650635099</v>
      </c>
      <c r="AD49" s="11">
        <f>IF(AC49&lt;$N49,AC49,$N49)-IF(AD$1&lt;=$U49,0,IF(AD$1&gt;IF($U49&lt;2022,2022,$U49),IF(AD$1-IF($U49&lt;2022,2022,$U49)=1,IF(AC49&lt;$N49,AC49,$N49)*VLOOKUP(LEFT($A49,3),Paramétres!$A:$D,3,0),IF(AC49&lt;$N49,AC49,$N49)*VLOOKUP(LEFT($A49,3),Paramétres!$A:$D,4)),0))</f>
        <v>11973.847325090643</v>
      </c>
      <c r="AE49" s="11">
        <f>IF(AD49&lt;$N49,AD49,$N49)-IF(AE$1&lt;=$U49,0,IF(AE$1&gt;IF($U49&lt;2022,2022,$U49),IF(AE$1-IF($U49&lt;2022,2022,$U49)=1,IF(AD49&lt;$N49,AD49,$N49)*VLOOKUP(LEFT($A49,3),Paramétres!$A:$D,3,0),IF(AD49&lt;$N49,AD49,$N49)*VLOOKUP(LEFT($A49,3),Paramétres!$A:$D,4)),0))</f>
        <v>11135.678012334298</v>
      </c>
      <c r="AF49" s="11">
        <f>IF(AE49&lt;$N49,AE49,$N49)-IF(AF$1&lt;=$U49,0,IF(AF$1&gt;IF($U49&lt;2022,2022,$U49),IF(AF$1-IF($U49&lt;2022,2022,$U49)=1,IF(AE49&lt;$N49,AE49,$N49)*VLOOKUP(LEFT($A49,3),Paramétres!$A:$D,3,0),IF(AE49&lt;$N49,AE49,$N49)*VLOOKUP(LEFT($A49,3),Paramétres!$A:$D,4)),0))</f>
        <v>10356.180551470898</v>
      </c>
      <c r="AG49" s="11">
        <f>IF(AF49&lt;$N49,AF49,$N49)-IF(AG$1&lt;=$U49,0,IF(AG$1&gt;IF($U49&lt;2022,2022,$U49),IF(AG$1-IF($U49&lt;2022,2022,$U49)=1,IF(AF49&lt;$N49,AF49,$N49)*VLOOKUP(LEFT($A49,3),Paramétres!$A:$D,3,0),IF(AF49&lt;$N49,AF49,$N49)*VLOOKUP(LEFT($A49,3),Paramétres!$A:$D,4)),0))</f>
        <v>9631.2479128679352</v>
      </c>
      <c r="AH49" s="11">
        <f>IF(AG49&lt;$N49,AG49,$N49)-IF(AH$1&lt;=$U49,0,IF(AH$1&gt;IF($U49&lt;2022,2022,$U49),IF(AH$1-IF($U49&lt;2022,2022,$U49)=1,IF(AG49&lt;$N49,AG49,$N49)*VLOOKUP(LEFT($A49,3),Paramétres!$A:$D,3,0),IF(AG49&lt;$N49,AG49,$N49)*VLOOKUP(LEFT($A49,3),Paramétres!$A:$D,4)),0))</f>
        <v>8957.0605589671795</v>
      </c>
      <c r="AI49" s="11">
        <f>IF(AH49&lt;$N49,AH49,$N49)-IF(AI$1&lt;=$U49,0,IF(AI$1&gt;IF($U49&lt;2022,2022,$U49),IF(AI$1-IF($U49&lt;2022,2022,$U49)=1,IF(AH49&lt;$N49,AH49,$N49)*VLOOKUP(LEFT($A49,3),Paramétres!$A:$D,3,0),IF(AH49&lt;$N49,AH49,$N49)*VLOOKUP(LEFT($A49,3),Paramétres!$A:$D,4)),0))</f>
        <v>8330.0663198394777</v>
      </c>
      <c r="AJ49" s="11">
        <f>IF(AI49&lt;$N49,AI49,$N49)-IF(AJ$1&lt;=$U49,0,IF(AJ$1&gt;IF($U49&lt;2022,2022,$U49),IF(AJ$1-IF($U49&lt;2022,2022,$U49)=1,IF(AI49&lt;$N49,AI49,$N49)*VLOOKUP(LEFT($A49,3),Paramétres!$A:$D,3,0),IF(AI49&lt;$N49,AI49,$N49)*VLOOKUP(LEFT($A49,3),Paramétres!$A:$D,4)),0))</f>
        <v>7746.961677450714</v>
      </c>
      <c r="AK49" s="11">
        <f>IF(AJ49&lt;$N49,AJ49,$N49)-IF(AK$1&lt;=$U49,0,IF(AK$1&gt;IF($U49&lt;2022,2022,$U49),IF(AK$1-IF($U49&lt;2022,2022,$U49)=1,IF(AJ49&lt;$N49,AJ49,$N49)*VLOOKUP(LEFT($A49,3),Paramétres!$A:$D,3,0),IF(AJ49&lt;$N49,AJ49,$N49)*VLOOKUP(LEFT($A49,3),Paramétres!$A:$D,4)),0))</f>
        <v>7204.6743600291638</v>
      </c>
    </row>
    <row r="50" spans="1:37" x14ac:dyDescent="0.25">
      <c r="A50" s="1" t="s">
        <v>128</v>
      </c>
      <c r="D50" s="1" t="s">
        <v>118</v>
      </c>
      <c r="E50" s="1" t="s">
        <v>124</v>
      </c>
      <c r="F50" s="1" t="s">
        <v>129</v>
      </c>
      <c r="J50" s="2">
        <v>43101</v>
      </c>
      <c r="K50" s="3">
        <v>17100</v>
      </c>
      <c r="L50" s="3"/>
      <c r="M50" s="3">
        <f>T_BASE[[#This Row],[VALEUR ACHAT]]</f>
        <v>17100</v>
      </c>
      <c r="N50" s="3">
        <f>T_BASE[[#This Row],[MONTANT PEC APRES AMORT.]]</f>
        <v>17100</v>
      </c>
      <c r="O50" s="1">
        <v>48</v>
      </c>
      <c r="Q50" s="4"/>
      <c r="R50" s="3">
        <v>0</v>
      </c>
      <c r="S50" s="3">
        <v>120</v>
      </c>
      <c r="T50" s="66">
        <f t="shared" si="1"/>
        <v>4</v>
      </c>
      <c r="U50" s="1">
        <f t="shared" si="2"/>
        <v>2018</v>
      </c>
      <c r="V50" s="11">
        <f>T_BASE[[#This Row],[ANNEE ACQT]]+T_BASE[[#This Row],[AMORT.]]</f>
        <v>2022</v>
      </c>
      <c r="W50" s="11">
        <f>$N50-IF(W$1&lt;=$V50,0,IF(W$1&gt;IF($V50&lt;2022,2022,$V50),IF(W$1-IF($V50&lt;2022,2022,$V50)=1,$N50*VLOOKUP(LEFT($A50,3),Paramétres!A:D,3,0),$N50*VLOOKUP(LEFT($A50,3),Paramétres!A:D,4)),0))</f>
        <v>17014.5</v>
      </c>
      <c r="X50" s="11">
        <f>IF(W50&lt;$N50,W50,$N50)-IF(X$1&lt;=$U50,0,IF(X$1&gt;IF($U50&lt;2022,2022,$U50),IF(X$1-IF($U50&lt;2022,2022,$U50)=1,IF(W50&lt;$N50,W50,$N50)*VLOOKUP(LEFT($A50,3),Paramétres!$A:$D,3,0),IF(W50&lt;$N50,W50,$N50)*VLOOKUP(LEFT($A50,3),Paramétres!$A:$D,4)),0))</f>
        <v>15823.485000000001</v>
      </c>
      <c r="Y50" s="11">
        <f>IF(X50&lt;$N50,X50,$N50)-IF(Y$1&lt;=$U50,0,IF(Y$1&gt;IF($U50&lt;2022,2022,$U50),IF(Y$1-IF($U50&lt;2022,2022,$U50)=1,IF(X50&lt;$N50,X50,$N50)*VLOOKUP(LEFT($A50,3),Paramétres!$A:$D,3,0),IF(X50&lt;$N50,X50,$N50)*VLOOKUP(LEFT($A50,3),Paramétres!$A:$D,4)),0))</f>
        <v>14715.841050000001</v>
      </c>
      <c r="Z50" s="11">
        <f>IF(Y50&lt;$N50,Y50,$N50)-IF(Z$1&lt;=$U50,0,IF(Z$1&gt;IF($U50&lt;2022,2022,$U50),IF(Z$1-IF($U50&lt;2022,2022,$U50)=1,IF(Y50&lt;$N50,Y50,$N50)*VLOOKUP(LEFT($A50,3),Paramétres!$A:$D,3,0),IF(Y50&lt;$N50,Y50,$N50)*VLOOKUP(LEFT($A50,3),Paramétres!$A:$D,4)),0))</f>
        <v>13685.732176500002</v>
      </c>
      <c r="AA50" s="11">
        <f>IF(Z50&lt;$N50,Z50,$N50)-IF(AA$1&lt;=$U50,0,IF(AA$1&gt;IF($U50&lt;2022,2022,$U50),IF(AA$1-IF($U50&lt;2022,2022,$U50)=1,IF(Z50&lt;$N50,Z50,$N50)*VLOOKUP(LEFT($A50,3),Paramétres!$A:$D,3,0),IF(Z50&lt;$N50,Z50,$N50)*VLOOKUP(LEFT($A50,3),Paramétres!$A:$D,4)),0))</f>
        <v>12727.730924145002</v>
      </c>
      <c r="AB50" s="11">
        <f>IF(AA50&lt;$N50,AA50,$N50)-IF(AB$1&lt;=$U50,0,IF(AB$1&gt;IF($U50&lt;2022,2022,$U50),IF(AB$1-IF($U50&lt;2022,2022,$U50)=1,IF(AA50&lt;$N50,AA50,$N50)*VLOOKUP(LEFT($A50,3),Paramétres!$A:$D,3,0),IF(AA50&lt;$N50,AA50,$N50)*VLOOKUP(LEFT($A50,3),Paramétres!$A:$D,4)),0))</f>
        <v>11836.789759454852</v>
      </c>
      <c r="AC50" s="11">
        <f>IF(AB50&lt;$N50,AB50,$N50)-IF(AC$1&lt;=$U50,0,IF(AC$1&gt;IF($U50&lt;2022,2022,$U50),IF(AC$1-IF($U50&lt;2022,2022,$U50)=1,IF(AB50&lt;$N50,AB50,$N50)*VLOOKUP(LEFT($A50,3),Paramétres!$A:$D,3,0),IF(AB50&lt;$N50,AB50,$N50)*VLOOKUP(LEFT($A50,3),Paramétres!$A:$D,4)),0))</f>
        <v>11008.214476293013</v>
      </c>
      <c r="AD50" s="11">
        <f>IF(AC50&lt;$N50,AC50,$N50)-IF(AD$1&lt;=$U50,0,IF(AD$1&gt;IF($U50&lt;2022,2022,$U50),IF(AD$1-IF($U50&lt;2022,2022,$U50)=1,IF(AC50&lt;$N50,AC50,$N50)*VLOOKUP(LEFT($A50,3),Paramétres!$A:$D,3,0),IF(AC50&lt;$N50,AC50,$N50)*VLOOKUP(LEFT($A50,3),Paramétres!$A:$D,4)),0))</f>
        <v>10237.639462952502</v>
      </c>
      <c r="AE50" s="11">
        <f>IF(AD50&lt;$N50,AD50,$N50)-IF(AE$1&lt;=$U50,0,IF(AE$1&gt;IF($U50&lt;2022,2022,$U50),IF(AE$1-IF($U50&lt;2022,2022,$U50)=1,IF(AD50&lt;$N50,AD50,$N50)*VLOOKUP(LEFT($A50,3),Paramétres!$A:$D,3,0),IF(AD50&lt;$N50,AD50,$N50)*VLOOKUP(LEFT($A50,3),Paramétres!$A:$D,4)),0))</f>
        <v>9521.0047005458273</v>
      </c>
      <c r="AF50" s="11">
        <f>IF(AE50&lt;$N50,AE50,$N50)-IF(AF$1&lt;=$U50,0,IF(AF$1&gt;IF($U50&lt;2022,2022,$U50),IF(AF$1-IF($U50&lt;2022,2022,$U50)=1,IF(AE50&lt;$N50,AE50,$N50)*VLOOKUP(LEFT($A50,3),Paramétres!$A:$D,3,0),IF(AE50&lt;$N50,AE50,$N50)*VLOOKUP(LEFT($A50,3),Paramétres!$A:$D,4)),0))</f>
        <v>8854.5343715076197</v>
      </c>
      <c r="AG50" s="11">
        <f>IF(AF50&lt;$N50,AF50,$N50)-IF(AG$1&lt;=$U50,0,IF(AG$1&gt;IF($U50&lt;2022,2022,$U50),IF(AG$1-IF($U50&lt;2022,2022,$U50)=1,IF(AF50&lt;$N50,AF50,$N50)*VLOOKUP(LEFT($A50,3),Paramétres!$A:$D,3,0),IF(AF50&lt;$N50,AF50,$N50)*VLOOKUP(LEFT($A50,3),Paramétres!$A:$D,4)),0))</f>
        <v>8234.7169655020862</v>
      </c>
      <c r="AH50" s="11">
        <f>IF(AG50&lt;$N50,AG50,$N50)-IF(AH$1&lt;=$U50,0,IF(AH$1&gt;IF($U50&lt;2022,2022,$U50),IF(AH$1-IF($U50&lt;2022,2022,$U50)=1,IF(AG50&lt;$N50,AG50,$N50)*VLOOKUP(LEFT($A50,3),Paramétres!$A:$D,3,0),IF(AG50&lt;$N50,AG50,$N50)*VLOOKUP(LEFT($A50,3),Paramétres!$A:$D,4)),0))</f>
        <v>7658.2867779169401</v>
      </c>
      <c r="AI50" s="11">
        <f>IF(AH50&lt;$N50,AH50,$N50)-IF(AI$1&lt;=$U50,0,IF(AI$1&gt;IF($U50&lt;2022,2022,$U50),IF(AI$1-IF($U50&lt;2022,2022,$U50)=1,IF(AH50&lt;$N50,AH50,$N50)*VLOOKUP(LEFT($A50,3),Paramétres!$A:$D,3,0),IF(AH50&lt;$N50,AH50,$N50)*VLOOKUP(LEFT($A50,3),Paramétres!$A:$D,4)),0))</f>
        <v>7122.2067034627544</v>
      </c>
      <c r="AJ50" s="11">
        <f>IF(AI50&lt;$N50,AI50,$N50)-IF(AJ$1&lt;=$U50,0,IF(AJ$1&gt;IF($U50&lt;2022,2022,$U50),IF(AJ$1-IF($U50&lt;2022,2022,$U50)=1,IF(AI50&lt;$N50,AI50,$N50)*VLOOKUP(LEFT($A50,3),Paramétres!$A:$D,3,0),IF(AI50&lt;$N50,AI50,$N50)*VLOOKUP(LEFT($A50,3),Paramétres!$A:$D,4)),0))</f>
        <v>6623.6522342203616</v>
      </c>
      <c r="AK50" s="11">
        <f>IF(AJ50&lt;$N50,AJ50,$N50)-IF(AK$1&lt;=$U50,0,IF(AK$1&gt;IF($U50&lt;2022,2022,$U50),IF(AK$1-IF($U50&lt;2022,2022,$U50)=1,IF(AJ50&lt;$N50,AJ50,$N50)*VLOOKUP(LEFT($A50,3),Paramétres!$A:$D,3,0),IF(AJ50&lt;$N50,AJ50,$N50)*VLOOKUP(LEFT($A50,3),Paramétres!$A:$D,4)),0))</f>
        <v>6159.9965778249361</v>
      </c>
    </row>
    <row r="51" spans="1:37" x14ac:dyDescent="0.25">
      <c r="A51" s="1" t="s">
        <v>130</v>
      </c>
      <c r="D51" s="1" t="s">
        <v>118</v>
      </c>
      <c r="E51" s="1" t="s">
        <v>124</v>
      </c>
      <c r="F51" s="1" t="s">
        <v>131</v>
      </c>
      <c r="K51" s="3"/>
      <c r="L51" s="3"/>
      <c r="M51" s="3">
        <f>T_BASE[[#This Row],[VALEUR ACHAT]]</f>
        <v>0</v>
      </c>
      <c r="N51" s="3">
        <f>T_BASE[[#This Row],[MONTANT PEC APRES AMORT.]]</f>
        <v>0</v>
      </c>
      <c r="Q51" s="4"/>
      <c r="R51" s="3">
        <v>0</v>
      </c>
      <c r="S51" s="3">
        <v>120</v>
      </c>
      <c r="T51" s="66">
        <f t="shared" si="1"/>
        <v>0</v>
      </c>
      <c r="U51" s="1">
        <f t="shared" si="2"/>
        <v>1900</v>
      </c>
      <c r="V51" s="11">
        <f>T_BASE[[#This Row],[ANNEE ACQT]]+T_BASE[[#This Row],[AMORT.]]</f>
        <v>1900</v>
      </c>
      <c r="W51" s="11">
        <f>$N51-IF(W$1&lt;=$V51,0,IF(W$1&gt;IF($V51&lt;2022,2022,$V51),IF(W$1-IF($V51&lt;2022,2022,$V51)=1,$N51*VLOOKUP(LEFT($A51,3),Paramétres!A:D,3,0),$N51*VLOOKUP(LEFT($A51,3),Paramétres!A:D,4)),0))</f>
        <v>0</v>
      </c>
      <c r="X51" s="11">
        <f>IF(W51&lt;$N51,W51,$N51)-IF(X$1&lt;=$U51,0,IF(X$1&gt;IF($U51&lt;2022,2022,$U51),IF(X$1-IF($U51&lt;2022,2022,$U51)=1,IF(W51&lt;$N51,W51,$N51)*VLOOKUP(LEFT($A51,3),Paramétres!$A:$D,3,0),IF(W51&lt;$N51,W51,$N51)*VLOOKUP(LEFT($A51,3),Paramétres!$A:$D,4)),0))</f>
        <v>0</v>
      </c>
      <c r="Y51" s="11">
        <f>IF(X51&lt;$N51,X51,$N51)-IF(Y$1&lt;=$U51,0,IF(Y$1&gt;IF($U51&lt;2022,2022,$U51),IF(Y$1-IF($U51&lt;2022,2022,$U51)=1,IF(X51&lt;$N51,X51,$N51)*VLOOKUP(LEFT($A51,3),Paramétres!$A:$D,3,0),IF(X51&lt;$N51,X51,$N51)*VLOOKUP(LEFT($A51,3),Paramétres!$A:$D,4)),0))</f>
        <v>0</v>
      </c>
      <c r="Z51" s="11">
        <f>IF(Y51&lt;$N51,Y51,$N51)-IF(Z$1&lt;=$U51,0,IF(Z$1&gt;IF($U51&lt;2022,2022,$U51),IF(Z$1-IF($U51&lt;2022,2022,$U51)=1,IF(Y51&lt;$N51,Y51,$N51)*VLOOKUP(LEFT($A51,3),Paramétres!$A:$D,3,0),IF(Y51&lt;$N51,Y51,$N51)*VLOOKUP(LEFT($A51,3),Paramétres!$A:$D,4)),0))</f>
        <v>0</v>
      </c>
      <c r="AA51" s="11">
        <f>IF(Z51&lt;$N51,Z51,$N51)-IF(AA$1&lt;=$U51,0,IF(AA$1&gt;IF($U51&lt;2022,2022,$U51),IF(AA$1-IF($U51&lt;2022,2022,$U51)=1,IF(Z51&lt;$N51,Z51,$N51)*VLOOKUP(LEFT($A51,3),Paramétres!$A:$D,3,0),IF(Z51&lt;$N51,Z51,$N51)*VLOOKUP(LEFT($A51,3),Paramétres!$A:$D,4)),0))</f>
        <v>0</v>
      </c>
      <c r="AB51" s="11">
        <f>IF(AA51&lt;$N51,AA51,$N51)-IF(AB$1&lt;=$U51,0,IF(AB$1&gt;IF($U51&lt;2022,2022,$U51),IF(AB$1-IF($U51&lt;2022,2022,$U51)=1,IF(AA51&lt;$N51,AA51,$N51)*VLOOKUP(LEFT($A51,3),Paramétres!$A:$D,3,0),IF(AA51&lt;$N51,AA51,$N51)*VLOOKUP(LEFT($A51,3),Paramétres!$A:$D,4)),0))</f>
        <v>0</v>
      </c>
      <c r="AC51" s="11">
        <f>IF(AB51&lt;$N51,AB51,$N51)-IF(AC$1&lt;=$U51,0,IF(AC$1&gt;IF($U51&lt;2022,2022,$U51),IF(AC$1-IF($U51&lt;2022,2022,$U51)=1,IF(AB51&lt;$N51,AB51,$N51)*VLOOKUP(LEFT($A51,3),Paramétres!$A:$D,3,0),IF(AB51&lt;$N51,AB51,$N51)*VLOOKUP(LEFT($A51,3),Paramétres!$A:$D,4)),0))</f>
        <v>0</v>
      </c>
      <c r="AD51" s="11">
        <f>IF(AC51&lt;$N51,AC51,$N51)-IF(AD$1&lt;=$U51,0,IF(AD$1&gt;IF($U51&lt;2022,2022,$U51),IF(AD$1-IF($U51&lt;2022,2022,$U51)=1,IF(AC51&lt;$N51,AC51,$N51)*VLOOKUP(LEFT($A51,3),Paramétres!$A:$D,3,0),IF(AC51&lt;$N51,AC51,$N51)*VLOOKUP(LEFT($A51,3),Paramétres!$A:$D,4)),0))</f>
        <v>0</v>
      </c>
      <c r="AE51" s="11">
        <f>IF(AD51&lt;$N51,AD51,$N51)-IF(AE$1&lt;=$U51,0,IF(AE$1&gt;IF($U51&lt;2022,2022,$U51),IF(AE$1-IF($U51&lt;2022,2022,$U51)=1,IF(AD51&lt;$N51,AD51,$N51)*VLOOKUP(LEFT($A51,3),Paramétres!$A:$D,3,0),IF(AD51&lt;$N51,AD51,$N51)*VLOOKUP(LEFT($A51,3),Paramétres!$A:$D,4)),0))</f>
        <v>0</v>
      </c>
      <c r="AF51" s="11">
        <f>IF(AE51&lt;$N51,AE51,$N51)-IF(AF$1&lt;=$U51,0,IF(AF$1&gt;IF($U51&lt;2022,2022,$U51),IF(AF$1-IF($U51&lt;2022,2022,$U51)=1,IF(AE51&lt;$N51,AE51,$N51)*VLOOKUP(LEFT($A51,3),Paramétres!$A:$D,3,0),IF(AE51&lt;$N51,AE51,$N51)*VLOOKUP(LEFT($A51,3),Paramétres!$A:$D,4)),0))</f>
        <v>0</v>
      </c>
      <c r="AG51" s="11">
        <f>IF(AF51&lt;$N51,AF51,$N51)-IF(AG$1&lt;=$U51,0,IF(AG$1&gt;IF($U51&lt;2022,2022,$U51),IF(AG$1-IF($U51&lt;2022,2022,$U51)=1,IF(AF51&lt;$N51,AF51,$N51)*VLOOKUP(LEFT($A51,3),Paramétres!$A:$D,3,0),IF(AF51&lt;$N51,AF51,$N51)*VLOOKUP(LEFT($A51,3),Paramétres!$A:$D,4)),0))</f>
        <v>0</v>
      </c>
      <c r="AH51" s="11">
        <f>IF(AG51&lt;$N51,AG51,$N51)-IF(AH$1&lt;=$U51,0,IF(AH$1&gt;IF($U51&lt;2022,2022,$U51),IF(AH$1-IF($U51&lt;2022,2022,$U51)=1,IF(AG51&lt;$N51,AG51,$N51)*VLOOKUP(LEFT($A51,3),Paramétres!$A:$D,3,0),IF(AG51&lt;$N51,AG51,$N51)*VLOOKUP(LEFT($A51,3),Paramétres!$A:$D,4)),0))</f>
        <v>0</v>
      </c>
      <c r="AI51" s="11">
        <f>IF(AH51&lt;$N51,AH51,$N51)-IF(AI$1&lt;=$U51,0,IF(AI$1&gt;IF($U51&lt;2022,2022,$U51),IF(AI$1-IF($U51&lt;2022,2022,$U51)=1,IF(AH51&lt;$N51,AH51,$N51)*VLOOKUP(LEFT($A51,3),Paramétres!$A:$D,3,0),IF(AH51&lt;$N51,AH51,$N51)*VLOOKUP(LEFT($A51,3),Paramétres!$A:$D,4)),0))</f>
        <v>0</v>
      </c>
      <c r="AJ51" s="11">
        <f>IF(AI51&lt;$N51,AI51,$N51)-IF(AJ$1&lt;=$U51,0,IF(AJ$1&gt;IF($U51&lt;2022,2022,$U51),IF(AJ$1-IF($U51&lt;2022,2022,$U51)=1,IF(AI51&lt;$N51,AI51,$N51)*VLOOKUP(LEFT($A51,3),Paramétres!$A:$D,3,0),IF(AI51&lt;$N51,AI51,$N51)*VLOOKUP(LEFT($A51,3),Paramétres!$A:$D,4)),0))</f>
        <v>0</v>
      </c>
      <c r="AK51" s="11">
        <f>IF(AJ51&lt;$N51,AJ51,$N51)-IF(AK$1&lt;=$U51,0,IF(AK$1&gt;IF($U51&lt;2022,2022,$U51),IF(AK$1-IF($U51&lt;2022,2022,$U51)=1,IF(AJ51&lt;$N51,AJ51,$N51)*VLOOKUP(LEFT($A51,3),Paramétres!$A:$D,3,0),IF(AJ51&lt;$N51,AJ51,$N51)*VLOOKUP(LEFT($A51,3),Paramétres!$A:$D,4)),0))</f>
        <v>0</v>
      </c>
    </row>
    <row r="52" spans="1:37" x14ac:dyDescent="0.25">
      <c r="A52" s="1" t="s">
        <v>132</v>
      </c>
      <c r="D52" s="1" t="s">
        <v>118</v>
      </c>
      <c r="E52" s="1" t="s">
        <v>124</v>
      </c>
      <c r="F52" s="1" t="s">
        <v>133</v>
      </c>
      <c r="J52" s="2">
        <v>43101</v>
      </c>
      <c r="K52" s="3">
        <v>17100</v>
      </c>
      <c r="L52" s="3"/>
      <c r="M52" s="3">
        <f>T_BASE[[#This Row],[VALEUR ACHAT]]</f>
        <v>17100</v>
      </c>
      <c r="N52" s="3">
        <f>T_BASE[[#This Row],[MONTANT PEC APRES AMORT.]]</f>
        <v>17100</v>
      </c>
      <c r="O52" s="1">
        <v>36</v>
      </c>
      <c r="Q52" s="3"/>
      <c r="R52" s="3">
        <v>0</v>
      </c>
      <c r="S52" s="3">
        <v>120</v>
      </c>
      <c r="T52" s="66">
        <f t="shared" si="1"/>
        <v>3</v>
      </c>
      <c r="U52" s="1">
        <f t="shared" si="2"/>
        <v>2018</v>
      </c>
      <c r="V52" s="11">
        <f>T_BASE[[#This Row],[ANNEE ACQT]]+T_BASE[[#This Row],[AMORT.]]</f>
        <v>2021</v>
      </c>
      <c r="W52" s="11">
        <f>$N52-IF(W$1&lt;=$V52,0,IF(W$1&gt;IF($V52&lt;2022,2022,$V52),IF(W$1-IF($V52&lt;2022,2022,$V52)=1,$N52*VLOOKUP(LEFT($A52,3),Paramétres!A:D,3,0),$N52*VLOOKUP(LEFT($A52,3),Paramétres!A:D,4)),0))</f>
        <v>17014.5</v>
      </c>
      <c r="X52" s="11">
        <f>IF(W52&lt;$N52,W52,$N52)-IF(X$1&lt;=$U52,0,IF(X$1&gt;IF($U52&lt;2022,2022,$U52),IF(X$1-IF($U52&lt;2022,2022,$U52)=1,IF(W52&lt;$N52,W52,$N52)*VLOOKUP(LEFT($A52,3),Paramétres!$A:$D,3,0),IF(W52&lt;$N52,W52,$N52)*VLOOKUP(LEFT($A52,3),Paramétres!$A:$D,4)),0))</f>
        <v>15823.485000000001</v>
      </c>
      <c r="Y52" s="11">
        <f>IF(X52&lt;$N52,X52,$N52)-IF(Y$1&lt;=$U52,0,IF(Y$1&gt;IF($U52&lt;2022,2022,$U52),IF(Y$1-IF($U52&lt;2022,2022,$U52)=1,IF(X52&lt;$N52,X52,$N52)*VLOOKUP(LEFT($A52,3),Paramétres!$A:$D,3,0),IF(X52&lt;$N52,X52,$N52)*VLOOKUP(LEFT($A52,3),Paramétres!$A:$D,4)),0))</f>
        <v>14715.841050000001</v>
      </c>
      <c r="Z52" s="11">
        <f>IF(Y52&lt;$N52,Y52,$N52)-IF(Z$1&lt;=$U52,0,IF(Z$1&gt;IF($U52&lt;2022,2022,$U52),IF(Z$1-IF($U52&lt;2022,2022,$U52)=1,IF(Y52&lt;$N52,Y52,$N52)*VLOOKUP(LEFT($A52,3),Paramétres!$A:$D,3,0),IF(Y52&lt;$N52,Y52,$N52)*VLOOKUP(LEFT($A52,3),Paramétres!$A:$D,4)),0))</f>
        <v>13685.732176500002</v>
      </c>
      <c r="AA52" s="11">
        <f>IF(Z52&lt;$N52,Z52,$N52)-IF(AA$1&lt;=$U52,0,IF(AA$1&gt;IF($U52&lt;2022,2022,$U52),IF(AA$1-IF($U52&lt;2022,2022,$U52)=1,IF(Z52&lt;$N52,Z52,$N52)*VLOOKUP(LEFT($A52,3),Paramétres!$A:$D,3,0),IF(Z52&lt;$N52,Z52,$N52)*VLOOKUP(LEFT($A52,3),Paramétres!$A:$D,4)),0))</f>
        <v>12727.730924145002</v>
      </c>
      <c r="AB52" s="11">
        <f>IF(AA52&lt;$N52,AA52,$N52)-IF(AB$1&lt;=$U52,0,IF(AB$1&gt;IF($U52&lt;2022,2022,$U52),IF(AB$1-IF($U52&lt;2022,2022,$U52)=1,IF(AA52&lt;$N52,AA52,$N52)*VLOOKUP(LEFT($A52,3),Paramétres!$A:$D,3,0),IF(AA52&lt;$N52,AA52,$N52)*VLOOKUP(LEFT($A52,3),Paramétres!$A:$D,4)),0))</f>
        <v>11836.789759454852</v>
      </c>
      <c r="AC52" s="11">
        <f>IF(AB52&lt;$N52,AB52,$N52)-IF(AC$1&lt;=$U52,0,IF(AC$1&gt;IF($U52&lt;2022,2022,$U52),IF(AC$1-IF($U52&lt;2022,2022,$U52)=1,IF(AB52&lt;$N52,AB52,$N52)*VLOOKUP(LEFT($A52,3),Paramétres!$A:$D,3,0),IF(AB52&lt;$N52,AB52,$N52)*VLOOKUP(LEFT($A52,3),Paramétres!$A:$D,4)),0))</f>
        <v>11008.214476293013</v>
      </c>
      <c r="AD52" s="11">
        <f>IF(AC52&lt;$N52,AC52,$N52)-IF(AD$1&lt;=$U52,0,IF(AD$1&gt;IF($U52&lt;2022,2022,$U52),IF(AD$1-IF($U52&lt;2022,2022,$U52)=1,IF(AC52&lt;$N52,AC52,$N52)*VLOOKUP(LEFT($A52,3),Paramétres!$A:$D,3,0),IF(AC52&lt;$N52,AC52,$N52)*VLOOKUP(LEFT($A52,3),Paramétres!$A:$D,4)),0))</f>
        <v>10237.639462952502</v>
      </c>
      <c r="AE52" s="11">
        <f>IF(AD52&lt;$N52,AD52,$N52)-IF(AE$1&lt;=$U52,0,IF(AE$1&gt;IF($U52&lt;2022,2022,$U52),IF(AE$1-IF($U52&lt;2022,2022,$U52)=1,IF(AD52&lt;$N52,AD52,$N52)*VLOOKUP(LEFT($A52,3),Paramétres!$A:$D,3,0),IF(AD52&lt;$N52,AD52,$N52)*VLOOKUP(LEFT($A52,3),Paramétres!$A:$D,4)),0))</f>
        <v>9521.0047005458273</v>
      </c>
      <c r="AF52" s="11">
        <f>IF(AE52&lt;$N52,AE52,$N52)-IF(AF$1&lt;=$U52,0,IF(AF$1&gt;IF($U52&lt;2022,2022,$U52),IF(AF$1-IF($U52&lt;2022,2022,$U52)=1,IF(AE52&lt;$N52,AE52,$N52)*VLOOKUP(LEFT($A52,3),Paramétres!$A:$D,3,0),IF(AE52&lt;$N52,AE52,$N52)*VLOOKUP(LEFT($A52,3),Paramétres!$A:$D,4)),0))</f>
        <v>8854.5343715076197</v>
      </c>
      <c r="AG52" s="11">
        <f>IF(AF52&lt;$N52,AF52,$N52)-IF(AG$1&lt;=$U52,0,IF(AG$1&gt;IF($U52&lt;2022,2022,$U52),IF(AG$1-IF($U52&lt;2022,2022,$U52)=1,IF(AF52&lt;$N52,AF52,$N52)*VLOOKUP(LEFT($A52,3),Paramétres!$A:$D,3,0),IF(AF52&lt;$N52,AF52,$N52)*VLOOKUP(LEFT($A52,3),Paramétres!$A:$D,4)),0))</f>
        <v>8234.7169655020862</v>
      </c>
      <c r="AH52" s="11">
        <f>IF(AG52&lt;$N52,AG52,$N52)-IF(AH$1&lt;=$U52,0,IF(AH$1&gt;IF($U52&lt;2022,2022,$U52),IF(AH$1-IF($U52&lt;2022,2022,$U52)=1,IF(AG52&lt;$N52,AG52,$N52)*VLOOKUP(LEFT($A52,3),Paramétres!$A:$D,3,0),IF(AG52&lt;$N52,AG52,$N52)*VLOOKUP(LEFT($A52,3),Paramétres!$A:$D,4)),0))</f>
        <v>7658.2867779169401</v>
      </c>
      <c r="AI52" s="11">
        <f>IF(AH52&lt;$N52,AH52,$N52)-IF(AI$1&lt;=$U52,0,IF(AI$1&gt;IF($U52&lt;2022,2022,$U52),IF(AI$1-IF($U52&lt;2022,2022,$U52)=1,IF(AH52&lt;$N52,AH52,$N52)*VLOOKUP(LEFT($A52,3),Paramétres!$A:$D,3,0),IF(AH52&lt;$N52,AH52,$N52)*VLOOKUP(LEFT($A52,3),Paramétres!$A:$D,4)),0))</f>
        <v>7122.2067034627544</v>
      </c>
      <c r="AJ52" s="11">
        <f>IF(AI52&lt;$N52,AI52,$N52)-IF(AJ$1&lt;=$U52,0,IF(AJ$1&gt;IF($U52&lt;2022,2022,$U52),IF(AJ$1-IF($U52&lt;2022,2022,$U52)=1,IF(AI52&lt;$N52,AI52,$N52)*VLOOKUP(LEFT($A52,3),Paramétres!$A:$D,3,0),IF(AI52&lt;$N52,AI52,$N52)*VLOOKUP(LEFT($A52,3),Paramétres!$A:$D,4)),0))</f>
        <v>6623.6522342203616</v>
      </c>
      <c r="AK52" s="11">
        <f>IF(AJ52&lt;$N52,AJ52,$N52)-IF(AK$1&lt;=$U52,0,IF(AK$1&gt;IF($U52&lt;2022,2022,$U52),IF(AK$1-IF($U52&lt;2022,2022,$U52)=1,IF(AJ52&lt;$N52,AJ52,$N52)*VLOOKUP(LEFT($A52,3),Paramétres!$A:$D,3,0),IF(AJ52&lt;$N52,AJ52,$N52)*VLOOKUP(LEFT($A52,3),Paramétres!$A:$D,4)),0))</f>
        <v>6159.9965778249361</v>
      </c>
    </row>
    <row r="53" spans="1:37" x14ac:dyDescent="0.25">
      <c r="A53" s="1" t="s">
        <v>134</v>
      </c>
      <c r="D53" s="1" t="s">
        <v>118</v>
      </c>
      <c r="E53" s="1" t="s">
        <v>124</v>
      </c>
      <c r="F53" s="1" t="s">
        <v>135</v>
      </c>
      <c r="J53" s="2">
        <v>43003</v>
      </c>
      <c r="K53" s="3">
        <v>12850</v>
      </c>
      <c r="L53" s="3" t="s">
        <v>233</v>
      </c>
      <c r="M53" s="3">
        <f>T_BASE[[#This Row],[VALEUR ACHAT]]</f>
        <v>12850</v>
      </c>
      <c r="N53" s="3">
        <f>T_BASE[[#This Row],[MONTANT PEC APRES AMORT.]]</f>
        <v>12850</v>
      </c>
      <c r="O53" s="1">
        <v>60</v>
      </c>
      <c r="Q53" s="4"/>
      <c r="R53" s="3">
        <v>0</v>
      </c>
      <c r="S53" s="3">
        <v>120</v>
      </c>
      <c r="T53" s="66">
        <f t="shared" si="1"/>
        <v>5</v>
      </c>
      <c r="U53" s="1">
        <f t="shared" si="2"/>
        <v>2017</v>
      </c>
      <c r="V53" s="11">
        <f>T_BASE[[#This Row],[ANNEE ACQT]]+T_BASE[[#This Row],[AMORT.]]</f>
        <v>2022</v>
      </c>
      <c r="W53" s="11">
        <f>$N53-IF(W$1&lt;=$V53,0,IF(W$1&gt;IF($V53&lt;2022,2022,$V53),IF(W$1-IF($V53&lt;2022,2022,$V53)=1,$N53*VLOOKUP(LEFT($A53,3),Paramétres!A:D,3,0),$N53*VLOOKUP(LEFT($A53,3),Paramétres!A:D,4)),0))</f>
        <v>12785.75</v>
      </c>
      <c r="X53" s="11">
        <f>IF(W53&lt;$N53,W53,$N53)-IF(X$1&lt;=$U53,0,IF(X$1&gt;IF($U53&lt;2022,2022,$U53),IF(X$1-IF($U53&lt;2022,2022,$U53)=1,IF(W53&lt;$N53,W53,$N53)*VLOOKUP(LEFT($A53,3),Paramétres!$A:$D,3,0),IF(W53&lt;$N53,W53,$N53)*VLOOKUP(LEFT($A53,3),Paramétres!$A:$D,4)),0))</f>
        <v>11890.747499999999</v>
      </c>
      <c r="Y53" s="11">
        <f>IF(X53&lt;$N53,X53,$N53)-IF(Y$1&lt;=$U53,0,IF(Y$1&gt;IF($U53&lt;2022,2022,$U53),IF(Y$1-IF($U53&lt;2022,2022,$U53)=1,IF(X53&lt;$N53,X53,$N53)*VLOOKUP(LEFT($A53,3),Paramétres!$A:$D,3,0),IF(X53&lt;$N53,X53,$N53)*VLOOKUP(LEFT($A53,3),Paramétres!$A:$D,4)),0))</f>
        <v>11058.395175</v>
      </c>
      <c r="Z53" s="11">
        <f>IF(Y53&lt;$N53,Y53,$N53)-IF(Z$1&lt;=$U53,0,IF(Z$1&gt;IF($U53&lt;2022,2022,$U53),IF(Z$1-IF($U53&lt;2022,2022,$U53)=1,IF(Y53&lt;$N53,Y53,$N53)*VLOOKUP(LEFT($A53,3),Paramétres!$A:$D,3,0),IF(Y53&lt;$N53,Y53,$N53)*VLOOKUP(LEFT($A53,3),Paramétres!$A:$D,4)),0))</f>
        <v>10284.30751275</v>
      </c>
      <c r="AA53" s="11">
        <f>IF(Z53&lt;$N53,Z53,$N53)-IF(AA$1&lt;=$U53,0,IF(AA$1&gt;IF($U53&lt;2022,2022,$U53),IF(AA$1-IF($U53&lt;2022,2022,$U53)=1,IF(Z53&lt;$N53,Z53,$N53)*VLOOKUP(LEFT($A53,3),Paramétres!$A:$D,3,0),IF(Z53&lt;$N53,Z53,$N53)*VLOOKUP(LEFT($A53,3),Paramétres!$A:$D,4)),0))</f>
        <v>9564.4059868575005</v>
      </c>
      <c r="AB53" s="11">
        <f>IF(AA53&lt;$N53,AA53,$N53)-IF(AB$1&lt;=$U53,0,IF(AB$1&gt;IF($U53&lt;2022,2022,$U53),IF(AB$1-IF($U53&lt;2022,2022,$U53)=1,IF(AA53&lt;$N53,AA53,$N53)*VLOOKUP(LEFT($A53,3),Paramétres!$A:$D,3,0),IF(AA53&lt;$N53,AA53,$N53)*VLOOKUP(LEFT($A53,3),Paramétres!$A:$D,4)),0))</f>
        <v>8894.8975677774761</v>
      </c>
      <c r="AC53" s="11">
        <f>IF(AB53&lt;$N53,AB53,$N53)-IF(AC$1&lt;=$U53,0,IF(AC$1&gt;IF($U53&lt;2022,2022,$U53),IF(AC$1-IF($U53&lt;2022,2022,$U53)=1,IF(AB53&lt;$N53,AB53,$N53)*VLOOKUP(LEFT($A53,3),Paramétres!$A:$D,3,0),IF(AB53&lt;$N53,AB53,$N53)*VLOOKUP(LEFT($A53,3),Paramétres!$A:$D,4)),0))</f>
        <v>8272.2547380330525</v>
      </c>
      <c r="AD53" s="11">
        <f>IF(AC53&lt;$N53,AC53,$N53)-IF(AD$1&lt;=$U53,0,IF(AD$1&gt;IF($U53&lt;2022,2022,$U53),IF(AD$1-IF($U53&lt;2022,2022,$U53)=1,IF(AC53&lt;$N53,AC53,$N53)*VLOOKUP(LEFT($A53,3),Paramétres!$A:$D,3,0),IF(AC53&lt;$N53,AC53,$N53)*VLOOKUP(LEFT($A53,3),Paramétres!$A:$D,4)),0))</f>
        <v>7693.1969063707384</v>
      </c>
      <c r="AE53" s="11">
        <f>IF(AD53&lt;$N53,AD53,$N53)-IF(AE$1&lt;=$U53,0,IF(AE$1&gt;IF($U53&lt;2022,2022,$U53),IF(AE$1-IF($U53&lt;2022,2022,$U53)=1,IF(AD53&lt;$N53,AD53,$N53)*VLOOKUP(LEFT($A53,3),Paramétres!$A:$D,3,0),IF(AD53&lt;$N53,AD53,$N53)*VLOOKUP(LEFT($A53,3),Paramétres!$A:$D,4)),0))</f>
        <v>7154.6731229247871</v>
      </c>
      <c r="AF53" s="11">
        <f>IF(AE53&lt;$N53,AE53,$N53)-IF(AF$1&lt;=$U53,0,IF(AF$1&gt;IF($U53&lt;2022,2022,$U53),IF(AF$1-IF($U53&lt;2022,2022,$U53)=1,IF(AE53&lt;$N53,AE53,$N53)*VLOOKUP(LEFT($A53,3),Paramétres!$A:$D,3,0),IF(AE53&lt;$N53,AE53,$N53)*VLOOKUP(LEFT($A53,3),Paramétres!$A:$D,4)),0))</f>
        <v>6653.8460043200521</v>
      </c>
      <c r="AG53" s="11">
        <f>IF(AF53&lt;$N53,AF53,$N53)-IF(AG$1&lt;=$U53,0,IF(AG$1&gt;IF($U53&lt;2022,2022,$U53),IF(AG$1-IF($U53&lt;2022,2022,$U53)=1,IF(AF53&lt;$N53,AF53,$N53)*VLOOKUP(LEFT($A53,3),Paramétres!$A:$D,3,0),IF(AF53&lt;$N53,AF53,$N53)*VLOOKUP(LEFT($A53,3),Paramétres!$A:$D,4)),0))</f>
        <v>6188.0767840176486</v>
      </c>
      <c r="AH53" s="11">
        <f>IF(AG53&lt;$N53,AG53,$N53)-IF(AH$1&lt;=$U53,0,IF(AH$1&gt;IF($U53&lt;2022,2022,$U53),IF(AH$1-IF($U53&lt;2022,2022,$U53)=1,IF(AG53&lt;$N53,AG53,$N53)*VLOOKUP(LEFT($A53,3),Paramétres!$A:$D,3,0),IF(AG53&lt;$N53,AG53,$N53)*VLOOKUP(LEFT($A53,3),Paramétres!$A:$D,4)),0))</f>
        <v>5754.9114091364136</v>
      </c>
      <c r="AI53" s="11">
        <f>IF(AH53&lt;$N53,AH53,$N53)-IF(AI$1&lt;=$U53,0,IF(AI$1&gt;IF($U53&lt;2022,2022,$U53),IF(AI$1-IF($U53&lt;2022,2022,$U53)=1,IF(AH53&lt;$N53,AH53,$N53)*VLOOKUP(LEFT($A53,3),Paramétres!$A:$D,3,0),IF(AH53&lt;$N53,AH53,$N53)*VLOOKUP(LEFT($A53,3),Paramétres!$A:$D,4)),0))</f>
        <v>5352.0676104968643</v>
      </c>
      <c r="AJ53" s="11">
        <f>IF(AI53&lt;$N53,AI53,$N53)-IF(AJ$1&lt;=$U53,0,IF(AJ$1&gt;IF($U53&lt;2022,2022,$U53),IF(AJ$1-IF($U53&lt;2022,2022,$U53)=1,IF(AI53&lt;$N53,AI53,$N53)*VLOOKUP(LEFT($A53,3),Paramétres!$A:$D,3,0),IF(AI53&lt;$N53,AI53,$N53)*VLOOKUP(LEFT($A53,3),Paramétres!$A:$D,4)),0))</f>
        <v>4977.4228777620838</v>
      </c>
      <c r="AK53" s="11">
        <f>IF(AJ53&lt;$N53,AJ53,$N53)-IF(AK$1&lt;=$U53,0,IF(AK$1&gt;IF($U53&lt;2022,2022,$U53),IF(AK$1-IF($U53&lt;2022,2022,$U53)=1,IF(AJ53&lt;$N53,AJ53,$N53)*VLOOKUP(LEFT($A53,3),Paramétres!$A:$D,3,0),IF(AJ53&lt;$N53,AJ53,$N53)*VLOOKUP(LEFT($A53,3),Paramétres!$A:$D,4)),0))</f>
        <v>4629.0032763187382</v>
      </c>
    </row>
    <row r="54" spans="1:37" x14ac:dyDescent="0.25">
      <c r="A54" s="1" t="s">
        <v>136</v>
      </c>
      <c r="D54" s="1" t="s">
        <v>118</v>
      </c>
      <c r="E54" s="1" t="s">
        <v>137</v>
      </c>
      <c r="F54" s="1" t="s">
        <v>138</v>
      </c>
      <c r="K54" s="3">
        <v>2800</v>
      </c>
      <c r="L54" s="3"/>
      <c r="M54" s="3">
        <f>T_BASE[[#This Row],[VALEUR ACHAT]]</f>
        <v>2800</v>
      </c>
      <c r="N54" s="3">
        <f>T_BASE[[#This Row],[MONTANT PEC APRES AMORT.]]</f>
        <v>2800</v>
      </c>
      <c r="O54" s="1">
        <v>36</v>
      </c>
      <c r="Q54" s="4"/>
      <c r="R54" s="3">
        <v>0</v>
      </c>
      <c r="S54" s="3">
        <v>120</v>
      </c>
      <c r="T54" s="66">
        <f t="shared" si="1"/>
        <v>3</v>
      </c>
      <c r="U54" s="1">
        <f t="shared" si="2"/>
        <v>1900</v>
      </c>
      <c r="V54" s="11">
        <f>T_BASE[[#This Row],[ANNEE ACQT]]+T_BASE[[#This Row],[AMORT.]]</f>
        <v>1903</v>
      </c>
      <c r="W54" s="11">
        <f>$N54-IF(W$1&lt;=$V54,0,IF(W$1&gt;IF($V54&lt;2022,2022,$V54),IF(W$1-IF($V54&lt;2022,2022,$V54)=1,$N54*VLOOKUP(LEFT($A54,3),Paramétres!A:D,3,0),$N54*VLOOKUP(LEFT($A54,3),Paramétres!A:D,4)),0))</f>
        <v>2786</v>
      </c>
      <c r="X54" s="11">
        <f>IF(W54&lt;$N54,W54,$N54)-IF(X$1&lt;=$U54,0,IF(X$1&gt;IF($U54&lt;2022,2022,$U54),IF(X$1-IF($U54&lt;2022,2022,$U54)=1,IF(W54&lt;$N54,W54,$N54)*VLOOKUP(LEFT($A54,3),Paramétres!$A:$D,3,0),IF(W54&lt;$N54,W54,$N54)*VLOOKUP(LEFT($A54,3),Paramétres!$A:$D,4)),0))</f>
        <v>2590.98</v>
      </c>
      <c r="Y54" s="11">
        <f>IF(X54&lt;$N54,X54,$N54)-IF(Y$1&lt;=$U54,0,IF(Y$1&gt;IF($U54&lt;2022,2022,$U54),IF(Y$1-IF($U54&lt;2022,2022,$U54)=1,IF(X54&lt;$N54,X54,$N54)*VLOOKUP(LEFT($A54,3),Paramétres!$A:$D,3,0),IF(X54&lt;$N54,X54,$N54)*VLOOKUP(LEFT($A54,3),Paramétres!$A:$D,4)),0))</f>
        <v>2409.6113999999998</v>
      </c>
      <c r="Z54" s="11">
        <f>IF(Y54&lt;$N54,Y54,$N54)-IF(Z$1&lt;=$U54,0,IF(Z$1&gt;IF($U54&lt;2022,2022,$U54),IF(Z$1-IF($U54&lt;2022,2022,$U54)=1,IF(Y54&lt;$N54,Y54,$N54)*VLOOKUP(LEFT($A54,3),Paramétres!$A:$D,3,0),IF(Y54&lt;$N54,Y54,$N54)*VLOOKUP(LEFT($A54,3),Paramétres!$A:$D,4)),0))</f>
        <v>2240.9386019999997</v>
      </c>
      <c r="AA54" s="11">
        <f>IF(Z54&lt;$N54,Z54,$N54)-IF(AA$1&lt;=$U54,0,IF(AA$1&gt;IF($U54&lt;2022,2022,$U54),IF(AA$1-IF($U54&lt;2022,2022,$U54)=1,IF(Z54&lt;$N54,Z54,$N54)*VLOOKUP(LEFT($A54,3),Paramétres!$A:$D,3,0),IF(Z54&lt;$N54,Z54,$N54)*VLOOKUP(LEFT($A54,3),Paramétres!$A:$D,4)),0))</f>
        <v>2084.0728998599998</v>
      </c>
      <c r="AB54" s="11">
        <f>IF(AA54&lt;$N54,AA54,$N54)-IF(AB$1&lt;=$U54,0,IF(AB$1&gt;IF($U54&lt;2022,2022,$U54),IF(AB$1-IF($U54&lt;2022,2022,$U54)=1,IF(AA54&lt;$N54,AA54,$N54)*VLOOKUP(LEFT($A54,3),Paramétres!$A:$D,3,0),IF(AA54&lt;$N54,AA54,$N54)*VLOOKUP(LEFT($A54,3),Paramétres!$A:$D,4)),0))</f>
        <v>1938.1877968697997</v>
      </c>
      <c r="AC54" s="11">
        <f>IF(AB54&lt;$N54,AB54,$N54)-IF(AC$1&lt;=$U54,0,IF(AC$1&gt;IF($U54&lt;2022,2022,$U54),IF(AC$1-IF($U54&lt;2022,2022,$U54)=1,IF(AB54&lt;$N54,AB54,$N54)*VLOOKUP(LEFT($A54,3),Paramétres!$A:$D,3,0),IF(AB54&lt;$N54,AB54,$N54)*VLOOKUP(LEFT($A54,3),Paramétres!$A:$D,4)),0))</f>
        <v>1802.5146510889138</v>
      </c>
      <c r="AD54" s="11">
        <f>IF(AC54&lt;$N54,AC54,$N54)-IF(AD$1&lt;=$U54,0,IF(AD$1&gt;IF($U54&lt;2022,2022,$U54),IF(AD$1-IF($U54&lt;2022,2022,$U54)=1,IF(AC54&lt;$N54,AC54,$N54)*VLOOKUP(LEFT($A54,3),Paramétres!$A:$D,3,0),IF(AC54&lt;$N54,AC54,$N54)*VLOOKUP(LEFT($A54,3),Paramétres!$A:$D,4)),0))</f>
        <v>1676.3386255126898</v>
      </c>
      <c r="AE54" s="11">
        <f>IF(AD54&lt;$N54,AD54,$N54)-IF(AE$1&lt;=$U54,0,IF(AE$1&gt;IF($U54&lt;2022,2022,$U54),IF(AE$1-IF($U54&lt;2022,2022,$U54)=1,IF(AD54&lt;$N54,AD54,$N54)*VLOOKUP(LEFT($A54,3),Paramétres!$A:$D,3,0),IF(AD54&lt;$N54,AD54,$N54)*VLOOKUP(LEFT($A54,3),Paramétres!$A:$D,4)),0))</f>
        <v>1558.9949217268015</v>
      </c>
      <c r="AF54" s="11">
        <f>IF(AE54&lt;$N54,AE54,$N54)-IF(AF$1&lt;=$U54,0,IF(AF$1&gt;IF($U54&lt;2022,2022,$U54),IF(AF$1-IF($U54&lt;2022,2022,$U54)=1,IF(AE54&lt;$N54,AE54,$N54)*VLOOKUP(LEFT($A54,3),Paramétres!$A:$D,3,0),IF(AE54&lt;$N54,AE54,$N54)*VLOOKUP(LEFT($A54,3),Paramétres!$A:$D,4)),0))</f>
        <v>1449.8652772059254</v>
      </c>
      <c r="AG54" s="11">
        <f>IF(AF54&lt;$N54,AF54,$N54)-IF(AG$1&lt;=$U54,0,IF(AG$1&gt;IF($U54&lt;2022,2022,$U54),IF(AG$1-IF($U54&lt;2022,2022,$U54)=1,IF(AF54&lt;$N54,AF54,$N54)*VLOOKUP(LEFT($A54,3),Paramétres!$A:$D,3,0),IF(AF54&lt;$N54,AF54,$N54)*VLOOKUP(LEFT($A54,3),Paramétres!$A:$D,4)),0))</f>
        <v>1348.3747078015106</v>
      </c>
      <c r="AH54" s="11">
        <f>IF(AG54&lt;$N54,AG54,$N54)-IF(AH$1&lt;=$U54,0,IF(AH$1&gt;IF($U54&lt;2022,2022,$U54),IF(AH$1-IF($U54&lt;2022,2022,$U54)=1,IF(AG54&lt;$N54,AG54,$N54)*VLOOKUP(LEFT($A54,3),Paramétres!$A:$D,3,0),IF(AG54&lt;$N54,AG54,$N54)*VLOOKUP(LEFT($A54,3),Paramétres!$A:$D,4)),0))</f>
        <v>1253.9884782554047</v>
      </c>
      <c r="AI54" s="11">
        <f>IF(AH54&lt;$N54,AH54,$N54)-IF(AI$1&lt;=$U54,0,IF(AI$1&gt;IF($U54&lt;2022,2022,$U54),IF(AI$1-IF($U54&lt;2022,2022,$U54)=1,IF(AH54&lt;$N54,AH54,$N54)*VLOOKUP(LEFT($A54,3),Paramétres!$A:$D,3,0),IF(AH54&lt;$N54,AH54,$N54)*VLOOKUP(LEFT($A54,3),Paramétres!$A:$D,4)),0))</f>
        <v>1166.2092847775264</v>
      </c>
      <c r="AJ54" s="11">
        <f>IF(AI54&lt;$N54,AI54,$N54)-IF(AJ$1&lt;=$U54,0,IF(AJ$1&gt;IF($U54&lt;2022,2022,$U54),IF(AJ$1-IF($U54&lt;2022,2022,$U54)=1,IF(AI54&lt;$N54,AI54,$N54)*VLOOKUP(LEFT($A54,3),Paramétres!$A:$D,3,0),IF(AI54&lt;$N54,AI54,$N54)*VLOOKUP(LEFT($A54,3),Paramétres!$A:$D,4)),0))</f>
        <v>1084.5746348430996</v>
      </c>
      <c r="AK54" s="11">
        <f>IF(AJ54&lt;$N54,AJ54,$N54)-IF(AK$1&lt;=$U54,0,IF(AK$1&gt;IF($U54&lt;2022,2022,$U54),IF(AK$1-IF($U54&lt;2022,2022,$U54)=1,IF(AJ54&lt;$N54,AJ54,$N54)*VLOOKUP(LEFT($A54,3),Paramétres!$A:$D,3,0),IF(AJ54&lt;$N54,AJ54,$N54)*VLOOKUP(LEFT($A54,3),Paramétres!$A:$D,4)),0))</f>
        <v>1008.6544104040827</v>
      </c>
    </row>
    <row r="55" spans="1:37" x14ac:dyDescent="0.25">
      <c r="A55" s="1" t="s">
        <v>139</v>
      </c>
      <c r="D55" s="1" t="s">
        <v>118</v>
      </c>
      <c r="E55" s="1" t="s">
        <v>124</v>
      </c>
      <c r="F55" s="1" t="s">
        <v>140</v>
      </c>
      <c r="J55" s="2">
        <v>44639</v>
      </c>
      <c r="K55" s="3">
        <v>6270.6</v>
      </c>
      <c r="L55" s="3"/>
      <c r="M55" s="3">
        <f>T_BASE[[#This Row],[VALEUR ACHAT]]</f>
        <v>6270.6</v>
      </c>
      <c r="N55" s="3">
        <f>T_BASE[[#This Row],[MONTANT PEC APRES AMORT.]]</f>
        <v>6270.6</v>
      </c>
      <c r="O55" s="1">
        <v>38</v>
      </c>
      <c r="Q55" s="4"/>
      <c r="R55" s="3">
        <v>0</v>
      </c>
      <c r="S55" s="3">
        <v>120</v>
      </c>
      <c r="T55" s="66">
        <f t="shared" si="1"/>
        <v>3.1666666666666665</v>
      </c>
      <c r="U55" s="1">
        <f t="shared" si="2"/>
        <v>2022</v>
      </c>
      <c r="V55" s="11">
        <f>T_BASE[[#This Row],[ANNEE ACQT]]+T_BASE[[#This Row],[AMORT.]]</f>
        <v>2025.1666666666667</v>
      </c>
      <c r="W55" s="11">
        <f>$N55-IF(W$1&lt;=$V55,0,IF(W$1&gt;IF($V55&lt;2022,2022,$V55),IF(W$1-IF($V55&lt;2022,2022,$V55)=1,$N55*VLOOKUP(LEFT($A55,3),Paramétres!A:D,3,0),$N55*VLOOKUP(LEFT($A55,3),Paramétres!A:D,4)),0))</f>
        <v>5831.6580000000004</v>
      </c>
      <c r="X55" s="11">
        <f>IF(W55&lt;$N55,W55,$N55)-IF(X$1&lt;=$U55,0,IF(X$1&gt;IF($U55&lt;2022,2022,$U55),IF(X$1-IF($U55&lt;2022,2022,$U55)=1,IF(W55&lt;$N55,W55,$N55)*VLOOKUP(LEFT($A55,3),Paramétres!$A:$D,3,0),IF(W55&lt;$N55,W55,$N55)*VLOOKUP(LEFT($A55,3),Paramétres!$A:$D,4)),0))</f>
        <v>5423.4419400000006</v>
      </c>
      <c r="Y55" s="11">
        <f>IF(X55&lt;$N55,X55,$N55)-IF(Y$1&lt;=$U55,0,IF(Y$1&gt;IF($U55&lt;2022,2022,$U55),IF(Y$1-IF($U55&lt;2022,2022,$U55)=1,IF(X55&lt;$N55,X55,$N55)*VLOOKUP(LEFT($A55,3),Paramétres!$A:$D,3,0),IF(X55&lt;$N55,X55,$N55)*VLOOKUP(LEFT($A55,3),Paramétres!$A:$D,4)),0))</f>
        <v>5043.8010042000005</v>
      </c>
      <c r="Z55" s="11">
        <f>IF(Y55&lt;$N55,Y55,$N55)-IF(Z$1&lt;=$U55,0,IF(Z$1&gt;IF($U55&lt;2022,2022,$U55),IF(Z$1-IF($U55&lt;2022,2022,$U55)=1,IF(Y55&lt;$N55,Y55,$N55)*VLOOKUP(LEFT($A55,3),Paramétres!$A:$D,3,0),IF(Y55&lt;$N55,Y55,$N55)*VLOOKUP(LEFT($A55,3),Paramétres!$A:$D,4)),0))</f>
        <v>4690.7349339060002</v>
      </c>
      <c r="AA55" s="11">
        <f>IF(Z55&lt;$N55,Z55,$N55)-IF(AA$1&lt;=$U55,0,IF(AA$1&gt;IF($U55&lt;2022,2022,$U55),IF(AA$1-IF($U55&lt;2022,2022,$U55)=1,IF(Z55&lt;$N55,Z55,$N55)*VLOOKUP(LEFT($A55,3),Paramétres!$A:$D,3,0),IF(Z55&lt;$N55,Z55,$N55)*VLOOKUP(LEFT($A55,3),Paramétres!$A:$D,4)),0))</f>
        <v>4362.3834885325805</v>
      </c>
      <c r="AB55" s="11">
        <f>IF(AA55&lt;$N55,AA55,$N55)-IF(AB$1&lt;=$U55,0,IF(AB$1&gt;IF($U55&lt;2022,2022,$U55),IF(AB$1-IF($U55&lt;2022,2022,$U55)=1,IF(AA55&lt;$N55,AA55,$N55)*VLOOKUP(LEFT($A55,3),Paramétres!$A:$D,3,0),IF(AA55&lt;$N55,AA55,$N55)*VLOOKUP(LEFT($A55,3),Paramétres!$A:$D,4)),0))</f>
        <v>4057.0166443353</v>
      </c>
      <c r="AC55" s="11">
        <f>IF(AB55&lt;$N55,AB55,$N55)-IF(AC$1&lt;=$U55,0,IF(AC$1&gt;IF($U55&lt;2022,2022,$U55),IF(AC$1-IF($U55&lt;2022,2022,$U55)=1,IF(AB55&lt;$N55,AB55,$N55)*VLOOKUP(LEFT($A55,3),Paramétres!$A:$D,3,0),IF(AB55&lt;$N55,AB55,$N55)*VLOOKUP(LEFT($A55,3),Paramétres!$A:$D,4)),0))</f>
        <v>3773.0254792318292</v>
      </c>
      <c r="AD55" s="11">
        <f>IF(AC55&lt;$N55,AC55,$N55)-IF(AD$1&lt;=$U55,0,IF(AD$1&gt;IF($U55&lt;2022,2022,$U55),IF(AD$1-IF($U55&lt;2022,2022,$U55)=1,IF(AC55&lt;$N55,AC55,$N55)*VLOOKUP(LEFT($A55,3),Paramétres!$A:$D,3,0),IF(AC55&lt;$N55,AC55,$N55)*VLOOKUP(LEFT($A55,3),Paramétres!$A:$D,4)),0))</f>
        <v>3508.9136956856009</v>
      </c>
      <c r="AE55" s="11">
        <f>IF(AD55&lt;$N55,AD55,$N55)-IF(AE$1&lt;=$U55,0,IF(AE$1&gt;IF($U55&lt;2022,2022,$U55),IF(AE$1-IF($U55&lt;2022,2022,$U55)=1,IF(AD55&lt;$N55,AD55,$N55)*VLOOKUP(LEFT($A55,3),Paramétres!$A:$D,3,0),IF(AD55&lt;$N55,AD55,$N55)*VLOOKUP(LEFT($A55,3),Paramétres!$A:$D,4)),0))</f>
        <v>3263.2897369876086</v>
      </c>
      <c r="AF55" s="11">
        <f>IF(AE55&lt;$N55,AE55,$N55)-IF(AF$1&lt;=$U55,0,IF(AF$1&gt;IF($U55&lt;2022,2022,$U55),IF(AF$1-IF($U55&lt;2022,2022,$U55)=1,IF(AE55&lt;$N55,AE55,$N55)*VLOOKUP(LEFT($A55,3),Paramétres!$A:$D,3,0),IF(AE55&lt;$N55,AE55,$N55)*VLOOKUP(LEFT($A55,3),Paramétres!$A:$D,4)),0))</f>
        <v>3034.8594553984758</v>
      </c>
      <c r="AG55" s="11">
        <f>IF(AF55&lt;$N55,AF55,$N55)-IF(AG$1&lt;=$U55,0,IF(AG$1&gt;IF($U55&lt;2022,2022,$U55),IF(AG$1-IF($U55&lt;2022,2022,$U55)=1,IF(AF55&lt;$N55,AF55,$N55)*VLOOKUP(LEFT($A55,3),Paramétres!$A:$D,3,0),IF(AF55&lt;$N55,AF55,$N55)*VLOOKUP(LEFT($A55,3),Paramétres!$A:$D,4)),0))</f>
        <v>2822.4192935205824</v>
      </c>
      <c r="AH55" s="11">
        <f>IF(AG55&lt;$N55,AG55,$N55)-IF(AH$1&lt;=$U55,0,IF(AH$1&gt;IF($U55&lt;2022,2022,$U55),IF(AH$1-IF($U55&lt;2022,2022,$U55)=1,IF(AG55&lt;$N55,AG55,$N55)*VLOOKUP(LEFT($A55,3),Paramétres!$A:$D,3,0),IF(AG55&lt;$N55,AG55,$N55)*VLOOKUP(LEFT($A55,3),Paramétres!$A:$D,4)),0))</f>
        <v>2624.8499429741414</v>
      </c>
      <c r="AI55" s="11">
        <f>IF(AH55&lt;$N55,AH55,$N55)-IF(AI$1&lt;=$U55,0,IF(AI$1&gt;IF($U55&lt;2022,2022,$U55),IF(AI$1-IF($U55&lt;2022,2022,$U55)=1,IF(AH55&lt;$N55,AH55,$N55)*VLOOKUP(LEFT($A55,3),Paramétres!$A:$D,3,0),IF(AH55&lt;$N55,AH55,$N55)*VLOOKUP(LEFT($A55,3),Paramétres!$A:$D,4)),0))</f>
        <v>2441.1104469659513</v>
      </c>
      <c r="AJ55" s="11">
        <f>IF(AI55&lt;$N55,AI55,$N55)-IF(AJ$1&lt;=$U55,0,IF(AJ$1&gt;IF($U55&lt;2022,2022,$U55),IF(AJ$1-IF($U55&lt;2022,2022,$U55)=1,IF(AI55&lt;$N55,AI55,$N55)*VLOOKUP(LEFT($A55,3),Paramétres!$A:$D,3,0),IF(AI55&lt;$N55,AI55,$N55)*VLOOKUP(LEFT($A55,3),Paramétres!$A:$D,4)),0))</f>
        <v>2270.2327156783349</v>
      </c>
      <c r="AK55" s="11">
        <f>IF(AJ55&lt;$N55,AJ55,$N55)-IF(AK$1&lt;=$U55,0,IF(AK$1&gt;IF($U55&lt;2022,2022,$U55),IF(AK$1-IF($U55&lt;2022,2022,$U55)=1,IF(AJ55&lt;$N55,AJ55,$N55)*VLOOKUP(LEFT($A55,3),Paramétres!$A:$D,3,0),IF(AJ55&lt;$N55,AJ55,$N55)*VLOOKUP(LEFT($A55,3),Paramétres!$A:$D,4)),0))</f>
        <v>2111.3164255808515</v>
      </c>
    </row>
    <row r="56" spans="1:37" x14ac:dyDescent="0.25">
      <c r="A56" s="1" t="s">
        <v>141</v>
      </c>
      <c r="D56" s="1" t="s">
        <v>118</v>
      </c>
      <c r="E56" s="1" t="s">
        <v>124</v>
      </c>
      <c r="F56" s="1" t="s">
        <v>142</v>
      </c>
      <c r="J56" s="2">
        <v>44639</v>
      </c>
      <c r="K56" s="3">
        <v>6270.6</v>
      </c>
      <c r="L56" s="3"/>
      <c r="M56" s="3">
        <f>T_BASE[[#This Row],[VALEUR ACHAT]]</f>
        <v>6270.6</v>
      </c>
      <c r="N56" s="3">
        <f>T_BASE[[#This Row],[MONTANT PEC APRES AMORT.]]</f>
        <v>6270.6</v>
      </c>
      <c r="O56" s="1">
        <v>38</v>
      </c>
      <c r="Q56" s="4"/>
      <c r="R56" s="3">
        <v>0</v>
      </c>
      <c r="S56" s="3">
        <v>120</v>
      </c>
      <c r="T56" s="66">
        <f t="shared" si="1"/>
        <v>3.1666666666666665</v>
      </c>
      <c r="U56" s="1">
        <f t="shared" si="2"/>
        <v>2022</v>
      </c>
      <c r="V56" s="11">
        <f>T_BASE[[#This Row],[ANNEE ACQT]]+T_BASE[[#This Row],[AMORT.]]</f>
        <v>2025.1666666666667</v>
      </c>
      <c r="W56" s="11">
        <f>$N56-IF(W$1&lt;=$V56,0,IF(W$1&gt;IF($V56&lt;2022,2022,$V56),IF(W$1-IF($V56&lt;2022,2022,$V56)=1,$N56*VLOOKUP(LEFT($A56,3),Paramétres!A:D,3,0),$N56*VLOOKUP(LEFT($A56,3),Paramétres!A:D,4)),0))</f>
        <v>5831.6580000000004</v>
      </c>
      <c r="X56" s="11">
        <f>IF(W56&lt;$N56,W56,$N56)-IF(X$1&lt;=$U56,0,IF(X$1&gt;IF($U56&lt;2022,2022,$U56),IF(X$1-IF($U56&lt;2022,2022,$U56)=1,IF(W56&lt;$N56,W56,$N56)*VLOOKUP(LEFT($A56,3),Paramétres!$A:$D,3,0),IF(W56&lt;$N56,W56,$N56)*VLOOKUP(LEFT($A56,3),Paramétres!$A:$D,4)),0))</f>
        <v>5423.4419400000006</v>
      </c>
      <c r="Y56" s="11">
        <f>IF(X56&lt;$N56,X56,$N56)-IF(Y$1&lt;=$U56,0,IF(Y$1&gt;IF($U56&lt;2022,2022,$U56),IF(Y$1-IF($U56&lt;2022,2022,$U56)=1,IF(X56&lt;$N56,X56,$N56)*VLOOKUP(LEFT($A56,3),Paramétres!$A:$D,3,0),IF(X56&lt;$N56,X56,$N56)*VLOOKUP(LEFT($A56,3),Paramétres!$A:$D,4)),0))</f>
        <v>5043.8010042000005</v>
      </c>
      <c r="Z56" s="11">
        <f>IF(Y56&lt;$N56,Y56,$N56)-IF(Z$1&lt;=$U56,0,IF(Z$1&gt;IF($U56&lt;2022,2022,$U56),IF(Z$1-IF($U56&lt;2022,2022,$U56)=1,IF(Y56&lt;$N56,Y56,$N56)*VLOOKUP(LEFT($A56,3),Paramétres!$A:$D,3,0),IF(Y56&lt;$N56,Y56,$N56)*VLOOKUP(LEFT($A56,3),Paramétres!$A:$D,4)),0))</f>
        <v>4690.7349339060002</v>
      </c>
      <c r="AA56" s="11">
        <f>IF(Z56&lt;$N56,Z56,$N56)-IF(AA$1&lt;=$U56,0,IF(AA$1&gt;IF($U56&lt;2022,2022,$U56),IF(AA$1-IF($U56&lt;2022,2022,$U56)=1,IF(Z56&lt;$N56,Z56,$N56)*VLOOKUP(LEFT($A56,3),Paramétres!$A:$D,3,0),IF(Z56&lt;$N56,Z56,$N56)*VLOOKUP(LEFT($A56,3),Paramétres!$A:$D,4)),0))</f>
        <v>4362.3834885325805</v>
      </c>
      <c r="AB56" s="11">
        <f>IF(AA56&lt;$N56,AA56,$N56)-IF(AB$1&lt;=$U56,0,IF(AB$1&gt;IF($U56&lt;2022,2022,$U56),IF(AB$1-IF($U56&lt;2022,2022,$U56)=1,IF(AA56&lt;$N56,AA56,$N56)*VLOOKUP(LEFT($A56,3),Paramétres!$A:$D,3,0),IF(AA56&lt;$N56,AA56,$N56)*VLOOKUP(LEFT($A56,3),Paramétres!$A:$D,4)),0))</f>
        <v>4057.0166443353</v>
      </c>
      <c r="AC56" s="11">
        <f>IF(AB56&lt;$N56,AB56,$N56)-IF(AC$1&lt;=$U56,0,IF(AC$1&gt;IF($U56&lt;2022,2022,$U56),IF(AC$1-IF($U56&lt;2022,2022,$U56)=1,IF(AB56&lt;$N56,AB56,$N56)*VLOOKUP(LEFT($A56,3),Paramétres!$A:$D,3,0),IF(AB56&lt;$N56,AB56,$N56)*VLOOKUP(LEFT($A56,3),Paramétres!$A:$D,4)),0))</f>
        <v>3773.0254792318292</v>
      </c>
      <c r="AD56" s="11">
        <f>IF(AC56&lt;$N56,AC56,$N56)-IF(AD$1&lt;=$U56,0,IF(AD$1&gt;IF($U56&lt;2022,2022,$U56),IF(AD$1-IF($U56&lt;2022,2022,$U56)=1,IF(AC56&lt;$N56,AC56,$N56)*VLOOKUP(LEFT($A56,3),Paramétres!$A:$D,3,0),IF(AC56&lt;$N56,AC56,$N56)*VLOOKUP(LEFT($A56,3),Paramétres!$A:$D,4)),0))</f>
        <v>3508.9136956856009</v>
      </c>
      <c r="AE56" s="11">
        <f>IF(AD56&lt;$N56,AD56,$N56)-IF(AE$1&lt;=$U56,0,IF(AE$1&gt;IF($U56&lt;2022,2022,$U56),IF(AE$1-IF($U56&lt;2022,2022,$U56)=1,IF(AD56&lt;$N56,AD56,$N56)*VLOOKUP(LEFT($A56,3),Paramétres!$A:$D,3,0),IF(AD56&lt;$N56,AD56,$N56)*VLOOKUP(LEFT($A56,3),Paramétres!$A:$D,4)),0))</f>
        <v>3263.2897369876086</v>
      </c>
      <c r="AF56" s="11">
        <f>IF(AE56&lt;$N56,AE56,$N56)-IF(AF$1&lt;=$U56,0,IF(AF$1&gt;IF($U56&lt;2022,2022,$U56),IF(AF$1-IF($U56&lt;2022,2022,$U56)=1,IF(AE56&lt;$N56,AE56,$N56)*VLOOKUP(LEFT($A56,3),Paramétres!$A:$D,3,0),IF(AE56&lt;$N56,AE56,$N56)*VLOOKUP(LEFT($A56,3),Paramétres!$A:$D,4)),0))</f>
        <v>3034.8594553984758</v>
      </c>
      <c r="AG56" s="11">
        <f>IF(AF56&lt;$N56,AF56,$N56)-IF(AG$1&lt;=$U56,0,IF(AG$1&gt;IF($U56&lt;2022,2022,$U56),IF(AG$1-IF($U56&lt;2022,2022,$U56)=1,IF(AF56&lt;$N56,AF56,$N56)*VLOOKUP(LEFT($A56,3),Paramétres!$A:$D,3,0),IF(AF56&lt;$N56,AF56,$N56)*VLOOKUP(LEFT($A56,3),Paramétres!$A:$D,4)),0))</f>
        <v>2822.4192935205824</v>
      </c>
      <c r="AH56" s="11">
        <f>IF(AG56&lt;$N56,AG56,$N56)-IF(AH$1&lt;=$U56,0,IF(AH$1&gt;IF($U56&lt;2022,2022,$U56),IF(AH$1-IF($U56&lt;2022,2022,$U56)=1,IF(AG56&lt;$N56,AG56,$N56)*VLOOKUP(LEFT($A56,3),Paramétres!$A:$D,3,0),IF(AG56&lt;$N56,AG56,$N56)*VLOOKUP(LEFT($A56,3),Paramétres!$A:$D,4)),0))</f>
        <v>2624.8499429741414</v>
      </c>
      <c r="AI56" s="11">
        <f>IF(AH56&lt;$N56,AH56,$N56)-IF(AI$1&lt;=$U56,0,IF(AI$1&gt;IF($U56&lt;2022,2022,$U56),IF(AI$1-IF($U56&lt;2022,2022,$U56)=1,IF(AH56&lt;$N56,AH56,$N56)*VLOOKUP(LEFT($A56,3),Paramétres!$A:$D,3,0),IF(AH56&lt;$N56,AH56,$N56)*VLOOKUP(LEFT($A56,3),Paramétres!$A:$D,4)),0))</f>
        <v>2441.1104469659513</v>
      </c>
      <c r="AJ56" s="11">
        <f>IF(AI56&lt;$N56,AI56,$N56)-IF(AJ$1&lt;=$U56,0,IF(AJ$1&gt;IF($U56&lt;2022,2022,$U56),IF(AJ$1-IF($U56&lt;2022,2022,$U56)=1,IF(AI56&lt;$N56,AI56,$N56)*VLOOKUP(LEFT($A56,3),Paramétres!$A:$D,3,0),IF(AI56&lt;$N56,AI56,$N56)*VLOOKUP(LEFT($A56,3),Paramétres!$A:$D,4)),0))</f>
        <v>2270.2327156783349</v>
      </c>
      <c r="AK56" s="11">
        <f>IF(AJ56&lt;$N56,AJ56,$N56)-IF(AK$1&lt;=$U56,0,IF(AK$1&gt;IF($U56&lt;2022,2022,$U56),IF(AK$1-IF($U56&lt;2022,2022,$U56)=1,IF(AJ56&lt;$N56,AJ56,$N56)*VLOOKUP(LEFT($A56,3),Paramétres!$A:$D,3,0),IF(AJ56&lt;$N56,AJ56,$N56)*VLOOKUP(LEFT($A56,3),Paramétres!$A:$D,4)),0))</f>
        <v>2111.3164255808515</v>
      </c>
    </row>
    <row r="57" spans="1:37" x14ac:dyDescent="0.25">
      <c r="A57" s="1" t="s">
        <v>143</v>
      </c>
      <c r="D57" s="1" t="s">
        <v>118</v>
      </c>
      <c r="E57" s="1" t="s">
        <v>124</v>
      </c>
      <c r="F57" s="1" t="s">
        <v>144</v>
      </c>
      <c r="J57" s="2">
        <v>43833</v>
      </c>
      <c r="K57" s="3">
        <v>15190</v>
      </c>
      <c r="L57" s="3"/>
      <c r="M57" s="3">
        <f>T_BASE[[#This Row],[VALEUR ACHAT]]</f>
        <v>15190</v>
      </c>
      <c r="N57" s="3">
        <f>T_BASE[[#This Row],[MONTANT PEC APRES AMORT.]]</f>
        <v>15190</v>
      </c>
      <c r="O57" s="1">
        <v>36</v>
      </c>
      <c r="Q57" s="4"/>
      <c r="R57" s="3">
        <v>0</v>
      </c>
      <c r="S57" s="3">
        <v>120</v>
      </c>
      <c r="T57" s="66">
        <f t="shared" si="1"/>
        <v>3</v>
      </c>
      <c r="U57" s="1">
        <f t="shared" si="2"/>
        <v>2020</v>
      </c>
      <c r="V57" s="11">
        <f>T_BASE[[#This Row],[ANNEE ACQT]]+T_BASE[[#This Row],[AMORT.]]</f>
        <v>2023</v>
      </c>
      <c r="W57" s="11">
        <f>$N57-IF(W$1&lt;=$V57,0,IF(W$1&gt;IF($V57&lt;2022,2022,$V57),IF(W$1-IF($V57&lt;2022,2022,$V57)=1,$N57*VLOOKUP(LEFT($A57,3),Paramétres!A:D,3,0),$N57*VLOOKUP(LEFT($A57,3),Paramétres!A:D,4)),0))</f>
        <v>14126.7</v>
      </c>
      <c r="X57" s="11">
        <f>IF(W57&lt;$N57,W57,$N57)-IF(X$1&lt;=$U57,0,IF(X$1&gt;IF($U57&lt;2022,2022,$U57),IF(X$1-IF($U57&lt;2022,2022,$U57)=1,IF(W57&lt;$N57,W57,$N57)*VLOOKUP(LEFT($A57,3),Paramétres!$A:$D,3,0),IF(W57&lt;$N57,W57,$N57)*VLOOKUP(LEFT($A57,3),Paramétres!$A:$D,4)),0))</f>
        <v>13137.831</v>
      </c>
      <c r="Y57" s="11">
        <f>IF(X57&lt;$N57,X57,$N57)-IF(Y$1&lt;=$U57,0,IF(Y$1&gt;IF($U57&lt;2022,2022,$U57),IF(Y$1-IF($U57&lt;2022,2022,$U57)=1,IF(X57&lt;$N57,X57,$N57)*VLOOKUP(LEFT($A57,3),Paramétres!$A:$D,3,0),IF(X57&lt;$N57,X57,$N57)*VLOOKUP(LEFT($A57,3),Paramétres!$A:$D,4)),0))</f>
        <v>12218.18283</v>
      </c>
      <c r="Z57" s="11">
        <f>IF(Y57&lt;$N57,Y57,$N57)-IF(Z$1&lt;=$U57,0,IF(Z$1&gt;IF($U57&lt;2022,2022,$U57),IF(Z$1-IF($U57&lt;2022,2022,$U57)=1,IF(Y57&lt;$N57,Y57,$N57)*VLOOKUP(LEFT($A57,3),Paramétres!$A:$D,3,0),IF(Y57&lt;$N57,Y57,$N57)*VLOOKUP(LEFT($A57,3),Paramétres!$A:$D,4)),0))</f>
        <v>11362.910031899999</v>
      </c>
      <c r="AA57" s="11">
        <f>IF(Z57&lt;$N57,Z57,$N57)-IF(AA$1&lt;=$U57,0,IF(AA$1&gt;IF($U57&lt;2022,2022,$U57),IF(AA$1-IF($U57&lt;2022,2022,$U57)=1,IF(Z57&lt;$N57,Z57,$N57)*VLOOKUP(LEFT($A57,3),Paramétres!$A:$D,3,0),IF(Z57&lt;$N57,Z57,$N57)*VLOOKUP(LEFT($A57,3),Paramétres!$A:$D,4)),0))</f>
        <v>10567.506329667</v>
      </c>
      <c r="AB57" s="11">
        <f>IF(AA57&lt;$N57,AA57,$N57)-IF(AB$1&lt;=$U57,0,IF(AB$1&gt;IF($U57&lt;2022,2022,$U57),IF(AB$1-IF($U57&lt;2022,2022,$U57)=1,IF(AA57&lt;$N57,AA57,$N57)*VLOOKUP(LEFT($A57,3),Paramétres!$A:$D,3,0),IF(AA57&lt;$N57,AA57,$N57)*VLOOKUP(LEFT($A57,3),Paramétres!$A:$D,4)),0))</f>
        <v>9827.7808865903098</v>
      </c>
      <c r="AC57" s="11">
        <f>IF(AB57&lt;$N57,AB57,$N57)-IF(AC$1&lt;=$U57,0,IF(AC$1&gt;IF($U57&lt;2022,2022,$U57),IF(AC$1-IF($U57&lt;2022,2022,$U57)=1,IF(AB57&lt;$N57,AB57,$N57)*VLOOKUP(LEFT($A57,3),Paramétres!$A:$D,3,0),IF(AB57&lt;$N57,AB57,$N57)*VLOOKUP(LEFT($A57,3),Paramétres!$A:$D,4)),0))</f>
        <v>9139.8362245289882</v>
      </c>
      <c r="AD57" s="11">
        <f>IF(AC57&lt;$N57,AC57,$N57)-IF(AD$1&lt;=$U57,0,IF(AD$1&gt;IF($U57&lt;2022,2022,$U57),IF(AD$1-IF($U57&lt;2022,2022,$U57)=1,IF(AC57&lt;$N57,AC57,$N57)*VLOOKUP(LEFT($A57,3),Paramétres!$A:$D,3,0),IF(AC57&lt;$N57,AC57,$N57)*VLOOKUP(LEFT($A57,3),Paramétres!$A:$D,4)),0))</f>
        <v>8500.0476888119592</v>
      </c>
      <c r="AE57" s="11">
        <f>IF(AD57&lt;$N57,AD57,$N57)-IF(AE$1&lt;=$U57,0,IF(AE$1&gt;IF($U57&lt;2022,2022,$U57),IF(AE$1-IF($U57&lt;2022,2022,$U57)=1,IF(AD57&lt;$N57,AD57,$N57)*VLOOKUP(LEFT($A57,3),Paramétres!$A:$D,3,0),IF(AD57&lt;$N57,AD57,$N57)*VLOOKUP(LEFT($A57,3),Paramétres!$A:$D,4)),0))</f>
        <v>7905.0443505951225</v>
      </c>
      <c r="AF57" s="11">
        <f>IF(AE57&lt;$N57,AE57,$N57)-IF(AF$1&lt;=$U57,0,IF(AF$1&gt;IF($U57&lt;2022,2022,$U57),IF(AF$1-IF($U57&lt;2022,2022,$U57)=1,IF(AE57&lt;$N57,AE57,$N57)*VLOOKUP(LEFT($A57,3),Paramétres!$A:$D,3,0),IF(AE57&lt;$N57,AE57,$N57)*VLOOKUP(LEFT($A57,3),Paramétres!$A:$D,4)),0))</f>
        <v>7351.6912460534641</v>
      </c>
      <c r="AG57" s="11">
        <f>IF(AF57&lt;$N57,AF57,$N57)-IF(AG$1&lt;=$U57,0,IF(AG$1&gt;IF($U57&lt;2022,2022,$U57),IF(AG$1-IF($U57&lt;2022,2022,$U57)=1,IF(AF57&lt;$N57,AF57,$N57)*VLOOKUP(LEFT($A57,3),Paramétres!$A:$D,3,0),IF(AF57&lt;$N57,AF57,$N57)*VLOOKUP(LEFT($A57,3),Paramétres!$A:$D,4)),0))</f>
        <v>6837.0728588297216</v>
      </c>
      <c r="AH57" s="11">
        <f>IF(AG57&lt;$N57,AG57,$N57)-IF(AH$1&lt;=$U57,0,IF(AH$1&gt;IF($U57&lt;2022,2022,$U57),IF(AH$1-IF($U57&lt;2022,2022,$U57)=1,IF(AG57&lt;$N57,AG57,$N57)*VLOOKUP(LEFT($A57,3),Paramétres!$A:$D,3,0),IF(AG57&lt;$N57,AG57,$N57)*VLOOKUP(LEFT($A57,3),Paramétres!$A:$D,4)),0))</f>
        <v>6358.4777587116414</v>
      </c>
      <c r="AI57" s="11">
        <f>IF(AH57&lt;$N57,AH57,$N57)-IF(AI$1&lt;=$U57,0,IF(AI$1&gt;IF($U57&lt;2022,2022,$U57),IF(AI$1-IF($U57&lt;2022,2022,$U57)=1,IF(AH57&lt;$N57,AH57,$N57)*VLOOKUP(LEFT($A57,3),Paramétres!$A:$D,3,0),IF(AH57&lt;$N57,AH57,$N57)*VLOOKUP(LEFT($A57,3),Paramétres!$A:$D,4)),0))</f>
        <v>5913.3843156018265</v>
      </c>
      <c r="AJ57" s="11">
        <f>IF(AI57&lt;$N57,AI57,$N57)-IF(AJ$1&lt;=$U57,0,IF(AJ$1&gt;IF($U57&lt;2022,2022,$U57),IF(AJ$1-IF($U57&lt;2022,2022,$U57)=1,IF(AI57&lt;$N57,AI57,$N57)*VLOOKUP(LEFT($A57,3),Paramétres!$A:$D,3,0),IF(AI57&lt;$N57,AI57,$N57)*VLOOKUP(LEFT($A57,3),Paramétres!$A:$D,4)),0))</f>
        <v>5499.4474135096989</v>
      </c>
      <c r="AK57" s="11">
        <f>IF(AJ57&lt;$N57,AJ57,$N57)-IF(AK$1&lt;=$U57,0,IF(AK$1&gt;IF($U57&lt;2022,2022,$U57),IF(AK$1-IF($U57&lt;2022,2022,$U57)=1,IF(AJ57&lt;$N57,AJ57,$N57)*VLOOKUP(LEFT($A57,3),Paramétres!$A:$D,3,0),IF(AJ57&lt;$N57,AJ57,$N57)*VLOOKUP(LEFT($A57,3),Paramétres!$A:$D,4)),0))</f>
        <v>5114.4860945640203</v>
      </c>
    </row>
    <row r="58" spans="1:37" x14ac:dyDescent="0.25">
      <c r="A58" s="1" t="s">
        <v>145</v>
      </c>
      <c r="D58" s="1" t="s">
        <v>118</v>
      </c>
      <c r="E58" s="1" t="s">
        <v>124</v>
      </c>
      <c r="F58" s="1" t="s">
        <v>146</v>
      </c>
      <c r="J58" s="2">
        <v>43833</v>
      </c>
      <c r="K58" s="3">
        <v>4710</v>
      </c>
      <c r="L58" s="3"/>
      <c r="M58" s="3">
        <f>T_BASE[[#This Row],[VALEUR ACHAT]]</f>
        <v>4710</v>
      </c>
      <c r="N58" s="3">
        <f>T_BASE[[#This Row],[MONTANT PEC APRES AMORT.]]</f>
        <v>4710</v>
      </c>
      <c r="O58" s="1">
        <v>36</v>
      </c>
      <c r="Q58" s="4"/>
      <c r="R58" s="3">
        <v>0</v>
      </c>
      <c r="S58" s="3">
        <v>120</v>
      </c>
      <c r="T58" s="66">
        <f t="shared" si="1"/>
        <v>3</v>
      </c>
      <c r="U58" s="1">
        <f t="shared" si="2"/>
        <v>2020</v>
      </c>
      <c r="V58" s="11">
        <f>T_BASE[[#This Row],[ANNEE ACQT]]+T_BASE[[#This Row],[AMORT.]]</f>
        <v>2023</v>
      </c>
      <c r="W58" s="11">
        <f>$N58-IF(W$1&lt;=$V58,0,IF(W$1&gt;IF($V58&lt;2022,2022,$V58),IF(W$1-IF($V58&lt;2022,2022,$V58)=1,$N58*VLOOKUP(LEFT($A58,3),Paramétres!A:D,3,0),$N58*VLOOKUP(LEFT($A58,3),Paramétres!A:D,4)),0))</f>
        <v>4380.3</v>
      </c>
      <c r="X58" s="11">
        <f>IF(W58&lt;$N58,W58,$N58)-IF(X$1&lt;=$U58,0,IF(X$1&gt;IF($U58&lt;2022,2022,$U58),IF(X$1-IF($U58&lt;2022,2022,$U58)=1,IF(W58&lt;$N58,W58,$N58)*VLOOKUP(LEFT($A58,3),Paramétres!$A:$D,3,0),IF(W58&lt;$N58,W58,$N58)*VLOOKUP(LEFT($A58,3),Paramétres!$A:$D,4)),0))</f>
        <v>4073.6790000000001</v>
      </c>
      <c r="Y58" s="11">
        <f>IF(X58&lt;$N58,X58,$N58)-IF(Y$1&lt;=$U58,0,IF(Y$1&gt;IF($U58&lt;2022,2022,$U58),IF(Y$1-IF($U58&lt;2022,2022,$U58)=1,IF(X58&lt;$N58,X58,$N58)*VLOOKUP(LEFT($A58,3),Paramétres!$A:$D,3,0),IF(X58&lt;$N58,X58,$N58)*VLOOKUP(LEFT($A58,3),Paramétres!$A:$D,4)),0))</f>
        <v>3788.5214700000001</v>
      </c>
      <c r="Z58" s="11">
        <f>IF(Y58&lt;$N58,Y58,$N58)-IF(Z$1&lt;=$U58,0,IF(Z$1&gt;IF($U58&lt;2022,2022,$U58),IF(Z$1-IF($U58&lt;2022,2022,$U58)=1,IF(Y58&lt;$N58,Y58,$N58)*VLOOKUP(LEFT($A58,3),Paramétres!$A:$D,3,0),IF(Y58&lt;$N58,Y58,$N58)*VLOOKUP(LEFT($A58,3),Paramétres!$A:$D,4)),0))</f>
        <v>3523.3249671000003</v>
      </c>
      <c r="AA58" s="11">
        <f>IF(Z58&lt;$N58,Z58,$N58)-IF(AA$1&lt;=$U58,0,IF(AA$1&gt;IF($U58&lt;2022,2022,$U58),IF(AA$1-IF($U58&lt;2022,2022,$U58)=1,IF(Z58&lt;$N58,Z58,$N58)*VLOOKUP(LEFT($A58,3),Paramétres!$A:$D,3,0),IF(Z58&lt;$N58,Z58,$N58)*VLOOKUP(LEFT($A58,3),Paramétres!$A:$D,4)),0))</f>
        <v>3276.6922194030003</v>
      </c>
      <c r="AB58" s="11">
        <f>IF(AA58&lt;$N58,AA58,$N58)-IF(AB$1&lt;=$U58,0,IF(AB$1&gt;IF($U58&lt;2022,2022,$U58),IF(AB$1-IF($U58&lt;2022,2022,$U58)=1,IF(AA58&lt;$N58,AA58,$N58)*VLOOKUP(LEFT($A58,3),Paramétres!$A:$D,3,0),IF(AA58&lt;$N58,AA58,$N58)*VLOOKUP(LEFT($A58,3),Paramétres!$A:$D,4)),0))</f>
        <v>3047.3237640447901</v>
      </c>
      <c r="AC58" s="11">
        <f>IF(AB58&lt;$N58,AB58,$N58)-IF(AC$1&lt;=$U58,0,IF(AC$1&gt;IF($U58&lt;2022,2022,$U58),IF(AC$1-IF($U58&lt;2022,2022,$U58)=1,IF(AB58&lt;$N58,AB58,$N58)*VLOOKUP(LEFT($A58,3),Paramétres!$A:$D,3,0),IF(AB58&lt;$N58,AB58,$N58)*VLOOKUP(LEFT($A58,3),Paramétres!$A:$D,4)),0))</f>
        <v>2834.0111005616545</v>
      </c>
      <c r="AD58" s="11">
        <f>IF(AC58&lt;$N58,AC58,$N58)-IF(AD$1&lt;=$U58,0,IF(AD$1&gt;IF($U58&lt;2022,2022,$U58),IF(AD$1-IF($U58&lt;2022,2022,$U58)=1,IF(AC58&lt;$N58,AC58,$N58)*VLOOKUP(LEFT($A58,3),Paramétres!$A:$D,3,0),IF(AC58&lt;$N58,AC58,$N58)*VLOOKUP(LEFT($A58,3),Paramétres!$A:$D,4)),0))</f>
        <v>2635.6303235223386</v>
      </c>
      <c r="AE58" s="11">
        <f>IF(AD58&lt;$N58,AD58,$N58)-IF(AE$1&lt;=$U58,0,IF(AE$1&gt;IF($U58&lt;2022,2022,$U58),IF(AE$1-IF($U58&lt;2022,2022,$U58)=1,IF(AD58&lt;$N58,AD58,$N58)*VLOOKUP(LEFT($A58,3),Paramétres!$A:$D,3,0),IF(AD58&lt;$N58,AD58,$N58)*VLOOKUP(LEFT($A58,3),Paramétres!$A:$D,4)),0))</f>
        <v>2451.1362008757751</v>
      </c>
      <c r="AF58" s="11">
        <f>IF(AE58&lt;$N58,AE58,$N58)-IF(AF$1&lt;=$U58,0,IF(AF$1&gt;IF($U58&lt;2022,2022,$U58),IF(AF$1-IF($U58&lt;2022,2022,$U58)=1,IF(AE58&lt;$N58,AE58,$N58)*VLOOKUP(LEFT($A58,3),Paramétres!$A:$D,3,0),IF(AE58&lt;$N58,AE58,$N58)*VLOOKUP(LEFT($A58,3),Paramétres!$A:$D,4)),0))</f>
        <v>2279.5566668144706</v>
      </c>
      <c r="AG58" s="11">
        <f>IF(AF58&lt;$N58,AF58,$N58)-IF(AG$1&lt;=$U58,0,IF(AG$1&gt;IF($U58&lt;2022,2022,$U58),IF(AG$1-IF($U58&lt;2022,2022,$U58)=1,IF(AF58&lt;$N58,AF58,$N58)*VLOOKUP(LEFT($A58,3),Paramétres!$A:$D,3,0),IF(AF58&lt;$N58,AF58,$N58)*VLOOKUP(LEFT($A58,3),Paramétres!$A:$D,4)),0))</f>
        <v>2119.9877001374575</v>
      </c>
      <c r="AH58" s="11">
        <f>IF(AG58&lt;$N58,AG58,$N58)-IF(AH$1&lt;=$U58,0,IF(AH$1&gt;IF($U58&lt;2022,2022,$U58),IF(AH$1-IF($U58&lt;2022,2022,$U58)=1,IF(AG58&lt;$N58,AG58,$N58)*VLOOKUP(LEFT($A58,3),Paramétres!$A:$D,3,0),IF(AG58&lt;$N58,AG58,$N58)*VLOOKUP(LEFT($A58,3),Paramétres!$A:$D,4)),0))</f>
        <v>1971.5885611278354</v>
      </c>
      <c r="AI58" s="11">
        <f>IF(AH58&lt;$N58,AH58,$N58)-IF(AI$1&lt;=$U58,0,IF(AI$1&gt;IF($U58&lt;2022,2022,$U58),IF(AI$1-IF($U58&lt;2022,2022,$U58)=1,IF(AH58&lt;$N58,AH58,$N58)*VLOOKUP(LEFT($A58,3),Paramétres!$A:$D,3,0),IF(AH58&lt;$N58,AH58,$N58)*VLOOKUP(LEFT($A58,3),Paramétres!$A:$D,4)),0))</f>
        <v>1833.577361848887</v>
      </c>
      <c r="AJ58" s="11">
        <f>IF(AI58&lt;$N58,AI58,$N58)-IF(AJ$1&lt;=$U58,0,IF(AJ$1&gt;IF($U58&lt;2022,2022,$U58),IF(AJ$1-IF($U58&lt;2022,2022,$U58)=1,IF(AI58&lt;$N58,AI58,$N58)*VLOOKUP(LEFT($A58,3),Paramétres!$A:$D,3,0),IF(AI58&lt;$N58,AI58,$N58)*VLOOKUP(LEFT($A58,3),Paramétres!$A:$D,4)),0))</f>
        <v>1705.2269465194649</v>
      </c>
      <c r="AK58" s="11">
        <f>IF(AJ58&lt;$N58,AJ58,$N58)-IF(AK$1&lt;=$U58,0,IF(AK$1&gt;IF($U58&lt;2022,2022,$U58),IF(AK$1-IF($U58&lt;2022,2022,$U58)=1,IF(AJ58&lt;$N58,AJ58,$N58)*VLOOKUP(LEFT($A58,3),Paramétres!$A:$D,3,0),IF(AJ58&lt;$N58,AJ58,$N58)*VLOOKUP(LEFT($A58,3),Paramétres!$A:$D,4)),0))</f>
        <v>1585.8610602631024</v>
      </c>
    </row>
    <row r="59" spans="1:37" x14ac:dyDescent="0.25">
      <c r="A59" s="1" t="s">
        <v>147</v>
      </c>
      <c r="D59" s="1" t="s">
        <v>118</v>
      </c>
      <c r="E59" s="1" t="s">
        <v>124</v>
      </c>
      <c r="F59" s="1" t="s">
        <v>148</v>
      </c>
      <c r="J59" s="2">
        <v>44368</v>
      </c>
      <c r="K59" s="3">
        <v>5089</v>
      </c>
      <c r="L59" s="3"/>
      <c r="M59" s="3">
        <f>T_BASE[[#This Row],[VALEUR ACHAT]]</f>
        <v>5089</v>
      </c>
      <c r="N59" s="3">
        <f>T_BASE[[#This Row],[MONTANT PEC APRES AMORT.]]</f>
        <v>5089</v>
      </c>
      <c r="O59" s="1">
        <v>36</v>
      </c>
      <c r="Q59" s="4"/>
      <c r="R59" s="3">
        <v>0</v>
      </c>
      <c r="S59" s="3">
        <v>120</v>
      </c>
      <c r="T59" s="66">
        <f t="shared" si="1"/>
        <v>3</v>
      </c>
      <c r="U59" s="1">
        <f t="shared" si="2"/>
        <v>2021</v>
      </c>
      <c r="V59" s="11">
        <f>T_BASE[[#This Row],[ANNEE ACQT]]+T_BASE[[#This Row],[AMORT.]]</f>
        <v>2024</v>
      </c>
      <c r="W59" s="11">
        <f>$N59-IF(W$1&lt;=$V59,0,IF(W$1&gt;IF($V59&lt;2022,2022,$V59),IF(W$1-IF($V59&lt;2022,2022,$V59)=1,$N59*VLOOKUP(LEFT($A59,3),Paramétres!A:D,3,0),$N59*VLOOKUP(LEFT($A59,3),Paramétres!A:D,4)),0))</f>
        <v>4732.7700000000004</v>
      </c>
      <c r="X59" s="11">
        <f>IF(W59&lt;$N59,W59,$N59)-IF(X$1&lt;=$U59,0,IF(X$1&gt;IF($U59&lt;2022,2022,$U59),IF(X$1-IF($U59&lt;2022,2022,$U59)=1,IF(W59&lt;$N59,W59,$N59)*VLOOKUP(LEFT($A59,3),Paramétres!$A:$D,3,0),IF(W59&lt;$N59,W59,$N59)*VLOOKUP(LEFT($A59,3),Paramétres!$A:$D,4)),0))</f>
        <v>4401.4761000000008</v>
      </c>
      <c r="Y59" s="11">
        <f>IF(X59&lt;$N59,X59,$N59)-IF(Y$1&lt;=$U59,0,IF(Y$1&gt;IF($U59&lt;2022,2022,$U59),IF(Y$1-IF($U59&lt;2022,2022,$U59)=1,IF(X59&lt;$N59,X59,$N59)*VLOOKUP(LEFT($A59,3),Paramétres!$A:$D,3,0),IF(X59&lt;$N59,X59,$N59)*VLOOKUP(LEFT($A59,3),Paramétres!$A:$D,4)),0))</f>
        <v>4093.3727730000005</v>
      </c>
      <c r="Z59" s="11">
        <f>IF(Y59&lt;$N59,Y59,$N59)-IF(Z$1&lt;=$U59,0,IF(Z$1&gt;IF($U59&lt;2022,2022,$U59),IF(Z$1-IF($U59&lt;2022,2022,$U59)=1,IF(Y59&lt;$N59,Y59,$N59)*VLOOKUP(LEFT($A59,3),Paramétres!$A:$D,3,0),IF(Y59&lt;$N59,Y59,$N59)*VLOOKUP(LEFT($A59,3),Paramétres!$A:$D,4)),0))</f>
        <v>3806.8366788900003</v>
      </c>
      <c r="AA59" s="11">
        <f>IF(Z59&lt;$N59,Z59,$N59)-IF(AA$1&lt;=$U59,0,IF(AA$1&gt;IF($U59&lt;2022,2022,$U59),IF(AA$1-IF($U59&lt;2022,2022,$U59)=1,IF(Z59&lt;$N59,Z59,$N59)*VLOOKUP(LEFT($A59,3),Paramétres!$A:$D,3,0),IF(Z59&lt;$N59,Z59,$N59)*VLOOKUP(LEFT($A59,3),Paramétres!$A:$D,4)),0))</f>
        <v>3540.3581113677001</v>
      </c>
      <c r="AB59" s="11">
        <f>IF(AA59&lt;$N59,AA59,$N59)-IF(AB$1&lt;=$U59,0,IF(AB$1&gt;IF($U59&lt;2022,2022,$U59),IF(AB$1-IF($U59&lt;2022,2022,$U59)=1,IF(AA59&lt;$N59,AA59,$N59)*VLOOKUP(LEFT($A59,3),Paramétres!$A:$D,3,0),IF(AA59&lt;$N59,AA59,$N59)*VLOOKUP(LEFT($A59,3),Paramétres!$A:$D,4)),0))</f>
        <v>3292.5330435719611</v>
      </c>
      <c r="AC59" s="11">
        <f>IF(AB59&lt;$N59,AB59,$N59)-IF(AC$1&lt;=$U59,0,IF(AC$1&gt;IF($U59&lt;2022,2022,$U59),IF(AC$1-IF($U59&lt;2022,2022,$U59)=1,IF(AB59&lt;$N59,AB59,$N59)*VLOOKUP(LEFT($A59,3),Paramétres!$A:$D,3,0),IF(AB59&lt;$N59,AB59,$N59)*VLOOKUP(LEFT($A59,3),Paramétres!$A:$D,4)),0))</f>
        <v>3062.0557305219236</v>
      </c>
      <c r="AD59" s="11">
        <f>IF(AC59&lt;$N59,AC59,$N59)-IF(AD$1&lt;=$U59,0,IF(AD$1&gt;IF($U59&lt;2022,2022,$U59),IF(AD$1-IF($U59&lt;2022,2022,$U59)=1,IF(AC59&lt;$N59,AC59,$N59)*VLOOKUP(LEFT($A59,3),Paramétres!$A:$D,3,0),IF(AC59&lt;$N59,AC59,$N59)*VLOOKUP(LEFT($A59,3),Paramétres!$A:$D,4)),0))</f>
        <v>2847.7118293853891</v>
      </c>
      <c r="AE59" s="11">
        <f>IF(AD59&lt;$N59,AD59,$N59)-IF(AE$1&lt;=$U59,0,IF(AE$1&gt;IF($U59&lt;2022,2022,$U59),IF(AE$1-IF($U59&lt;2022,2022,$U59)=1,IF(AD59&lt;$N59,AD59,$N59)*VLOOKUP(LEFT($A59,3),Paramétres!$A:$D,3,0),IF(AD59&lt;$N59,AD59,$N59)*VLOOKUP(LEFT($A59,3),Paramétres!$A:$D,4)),0))</f>
        <v>2648.3720013284119</v>
      </c>
      <c r="AF59" s="11">
        <f>IF(AE59&lt;$N59,AE59,$N59)-IF(AF$1&lt;=$U59,0,IF(AF$1&gt;IF($U59&lt;2022,2022,$U59),IF(AF$1-IF($U59&lt;2022,2022,$U59)=1,IF(AE59&lt;$N59,AE59,$N59)*VLOOKUP(LEFT($A59,3),Paramétres!$A:$D,3,0),IF(AE59&lt;$N59,AE59,$N59)*VLOOKUP(LEFT($A59,3),Paramétres!$A:$D,4)),0))</f>
        <v>2462.985961235423</v>
      </c>
      <c r="AG59" s="11">
        <f>IF(AF59&lt;$N59,AF59,$N59)-IF(AG$1&lt;=$U59,0,IF(AG$1&gt;IF($U59&lt;2022,2022,$U59),IF(AG$1-IF($U59&lt;2022,2022,$U59)=1,IF(AF59&lt;$N59,AF59,$N59)*VLOOKUP(LEFT($A59,3),Paramétres!$A:$D,3,0),IF(AF59&lt;$N59,AF59,$N59)*VLOOKUP(LEFT($A59,3),Paramétres!$A:$D,4)),0))</f>
        <v>2290.5769439489432</v>
      </c>
      <c r="AH59" s="11">
        <f>IF(AG59&lt;$N59,AG59,$N59)-IF(AH$1&lt;=$U59,0,IF(AH$1&gt;IF($U59&lt;2022,2022,$U59),IF(AH$1-IF($U59&lt;2022,2022,$U59)=1,IF(AG59&lt;$N59,AG59,$N59)*VLOOKUP(LEFT($A59,3),Paramétres!$A:$D,3,0),IF(AG59&lt;$N59,AG59,$N59)*VLOOKUP(LEFT($A59,3),Paramétres!$A:$D,4)),0))</f>
        <v>2130.2365578725171</v>
      </c>
      <c r="AI59" s="11">
        <f>IF(AH59&lt;$N59,AH59,$N59)-IF(AI$1&lt;=$U59,0,IF(AI$1&gt;IF($U59&lt;2022,2022,$U59),IF(AI$1-IF($U59&lt;2022,2022,$U59)=1,IF(AH59&lt;$N59,AH59,$N59)*VLOOKUP(LEFT($A59,3),Paramétres!$A:$D,3,0),IF(AH59&lt;$N59,AH59,$N59)*VLOOKUP(LEFT($A59,3),Paramétres!$A:$D,4)),0))</f>
        <v>1981.119998821441</v>
      </c>
      <c r="AJ59" s="11">
        <f>IF(AI59&lt;$N59,AI59,$N59)-IF(AJ$1&lt;=$U59,0,IF(AJ$1&gt;IF($U59&lt;2022,2022,$U59),IF(AJ$1-IF($U59&lt;2022,2022,$U59)=1,IF(AI59&lt;$N59,AI59,$N59)*VLOOKUP(LEFT($A59,3),Paramétres!$A:$D,3,0),IF(AI59&lt;$N59,AI59,$N59)*VLOOKUP(LEFT($A59,3),Paramétres!$A:$D,4)),0))</f>
        <v>1842.4415989039401</v>
      </c>
      <c r="AK59" s="11">
        <f>IF(AJ59&lt;$N59,AJ59,$N59)-IF(AK$1&lt;=$U59,0,IF(AK$1&gt;IF($U59&lt;2022,2022,$U59),IF(AK$1-IF($U59&lt;2022,2022,$U59)=1,IF(AJ59&lt;$N59,AJ59,$N59)*VLOOKUP(LEFT($A59,3),Paramétres!$A:$D,3,0),IF(AJ59&lt;$N59,AJ59,$N59)*VLOOKUP(LEFT($A59,3),Paramétres!$A:$D,4)),0))</f>
        <v>1713.4706869806641</v>
      </c>
    </row>
    <row r="60" spans="1:37" x14ac:dyDescent="0.25">
      <c r="A60" s="1" t="s">
        <v>149</v>
      </c>
      <c r="D60" s="1" t="s">
        <v>118</v>
      </c>
      <c r="E60" s="1" t="s">
        <v>124</v>
      </c>
      <c r="F60" s="1" t="s">
        <v>150</v>
      </c>
      <c r="J60" s="2">
        <v>44368</v>
      </c>
      <c r="K60" s="3">
        <v>5089</v>
      </c>
      <c r="L60" s="3"/>
      <c r="M60" s="3">
        <f>T_BASE[[#This Row],[VALEUR ACHAT]]</f>
        <v>5089</v>
      </c>
      <c r="N60" s="3">
        <f>T_BASE[[#This Row],[MONTANT PEC APRES AMORT.]]</f>
        <v>5089</v>
      </c>
      <c r="O60" s="1">
        <v>36</v>
      </c>
      <c r="Q60" s="4"/>
      <c r="R60" s="3">
        <v>0</v>
      </c>
      <c r="S60" s="3">
        <v>120</v>
      </c>
      <c r="T60" s="66">
        <f t="shared" si="1"/>
        <v>3</v>
      </c>
      <c r="U60" s="1">
        <f t="shared" si="2"/>
        <v>2021</v>
      </c>
      <c r="V60" s="11">
        <f>T_BASE[[#This Row],[ANNEE ACQT]]+T_BASE[[#This Row],[AMORT.]]</f>
        <v>2024</v>
      </c>
      <c r="W60" s="11">
        <f>$N60-IF(W$1&lt;=$V60,0,IF(W$1&gt;IF($V60&lt;2022,2022,$V60),IF(W$1-IF($V60&lt;2022,2022,$V60)=1,$N60*VLOOKUP(LEFT($A60,3),Paramétres!A:D,3,0),$N60*VLOOKUP(LEFT($A60,3),Paramétres!A:D,4)),0))</f>
        <v>4732.7700000000004</v>
      </c>
      <c r="X60" s="11">
        <f>IF(W60&lt;$N60,W60,$N60)-IF(X$1&lt;=$U60,0,IF(X$1&gt;IF($U60&lt;2022,2022,$U60),IF(X$1-IF($U60&lt;2022,2022,$U60)=1,IF(W60&lt;$N60,W60,$N60)*VLOOKUP(LEFT($A60,3),Paramétres!$A:$D,3,0),IF(W60&lt;$N60,W60,$N60)*VLOOKUP(LEFT($A60,3),Paramétres!$A:$D,4)),0))</f>
        <v>4401.4761000000008</v>
      </c>
      <c r="Y60" s="11">
        <f>IF(X60&lt;$N60,X60,$N60)-IF(Y$1&lt;=$U60,0,IF(Y$1&gt;IF($U60&lt;2022,2022,$U60),IF(Y$1-IF($U60&lt;2022,2022,$U60)=1,IF(X60&lt;$N60,X60,$N60)*VLOOKUP(LEFT($A60,3),Paramétres!$A:$D,3,0),IF(X60&lt;$N60,X60,$N60)*VLOOKUP(LEFT($A60,3),Paramétres!$A:$D,4)),0))</f>
        <v>4093.3727730000005</v>
      </c>
      <c r="Z60" s="11">
        <f>IF(Y60&lt;$N60,Y60,$N60)-IF(Z$1&lt;=$U60,0,IF(Z$1&gt;IF($U60&lt;2022,2022,$U60),IF(Z$1-IF($U60&lt;2022,2022,$U60)=1,IF(Y60&lt;$N60,Y60,$N60)*VLOOKUP(LEFT($A60,3),Paramétres!$A:$D,3,0),IF(Y60&lt;$N60,Y60,$N60)*VLOOKUP(LEFT($A60,3),Paramétres!$A:$D,4)),0))</f>
        <v>3806.8366788900003</v>
      </c>
      <c r="AA60" s="11">
        <f>IF(Z60&lt;$N60,Z60,$N60)-IF(AA$1&lt;=$U60,0,IF(AA$1&gt;IF($U60&lt;2022,2022,$U60),IF(AA$1-IF($U60&lt;2022,2022,$U60)=1,IF(Z60&lt;$N60,Z60,$N60)*VLOOKUP(LEFT($A60,3),Paramétres!$A:$D,3,0),IF(Z60&lt;$N60,Z60,$N60)*VLOOKUP(LEFT($A60,3),Paramétres!$A:$D,4)),0))</f>
        <v>3540.3581113677001</v>
      </c>
      <c r="AB60" s="11">
        <f>IF(AA60&lt;$N60,AA60,$N60)-IF(AB$1&lt;=$U60,0,IF(AB$1&gt;IF($U60&lt;2022,2022,$U60),IF(AB$1-IF($U60&lt;2022,2022,$U60)=1,IF(AA60&lt;$N60,AA60,$N60)*VLOOKUP(LEFT($A60,3),Paramétres!$A:$D,3,0),IF(AA60&lt;$N60,AA60,$N60)*VLOOKUP(LEFT($A60,3),Paramétres!$A:$D,4)),0))</f>
        <v>3292.5330435719611</v>
      </c>
      <c r="AC60" s="11">
        <f>IF(AB60&lt;$N60,AB60,$N60)-IF(AC$1&lt;=$U60,0,IF(AC$1&gt;IF($U60&lt;2022,2022,$U60),IF(AC$1-IF($U60&lt;2022,2022,$U60)=1,IF(AB60&lt;$N60,AB60,$N60)*VLOOKUP(LEFT($A60,3),Paramétres!$A:$D,3,0),IF(AB60&lt;$N60,AB60,$N60)*VLOOKUP(LEFT($A60,3),Paramétres!$A:$D,4)),0))</f>
        <v>3062.0557305219236</v>
      </c>
      <c r="AD60" s="11">
        <f>IF(AC60&lt;$N60,AC60,$N60)-IF(AD$1&lt;=$U60,0,IF(AD$1&gt;IF($U60&lt;2022,2022,$U60),IF(AD$1-IF($U60&lt;2022,2022,$U60)=1,IF(AC60&lt;$N60,AC60,$N60)*VLOOKUP(LEFT($A60,3),Paramétres!$A:$D,3,0),IF(AC60&lt;$N60,AC60,$N60)*VLOOKUP(LEFT($A60,3),Paramétres!$A:$D,4)),0))</f>
        <v>2847.7118293853891</v>
      </c>
      <c r="AE60" s="11">
        <f>IF(AD60&lt;$N60,AD60,$N60)-IF(AE$1&lt;=$U60,0,IF(AE$1&gt;IF($U60&lt;2022,2022,$U60),IF(AE$1-IF($U60&lt;2022,2022,$U60)=1,IF(AD60&lt;$N60,AD60,$N60)*VLOOKUP(LEFT($A60,3),Paramétres!$A:$D,3,0),IF(AD60&lt;$N60,AD60,$N60)*VLOOKUP(LEFT($A60,3),Paramétres!$A:$D,4)),0))</f>
        <v>2648.3720013284119</v>
      </c>
      <c r="AF60" s="11">
        <f>IF(AE60&lt;$N60,AE60,$N60)-IF(AF$1&lt;=$U60,0,IF(AF$1&gt;IF($U60&lt;2022,2022,$U60),IF(AF$1-IF($U60&lt;2022,2022,$U60)=1,IF(AE60&lt;$N60,AE60,$N60)*VLOOKUP(LEFT($A60,3),Paramétres!$A:$D,3,0),IF(AE60&lt;$N60,AE60,$N60)*VLOOKUP(LEFT($A60,3),Paramétres!$A:$D,4)),0))</f>
        <v>2462.985961235423</v>
      </c>
      <c r="AG60" s="11">
        <f>IF(AF60&lt;$N60,AF60,$N60)-IF(AG$1&lt;=$U60,0,IF(AG$1&gt;IF($U60&lt;2022,2022,$U60),IF(AG$1-IF($U60&lt;2022,2022,$U60)=1,IF(AF60&lt;$N60,AF60,$N60)*VLOOKUP(LEFT($A60,3),Paramétres!$A:$D,3,0),IF(AF60&lt;$N60,AF60,$N60)*VLOOKUP(LEFT($A60,3),Paramétres!$A:$D,4)),0))</f>
        <v>2290.5769439489432</v>
      </c>
      <c r="AH60" s="11">
        <f>IF(AG60&lt;$N60,AG60,$N60)-IF(AH$1&lt;=$U60,0,IF(AH$1&gt;IF($U60&lt;2022,2022,$U60),IF(AH$1-IF($U60&lt;2022,2022,$U60)=1,IF(AG60&lt;$N60,AG60,$N60)*VLOOKUP(LEFT($A60,3),Paramétres!$A:$D,3,0),IF(AG60&lt;$N60,AG60,$N60)*VLOOKUP(LEFT($A60,3),Paramétres!$A:$D,4)),0))</f>
        <v>2130.2365578725171</v>
      </c>
      <c r="AI60" s="11">
        <f>IF(AH60&lt;$N60,AH60,$N60)-IF(AI$1&lt;=$U60,0,IF(AI$1&gt;IF($U60&lt;2022,2022,$U60),IF(AI$1-IF($U60&lt;2022,2022,$U60)=1,IF(AH60&lt;$N60,AH60,$N60)*VLOOKUP(LEFT($A60,3),Paramétres!$A:$D,3,0),IF(AH60&lt;$N60,AH60,$N60)*VLOOKUP(LEFT($A60,3),Paramétres!$A:$D,4)),0))</f>
        <v>1981.119998821441</v>
      </c>
      <c r="AJ60" s="11">
        <f>IF(AI60&lt;$N60,AI60,$N60)-IF(AJ$1&lt;=$U60,0,IF(AJ$1&gt;IF($U60&lt;2022,2022,$U60),IF(AJ$1-IF($U60&lt;2022,2022,$U60)=1,IF(AI60&lt;$N60,AI60,$N60)*VLOOKUP(LEFT($A60,3),Paramétres!$A:$D,3,0),IF(AI60&lt;$N60,AI60,$N60)*VLOOKUP(LEFT($A60,3),Paramétres!$A:$D,4)),0))</f>
        <v>1842.4415989039401</v>
      </c>
      <c r="AK60" s="11">
        <f>IF(AJ60&lt;$N60,AJ60,$N60)-IF(AK$1&lt;=$U60,0,IF(AK$1&gt;IF($U60&lt;2022,2022,$U60),IF(AK$1-IF($U60&lt;2022,2022,$U60)=1,IF(AJ60&lt;$N60,AJ60,$N60)*VLOOKUP(LEFT($A60,3),Paramétres!$A:$D,3,0),IF(AJ60&lt;$N60,AJ60,$N60)*VLOOKUP(LEFT($A60,3),Paramétres!$A:$D,4)),0))</f>
        <v>1713.4706869806641</v>
      </c>
    </row>
    <row r="61" spans="1:37" x14ac:dyDescent="0.25">
      <c r="L61" s="3"/>
      <c r="M61" s="3"/>
      <c r="N61" s="3" t="e">
        <f>T_BASE[[#This Row],[MONTANT PEC APRES AMORT.]]</f>
        <v>#VALUE!</v>
      </c>
      <c r="Q61" s="4"/>
      <c r="R61" s="3"/>
      <c r="S61" s="3"/>
      <c r="T61" s="66"/>
    </row>
  </sheetData>
  <phoneticPr fontId="2" type="noConversion"/>
  <conditionalFormatting sqref="G46">
    <cfRule type="expression" dxfId="1" priority="1">
      <formula>MOD(ROW(),2)</formula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CD75D-F680-4522-95B0-5B5CCEE2AB36}">
  <dimension ref="A1:S62"/>
  <sheetViews>
    <sheetView workbookViewId="0">
      <selection activeCell="B2" sqref="B2:H61"/>
    </sheetView>
  </sheetViews>
  <sheetFormatPr baseColWidth="10" defaultRowHeight="12.75" x14ac:dyDescent="0.2"/>
  <cols>
    <col min="1" max="3" width="11.5703125" style="13" customWidth="1"/>
    <col min="4" max="4" width="23" style="13" customWidth="1"/>
    <col min="5" max="5" width="23.140625" style="14" customWidth="1"/>
    <col min="6" max="19" width="11.5703125" style="13" customWidth="1"/>
    <col min="20" max="16384" width="11.42578125" style="13"/>
  </cols>
  <sheetData>
    <row r="1" spans="1:19" x14ac:dyDescent="0.2">
      <c r="A1" s="13" t="s">
        <v>0</v>
      </c>
      <c r="B1" s="13" t="s">
        <v>1</v>
      </c>
      <c r="C1" s="13" t="s">
        <v>2</v>
      </c>
      <c r="D1" s="13" t="s">
        <v>6</v>
      </c>
      <c r="E1" s="14" t="s">
        <v>154</v>
      </c>
      <c r="F1" s="13" t="s">
        <v>155</v>
      </c>
      <c r="G1" s="13" t="s">
        <v>156</v>
      </c>
      <c r="H1" s="13" t="s">
        <v>157</v>
      </c>
      <c r="I1" s="13" t="s">
        <v>158</v>
      </c>
      <c r="J1" s="13" t="s">
        <v>159</v>
      </c>
      <c r="K1" s="13" t="s">
        <v>168</v>
      </c>
      <c r="L1" s="13" t="s">
        <v>167</v>
      </c>
      <c r="M1" s="13" t="s">
        <v>166</v>
      </c>
      <c r="N1" s="13" t="s">
        <v>165</v>
      </c>
      <c r="O1" s="13" t="s">
        <v>164</v>
      </c>
      <c r="P1" s="13" t="s">
        <v>163</v>
      </c>
      <c r="Q1" s="13" t="s">
        <v>162</v>
      </c>
      <c r="R1" s="13" t="s">
        <v>161</v>
      </c>
      <c r="S1" s="13" t="s">
        <v>160</v>
      </c>
    </row>
    <row r="2" spans="1:19" x14ac:dyDescent="0.2">
      <c r="A2" s="1" t="s">
        <v>34</v>
      </c>
      <c r="B2" s="1"/>
      <c r="C2" s="1"/>
      <c r="D2" s="1"/>
      <c r="E2" s="11"/>
      <c r="F2" s="1"/>
      <c r="G2" s="1"/>
      <c r="H2" s="1"/>
      <c r="I2" s="1" t="s">
        <v>172</v>
      </c>
      <c r="J2" s="1">
        <v>1401.29</v>
      </c>
      <c r="K2" s="1">
        <v>1342.37</v>
      </c>
      <c r="L2" s="1">
        <v>1272.3800000000001</v>
      </c>
      <c r="M2" s="1">
        <v>1262.42</v>
      </c>
      <c r="N2" s="1">
        <v>1249.93</v>
      </c>
      <c r="O2" s="1">
        <v>1214.32</v>
      </c>
      <c r="P2" s="1"/>
      <c r="Q2" s="1"/>
      <c r="R2" s="1"/>
      <c r="S2" s="1"/>
    </row>
    <row r="3" spans="1:19" x14ac:dyDescent="0.2">
      <c r="A3" s="1" t="s">
        <v>35</v>
      </c>
      <c r="B3" s="1"/>
      <c r="C3" s="1"/>
      <c r="D3" s="1"/>
      <c r="E3" s="11"/>
      <c r="F3" s="1"/>
      <c r="G3" s="1"/>
      <c r="H3" s="1"/>
      <c r="I3" s="1" t="s">
        <v>172</v>
      </c>
      <c r="J3" s="1">
        <v>1518.22</v>
      </c>
      <c r="K3" s="1">
        <v>1471.01</v>
      </c>
      <c r="L3" s="1">
        <v>1448.41</v>
      </c>
      <c r="M3" s="1">
        <v>1439.06</v>
      </c>
      <c r="N3" s="1">
        <v>1427.02</v>
      </c>
      <c r="O3" s="1">
        <v>1374.59</v>
      </c>
      <c r="P3" s="1">
        <v>1337.27</v>
      </c>
      <c r="Q3" s="1">
        <v>1181.3599999999999</v>
      </c>
      <c r="R3" s="1">
        <v>1100.99</v>
      </c>
      <c r="S3" s="1"/>
    </row>
    <row r="4" spans="1:19" x14ac:dyDescent="0.2">
      <c r="A4" s="1" t="s">
        <v>36</v>
      </c>
      <c r="B4" s="1"/>
      <c r="C4" s="1"/>
      <c r="D4" s="1"/>
      <c r="E4" s="11"/>
      <c r="F4" s="1"/>
      <c r="G4" s="1"/>
      <c r="H4" s="1"/>
      <c r="I4" s="1" t="s">
        <v>173</v>
      </c>
      <c r="J4" s="1">
        <v>993.01</v>
      </c>
      <c r="K4" s="1"/>
      <c r="L4" s="1"/>
      <c r="M4" s="1"/>
      <c r="N4" s="1"/>
      <c r="O4" s="1"/>
      <c r="P4" s="1"/>
      <c r="Q4" s="1"/>
      <c r="R4" s="1"/>
      <c r="S4" s="1"/>
    </row>
    <row r="5" spans="1:19" x14ac:dyDescent="0.2">
      <c r="A5" s="1" t="s">
        <v>37</v>
      </c>
      <c r="B5" s="1"/>
      <c r="C5" s="1"/>
      <c r="D5" s="1"/>
      <c r="E5" s="11"/>
      <c r="F5" s="1"/>
      <c r="G5" s="1"/>
      <c r="H5" s="1"/>
      <c r="I5" s="1" t="s">
        <v>174</v>
      </c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">
      <c r="A6" s="1" t="s">
        <v>38</v>
      </c>
      <c r="B6" s="1"/>
      <c r="C6" s="1"/>
      <c r="D6" s="1"/>
      <c r="E6" s="11"/>
      <c r="F6" s="1"/>
      <c r="G6" s="1"/>
      <c r="H6" s="1"/>
      <c r="I6" s="1" t="s">
        <v>175</v>
      </c>
      <c r="J6" s="1">
        <v>1412.55</v>
      </c>
      <c r="K6" s="1">
        <v>1365.12</v>
      </c>
      <c r="L6" s="1">
        <v>1311.53</v>
      </c>
      <c r="M6" s="1">
        <v>1258.67</v>
      </c>
      <c r="N6" s="1">
        <v>1246.6600000000001</v>
      </c>
      <c r="O6" s="1">
        <v>1192.1400000000001</v>
      </c>
      <c r="P6" s="1"/>
      <c r="Q6" s="1"/>
      <c r="R6" s="1"/>
      <c r="S6" s="1"/>
    </row>
    <row r="7" spans="1:19" x14ac:dyDescent="0.2">
      <c r="A7" s="1" t="s">
        <v>39</v>
      </c>
      <c r="B7" s="1"/>
      <c r="C7" s="1"/>
      <c r="D7" s="1"/>
      <c r="E7" s="11"/>
      <c r="F7" s="1"/>
      <c r="G7" s="1"/>
      <c r="H7" s="1"/>
      <c r="I7" s="1" t="s">
        <v>176</v>
      </c>
      <c r="J7" s="1">
        <v>1511.94</v>
      </c>
      <c r="K7" s="1">
        <v>1163.02</v>
      </c>
      <c r="L7" s="1">
        <v>1145.3800000000001</v>
      </c>
      <c r="M7" s="1">
        <v>1115.82</v>
      </c>
      <c r="N7" s="1">
        <v>882.09</v>
      </c>
      <c r="O7" s="1">
        <v>799.34</v>
      </c>
      <c r="P7" s="1"/>
      <c r="Q7" s="1"/>
      <c r="R7" s="1"/>
      <c r="S7" s="1"/>
    </row>
    <row r="8" spans="1:19" x14ac:dyDescent="0.2">
      <c r="A8" s="1" t="s">
        <v>40</v>
      </c>
      <c r="B8" s="1"/>
      <c r="C8" s="1"/>
      <c r="D8" s="1"/>
      <c r="E8" s="11"/>
      <c r="F8" s="1"/>
      <c r="G8" s="1"/>
      <c r="H8" s="1"/>
      <c r="I8" s="1" t="s">
        <v>176</v>
      </c>
      <c r="J8" s="1">
        <v>1063.6300000000001</v>
      </c>
      <c r="K8" s="1">
        <v>1020.06</v>
      </c>
      <c r="L8" s="1">
        <v>1002.11</v>
      </c>
      <c r="M8" s="1">
        <v>967.73</v>
      </c>
      <c r="N8" s="1">
        <v>950.07</v>
      </c>
      <c r="O8" s="1">
        <v>716.68</v>
      </c>
      <c r="P8" s="1"/>
      <c r="Q8" s="1"/>
      <c r="R8" s="1"/>
      <c r="S8" s="1"/>
    </row>
    <row r="9" spans="1:19" x14ac:dyDescent="0.2">
      <c r="A9" s="1" t="s">
        <v>41</v>
      </c>
      <c r="B9" s="1"/>
      <c r="C9" s="1"/>
      <c r="D9" s="1"/>
      <c r="E9" s="11"/>
      <c r="F9" s="1"/>
      <c r="G9" s="1"/>
      <c r="H9" s="1"/>
      <c r="I9" s="1" t="s">
        <v>177</v>
      </c>
      <c r="J9" s="1">
        <v>1140.6099999999999</v>
      </c>
      <c r="K9" s="1">
        <v>1051.24</v>
      </c>
      <c r="L9" s="1">
        <v>1023.71</v>
      </c>
      <c r="M9" s="1">
        <v>994.27</v>
      </c>
      <c r="N9" s="1">
        <v>915.09</v>
      </c>
      <c r="O9" s="1"/>
      <c r="P9" s="1"/>
      <c r="Q9" s="1"/>
      <c r="R9" s="1"/>
      <c r="S9" s="1"/>
    </row>
    <row r="10" spans="1:19" x14ac:dyDescent="0.2">
      <c r="A10" s="1" t="s">
        <v>42</v>
      </c>
      <c r="B10" s="1"/>
      <c r="C10" s="1"/>
      <c r="D10" s="1"/>
      <c r="E10" s="11"/>
      <c r="F10" s="1"/>
      <c r="G10" s="1"/>
      <c r="H10" s="1"/>
      <c r="I10" s="1" t="s">
        <v>177</v>
      </c>
      <c r="J10" s="1">
        <v>1096.03</v>
      </c>
      <c r="K10" s="1">
        <v>1046.03</v>
      </c>
      <c r="L10" s="1">
        <v>1012.14</v>
      </c>
      <c r="M10" s="1">
        <v>1004.42</v>
      </c>
      <c r="N10" s="1">
        <v>915.09</v>
      </c>
      <c r="O10" s="1"/>
      <c r="P10" s="1"/>
      <c r="Q10" s="1"/>
      <c r="R10" s="1"/>
      <c r="S10" s="1"/>
    </row>
    <row r="11" spans="1:19" x14ac:dyDescent="0.2">
      <c r="A11" s="1" t="s">
        <v>43</v>
      </c>
      <c r="B11" s="1"/>
      <c r="C11" s="1"/>
      <c r="D11" s="1"/>
      <c r="E11" s="11"/>
      <c r="F11" s="1"/>
      <c r="G11" s="1"/>
      <c r="H11" s="1"/>
      <c r="I11" s="1" t="s">
        <v>175</v>
      </c>
      <c r="J11" s="1">
        <v>889.49</v>
      </c>
      <c r="K11" s="1">
        <v>850.88</v>
      </c>
      <c r="L11" s="1">
        <v>793.61</v>
      </c>
      <c r="M11" s="1"/>
      <c r="N11" s="1"/>
      <c r="O11" s="1"/>
      <c r="P11" s="1"/>
      <c r="Q11" s="1"/>
      <c r="R11" s="1"/>
      <c r="S11" s="1"/>
    </row>
    <row r="12" spans="1:19" x14ac:dyDescent="0.2">
      <c r="A12" s="1" t="s">
        <v>44</v>
      </c>
      <c r="B12" s="1"/>
      <c r="C12" s="1"/>
      <c r="D12" s="1"/>
      <c r="E12" s="11"/>
      <c r="F12" s="1"/>
      <c r="G12" s="1"/>
      <c r="H12" s="1"/>
      <c r="I12" s="1" t="s">
        <v>175</v>
      </c>
      <c r="J12" s="1">
        <v>1109.8599999999999</v>
      </c>
      <c r="K12" s="1">
        <v>853.72</v>
      </c>
      <c r="L12" s="1">
        <v>793.91</v>
      </c>
      <c r="M12" s="1"/>
      <c r="N12" s="1"/>
      <c r="O12" s="1"/>
      <c r="P12" s="1"/>
      <c r="Q12" s="1"/>
      <c r="R12" s="1"/>
      <c r="S12" s="1"/>
    </row>
    <row r="13" spans="1:19" x14ac:dyDescent="0.2">
      <c r="A13" s="1" t="s">
        <v>45</v>
      </c>
      <c r="B13" s="1"/>
      <c r="C13" s="1"/>
      <c r="D13" s="1"/>
      <c r="E13" s="11"/>
      <c r="F13" s="1"/>
      <c r="G13" s="1"/>
      <c r="H13" s="1"/>
      <c r="I13" s="1" t="s">
        <v>174</v>
      </c>
      <c r="J13" s="1"/>
      <c r="K13" s="1">
        <v>822.57</v>
      </c>
      <c r="L13" s="1"/>
      <c r="M13" s="1"/>
      <c r="N13" s="1"/>
      <c r="O13" s="1"/>
      <c r="P13" s="1"/>
      <c r="Q13" s="1"/>
      <c r="R13" s="1"/>
      <c r="S13" s="1"/>
    </row>
    <row r="14" spans="1:19" x14ac:dyDescent="0.2">
      <c r="A14" s="1" t="s">
        <v>46</v>
      </c>
      <c r="B14" s="1"/>
      <c r="C14" s="1"/>
      <c r="D14" s="1"/>
      <c r="E14" s="11"/>
      <c r="F14" s="1"/>
      <c r="G14" s="1"/>
      <c r="H14" s="1"/>
      <c r="I14" s="1" t="s">
        <v>174</v>
      </c>
      <c r="J14" s="1"/>
      <c r="K14" s="1">
        <v>771.26</v>
      </c>
      <c r="L14" s="1"/>
      <c r="M14" s="1"/>
      <c r="N14" s="1"/>
      <c r="O14" s="1"/>
      <c r="P14" s="1"/>
      <c r="Q14" s="1"/>
      <c r="R14" s="1"/>
      <c r="S14" s="1"/>
    </row>
    <row r="15" spans="1:19" x14ac:dyDescent="0.2">
      <c r="A15" s="1" t="s">
        <v>47</v>
      </c>
      <c r="B15" s="1"/>
      <c r="C15" s="1"/>
      <c r="D15" s="1"/>
      <c r="E15" s="1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">
      <c r="A16" s="1" t="s">
        <v>48</v>
      </c>
      <c r="B16" s="1"/>
      <c r="C16" s="1"/>
      <c r="D16" s="1"/>
      <c r="E16" s="1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">
      <c r="A17" s="1" t="s">
        <v>49</v>
      </c>
      <c r="B17" s="1"/>
      <c r="C17" s="1"/>
      <c r="D17" s="1"/>
      <c r="E17" s="1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">
      <c r="A18" s="1" t="s">
        <v>63</v>
      </c>
      <c r="B18" s="1"/>
      <c r="C18" s="1"/>
      <c r="D18" s="1"/>
      <c r="E18" s="11"/>
      <c r="F18" s="1"/>
      <c r="G18" s="1"/>
      <c r="H18" s="1"/>
      <c r="I18" s="1" t="s">
        <v>181</v>
      </c>
      <c r="J18" s="1"/>
      <c r="K18" s="1">
        <v>587.96</v>
      </c>
      <c r="L18" s="1">
        <v>576.59</v>
      </c>
      <c r="M18" s="1">
        <v>573.08000000000004</v>
      </c>
      <c r="N18" s="1">
        <v>569.28</v>
      </c>
      <c r="O18" s="1"/>
      <c r="P18" s="1">
        <v>666.18</v>
      </c>
      <c r="Q18" s="1">
        <v>610.53</v>
      </c>
      <c r="R18" s="1"/>
      <c r="S18" s="1"/>
    </row>
    <row r="19" spans="1:19" x14ac:dyDescent="0.2">
      <c r="A19" s="1" t="s">
        <v>66</v>
      </c>
      <c r="B19" s="1"/>
      <c r="C19" s="1"/>
      <c r="D19" s="1"/>
      <c r="E19" s="11"/>
      <c r="F19" s="1"/>
      <c r="G19" s="1"/>
      <c r="H19" s="1"/>
      <c r="I19" s="1" t="s">
        <v>178</v>
      </c>
      <c r="J19" s="1"/>
      <c r="K19" s="1">
        <v>610.52</v>
      </c>
      <c r="L19" s="1">
        <v>602.38</v>
      </c>
      <c r="M19" s="1">
        <v>586.4</v>
      </c>
      <c r="N19" s="1">
        <v>572.30999999999995</v>
      </c>
      <c r="O19" s="1">
        <v>611.52</v>
      </c>
      <c r="P19" s="1">
        <v>613.35</v>
      </c>
      <c r="Q19" s="1"/>
      <c r="R19" s="1"/>
      <c r="S19" s="1"/>
    </row>
    <row r="20" spans="1:19" x14ac:dyDescent="0.2">
      <c r="A20" s="1" t="s">
        <v>68</v>
      </c>
      <c r="B20" s="1"/>
      <c r="C20" s="1"/>
      <c r="D20" s="1"/>
      <c r="E20" s="11"/>
      <c r="F20" s="1"/>
      <c r="G20" s="1"/>
      <c r="H20" s="1"/>
      <c r="I20" s="1" t="s">
        <v>174</v>
      </c>
      <c r="J20" s="1"/>
      <c r="K20" s="1">
        <v>1130.1600000000001</v>
      </c>
      <c r="L20" s="1">
        <v>1099.33</v>
      </c>
      <c r="M20" s="1">
        <v>1090.73</v>
      </c>
      <c r="N20" s="1">
        <v>871.14</v>
      </c>
      <c r="O20" s="1">
        <v>859.15</v>
      </c>
      <c r="P20" s="1">
        <v>763.89</v>
      </c>
      <c r="Q20" s="1"/>
      <c r="R20" s="1"/>
      <c r="S20" s="1"/>
    </row>
    <row r="21" spans="1:19" x14ac:dyDescent="0.2">
      <c r="A21" s="1" t="s">
        <v>71</v>
      </c>
      <c r="B21" s="1"/>
      <c r="C21" s="1"/>
      <c r="D21" s="1"/>
      <c r="E21" s="11"/>
      <c r="F21" s="1"/>
      <c r="G21" s="1"/>
      <c r="H21" s="1"/>
      <c r="I21" s="1" t="s">
        <v>175</v>
      </c>
      <c r="J21" s="1">
        <v>925.49</v>
      </c>
      <c r="K21" s="1">
        <v>883.94</v>
      </c>
      <c r="L21" s="1">
        <v>838.35</v>
      </c>
      <c r="M21" s="1">
        <v>808.1</v>
      </c>
      <c r="N21" s="1">
        <v>736.18</v>
      </c>
      <c r="O21" s="1"/>
      <c r="P21" s="1"/>
      <c r="Q21" s="1"/>
      <c r="R21" s="1"/>
      <c r="S21" s="1"/>
    </row>
    <row r="22" spans="1:19" x14ac:dyDescent="0.2">
      <c r="A22" s="1" t="s">
        <v>72</v>
      </c>
      <c r="B22" s="1"/>
      <c r="C22" s="1"/>
      <c r="D22" s="1"/>
      <c r="E22" s="11"/>
      <c r="F22" s="1"/>
      <c r="G22" s="1"/>
      <c r="H22" s="1"/>
      <c r="I22" s="1" t="s">
        <v>177</v>
      </c>
      <c r="J22" s="1">
        <v>983.04</v>
      </c>
      <c r="K22" s="1">
        <v>939.28</v>
      </c>
      <c r="L22" s="1">
        <v>919.6</v>
      </c>
      <c r="M22" s="1">
        <v>907.81</v>
      </c>
      <c r="N22" s="1">
        <v>837.09</v>
      </c>
      <c r="O22" s="1"/>
      <c r="P22" s="1"/>
      <c r="Q22" s="1"/>
      <c r="R22" s="1"/>
      <c r="S22" s="1"/>
    </row>
    <row r="23" spans="1:19" x14ac:dyDescent="0.2">
      <c r="A23" s="1" t="s">
        <v>73</v>
      </c>
      <c r="B23" s="1"/>
      <c r="C23" s="1"/>
      <c r="D23" s="1"/>
      <c r="E23" s="11"/>
      <c r="F23" s="1"/>
      <c r="G23" s="1"/>
      <c r="H23" s="1"/>
      <c r="I23" s="1" t="s">
        <v>172</v>
      </c>
      <c r="J23" s="1">
        <v>775.28</v>
      </c>
      <c r="K23" s="1">
        <v>741.3</v>
      </c>
      <c r="L23" s="1">
        <v>715.61</v>
      </c>
      <c r="M23" s="1">
        <v>669.93</v>
      </c>
      <c r="N23" s="1"/>
      <c r="O23" s="1"/>
      <c r="P23" s="1"/>
      <c r="Q23" s="1"/>
      <c r="R23" s="1"/>
      <c r="S23" s="1"/>
    </row>
    <row r="24" spans="1:19" x14ac:dyDescent="0.2">
      <c r="A24" s="1" t="s">
        <v>74</v>
      </c>
      <c r="B24" s="1"/>
      <c r="C24" s="1"/>
      <c r="D24" s="1"/>
      <c r="E24" s="11"/>
      <c r="F24" s="1"/>
      <c r="G24" s="1"/>
      <c r="H24" s="1"/>
      <c r="I24" s="1" t="s">
        <v>175</v>
      </c>
      <c r="J24" s="1">
        <v>951.92</v>
      </c>
      <c r="K24" s="1">
        <v>908.41</v>
      </c>
      <c r="L24" s="1">
        <v>827.69</v>
      </c>
      <c r="M24" s="1"/>
      <c r="N24" s="1"/>
      <c r="O24" s="1"/>
      <c r="P24" s="1"/>
      <c r="Q24" s="1"/>
      <c r="R24" s="1"/>
      <c r="S24" s="1"/>
    </row>
    <row r="25" spans="1:19" x14ac:dyDescent="0.2">
      <c r="A25" s="1" t="s">
        <v>76</v>
      </c>
      <c r="B25" s="1"/>
      <c r="C25" s="1"/>
      <c r="D25" s="1"/>
      <c r="E25" s="11"/>
      <c r="F25" s="1"/>
      <c r="G25" s="1"/>
      <c r="H25" s="1"/>
      <c r="I25" s="1" t="s">
        <v>174</v>
      </c>
      <c r="J25" s="1"/>
      <c r="K25" s="1">
        <v>1112.3399999999999</v>
      </c>
      <c r="L25" s="1">
        <v>986.46</v>
      </c>
      <c r="M25" s="1"/>
      <c r="N25" s="1"/>
      <c r="O25" s="1"/>
      <c r="P25" s="1"/>
      <c r="Q25" s="1"/>
      <c r="R25" s="1"/>
      <c r="S25" s="1"/>
    </row>
    <row r="26" spans="1:19" x14ac:dyDescent="0.2">
      <c r="A26" s="1" t="s">
        <v>79</v>
      </c>
      <c r="B26" s="1"/>
      <c r="C26" s="1"/>
      <c r="D26" s="1"/>
      <c r="E26" s="11"/>
      <c r="F26" s="1"/>
      <c r="G26" s="1"/>
      <c r="H26" s="1"/>
      <c r="I26" s="1" t="s">
        <v>173</v>
      </c>
      <c r="J26" s="1">
        <v>1056.3399999999999</v>
      </c>
      <c r="K26" s="1">
        <v>1013.43</v>
      </c>
      <c r="L26" s="1">
        <v>975.76</v>
      </c>
      <c r="M26" s="1"/>
      <c r="N26" s="1"/>
      <c r="O26" s="1"/>
      <c r="P26" s="1"/>
      <c r="Q26" s="1"/>
      <c r="R26" s="1"/>
      <c r="S26" s="1"/>
    </row>
    <row r="27" spans="1:19" x14ac:dyDescent="0.2">
      <c r="A27" s="1" t="s">
        <v>81</v>
      </c>
      <c r="B27" s="1"/>
      <c r="C27" s="1"/>
      <c r="D27" s="1"/>
      <c r="E27" s="11"/>
      <c r="F27" s="1"/>
      <c r="G27" s="1"/>
      <c r="H27" s="1"/>
      <c r="I27" s="1" t="s">
        <v>175</v>
      </c>
      <c r="J27" s="1">
        <v>604.42999999999995</v>
      </c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">
      <c r="A28" s="1" t="s">
        <v>84</v>
      </c>
      <c r="B28" s="1"/>
      <c r="C28" s="1"/>
      <c r="D28" s="1"/>
      <c r="E28" s="11"/>
      <c r="F28" s="1"/>
      <c r="G28" s="1"/>
      <c r="H28" s="1"/>
      <c r="I28" s="1" t="s">
        <v>179</v>
      </c>
      <c r="J28" s="1"/>
      <c r="K28" s="1">
        <v>1071.3800000000001</v>
      </c>
      <c r="L28" s="1">
        <v>1063.23</v>
      </c>
      <c r="M28" s="1">
        <v>1007.79</v>
      </c>
      <c r="N28" s="1">
        <v>1010.29</v>
      </c>
      <c r="O28" s="1">
        <v>996.45</v>
      </c>
      <c r="P28" s="1">
        <v>951.99</v>
      </c>
      <c r="Q28" s="1"/>
      <c r="R28" s="1"/>
      <c r="S28" s="1"/>
    </row>
    <row r="29" spans="1:19" x14ac:dyDescent="0.2">
      <c r="A29" s="1" t="s">
        <v>85</v>
      </c>
      <c r="B29" s="1"/>
      <c r="C29" s="1"/>
      <c r="D29" s="1"/>
      <c r="E29" s="1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">
      <c r="A30" s="1" t="s">
        <v>88</v>
      </c>
      <c r="B30" s="1"/>
      <c r="C30" s="1"/>
      <c r="D30" s="1"/>
      <c r="E30" s="11"/>
      <c r="F30" s="1"/>
      <c r="G30" s="1"/>
      <c r="H30" s="1"/>
      <c r="I30" s="1" t="s">
        <v>172</v>
      </c>
      <c r="J30" s="1" t="s">
        <v>182</v>
      </c>
      <c r="K30" s="1">
        <v>118.86</v>
      </c>
      <c r="L30" s="1">
        <v>114.94</v>
      </c>
      <c r="M30" s="1">
        <v>111.23</v>
      </c>
      <c r="N30" s="1">
        <v>109.07</v>
      </c>
      <c r="O30" s="1">
        <v>106.96</v>
      </c>
      <c r="P30" s="1">
        <v>104.91</v>
      </c>
      <c r="Q30" s="1">
        <v>101.27</v>
      </c>
      <c r="R30" s="1">
        <v>98.313999999999993</v>
      </c>
      <c r="S30" s="1"/>
    </row>
    <row r="31" spans="1:19" x14ac:dyDescent="0.2">
      <c r="A31" s="1" t="s">
        <v>90</v>
      </c>
      <c r="B31" s="1"/>
      <c r="C31" s="1"/>
      <c r="D31" s="1"/>
      <c r="E31" s="11"/>
      <c r="F31" s="1"/>
      <c r="G31" s="1"/>
      <c r="H31" s="1"/>
      <c r="I31" s="1" t="s">
        <v>173</v>
      </c>
      <c r="J31" s="1">
        <v>216.66</v>
      </c>
      <c r="K31" s="1">
        <v>211.42</v>
      </c>
      <c r="L31" s="1">
        <v>206.33</v>
      </c>
      <c r="M31" s="1">
        <v>201.4</v>
      </c>
      <c r="N31" s="1">
        <v>196.61</v>
      </c>
      <c r="O31" s="1">
        <v>191.93</v>
      </c>
      <c r="P31" s="1">
        <v>187.45</v>
      </c>
      <c r="Q31" s="1">
        <v>181.38</v>
      </c>
      <c r="R31" s="1">
        <v>176.08</v>
      </c>
      <c r="S31" s="1">
        <v>171.76</v>
      </c>
    </row>
    <row r="32" spans="1:19" x14ac:dyDescent="0.2">
      <c r="A32" s="1" t="s">
        <v>93</v>
      </c>
      <c r="B32" s="1"/>
      <c r="C32" s="1"/>
      <c r="D32" s="1"/>
      <c r="E32" s="11"/>
      <c r="F32" s="1"/>
      <c r="G32" s="1"/>
      <c r="H32" s="1"/>
      <c r="I32" s="1" t="s">
        <v>173</v>
      </c>
      <c r="J32" s="1">
        <v>230.4</v>
      </c>
      <c r="K32" s="1">
        <v>220.86</v>
      </c>
      <c r="L32" s="1">
        <v>212.11</v>
      </c>
      <c r="M32" s="1">
        <v>207</v>
      </c>
      <c r="N32" s="1">
        <v>202.06</v>
      </c>
      <c r="O32" s="1">
        <v>197.25</v>
      </c>
      <c r="P32" s="1">
        <v>192.58</v>
      </c>
      <c r="Q32" s="1">
        <v>183.48</v>
      </c>
      <c r="R32" s="1">
        <v>175.37</v>
      </c>
      <c r="S32" s="1">
        <v>165.31</v>
      </c>
    </row>
    <row r="33" spans="1:19" x14ac:dyDescent="0.2">
      <c r="A33" s="1" t="s">
        <v>95</v>
      </c>
      <c r="B33" s="1"/>
      <c r="C33" s="1"/>
      <c r="D33" s="1"/>
      <c r="E33" s="11"/>
      <c r="F33" s="1"/>
      <c r="G33" s="1"/>
      <c r="H33" s="1"/>
      <c r="I33" s="1" t="s">
        <v>175</v>
      </c>
      <c r="J33" s="1">
        <v>144.9</v>
      </c>
      <c r="K33" s="1">
        <v>141.78</v>
      </c>
      <c r="L33" s="1">
        <v>136.76</v>
      </c>
      <c r="M33" s="1">
        <v>131.97</v>
      </c>
      <c r="N33" s="1">
        <v>127.48</v>
      </c>
      <c r="O33" s="1">
        <v>124.82</v>
      </c>
      <c r="P33" s="1">
        <v>122.26</v>
      </c>
      <c r="Q33" s="1">
        <v>114.28</v>
      </c>
      <c r="R33" s="1"/>
      <c r="S33" s="1"/>
    </row>
    <row r="34" spans="1:19" x14ac:dyDescent="0.2">
      <c r="A34" s="1" t="s">
        <v>97</v>
      </c>
      <c r="B34" s="1"/>
      <c r="C34" s="1"/>
      <c r="D34" s="1"/>
      <c r="E34" s="11"/>
      <c r="F34" s="1"/>
      <c r="G34" s="1"/>
      <c r="H34" s="1"/>
      <c r="I34" s="1" t="s">
        <v>175</v>
      </c>
      <c r="J34" s="1">
        <v>217.36</v>
      </c>
      <c r="K34" s="1">
        <v>208.77</v>
      </c>
      <c r="L34" s="1">
        <v>200.57</v>
      </c>
      <c r="M34" s="1">
        <v>192.78</v>
      </c>
      <c r="N34" s="1">
        <v>188.26</v>
      </c>
      <c r="O34" s="1">
        <v>171.71</v>
      </c>
      <c r="P34" s="1"/>
      <c r="Q34" s="1"/>
      <c r="R34" s="1"/>
      <c r="S34" s="1"/>
    </row>
    <row r="35" spans="1:19" x14ac:dyDescent="0.2">
      <c r="A35" s="1" t="s">
        <v>99</v>
      </c>
      <c r="B35" s="1"/>
      <c r="C35" s="1"/>
      <c r="D35" s="1"/>
      <c r="E35" s="11"/>
      <c r="F35" s="1"/>
      <c r="G35" s="1"/>
      <c r="H35" s="1"/>
      <c r="I35" s="1" t="s">
        <v>179</v>
      </c>
      <c r="J35" s="1"/>
      <c r="K35" s="1">
        <v>161.22999999999999</v>
      </c>
      <c r="L35" s="1">
        <v>157.62</v>
      </c>
      <c r="M35" s="1">
        <v>154.1</v>
      </c>
      <c r="N35" s="1">
        <v>150.69999999999999</v>
      </c>
      <c r="O35" s="1">
        <v>139.72</v>
      </c>
      <c r="P35" s="1"/>
      <c r="Q35" s="1"/>
      <c r="R35" s="1"/>
      <c r="S35" s="1"/>
    </row>
    <row r="36" spans="1:19" x14ac:dyDescent="0.2">
      <c r="A36" s="1" t="s">
        <v>100</v>
      </c>
      <c r="B36" s="1"/>
      <c r="C36" s="1"/>
      <c r="D36" s="1"/>
      <c r="E36" s="11"/>
      <c r="F36" s="1"/>
      <c r="G36" s="1"/>
      <c r="H36" s="1"/>
      <c r="I36" s="1" t="s">
        <v>180</v>
      </c>
      <c r="J36" s="1"/>
      <c r="K36" s="1">
        <v>158.49</v>
      </c>
      <c r="L36" s="1">
        <v>154.94999999999999</v>
      </c>
      <c r="M36" s="1">
        <v>151.52000000000001</v>
      </c>
      <c r="N36" s="1">
        <v>148.18</v>
      </c>
      <c r="O36" s="1">
        <v>138.06</v>
      </c>
      <c r="P36" s="1"/>
      <c r="Q36" s="1"/>
      <c r="R36" s="1"/>
      <c r="S36" s="1"/>
    </row>
    <row r="37" spans="1:19" x14ac:dyDescent="0.2">
      <c r="A37" s="9" t="s">
        <v>101</v>
      </c>
      <c r="B37" s="9"/>
      <c r="C37" s="9"/>
      <c r="D37" s="10"/>
      <c r="E37" s="12"/>
      <c r="F37" s="10"/>
      <c r="G37" s="10"/>
      <c r="H37" s="10"/>
      <c r="I37" s="10"/>
      <c r="J37" s="10"/>
      <c r="K37" s="10"/>
      <c r="L37" s="10">
        <v>158.76</v>
      </c>
      <c r="M37" s="10">
        <v>148.61000000000001</v>
      </c>
      <c r="N37" s="10"/>
      <c r="O37" s="10"/>
      <c r="P37" s="10"/>
      <c r="Q37" s="10"/>
      <c r="R37" s="10"/>
      <c r="S37" s="10"/>
    </row>
    <row r="38" spans="1:19" x14ac:dyDescent="0.2">
      <c r="A38" s="1" t="s">
        <v>104</v>
      </c>
      <c r="B38" s="1"/>
      <c r="C38" s="1"/>
      <c r="D38" s="1"/>
      <c r="E38" s="11"/>
      <c r="F38" s="1"/>
      <c r="G38" s="1"/>
      <c r="H38" s="1"/>
      <c r="I38" s="1" t="s">
        <v>175</v>
      </c>
      <c r="J38" s="1">
        <v>163.74</v>
      </c>
      <c r="K38" s="1">
        <v>160.03</v>
      </c>
      <c r="L38" s="1">
        <v>156.44999999999999</v>
      </c>
      <c r="M38" s="1">
        <v>148.61000000000001</v>
      </c>
      <c r="N38" s="1"/>
      <c r="O38" s="1"/>
      <c r="P38" s="1"/>
      <c r="Q38" s="1"/>
      <c r="R38" s="1"/>
      <c r="S38" s="1"/>
    </row>
    <row r="39" spans="1:19" x14ac:dyDescent="0.2">
      <c r="A39" s="1" t="s">
        <v>105</v>
      </c>
      <c r="B39" s="1"/>
      <c r="C39" s="1"/>
      <c r="D39" s="1"/>
      <c r="E39" s="11"/>
      <c r="F39" s="1"/>
      <c r="G39" s="1"/>
      <c r="H39" s="1"/>
      <c r="I39" s="1" t="s">
        <v>180</v>
      </c>
      <c r="J39" s="1"/>
      <c r="K39" s="1">
        <v>162.44999999999999</v>
      </c>
      <c r="L39" s="1">
        <v>156.44999999999999</v>
      </c>
      <c r="M39" s="1">
        <v>147.93</v>
      </c>
      <c r="N39" s="1"/>
      <c r="O39" s="1"/>
      <c r="P39" s="1"/>
      <c r="Q39" s="1"/>
      <c r="R39" s="1"/>
      <c r="S39" s="1"/>
    </row>
    <row r="40" spans="1:19" x14ac:dyDescent="0.2">
      <c r="A40" s="1" t="s">
        <v>106</v>
      </c>
      <c r="B40" s="1"/>
      <c r="C40" s="1"/>
      <c r="D40" s="1"/>
      <c r="E40" s="11"/>
      <c r="F40" s="1"/>
      <c r="G40" s="1"/>
      <c r="H40" s="1"/>
      <c r="I40" s="1" t="s">
        <v>174</v>
      </c>
      <c r="J40" s="1"/>
      <c r="K40" s="1">
        <v>157.31</v>
      </c>
      <c r="L40" s="1">
        <v>153.79</v>
      </c>
      <c r="M40" s="1">
        <v>149.75</v>
      </c>
      <c r="N40" s="1"/>
      <c r="O40" s="1"/>
      <c r="P40" s="1"/>
      <c r="Q40" s="1"/>
      <c r="R40" s="1"/>
      <c r="S40" s="1"/>
    </row>
    <row r="41" spans="1:19" x14ac:dyDescent="0.2">
      <c r="A41" s="1" t="s">
        <v>108</v>
      </c>
      <c r="B41" s="1"/>
      <c r="C41" s="1"/>
      <c r="D41" s="1"/>
      <c r="E41" s="11"/>
      <c r="F41" s="1"/>
      <c r="G41" s="1"/>
      <c r="H41" s="1"/>
      <c r="I41" s="1" t="s">
        <v>174</v>
      </c>
      <c r="J41" s="1"/>
      <c r="K41" s="1">
        <v>157.31</v>
      </c>
      <c r="L41" s="1">
        <v>153.79</v>
      </c>
      <c r="M41" s="1">
        <v>142.53</v>
      </c>
      <c r="N41" s="1"/>
      <c r="O41" s="1"/>
      <c r="P41" s="1"/>
      <c r="Q41" s="1"/>
      <c r="R41" s="1"/>
      <c r="S41" s="1"/>
    </row>
    <row r="42" spans="1:19" x14ac:dyDescent="0.2">
      <c r="A42" s="1" t="s">
        <v>109</v>
      </c>
      <c r="B42" s="1"/>
      <c r="C42" s="1"/>
      <c r="D42" s="1"/>
      <c r="E42" s="11"/>
      <c r="F42" s="1"/>
      <c r="G42" s="1"/>
      <c r="H42" s="1"/>
      <c r="I42" s="1" t="s">
        <v>176</v>
      </c>
      <c r="J42" s="1">
        <v>159.74</v>
      </c>
      <c r="K42" s="1">
        <v>156.15</v>
      </c>
      <c r="L42" s="1">
        <v>145.01</v>
      </c>
      <c r="M42" s="1"/>
      <c r="N42" s="1"/>
      <c r="O42" s="1"/>
      <c r="P42" s="1"/>
      <c r="Q42" s="1"/>
      <c r="R42" s="1"/>
      <c r="S42" s="1"/>
    </row>
    <row r="43" spans="1:19" x14ac:dyDescent="0.2">
      <c r="A43" s="1" t="s">
        <v>110</v>
      </c>
      <c r="B43" s="1"/>
      <c r="C43" s="1"/>
      <c r="D43" s="1"/>
      <c r="E43" s="11"/>
      <c r="F43" s="1"/>
      <c r="G43" s="1"/>
      <c r="H43" s="1"/>
      <c r="I43" s="1" t="s">
        <v>176</v>
      </c>
      <c r="J43" s="1">
        <v>164.56</v>
      </c>
      <c r="K43" s="1">
        <v>158.46</v>
      </c>
      <c r="L43" s="1">
        <v>145.01</v>
      </c>
      <c r="M43" s="1"/>
      <c r="N43" s="1"/>
      <c r="O43" s="1"/>
      <c r="P43" s="1"/>
      <c r="Q43" s="1"/>
      <c r="R43" s="1"/>
      <c r="S43" s="1"/>
    </row>
    <row r="44" spans="1:19" x14ac:dyDescent="0.2">
      <c r="A44" s="1" t="s">
        <v>111</v>
      </c>
      <c r="B44" s="1"/>
      <c r="C44" s="1"/>
      <c r="D44" s="1"/>
      <c r="E44" s="11"/>
      <c r="F44" s="1"/>
      <c r="G44" s="1"/>
      <c r="H44" s="1"/>
      <c r="I44" s="1" t="s">
        <v>174</v>
      </c>
      <c r="J44" s="1"/>
      <c r="K44" s="1">
        <v>623.04999999999995</v>
      </c>
      <c r="L44" s="1">
        <v>605.97</v>
      </c>
      <c r="M44" s="1">
        <v>589.39</v>
      </c>
      <c r="N44" s="1">
        <v>573.32000000000005</v>
      </c>
      <c r="O44" s="1">
        <v>557.66</v>
      </c>
      <c r="P44" s="1">
        <v>542.5</v>
      </c>
      <c r="Q44" s="1"/>
      <c r="R44" s="1"/>
      <c r="S44" s="1"/>
    </row>
    <row r="45" spans="1:19" x14ac:dyDescent="0.2">
      <c r="A45" s="1" t="s">
        <v>114</v>
      </c>
      <c r="B45" s="1"/>
      <c r="C45" s="1"/>
      <c r="D45" s="1"/>
      <c r="E45" s="11"/>
      <c r="F45" s="1"/>
      <c r="G45" s="1"/>
      <c r="H45" s="1"/>
      <c r="I45" s="1" t="s">
        <v>177</v>
      </c>
      <c r="J45" s="1"/>
      <c r="K45" s="1">
        <v>482.25</v>
      </c>
      <c r="L45" s="1">
        <v>462.09</v>
      </c>
      <c r="M45" s="1"/>
      <c r="N45" s="1"/>
      <c r="O45" s="1"/>
      <c r="P45" s="1"/>
      <c r="Q45" s="1"/>
      <c r="R45" s="1"/>
      <c r="S45" s="1"/>
    </row>
    <row r="46" spans="1:19" x14ac:dyDescent="0.2">
      <c r="A46" s="1" t="s">
        <v>117</v>
      </c>
      <c r="B46" s="1"/>
      <c r="C46" s="1"/>
      <c r="D46" s="1"/>
      <c r="E46" s="11"/>
      <c r="F46" s="1"/>
      <c r="G46" s="1"/>
      <c r="H46" s="1"/>
      <c r="I46" s="1" t="s">
        <v>172</v>
      </c>
      <c r="J46" s="1">
        <v>580.16999999999996</v>
      </c>
      <c r="K46" s="1">
        <v>517.69000000000005</v>
      </c>
      <c r="L46" s="1">
        <v>491.79</v>
      </c>
      <c r="M46" s="1"/>
      <c r="N46" s="1"/>
      <c r="O46" s="1"/>
      <c r="P46" s="1"/>
      <c r="Q46" s="1"/>
      <c r="R46" s="1"/>
      <c r="S46" s="1"/>
    </row>
    <row r="47" spans="1:19" x14ac:dyDescent="0.2">
      <c r="A47" s="1" t="s">
        <v>121</v>
      </c>
      <c r="B47" s="1"/>
      <c r="C47" s="1"/>
      <c r="D47" s="1"/>
      <c r="E47" s="11"/>
      <c r="F47" s="1"/>
      <c r="G47" s="1"/>
      <c r="H47" s="1"/>
      <c r="I47" s="1" t="s">
        <v>176</v>
      </c>
      <c r="J47" s="1">
        <v>426.38</v>
      </c>
      <c r="K47" s="1">
        <v>397.78</v>
      </c>
      <c r="L47" s="1">
        <v>389.02</v>
      </c>
      <c r="M47" s="1">
        <v>375.56</v>
      </c>
      <c r="N47" s="1">
        <v>375.6</v>
      </c>
      <c r="O47" s="1">
        <v>306.16000000000003</v>
      </c>
      <c r="P47" s="1">
        <v>293.44</v>
      </c>
      <c r="Q47" s="1">
        <v>279.70999999999998</v>
      </c>
      <c r="R47" s="1">
        <v>270.97000000000003</v>
      </c>
      <c r="S47" s="1">
        <v>258.52999999999997</v>
      </c>
    </row>
    <row r="48" spans="1:19" x14ac:dyDescent="0.2">
      <c r="A48" s="1" t="s">
        <v>123</v>
      </c>
      <c r="B48" s="1"/>
      <c r="C48" s="1"/>
      <c r="D48" s="1"/>
      <c r="E48" s="11"/>
      <c r="F48" s="1"/>
      <c r="G48" s="1"/>
      <c r="H48" s="1"/>
      <c r="I48" s="1" t="s">
        <v>173</v>
      </c>
      <c r="J48" s="1">
        <v>388.89</v>
      </c>
      <c r="K48" s="1">
        <v>363.08</v>
      </c>
      <c r="L48" s="1">
        <v>354.56</v>
      </c>
      <c r="M48" s="1">
        <v>336.41</v>
      </c>
      <c r="N48" s="1">
        <v>336.47</v>
      </c>
      <c r="O48" s="1">
        <v>308.87</v>
      </c>
      <c r="P48" s="1">
        <v>291</v>
      </c>
      <c r="Q48" s="1">
        <v>266.01</v>
      </c>
      <c r="R48" s="1">
        <v>257.70999999999998</v>
      </c>
      <c r="S48" s="1">
        <v>245.95</v>
      </c>
    </row>
    <row r="49" spans="1:19" x14ac:dyDescent="0.2">
      <c r="A49" s="1" t="s">
        <v>126</v>
      </c>
      <c r="B49" s="1"/>
      <c r="C49" s="1"/>
      <c r="D49" s="1"/>
      <c r="E49" s="11"/>
      <c r="F49" s="1"/>
      <c r="G49" s="1"/>
      <c r="H49" s="1"/>
      <c r="I49" s="1" t="s">
        <v>181</v>
      </c>
      <c r="J49" s="1"/>
      <c r="K49" s="1">
        <v>419.77</v>
      </c>
      <c r="L49" s="1">
        <v>410.47</v>
      </c>
      <c r="M49" s="1">
        <v>396.17</v>
      </c>
      <c r="N49" s="1">
        <v>396.06</v>
      </c>
      <c r="O49" s="1">
        <v>362.91</v>
      </c>
      <c r="P49" s="1">
        <v>347.47</v>
      </c>
      <c r="Q49" s="1">
        <v>331.17</v>
      </c>
      <c r="R49" s="1">
        <v>312.2</v>
      </c>
      <c r="S49" s="1"/>
    </row>
    <row r="50" spans="1:19" x14ac:dyDescent="0.2">
      <c r="A50" s="1" t="s">
        <v>128</v>
      </c>
      <c r="B50" s="1"/>
      <c r="C50" s="1"/>
      <c r="D50" s="1"/>
      <c r="E50" s="11"/>
      <c r="F50" s="1"/>
      <c r="G50" s="1"/>
      <c r="H50" s="1"/>
      <c r="I50" s="1" t="s">
        <v>175</v>
      </c>
      <c r="J50" s="1">
        <v>354.3</v>
      </c>
      <c r="K50" s="1">
        <v>325.35000000000002</v>
      </c>
      <c r="L50" s="1">
        <v>305.08</v>
      </c>
      <c r="M50" s="1">
        <v>297.33999999999997</v>
      </c>
      <c r="N50" s="1">
        <v>293.61</v>
      </c>
      <c r="O50" s="1">
        <v>251.13</v>
      </c>
      <c r="P50" s="1"/>
      <c r="Q50" s="1"/>
      <c r="R50" s="1"/>
      <c r="S50" s="1"/>
    </row>
    <row r="51" spans="1:19" x14ac:dyDescent="0.2">
      <c r="A51" s="1" t="s">
        <v>130</v>
      </c>
      <c r="B51" s="1"/>
      <c r="C51" s="1"/>
      <c r="D51" s="1"/>
      <c r="E51" s="11"/>
      <c r="F51" s="1"/>
      <c r="G51" s="1"/>
      <c r="H51" s="1"/>
      <c r="I51" s="1" t="s">
        <v>177</v>
      </c>
      <c r="J51" s="1">
        <v>451.39</v>
      </c>
      <c r="K51" s="1">
        <v>420.53</v>
      </c>
      <c r="L51" s="1">
        <v>411.21</v>
      </c>
      <c r="M51" s="1">
        <v>396.87</v>
      </c>
      <c r="N51" s="1">
        <v>397</v>
      </c>
      <c r="O51" s="1">
        <v>311.77</v>
      </c>
      <c r="P51" s="1">
        <v>267.64999999999998</v>
      </c>
      <c r="Q51" s="1"/>
      <c r="R51" s="1"/>
      <c r="S51" s="1"/>
    </row>
    <row r="52" spans="1:19" x14ac:dyDescent="0.2">
      <c r="A52" s="1" t="s">
        <v>132</v>
      </c>
      <c r="B52" s="1"/>
      <c r="C52" s="1"/>
      <c r="D52" s="1"/>
      <c r="E52" s="11"/>
      <c r="F52" s="1"/>
      <c r="G52" s="1"/>
      <c r="H52" s="1"/>
      <c r="I52" s="1" t="s">
        <v>175</v>
      </c>
      <c r="J52" s="1">
        <v>350.21</v>
      </c>
      <c r="K52" s="1">
        <v>325.01</v>
      </c>
      <c r="L52" s="1">
        <v>312.60000000000002</v>
      </c>
      <c r="M52" s="1">
        <v>270.02999999999997</v>
      </c>
      <c r="N52" s="1">
        <v>247.33</v>
      </c>
      <c r="O52" s="1"/>
      <c r="P52" s="1"/>
      <c r="Q52" s="1"/>
      <c r="R52" s="1"/>
      <c r="S52" s="1"/>
    </row>
    <row r="53" spans="1:19" x14ac:dyDescent="0.2">
      <c r="A53" s="1" t="s">
        <v>134</v>
      </c>
      <c r="B53" s="1"/>
      <c r="C53" s="1"/>
      <c r="D53" s="1"/>
      <c r="E53" s="11"/>
      <c r="F53" s="1"/>
      <c r="G53" s="1"/>
      <c r="H53" s="1"/>
      <c r="I53" s="1" t="s">
        <v>179</v>
      </c>
      <c r="J53" s="1"/>
      <c r="K53" s="1">
        <v>304.62</v>
      </c>
      <c r="L53" s="1">
        <v>296.11</v>
      </c>
      <c r="M53" s="1">
        <v>286.25</v>
      </c>
      <c r="N53" s="1">
        <v>286.33</v>
      </c>
      <c r="O53" s="1">
        <v>274.57</v>
      </c>
      <c r="P53" s="1">
        <v>248.19</v>
      </c>
      <c r="Q53" s="1"/>
      <c r="R53" s="1"/>
      <c r="S53" s="1"/>
    </row>
    <row r="54" spans="1:19" x14ac:dyDescent="0.2">
      <c r="A54" s="1" t="s">
        <v>136</v>
      </c>
      <c r="B54" s="1"/>
      <c r="C54" s="1"/>
      <c r="D54" s="1"/>
      <c r="E54" s="11"/>
      <c r="F54" s="1"/>
      <c r="G54" s="1"/>
      <c r="H54" s="1"/>
      <c r="I54" s="1" t="s">
        <v>173</v>
      </c>
      <c r="J54" s="1">
        <v>333.98</v>
      </c>
      <c r="K54" s="1">
        <v>312.19</v>
      </c>
      <c r="L54" s="1">
        <v>303.72000000000003</v>
      </c>
      <c r="M54" s="1">
        <v>293.52999999999997</v>
      </c>
      <c r="N54" s="1">
        <v>293.61</v>
      </c>
      <c r="O54" s="1">
        <v>253.07</v>
      </c>
      <c r="P54" s="1"/>
      <c r="Q54" s="1"/>
      <c r="R54" s="1"/>
      <c r="S54" s="1"/>
    </row>
    <row r="55" spans="1:19" x14ac:dyDescent="0.2">
      <c r="A55" s="1" t="s">
        <v>139</v>
      </c>
      <c r="B55" s="1"/>
      <c r="C55" s="1"/>
      <c r="D55" s="1"/>
      <c r="E55" s="11"/>
      <c r="F55" s="1"/>
      <c r="G55" s="1"/>
      <c r="H55" s="1"/>
      <c r="I55" s="1" t="s">
        <v>175</v>
      </c>
      <c r="J55" s="1">
        <v>344.31</v>
      </c>
      <c r="K55" s="1">
        <v>315.98</v>
      </c>
      <c r="L55" s="1">
        <v>307.58</v>
      </c>
      <c r="M55" s="1">
        <v>290.25</v>
      </c>
      <c r="N55" s="1"/>
      <c r="O55" s="1"/>
      <c r="P55" s="1"/>
      <c r="Q55" s="1"/>
      <c r="R55" s="1"/>
      <c r="S55" s="1"/>
    </row>
    <row r="56" spans="1:19" x14ac:dyDescent="0.2">
      <c r="A56" s="1" t="s">
        <v>141</v>
      </c>
      <c r="B56" s="1"/>
      <c r="C56" s="1"/>
      <c r="D56" s="1"/>
      <c r="E56" s="11"/>
      <c r="F56" s="1"/>
      <c r="G56" s="1"/>
      <c r="H56" s="1"/>
      <c r="I56" s="1" t="s">
        <v>175</v>
      </c>
      <c r="J56" s="1">
        <v>338.38</v>
      </c>
      <c r="K56" s="1">
        <v>315.98</v>
      </c>
      <c r="L56" s="1">
        <v>307.58</v>
      </c>
      <c r="M56" s="1">
        <v>290.25</v>
      </c>
      <c r="N56" s="1"/>
      <c r="O56" s="1"/>
      <c r="P56" s="1"/>
      <c r="Q56" s="1"/>
      <c r="R56" s="1"/>
      <c r="S56" s="1"/>
    </row>
    <row r="57" spans="1:19" x14ac:dyDescent="0.2">
      <c r="A57" s="1" t="s">
        <v>143</v>
      </c>
      <c r="B57" s="1"/>
      <c r="C57" s="1"/>
      <c r="D57" s="1"/>
      <c r="E57" s="11"/>
      <c r="F57" s="1"/>
      <c r="G57" s="1"/>
      <c r="H57" s="1"/>
      <c r="I57" s="1" t="s">
        <v>174</v>
      </c>
      <c r="J57" s="1"/>
      <c r="K57" s="1">
        <v>317.69</v>
      </c>
      <c r="L57" s="1">
        <v>309.33</v>
      </c>
      <c r="M57" s="1">
        <v>292.64999999999998</v>
      </c>
      <c r="N57" s="1"/>
      <c r="O57" s="1"/>
      <c r="P57" s="1"/>
      <c r="Q57" s="1"/>
      <c r="R57" s="1"/>
      <c r="S57" s="1"/>
    </row>
    <row r="58" spans="1:19" x14ac:dyDescent="0.2">
      <c r="A58" s="1" t="s">
        <v>145</v>
      </c>
      <c r="B58" s="1"/>
      <c r="C58" s="1"/>
      <c r="D58" s="1"/>
      <c r="E58" s="11"/>
      <c r="F58" s="1"/>
      <c r="G58" s="1"/>
      <c r="H58" s="1"/>
      <c r="I58" s="1" t="s">
        <v>174</v>
      </c>
      <c r="J58" s="1"/>
      <c r="K58" s="1">
        <v>266.19</v>
      </c>
      <c r="L58" s="1">
        <v>257.85000000000002</v>
      </c>
      <c r="M58" s="1">
        <v>243.71</v>
      </c>
      <c r="N58" s="1"/>
      <c r="O58" s="1"/>
      <c r="P58" s="1"/>
      <c r="Q58" s="1"/>
      <c r="R58" s="1"/>
      <c r="S58" s="1"/>
    </row>
    <row r="59" spans="1:19" x14ac:dyDescent="0.2">
      <c r="A59" s="1" t="s">
        <v>147</v>
      </c>
      <c r="B59" s="1"/>
      <c r="C59" s="1"/>
      <c r="D59" s="1"/>
      <c r="E59" s="11"/>
      <c r="F59" s="1"/>
      <c r="G59" s="1"/>
      <c r="H59" s="1"/>
      <c r="I59" s="1" t="s">
        <v>176</v>
      </c>
      <c r="J59" s="1">
        <v>339.91</v>
      </c>
      <c r="K59" s="1">
        <v>317.77999999999997</v>
      </c>
      <c r="L59" s="1">
        <v>292.02</v>
      </c>
      <c r="M59" s="1"/>
      <c r="N59" s="1"/>
      <c r="O59" s="1"/>
      <c r="P59" s="1"/>
      <c r="Q59" s="1"/>
      <c r="R59" s="1"/>
      <c r="S59" s="1"/>
    </row>
    <row r="60" spans="1:19" x14ac:dyDescent="0.2">
      <c r="A60" s="1" t="s">
        <v>149</v>
      </c>
      <c r="B60" s="1"/>
      <c r="C60" s="1"/>
      <c r="D60" s="1"/>
      <c r="E60" s="11"/>
      <c r="F60" s="1"/>
      <c r="G60" s="1"/>
      <c r="H60" s="1"/>
      <c r="I60" s="1" t="s">
        <v>176</v>
      </c>
      <c r="J60" s="1">
        <v>339.91</v>
      </c>
      <c r="K60" s="1">
        <v>317.77999999999997</v>
      </c>
      <c r="L60" s="1">
        <v>292.02</v>
      </c>
      <c r="M60" s="1"/>
      <c r="N60" s="1"/>
      <c r="O60" s="1"/>
      <c r="P60" s="1"/>
      <c r="Q60" s="1"/>
      <c r="R60" s="1"/>
      <c r="S60" s="1"/>
    </row>
    <row r="61" spans="1:19" x14ac:dyDescent="0.2">
      <c r="A61" s="1" t="s">
        <v>171</v>
      </c>
      <c r="B61" s="1"/>
      <c r="C61" s="1"/>
      <c r="D61" s="1"/>
      <c r="E61" s="11"/>
      <c r="F61" s="1"/>
      <c r="G61" s="1"/>
      <c r="H61" s="1"/>
      <c r="I61" s="1" t="s">
        <v>173</v>
      </c>
      <c r="J61" s="1">
        <v>126.89</v>
      </c>
      <c r="K61" s="1">
        <v>271.83</v>
      </c>
      <c r="L61" s="1">
        <v>261.74</v>
      </c>
      <c r="M61" s="1">
        <v>242.96</v>
      </c>
      <c r="N61" s="1">
        <v>242.89</v>
      </c>
      <c r="O61" s="1">
        <v>220.31</v>
      </c>
      <c r="P61" s="1"/>
      <c r="Q61" s="1"/>
      <c r="R61" s="1"/>
      <c r="S61" s="1"/>
    </row>
    <row r="62" spans="1:19" x14ac:dyDescent="0.2">
      <c r="A62" s="1"/>
      <c r="B62" s="1"/>
      <c r="C62" s="1"/>
      <c r="D62" s="1"/>
      <c r="E62" s="1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</sheetData>
  <phoneticPr fontId="2" type="noConversion"/>
  <conditionalFormatting sqref="D46:S46">
    <cfRule type="expression" dxfId="0" priority="37">
      <formula>MOD(ROW(),2)</formula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32DAD-7CCD-46B8-A468-E5470AF999BE}">
  <dimension ref="A2:L72"/>
  <sheetViews>
    <sheetView tabSelected="1" view="pageLayout" topLeftCell="A10" zoomScaleNormal="100" workbookViewId="0">
      <selection activeCell="K23" sqref="K23"/>
    </sheetView>
  </sheetViews>
  <sheetFormatPr baseColWidth="10" defaultColWidth="11.42578125" defaultRowHeight="12.75" x14ac:dyDescent="0.2"/>
  <cols>
    <col min="1" max="1" width="1" style="13" customWidth="1"/>
    <col min="2" max="2" width="20.85546875" style="13" customWidth="1"/>
    <col min="3" max="3" width="1.5703125" style="13" customWidth="1"/>
    <col min="4" max="4" width="14.7109375" style="13" customWidth="1"/>
    <col min="5" max="5" width="1.5703125" style="13" customWidth="1"/>
    <col min="6" max="6" width="11.42578125" style="13"/>
    <col min="7" max="7" width="11.5703125" style="13" customWidth="1"/>
    <col min="8" max="8" width="1.42578125" style="13" customWidth="1"/>
    <col min="9" max="10" width="11" style="13" customWidth="1"/>
    <col min="11" max="11" width="10" style="13" customWidth="1"/>
    <col min="12" max="12" width="1" style="13" customWidth="1"/>
    <col min="13" max="16384" width="11.42578125" style="13"/>
  </cols>
  <sheetData>
    <row r="2" spans="6:11" x14ac:dyDescent="0.2">
      <c r="J2" s="15"/>
    </row>
    <row r="3" spans="6:11" x14ac:dyDescent="0.2">
      <c r="G3" s="78"/>
      <c r="H3" s="78"/>
      <c r="I3" s="78"/>
      <c r="J3" s="78"/>
    </row>
    <row r="8" spans="6:11" x14ac:dyDescent="0.2">
      <c r="G8" s="13" t="s">
        <v>184</v>
      </c>
      <c r="J8" s="16">
        <f ca="1">TODAY()</f>
        <v>45175</v>
      </c>
      <c r="K8" s="89">
        <f ca="1">YEAR(J8)</f>
        <v>2023</v>
      </c>
    </row>
    <row r="12" spans="6:11" x14ac:dyDescent="0.2">
      <c r="F12" s="17"/>
      <c r="H12" s="18"/>
      <c r="I12" s="19"/>
    </row>
    <row r="17" spans="1:12" x14ac:dyDescent="0.2">
      <c r="B17" s="20" t="s">
        <v>185</v>
      </c>
      <c r="C17" s="20" t="s">
        <v>186</v>
      </c>
      <c r="D17" s="13" t="s">
        <v>35</v>
      </c>
      <c r="G17" s="13" t="s">
        <v>3</v>
      </c>
      <c r="H17" s="13" t="s">
        <v>186</v>
      </c>
      <c r="I17" s="13" t="str">
        <f>VLOOKUP($D$17,T_BASE[],4,FALSE)</f>
        <v>BENNE</v>
      </c>
      <c r="J17" s="69"/>
    </row>
    <row r="18" spans="1:12" x14ac:dyDescent="0.2">
      <c r="B18" s="20" t="s">
        <v>4</v>
      </c>
      <c r="C18" s="20" t="s">
        <v>186</v>
      </c>
      <c r="D18" s="13" t="str">
        <f>VLOOKUP($D$17,T_BASE[],5,FALSE)</f>
        <v xml:space="preserve">RENAULT </v>
      </c>
      <c r="G18" s="13" t="s">
        <v>5</v>
      </c>
      <c r="H18" s="13" t="s">
        <v>186</v>
      </c>
      <c r="I18" s="13" t="str">
        <f>VLOOKUP($D$17,T_BASE[],6,FALSE)</f>
        <v>MAXITY</v>
      </c>
    </row>
    <row r="19" spans="1:12" x14ac:dyDescent="0.2">
      <c r="B19" s="20" t="s">
        <v>187</v>
      </c>
      <c r="C19" s="20" t="s">
        <v>186</v>
      </c>
      <c r="D19" s="13">
        <f>VLOOKUP($D$17,T_BASE[],3,FALSE)</f>
        <v>0</v>
      </c>
      <c r="G19" s="13" t="s">
        <v>188</v>
      </c>
      <c r="H19" s="13" t="s">
        <v>186</v>
      </c>
      <c r="I19" s="13">
        <f>VLOOKUP($D$17,T_BASE[],7,FALSE)</f>
        <v>0</v>
      </c>
    </row>
    <row r="22" spans="1:12" ht="6.75" customHeight="1" x14ac:dyDescent="0.2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3"/>
    </row>
    <row r="23" spans="1:12" x14ac:dyDescent="0.2">
      <c r="A23" s="24"/>
      <c r="B23" s="21" t="s">
        <v>189</v>
      </c>
      <c r="C23" s="22" t="s">
        <v>186</v>
      </c>
      <c r="D23" s="25">
        <f>VLOOKUP($D$17,T_BASE[],8,FALSE)</f>
        <v>0</v>
      </c>
      <c r="E23" s="26"/>
      <c r="F23" s="26"/>
      <c r="G23" s="27" t="s">
        <v>190</v>
      </c>
      <c r="H23" s="26" t="s">
        <v>186</v>
      </c>
      <c r="I23" s="28">
        <f>VLOOKUP($D$17,T_BASE[],16,FALSE)</f>
        <v>43935</v>
      </c>
      <c r="J23" s="26"/>
      <c r="K23" s="90">
        <f>VLOOKUP($D$17,T_BASE[],22,FALSE)</f>
        <v>2020</v>
      </c>
      <c r="L23" s="29"/>
    </row>
    <row r="24" spans="1:12" x14ac:dyDescent="0.2">
      <c r="A24" s="24"/>
      <c r="B24" s="24" t="s">
        <v>191</v>
      </c>
      <c r="C24" s="13" t="s">
        <v>186</v>
      </c>
      <c r="D24" s="30">
        <f>VLOOKUP($D$17,T_BASE[],11,FALSE)</f>
        <v>29100</v>
      </c>
      <c r="E24" s="31"/>
      <c r="F24" s="77" t="s">
        <v>192</v>
      </c>
      <c r="G24" s="77"/>
      <c r="H24" s="31" t="s">
        <v>186</v>
      </c>
      <c r="I24" s="31">
        <f>VLOOKUP($D$17,T_BASE[],13,FALSE)</f>
        <v>29100</v>
      </c>
      <c r="J24" s="31"/>
      <c r="K24" s="32"/>
      <c r="L24" s="29"/>
    </row>
    <row r="25" spans="1:12" ht="5.85" customHeight="1" x14ac:dyDescent="0.2">
      <c r="A25" s="24"/>
      <c r="B25" s="33"/>
      <c r="C25" s="33"/>
      <c r="D25" s="34"/>
      <c r="E25" s="35"/>
      <c r="F25" s="36"/>
      <c r="G25" s="36"/>
      <c r="H25" s="35"/>
      <c r="I25" s="35"/>
      <c r="J25" s="35"/>
      <c r="K25" s="35"/>
      <c r="L25" s="29"/>
    </row>
    <row r="26" spans="1:12" x14ac:dyDescent="0.2">
      <c r="A26" s="24"/>
      <c r="B26" s="37" t="s">
        <v>216</v>
      </c>
      <c r="C26" s="38" t="s">
        <v>186</v>
      </c>
      <c r="D26" s="39" t="str">
        <f ca="1">IF(D26="","",VLOOKUP($D$17,T_BASE[],12,FALSE))</f>
        <v>cédé le 14/03/2020</v>
      </c>
      <c r="E26" s="40"/>
      <c r="F26" s="79" t="s">
        <v>215</v>
      </c>
      <c r="G26" s="79"/>
      <c r="H26" s="40" t="s">
        <v>186</v>
      </c>
      <c r="I26" s="70" t="e">
        <f ca="1">INDEX(Matrice!A2:AL100,MATCH('Relevé refacturation'!D17,Matrice!$A$1:$A$100,0),MATCH(YEAR(TODAY()),Matrice!1:1,0))</f>
        <v>#N/A</v>
      </c>
      <c r="J26" s="40"/>
      <c r="K26" s="41"/>
      <c r="L26" s="29"/>
    </row>
    <row r="27" spans="1:12" ht="6" customHeight="1" x14ac:dyDescent="0.2">
      <c r="A27" s="24"/>
      <c r="L27" s="29"/>
    </row>
    <row r="28" spans="1:12" x14ac:dyDescent="0.2">
      <c r="A28" s="24"/>
      <c r="B28" s="42"/>
      <c r="C28" s="33"/>
      <c r="D28" s="33"/>
      <c r="E28" s="33"/>
      <c r="F28" s="33"/>
      <c r="G28" s="33"/>
      <c r="H28" s="33"/>
      <c r="I28" s="43" t="s">
        <v>193</v>
      </c>
      <c r="J28" s="43" t="s">
        <v>194</v>
      </c>
      <c r="K28" s="44" t="s">
        <v>195</v>
      </c>
      <c r="L28" s="29"/>
    </row>
    <row r="29" spans="1:12" x14ac:dyDescent="0.2">
      <c r="A29" s="24"/>
      <c r="B29" s="21"/>
      <c r="C29" s="22"/>
      <c r="D29" s="22"/>
      <c r="E29" s="22"/>
      <c r="F29" s="22"/>
      <c r="G29" s="22"/>
      <c r="H29" s="23"/>
      <c r="I29" s="45" t="e">
        <f ca="1">IF(K8&lt;=K23,D24/12),IF(K8&gt;K23,I26/12)</f>
        <v>#VALUE!</v>
      </c>
      <c r="J29" s="46">
        <v>0.2</v>
      </c>
      <c r="K29" s="45" t="e">
        <f t="shared" ref="K29:K36" ca="1" si="0">I29*J29</f>
        <v>#VALUE!</v>
      </c>
      <c r="L29" s="29"/>
    </row>
    <row r="30" spans="1:12" x14ac:dyDescent="0.2">
      <c r="A30" s="24"/>
      <c r="B30" s="24"/>
      <c r="H30" s="29"/>
      <c r="I30" s="47"/>
      <c r="J30" s="48"/>
      <c r="K30" s="47"/>
      <c r="L30" s="29"/>
    </row>
    <row r="31" spans="1:12" x14ac:dyDescent="0.2">
      <c r="A31" s="24"/>
      <c r="B31" s="24"/>
      <c r="D31" s="49"/>
      <c r="H31" s="29"/>
      <c r="I31" s="47"/>
      <c r="J31" s="48"/>
      <c r="K31" s="47"/>
      <c r="L31" s="29"/>
    </row>
    <row r="32" spans="1:12" x14ac:dyDescent="0.2">
      <c r="A32" s="24"/>
      <c r="B32" s="24" t="s">
        <v>196</v>
      </c>
      <c r="C32" s="13" t="s">
        <v>186</v>
      </c>
      <c r="D32" s="49">
        <f>VLOOKUP($D$17,T_BASE[],18,FALSE)</f>
        <v>0</v>
      </c>
      <c r="H32" s="29"/>
      <c r="I32" s="47" t="e">
        <f ca="1">D32/I26</f>
        <v>#N/A</v>
      </c>
      <c r="J32" s="48">
        <v>0.2</v>
      </c>
      <c r="K32" s="47" t="e">
        <f t="shared" ca="1" si="0"/>
        <v>#N/A</v>
      </c>
      <c r="L32" s="29"/>
    </row>
    <row r="33" spans="1:12" x14ac:dyDescent="0.2">
      <c r="A33" s="24"/>
      <c r="B33" s="24" t="s">
        <v>197</v>
      </c>
      <c r="C33" s="13" t="s">
        <v>186</v>
      </c>
      <c r="D33" s="49">
        <f>VLOOKUP($D$17,T_BASE[],19,FALSE)</f>
        <v>120</v>
      </c>
      <c r="H33" s="29"/>
      <c r="I33" s="47">
        <f>D33</f>
        <v>120</v>
      </c>
      <c r="J33" s="48">
        <v>0.2</v>
      </c>
      <c r="K33" s="47">
        <f t="shared" si="0"/>
        <v>24</v>
      </c>
      <c r="L33" s="29"/>
    </row>
    <row r="34" spans="1:12" x14ac:dyDescent="0.2">
      <c r="A34" s="24"/>
      <c r="B34" s="24" t="s">
        <v>198</v>
      </c>
      <c r="C34" s="13" t="s">
        <v>186</v>
      </c>
      <c r="D34" s="49">
        <f>VLOOKUP($D$17,T_BASE[],17,FALSE)</f>
        <v>405</v>
      </c>
      <c r="H34" s="29"/>
      <c r="I34" s="47" t="e">
        <f ca="1">IF(D34=0,0,D34/I26)</f>
        <v>#N/A</v>
      </c>
      <c r="J34" s="48">
        <v>0.2</v>
      </c>
      <c r="K34" s="47" t="e">
        <f t="shared" ca="1" si="0"/>
        <v>#N/A</v>
      </c>
      <c r="L34" s="29"/>
    </row>
    <row r="35" spans="1:12" x14ac:dyDescent="0.2">
      <c r="A35" s="24"/>
      <c r="B35" s="24" t="s">
        <v>199</v>
      </c>
      <c r="C35" s="13" t="s">
        <v>186</v>
      </c>
      <c r="D35" s="50">
        <f>VLOOKUP($D$17,T_ASSURANCES[],5,FALSE)</f>
        <v>0</v>
      </c>
      <c r="F35" s="13" t="s">
        <v>200</v>
      </c>
      <c r="G35" s="51" t="b">
        <f>IF(ISBLANK(VLOOKUP($D$17,T_ASSURANCES[],10,FALSE))=TRUE,VLOOKUP($D$17,T_ASSURANCES[],9,FALSE))</f>
        <v>0</v>
      </c>
      <c r="H35" s="29"/>
      <c r="I35" s="47">
        <f>G35/12</f>
        <v>0</v>
      </c>
      <c r="J35" s="52"/>
      <c r="K35" s="47">
        <f t="shared" si="0"/>
        <v>0</v>
      </c>
      <c r="L35" s="29"/>
    </row>
    <row r="36" spans="1:12" x14ac:dyDescent="0.2">
      <c r="A36" s="24"/>
      <c r="B36" s="37" t="s">
        <v>199</v>
      </c>
      <c r="C36" s="38" t="s">
        <v>186</v>
      </c>
      <c r="D36" s="53">
        <f>VLOOKUP($D$17,'[1]Assurances '!1:1048576,8,FALSE)</f>
        <v>6593682904</v>
      </c>
      <c r="E36" s="38"/>
      <c r="F36" s="38" t="s">
        <v>200</v>
      </c>
      <c r="G36" s="54"/>
      <c r="H36" s="55"/>
      <c r="I36" s="56">
        <f>G36/12</f>
        <v>0</v>
      </c>
      <c r="J36" s="57"/>
      <c r="K36" s="56">
        <f t="shared" si="0"/>
        <v>0</v>
      </c>
      <c r="L36" s="29"/>
    </row>
    <row r="37" spans="1:12" x14ac:dyDescent="0.2">
      <c r="A37" s="24"/>
      <c r="B37" s="58" t="s">
        <v>201</v>
      </c>
      <c r="C37" s="58"/>
      <c r="G37" s="42" t="s">
        <v>203</v>
      </c>
      <c r="H37" s="59"/>
      <c r="I37" s="60" t="e">
        <f ca="1">SUM(I29:I36)</f>
        <v>#VALUE!</v>
      </c>
      <c r="J37" s="60"/>
      <c r="K37" s="60" t="e">
        <f ca="1">SUM(K29:K36)</f>
        <v>#VALUE!</v>
      </c>
      <c r="L37" s="29"/>
    </row>
    <row r="38" spans="1:12" x14ac:dyDescent="0.2">
      <c r="A38" s="24"/>
      <c r="B38" s="58" t="s">
        <v>202</v>
      </c>
      <c r="C38" s="58"/>
      <c r="D38" s="58"/>
      <c r="G38" s="80" t="s">
        <v>204</v>
      </c>
      <c r="H38" s="81"/>
      <c r="I38" s="81"/>
      <c r="J38" s="82"/>
      <c r="K38" s="60" t="e">
        <f ca="1">SUM(K37+I37)</f>
        <v>#VALUE!</v>
      </c>
      <c r="L38" s="29"/>
    </row>
    <row r="39" spans="1:12" ht="6.75" customHeight="1" x14ac:dyDescent="0.2">
      <c r="A39" s="37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55"/>
    </row>
    <row r="41" spans="1:12" x14ac:dyDescent="0.2">
      <c r="B41" s="61" t="s">
        <v>205</v>
      </c>
      <c r="F41" s="62"/>
    </row>
    <row r="42" spans="1:12" x14ac:dyDescent="0.2">
      <c r="B42" s="13" t="s">
        <v>206</v>
      </c>
      <c r="F42" s="63" t="e">
        <f ca="1">I37*(52/50)</f>
        <v>#VALUE!</v>
      </c>
    </row>
    <row r="43" spans="1:12" x14ac:dyDescent="0.2">
      <c r="B43" s="13" t="s">
        <v>207</v>
      </c>
      <c r="F43" s="63" t="e">
        <f ca="1">F42/F41</f>
        <v>#VALUE!</v>
      </c>
    </row>
    <row r="45" spans="1:12" x14ac:dyDescent="0.2">
      <c r="G45" s="83" t="s">
        <v>208</v>
      </c>
      <c r="H45" s="83"/>
      <c r="I45" s="83"/>
      <c r="J45" s="83"/>
      <c r="K45" s="72" t="e">
        <f ca="1">F43*(0.4+1)</f>
        <v>#VALUE!</v>
      </c>
    </row>
    <row r="46" spans="1:12" x14ac:dyDescent="0.2">
      <c r="G46" s="84"/>
      <c r="H46" s="84"/>
      <c r="I46" s="84"/>
      <c r="J46" s="84"/>
      <c r="K46" s="73"/>
    </row>
    <row r="47" spans="1:12" x14ac:dyDescent="0.2">
      <c r="G47" s="58"/>
      <c r="H47" s="58"/>
    </row>
    <row r="49" spans="2:11" ht="12.75" customHeight="1" x14ac:dyDescent="0.2">
      <c r="B49" s="76" t="s">
        <v>209</v>
      </c>
      <c r="C49" s="76"/>
      <c r="D49" s="76"/>
      <c r="E49" s="76"/>
      <c r="F49" s="76"/>
      <c r="G49" s="76"/>
      <c r="H49" s="64"/>
      <c r="I49" s="64"/>
      <c r="J49" s="64"/>
      <c r="K49" s="64"/>
    </row>
    <row r="50" spans="2:11" x14ac:dyDescent="0.2">
      <c r="B50" s="76"/>
      <c r="C50" s="76"/>
      <c r="D50" s="76"/>
      <c r="E50" s="76"/>
      <c r="F50" s="76"/>
      <c r="G50" s="76"/>
      <c r="H50" s="64"/>
      <c r="I50" s="64"/>
      <c r="J50" s="64"/>
      <c r="K50" s="64"/>
    </row>
    <row r="51" spans="2:11" x14ac:dyDescent="0.2">
      <c r="B51" s="76"/>
      <c r="C51" s="76"/>
      <c r="D51" s="76"/>
      <c r="E51" s="76"/>
      <c r="F51" s="76"/>
      <c r="G51" s="76"/>
      <c r="H51" s="64"/>
      <c r="I51" s="64"/>
      <c r="J51" s="64"/>
      <c r="K51" s="64"/>
    </row>
    <row r="52" spans="2:11" x14ac:dyDescent="0.2">
      <c r="B52" s="76"/>
      <c r="C52" s="76"/>
      <c r="D52" s="76"/>
      <c r="E52" s="76"/>
      <c r="F52" s="76"/>
      <c r="G52" s="76"/>
      <c r="H52" s="64"/>
      <c r="I52" s="64"/>
      <c r="J52" s="64"/>
      <c r="K52" s="64"/>
    </row>
    <row r="53" spans="2:11" x14ac:dyDescent="0.2">
      <c r="B53" s="76"/>
      <c r="C53" s="76"/>
      <c r="D53" s="76"/>
      <c r="E53" s="76"/>
      <c r="F53" s="76"/>
      <c r="G53" s="76"/>
      <c r="H53" s="64"/>
      <c r="I53" s="64"/>
      <c r="J53" s="64"/>
      <c r="K53" s="64"/>
    </row>
    <row r="54" spans="2:11" x14ac:dyDescent="0.2">
      <c r="B54" s="76"/>
      <c r="C54" s="76"/>
      <c r="D54" s="76"/>
      <c r="E54" s="76"/>
      <c r="F54" s="76"/>
      <c r="G54" s="76"/>
      <c r="H54" s="64"/>
      <c r="I54" s="64"/>
      <c r="J54" s="64"/>
      <c r="K54" s="64"/>
    </row>
    <row r="55" spans="2:11" x14ac:dyDescent="0.2">
      <c r="B55" s="76"/>
      <c r="C55" s="76"/>
      <c r="D55" s="76"/>
      <c r="E55" s="76"/>
      <c r="F55" s="76"/>
      <c r="G55" s="76"/>
      <c r="H55" s="64"/>
      <c r="I55" s="64"/>
      <c r="J55" s="64"/>
      <c r="K55" s="64"/>
    </row>
    <row r="56" spans="2:11" x14ac:dyDescent="0.2">
      <c r="B56" s="76"/>
      <c r="C56" s="76"/>
      <c r="D56" s="76"/>
      <c r="E56" s="76"/>
      <c r="F56" s="76"/>
      <c r="G56" s="76"/>
      <c r="H56" s="64"/>
      <c r="I56" s="64"/>
      <c r="J56" s="64"/>
      <c r="K56" s="64"/>
    </row>
    <row r="57" spans="2:11" x14ac:dyDescent="0.2">
      <c r="B57" s="76"/>
      <c r="C57" s="76"/>
      <c r="D57" s="76"/>
      <c r="E57" s="76"/>
      <c r="F57" s="76"/>
      <c r="G57" s="76"/>
      <c r="H57" s="64"/>
      <c r="I57" s="64"/>
      <c r="J57" s="64"/>
      <c r="K57" s="64"/>
    </row>
    <row r="58" spans="2:11" x14ac:dyDescent="0.2">
      <c r="B58" s="64"/>
      <c r="C58" s="64"/>
      <c r="D58" s="64"/>
      <c r="E58" s="64"/>
      <c r="F58" s="64"/>
      <c r="G58" s="64"/>
      <c r="H58" s="64"/>
      <c r="I58" s="64"/>
      <c r="J58" s="64"/>
      <c r="K58" s="64"/>
    </row>
    <row r="59" spans="2:11" x14ac:dyDescent="0.2">
      <c r="B59" s="64"/>
      <c r="C59" s="64"/>
      <c r="D59" s="64"/>
      <c r="E59" s="64"/>
      <c r="F59" s="64"/>
      <c r="G59" s="64"/>
      <c r="H59" s="64"/>
      <c r="I59" s="64"/>
      <c r="J59" s="64"/>
      <c r="K59" s="64"/>
    </row>
    <row r="60" spans="2:11" x14ac:dyDescent="0.2">
      <c r="B60" s="64"/>
      <c r="C60" s="64"/>
      <c r="D60" s="64"/>
      <c r="E60" s="64"/>
      <c r="F60" s="64"/>
      <c r="G60" s="64"/>
      <c r="H60" s="64"/>
      <c r="I60" s="64"/>
      <c r="J60" s="64"/>
      <c r="K60" s="64"/>
    </row>
    <row r="61" spans="2:11" x14ac:dyDescent="0.2">
      <c r="B61" s="64"/>
      <c r="C61" s="64"/>
      <c r="D61" s="64"/>
      <c r="E61" s="64"/>
      <c r="F61" s="64"/>
      <c r="G61" s="64"/>
      <c r="H61" s="64"/>
      <c r="I61" s="64"/>
      <c r="J61" s="64"/>
      <c r="K61" s="64"/>
    </row>
    <row r="62" spans="2:11" x14ac:dyDescent="0.2">
      <c r="B62" s="64"/>
      <c r="C62" s="64"/>
      <c r="D62" s="64"/>
      <c r="E62" s="64"/>
      <c r="F62" s="64"/>
      <c r="G62" s="64"/>
      <c r="H62" s="64"/>
      <c r="I62" s="64"/>
      <c r="J62" s="64"/>
      <c r="K62" s="64"/>
    </row>
    <row r="63" spans="2:11" x14ac:dyDescent="0.2">
      <c r="B63" s="64"/>
      <c r="C63" s="64"/>
      <c r="D63" s="64"/>
      <c r="E63" s="64"/>
      <c r="F63" s="64"/>
      <c r="G63" s="64"/>
      <c r="H63" s="64"/>
      <c r="I63" s="64"/>
      <c r="J63" s="64"/>
      <c r="K63" s="64"/>
    </row>
    <row r="64" spans="2:11" x14ac:dyDescent="0.2">
      <c r="B64" s="64"/>
      <c r="C64" s="64"/>
      <c r="D64" s="64"/>
      <c r="E64" s="64"/>
      <c r="F64" s="64"/>
      <c r="G64" s="64"/>
      <c r="H64" s="64"/>
      <c r="I64" s="64"/>
      <c r="J64" s="64"/>
      <c r="K64" s="64"/>
    </row>
    <row r="66" spans="2:7" x14ac:dyDescent="0.2">
      <c r="B66" s="61" t="s">
        <v>210</v>
      </c>
    </row>
    <row r="68" spans="2:7" ht="15" x14ac:dyDescent="0.25">
      <c r="B68" s="65"/>
      <c r="C68" s="65"/>
      <c r="D68" s="74" t="s">
        <v>183</v>
      </c>
      <c r="E68" s="75"/>
      <c r="F68" s="71" t="s">
        <v>211</v>
      </c>
      <c r="G68" s="71" t="s">
        <v>239</v>
      </c>
    </row>
    <row r="69" spans="2:7" x14ac:dyDescent="0.2">
      <c r="B69" s="65" t="s">
        <v>212</v>
      </c>
      <c r="C69" s="65"/>
      <c r="D69" s="65">
        <v>15.61</v>
      </c>
      <c r="E69" s="65"/>
      <c r="F69" s="65">
        <v>0.8</v>
      </c>
      <c r="G69" s="65">
        <v>1.18</v>
      </c>
    </row>
    <row r="70" spans="2:7" x14ac:dyDescent="0.2">
      <c r="B70" s="65" t="s">
        <v>213</v>
      </c>
      <c r="C70" s="65"/>
      <c r="D70" s="65">
        <v>11.42</v>
      </c>
      <c r="E70" s="65"/>
      <c r="F70" s="65">
        <v>2.52</v>
      </c>
      <c r="G70" s="65">
        <v>0.12</v>
      </c>
    </row>
    <row r="71" spans="2:7" x14ac:dyDescent="0.2">
      <c r="B71" s="65" t="s">
        <v>151</v>
      </c>
      <c r="C71" s="65"/>
      <c r="D71" s="65">
        <v>10.11</v>
      </c>
      <c r="E71" s="65"/>
      <c r="F71" s="65">
        <v>0.2</v>
      </c>
      <c r="G71" s="65">
        <v>1.17</v>
      </c>
    </row>
    <row r="72" spans="2:7" x14ac:dyDescent="0.2">
      <c r="B72" s="65" t="s">
        <v>214</v>
      </c>
      <c r="C72" s="65"/>
      <c r="D72" s="65">
        <v>7.26</v>
      </c>
      <c r="E72" s="65"/>
      <c r="F72" s="65">
        <v>0</v>
      </c>
      <c r="G72" s="65">
        <v>0.19</v>
      </c>
    </row>
  </sheetData>
  <mergeCells count="8">
    <mergeCell ref="K45:K46"/>
    <mergeCell ref="D68:E68"/>
    <mergeCell ref="B49:G57"/>
    <mergeCell ref="F24:G24"/>
    <mergeCell ref="G3:J3"/>
    <mergeCell ref="F26:G26"/>
    <mergeCell ref="G38:J38"/>
    <mergeCell ref="G45:J46"/>
  </mergeCells>
  <dataValidations count="1">
    <dataValidation type="list" allowBlank="1" showInputMessage="1" showErrorMessage="1" sqref="G3:J3" xr:uid="{E9536DAD-8AB1-4CB6-9E3A-6D66E2CE326C}">
      <formula1>$D$68:$G$68</formula1>
    </dataValidation>
  </dataValidations>
  <pageMargins left="0.31496062992125984" right="0.31496062992125984" top="0.35433070866141736" bottom="0.35433070866141736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61E067E-631A-4178-BEFF-0BA8129BFAAA}">
          <x14:formula1>
            <xm:f>Matrice!$A$2:$A$100</xm:f>
          </x14:formula1>
          <xm:sqref>D17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8C72F-F951-472D-A305-73CBFB46FBAE}">
  <dimension ref="A1:D6"/>
  <sheetViews>
    <sheetView workbookViewId="0">
      <selection activeCell="J8" sqref="J8"/>
    </sheetView>
  </sheetViews>
  <sheetFormatPr baseColWidth="10" defaultRowHeight="15" x14ac:dyDescent="0.25"/>
  <cols>
    <col min="3" max="3" width="11.5703125" style="68" customWidth="1"/>
    <col min="4" max="4" width="11.42578125" style="68"/>
  </cols>
  <sheetData>
    <row r="1" spans="1:4" x14ac:dyDescent="0.25">
      <c r="A1" t="s">
        <v>225</v>
      </c>
      <c r="B1" t="s">
        <v>226</v>
      </c>
      <c r="C1" t="s">
        <v>227</v>
      </c>
      <c r="D1" t="s">
        <v>228</v>
      </c>
    </row>
    <row r="2" spans="1:4" x14ac:dyDescent="0.25">
      <c r="A2" t="s">
        <v>218</v>
      </c>
      <c r="B2" t="s">
        <v>221</v>
      </c>
      <c r="C2" s="88">
        <v>6.4999999999999997E-3</v>
      </c>
      <c r="D2" s="68">
        <v>0.05</v>
      </c>
    </row>
    <row r="3" spans="1:4" x14ac:dyDescent="0.25">
      <c r="A3" t="s">
        <v>236</v>
      </c>
      <c r="B3" t="s">
        <v>223</v>
      </c>
      <c r="C3" s="88">
        <v>5.0000000000000001E-3</v>
      </c>
      <c r="D3" s="68">
        <v>7.0000000000000007E-2</v>
      </c>
    </row>
    <row r="4" spans="1:4" x14ac:dyDescent="0.25">
      <c r="A4" t="s">
        <v>219</v>
      </c>
      <c r="B4" t="s">
        <v>222</v>
      </c>
      <c r="C4" s="88">
        <v>5.0000000000000001E-3</v>
      </c>
      <c r="D4" s="68">
        <v>7.0000000000000007E-2</v>
      </c>
    </row>
    <row r="5" spans="1:4" x14ac:dyDescent="0.25">
      <c r="A5" t="s">
        <v>220</v>
      </c>
      <c r="B5" t="s">
        <v>224</v>
      </c>
      <c r="C5" s="88">
        <v>5.0000000000000001E-3</v>
      </c>
      <c r="D5" s="68">
        <v>7.0000000000000007E-2</v>
      </c>
    </row>
    <row r="6" spans="1:4" x14ac:dyDescent="0.25">
      <c r="A6" t="s">
        <v>237</v>
      </c>
      <c r="B6" t="s">
        <v>238</v>
      </c>
      <c r="C6" s="88">
        <v>5.0000000000000001E-3</v>
      </c>
      <c r="D6" s="68">
        <v>7.0000000000000007E-2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Matrice</vt:lpstr>
      <vt:lpstr>Assurance</vt:lpstr>
      <vt:lpstr>Relevé refacturation</vt:lpstr>
      <vt:lpstr>Paramétres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Talas</dc:creator>
  <cp:lastModifiedBy>William Talas</cp:lastModifiedBy>
  <dcterms:created xsi:type="dcterms:W3CDTF">2023-08-04T15:38:41Z</dcterms:created>
  <dcterms:modified xsi:type="dcterms:W3CDTF">2023-09-06T13:08:25Z</dcterms:modified>
</cp:coreProperties>
</file>