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ustomProperty1.bin" ContentType="application/vnd.openxmlformats-officedocument.spreadsheetml.customProperty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ustomProperty2.bin" ContentType="application/vnd.openxmlformats-officedocument.spreadsheetml.customProperty"/>
  <Override PartName="/xl/customProperty3.bin" ContentType="application/vnd.openxmlformats-officedocument.spreadsheetml.customProperty"/>
  <Override PartName="/xl/drawings/drawing2.xml" ContentType="application/vnd.openxmlformats-officedocument.drawing+xml"/>
  <Override PartName="/xl/customProperty4.bin" ContentType="application/vnd.openxmlformats-officedocument.spreadsheetml.customProperty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updateLinks="never"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P:\23 - WILLIAM\REFACTURATION VEHICULE GROUPE PDG\"/>
    </mc:Choice>
  </mc:AlternateContent>
  <xr:revisionPtr revIDLastSave="0" documentId="13_ncr:1_{F9FE6FC8-F634-4A45-8A05-E59BAD944019}" xr6:coauthVersionLast="47" xr6:coauthVersionMax="47" xr10:uidLastSave="{00000000-0000-0000-0000-000000000000}"/>
  <bookViews>
    <workbookView xWindow="-120" yWindow="-120" windowWidth="29040" windowHeight="15720" activeTab="2" xr2:uid="{2230FA44-EEF8-4995-8793-D7FA174E4B80}"/>
  </bookViews>
  <sheets>
    <sheet name="Véhicules MAJ 20012022" sheetId="1" r:id="rId1"/>
    <sheet name="Assurances " sheetId="11" r:id="rId2"/>
    <sheet name="Feuil1" sheetId="7" r:id="rId3"/>
    <sheet name="Feuil2" sheetId="17" r:id="rId4"/>
  </sheets>
  <definedNames>
    <definedName name="REFERENCE">'Véhicules MAJ 20012022'!$A:$A</definedName>
  </definedNames>
  <calcPr calcId="191029" iterate="1" iterateDelta="1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N2" i="1" l="1"/>
  <c r="AM2" i="1" s="1"/>
  <c r="AL2" i="1" s="1"/>
  <c r="AK2" i="1" s="1"/>
  <c r="AJ2" i="1" s="1"/>
  <c r="AI2" i="1" s="1"/>
  <c r="AH2" i="1" s="1"/>
  <c r="AG2" i="1" s="1"/>
  <c r="AF2" i="1" s="1"/>
  <c r="AE2" i="1" s="1"/>
  <c r="AO3" i="1"/>
  <c r="AN3" i="1" s="1"/>
  <c r="AM3" i="1" s="1"/>
  <c r="AL3" i="1" s="1"/>
  <c r="AK3" i="1" s="1"/>
  <c r="AJ3" i="1" s="1"/>
  <c r="AI3" i="1" s="1"/>
  <c r="AH3" i="1" s="1"/>
  <c r="AG3" i="1" s="1"/>
  <c r="AF3" i="1" s="1"/>
  <c r="AE3" i="1" s="1"/>
  <c r="AO4" i="1"/>
  <c r="AN4" i="1" s="1"/>
  <c r="AM4" i="1" s="1"/>
  <c r="AL4" i="1" s="1"/>
  <c r="AK4" i="1" s="1"/>
  <c r="AJ4" i="1" s="1"/>
  <c r="AI4" i="1" s="1"/>
  <c r="AH4" i="1" s="1"/>
  <c r="AG4" i="1" s="1"/>
  <c r="AF4" i="1" s="1"/>
  <c r="AE4" i="1" s="1"/>
  <c r="AN5" i="1"/>
  <c r="AM5" i="1" s="1"/>
  <c r="AL5" i="1" s="1"/>
  <c r="AK5" i="1" s="1"/>
  <c r="AJ5" i="1" s="1"/>
  <c r="AI5" i="1" s="1"/>
  <c r="AH5" i="1" s="1"/>
  <c r="AG5" i="1" s="1"/>
  <c r="AF5" i="1" s="1"/>
  <c r="AE5" i="1" s="1"/>
  <c r="AO5" i="1"/>
  <c r="AO6" i="1"/>
  <c r="AN6" i="1" s="1"/>
  <c r="AM6" i="1" s="1"/>
  <c r="AL6" i="1" s="1"/>
  <c r="AK6" i="1" s="1"/>
  <c r="AJ6" i="1" s="1"/>
  <c r="AI6" i="1" s="1"/>
  <c r="AH6" i="1" s="1"/>
  <c r="AG6" i="1" s="1"/>
  <c r="AF6" i="1" s="1"/>
  <c r="AE6" i="1" s="1"/>
  <c r="AO7" i="1"/>
  <c r="AN7" i="1" s="1"/>
  <c r="AM7" i="1" s="1"/>
  <c r="AL7" i="1" s="1"/>
  <c r="AK7" i="1" s="1"/>
  <c r="AJ7" i="1" s="1"/>
  <c r="AI7" i="1" s="1"/>
  <c r="AH7" i="1" s="1"/>
  <c r="AG7" i="1" s="1"/>
  <c r="AF7" i="1" s="1"/>
  <c r="AE7" i="1" s="1"/>
  <c r="AO8" i="1"/>
  <c r="AN8" i="1" s="1"/>
  <c r="AM8" i="1" s="1"/>
  <c r="AL8" i="1" s="1"/>
  <c r="AK8" i="1" s="1"/>
  <c r="AJ8" i="1" s="1"/>
  <c r="AI8" i="1" s="1"/>
  <c r="AH8" i="1" s="1"/>
  <c r="AG8" i="1" s="1"/>
  <c r="AF8" i="1" s="1"/>
  <c r="AE8" i="1" s="1"/>
  <c r="AO9" i="1"/>
  <c r="AN9" i="1" s="1"/>
  <c r="AM9" i="1" s="1"/>
  <c r="AL9" i="1" s="1"/>
  <c r="AK9" i="1" s="1"/>
  <c r="AJ9" i="1" s="1"/>
  <c r="AI9" i="1" s="1"/>
  <c r="AH9" i="1" s="1"/>
  <c r="AG9" i="1" s="1"/>
  <c r="AF9" i="1" s="1"/>
  <c r="AE9" i="1" s="1"/>
  <c r="AO10" i="1"/>
  <c r="AN10" i="1" s="1"/>
  <c r="AM10" i="1" s="1"/>
  <c r="AL10" i="1" s="1"/>
  <c r="AK10" i="1" s="1"/>
  <c r="AJ10" i="1" s="1"/>
  <c r="AI10" i="1" s="1"/>
  <c r="AH10" i="1" s="1"/>
  <c r="AG10" i="1" s="1"/>
  <c r="AF10" i="1" s="1"/>
  <c r="AE10" i="1" s="1"/>
  <c r="AN11" i="1"/>
  <c r="AM11" i="1" s="1"/>
  <c r="AL11" i="1" s="1"/>
  <c r="AK11" i="1" s="1"/>
  <c r="AJ11" i="1" s="1"/>
  <c r="AI11" i="1" s="1"/>
  <c r="AH11" i="1" s="1"/>
  <c r="AG11" i="1" s="1"/>
  <c r="AF11" i="1" s="1"/>
  <c r="AE11" i="1" s="1"/>
  <c r="AO11" i="1"/>
  <c r="AO12" i="1"/>
  <c r="AN12" i="1" s="1"/>
  <c r="AM12" i="1" s="1"/>
  <c r="AL12" i="1" s="1"/>
  <c r="AK12" i="1" s="1"/>
  <c r="AJ12" i="1" s="1"/>
  <c r="AI12" i="1" s="1"/>
  <c r="AH12" i="1" s="1"/>
  <c r="AG12" i="1" s="1"/>
  <c r="AF12" i="1" s="1"/>
  <c r="AE12" i="1" s="1"/>
  <c r="AN13" i="1"/>
  <c r="AM13" i="1" s="1"/>
  <c r="AL13" i="1" s="1"/>
  <c r="AK13" i="1" s="1"/>
  <c r="AJ13" i="1" s="1"/>
  <c r="AI13" i="1" s="1"/>
  <c r="AH13" i="1" s="1"/>
  <c r="AG13" i="1" s="1"/>
  <c r="AF13" i="1" s="1"/>
  <c r="AE13" i="1" s="1"/>
  <c r="AO13" i="1"/>
  <c r="AO14" i="1"/>
  <c r="AN14" i="1" s="1"/>
  <c r="AM14" i="1" s="1"/>
  <c r="AL14" i="1" s="1"/>
  <c r="AK14" i="1" s="1"/>
  <c r="AJ14" i="1" s="1"/>
  <c r="AI14" i="1" s="1"/>
  <c r="AH14" i="1" s="1"/>
  <c r="AG14" i="1" s="1"/>
  <c r="AF14" i="1" s="1"/>
  <c r="AE14" i="1" s="1"/>
  <c r="AN17" i="1"/>
  <c r="AN16" i="1"/>
  <c r="AN15" i="1"/>
  <c r="AO17" i="1"/>
  <c r="AO16" i="1"/>
  <c r="AO15" i="1"/>
  <c r="AO2" i="1"/>
  <c r="AC17" i="1"/>
  <c r="AC16" i="1"/>
  <c r="AC15" i="1"/>
  <c r="AC14" i="1"/>
  <c r="AC13" i="1"/>
  <c r="AC12" i="1"/>
  <c r="AC11" i="1"/>
  <c r="AC10" i="1"/>
  <c r="AC9" i="1"/>
  <c r="AC8" i="1"/>
  <c r="AC7" i="1"/>
  <c r="AC6" i="1"/>
  <c r="AC5" i="1"/>
  <c r="AC4" i="1"/>
  <c r="AC3" i="1"/>
  <c r="AC2" i="1"/>
  <c r="G33" i="7"/>
  <c r="AP49" i="1"/>
  <c r="AO49" i="1"/>
  <c r="AN49" i="1"/>
  <c r="AM49" i="1"/>
  <c r="AL49" i="1"/>
  <c r="AK49" i="1"/>
  <c r="AJ49" i="1"/>
  <c r="AI49" i="1"/>
  <c r="AH49" i="1"/>
  <c r="AG49" i="1"/>
  <c r="AF49" i="1"/>
  <c r="AE49" i="1"/>
  <c r="AP48" i="1"/>
  <c r="AO48" i="1"/>
  <c r="AN48" i="1"/>
  <c r="AM48" i="1"/>
  <c r="AL48" i="1"/>
  <c r="AK48" i="1"/>
  <c r="AJ48" i="1"/>
  <c r="AI48" i="1"/>
  <c r="AH48" i="1"/>
  <c r="AG48" i="1"/>
  <c r="AF48" i="1"/>
  <c r="AE48" i="1"/>
  <c r="AP47" i="1"/>
  <c r="AO47" i="1"/>
  <c r="AN47" i="1"/>
  <c r="AM47" i="1"/>
  <c r="AL47" i="1"/>
  <c r="AK47" i="1"/>
  <c r="AJ47" i="1"/>
  <c r="AI47" i="1"/>
  <c r="AH47" i="1"/>
  <c r="AG47" i="1"/>
  <c r="AF47" i="1"/>
  <c r="AE47" i="1"/>
  <c r="AP46" i="1"/>
  <c r="AO46" i="1"/>
  <c r="AN46" i="1"/>
  <c r="AM46" i="1"/>
  <c r="AL46" i="1"/>
  <c r="AK46" i="1"/>
  <c r="AJ46" i="1"/>
  <c r="AI46" i="1"/>
  <c r="AH46" i="1"/>
  <c r="AG46" i="1"/>
  <c r="AF46" i="1"/>
  <c r="AE46" i="1"/>
  <c r="AP45" i="1"/>
  <c r="AO45" i="1"/>
  <c r="AN45" i="1"/>
  <c r="AM45" i="1"/>
  <c r="AL45" i="1"/>
  <c r="AK45" i="1"/>
  <c r="AJ45" i="1"/>
  <c r="AI45" i="1"/>
  <c r="AH45" i="1"/>
  <c r="AG45" i="1"/>
  <c r="AF45" i="1"/>
  <c r="AE45" i="1"/>
  <c r="AP44" i="1"/>
  <c r="AO44" i="1"/>
  <c r="AN44" i="1"/>
  <c r="AM44" i="1"/>
  <c r="AL44" i="1"/>
  <c r="AK44" i="1"/>
  <c r="AJ44" i="1"/>
  <c r="AI44" i="1"/>
  <c r="AH44" i="1"/>
  <c r="AG44" i="1"/>
  <c r="AF44" i="1"/>
  <c r="AE44" i="1"/>
  <c r="AP43" i="1"/>
  <c r="AO43" i="1"/>
  <c r="AN43" i="1"/>
  <c r="AM43" i="1"/>
  <c r="AL43" i="1"/>
  <c r="AK43" i="1"/>
  <c r="AJ43" i="1"/>
  <c r="AI43" i="1"/>
  <c r="AH43" i="1"/>
  <c r="AG43" i="1"/>
  <c r="AF43" i="1"/>
  <c r="AE43" i="1"/>
  <c r="AP42" i="1"/>
  <c r="AO42" i="1"/>
  <c r="AN42" i="1"/>
  <c r="AM42" i="1"/>
  <c r="AL42" i="1"/>
  <c r="AK42" i="1"/>
  <c r="AJ42" i="1"/>
  <c r="AI42" i="1"/>
  <c r="AH42" i="1"/>
  <c r="AG42" i="1"/>
  <c r="AF42" i="1"/>
  <c r="AE42" i="1"/>
  <c r="AP41" i="1"/>
  <c r="AO41" i="1"/>
  <c r="AN41" i="1"/>
  <c r="AM41" i="1"/>
  <c r="AL41" i="1"/>
  <c r="AK41" i="1"/>
  <c r="AJ41" i="1"/>
  <c r="AI41" i="1"/>
  <c r="AH41" i="1"/>
  <c r="AG41" i="1"/>
  <c r="AF41" i="1"/>
  <c r="AE41" i="1"/>
  <c r="AP40" i="1"/>
  <c r="AO40" i="1"/>
  <c r="AN40" i="1"/>
  <c r="AM40" i="1"/>
  <c r="AL40" i="1"/>
  <c r="AK40" i="1"/>
  <c r="AJ40" i="1"/>
  <c r="AI40" i="1"/>
  <c r="AH40" i="1"/>
  <c r="AG40" i="1"/>
  <c r="AF40" i="1"/>
  <c r="AE40" i="1"/>
  <c r="AP39" i="1"/>
  <c r="AO39" i="1"/>
  <c r="AN39" i="1"/>
  <c r="AM39" i="1"/>
  <c r="AL39" i="1"/>
  <c r="AK39" i="1"/>
  <c r="AJ39" i="1"/>
  <c r="AI39" i="1"/>
  <c r="AH39" i="1"/>
  <c r="AG39" i="1"/>
  <c r="AF39" i="1"/>
  <c r="AE39" i="1"/>
  <c r="AP38" i="1"/>
  <c r="AO38" i="1"/>
  <c r="AN38" i="1"/>
  <c r="AM38" i="1"/>
  <c r="AL38" i="1"/>
  <c r="AK38" i="1"/>
  <c r="AJ38" i="1"/>
  <c r="AI38" i="1"/>
  <c r="AH38" i="1"/>
  <c r="AG38" i="1"/>
  <c r="AF38" i="1"/>
  <c r="AE38" i="1"/>
  <c r="AP37" i="1"/>
  <c r="AO37" i="1"/>
  <c r="AN37" i="1"/>
  <c r="AM37" i="1"/>
  <c r="AL37" i="1"/>
  <c r="AK37" i="1"/>
  <c r="AJ37" i="1"/>
  <c r="AI37" i="1"/>
  <c r="AH37" i="1"/>
  <c r="AG37" i="1"/>
  <c r="AF37" i="1"/>
  <c r="AE37" i="1"/>
  <c r="AP36" i="1"/>
  <c r="AO36" i="1"/>
  <c r="AN36" i="1"/>
  <c r="AM36" i="1"/>
  <c r="AL36" i="1"/>
  <c r="AK36" i="1"/>
  <c r="AJ36" i="1"/>
  <c r="AI36" i="1"/>
  <c r="AH36" i="1"/>
  <c r="AG36" i="1"/>
  <c r="AF36" i="1"/>
  <c r="AE36" i="1"/>
  <c r="AP35" i="1"/>
  <c r="AO35" i="1"/>
  <c r="AN35" i="1"/>
  <c r="AM35" i="1"/>
  <c r="AL35" i="1"/>
  <c r="AK35" i="1"/>
  <c r="AJ35" i="1"/>
  <c r="AI35" i="1"/>
  <c r="AH35" i="1"/>
  <c r="AG35" i="1"/>
  <c r="AF35" i="1"/>
  <c r="AE35" i="1"/>
  <c r="AP34" i="1"/>
  <c r="AO34" i="1"/>
  <c r="AN34" i="1"/>
  <c r="AM34" i="1"/>
  <c r="AL34" i="1"/>
  <c r="AK34" i="1"/>
  <c r="AJ34" i="1"/>
  <c r="AI34" i="1"/>
  <c r="AH34" i="1"/>
  <c r="AG34" i="1"/>
  <c r="AF34" i="1"/>
  <c r="AE34" i="1"/>
  <c r="AP33" i="1"/>
  <c r="AO33" i="1"/>
  <c r="AN33" i="1"/>
  <c r="AM33" i="1"/>
  <c r="AL33" i="1"/>
  <c r="AK33" i="1"/>
  <c r="AJ33" i="1"/>
  <c r="AI33" i="1"/>
  <c r="AH33" i="1"/>
  <c r="AG33" i="1"/>
  <c r="AF33" i="1"/>
  <c r="AE33" i="1"/>
  <c r="AN60" i="1"/>
  <c r="AP65" i="1"/>
  <c r="AO65" i="1"/>
  <c r="AP64" i="1"/>
  <c r="AO64" i="1"/>
  <c r="AP63" i="1"/>
  <c r="AO63" i="1"/>
  <c r="AP62" i="1"/>
  <c r="AO62" i="1"/>
  <c r="AP61" i="1"/>
  <c r="AO61" i="1"/>
  <c r="AP60" i="1"/>
  <c r="AO60" i="1"/>
  <c r="AP59" i="1"/>
  <c r="AO59" i="1"/>
  <c r="AP58" i="1"/>
  <c r="AO58" i="1"/>
  <c r="AP57" i="1"/>
  <c r="AO57" i="1"/>
  <c r="AP56" i="1"/>
  <c r="AO56" i="1"/>
  <c r="AP55" i="1"/>
  <c r="AO55" i="1"/>
  <c r="AP54" i="1"/>
  <c r="AO54" i="1"/>
  <c r="AP53" i="1"/>
  <c r="AO53" i="1"/>
  <c r="AP52" i="1"/>
  <c r="AO52" i="1"/>
  <c r="AP51" i="1"/>
  <c r="AO51" i="1"/>
  <c r="AQ1" i="1"/>
  <c r="V3" i="1"/>
  <c r="V4" i="1"/>
  <c r="V5" i="1"/>
  <c r="V6" i="1"/>
  <c r="V7" i="1"/>
  <c r="V8" i="1"/>
  <c r="V9" i="1"/>
  <c r="V10" i="1"/>
  <c r="V11" i="1"/>
  <c r="V12" i="1"/>
  <c r="V13" i="1"/>
  <c r="V14" i="1"/>
  <c r="V15" i="1"/>
  <c r="V16" i="1"/>
  <c r="V17" i="1"/>
  <c r="V18" i="1"/>
  <c r="V19" i="1"/>
  <c r="V20" i="1"/>
  <c r="V21" i="1"/>
  <c r="V22" i="1"/>
  <c r="V23" i="1"/>
  <c r="V24" i="1"/>
  <c r="V25" i="1"/>
  <c r="V26" i="1"/>
  <c r="V27" i="1"/>
  <c r="V28" i="1"/>
  <c r="V29" i="1"/>
  <c r="V30" i="1"/>
  <c r="V31" i="1"/>
  <c r="V32" i="1"/>
  <c r="V33" i="1"/>
  <c r="V34" i="1"/>
  <c r="V35" i="1"/>
  <c r="V36" i="1"/>
  <c r="V37" i="1"/>
  <c r="V38" i="1"/>
  <c r="V39" i="1"/>
  <c r="V40" i="1"/>
  <c r="V41" i="1"/>
  <c r="V42" i="1"/>
  <c r="V43" i="1"/>
  <c r="V44" i="1"/>
  <c r="V45" i="1"/>
  <c r="V46" i="1"/>
  <c r="V47" i="1"/>
  <c r="V48" i="1"/>
  <c r="V49" i="1"/>
  <c r="V50" i="1"/>
  <c r="V51" i="1"/>
  <c r="V52" i="1"/>
  <c r="V53" i="1"/>
  <c r="V54" i="1"/>
  <c r="V55" i="1"/>
  <c r="V56" i="1"/>
  <c r="V57" i="1"/>
  <c r="V58" i="1"/>
  <c r="V59" i="1"/>
  <c r="V60" i="1"/>
  <c r="V61" i="1"/>
  <c r="V62" i="1"/>
  <c r="V63" i="1"/>
  <c r="V64" i="1"/>
  <c r="V65" i="1"/>
  <c r="V66" i="1"/>
  <c r="V2" i="1"/>
  <c r="J8" i="7"/>
  <c r="B88" i="7" s="1"/>
  <c r="W18" i="1" a="1"/>
  <c r="W18" i="1" s="1"/>
  <c r="W20" i="1" a="1"/>
  <c r="W20" i="1"/>
  <c r="W21" i="1" a="1"/>
  <c r="W21" i="1" s="1"/>
  <c r="W22" i="1" a="1"/>
  <c r="W22" i="1"/>
  <c r="W23" i="1" a="1"/>
  <c r="W23" i="1"/>
  <c r="W24" i="1" a="1"/>
  <c r="W24" i="1" s="1"/>
  <c r="W25" i="1" a="1"/>
  <c r="W25" i="1"/>
  <c r="W26" i="1" a="1"/>
  <c r="W26" i="1"/>
  <c r="W27" i="1" a="1"/>
  <c r="W27" i="1"/>
  <c r="W28" i="1" a="1"/>
  <c r="W28" i="1" s="1"/>
  <c r="W29" i="1" a="1"/>
  <c r="W29" i="1" s="1"/>
  <c r="W30" i="1" a="1"/>
  <c r="W30" i="1"/>
  <c r="W31" i="1" a="1"/>
  <c r="W31" i="1" s="1"/>
  <c r="W32" i="1" a="1"/>
  <c r="W32" i="1" s="1"/>
  <c r="W33" i="1" a="1"/>
  <c r="W33" i="1"/>
  <c r="W34" i="1" a="1"/>
  <c r="W34" i="1"/>
  <c r="W35" i="1" a="1"/>
  <c r="W35" i="1" s="1"/>
  <c r="W36" i="1" a="1"/>
  <c r="W36" i="1"/>
  <c r="W37" i="1" a="1"/>
  <c r="W37" i="1"/>
  <c r="W38" i="1" a="1"/>
  <c r="W38" i="1" s="1"/>
  <c r="W39" i="1" a="1"/>
  <c r="W39" i="1"/>
  <c r="W40" i="1" a="1"/>
  <c r="W40" i="1" s="1"/>
  <c r="W41" i="1" a="1"/>
  <c r="W41" i="1"/>
  <c r="W42" i="1" a="1"/>
  <c r="W42" i="1"/>
  <c r="W43" i="1" a="1"/>
  <c r="W43" i="1"/>
  <c r="W44" i="1" a="1"/>
  <c r="W44" i="1" s="1"/>
  <c r="W45" i="1" a="1"/>
  <c r="W45" i="1"/>
  <c r="W46" i="1" a="1"/>
  <c r="W46" i="1" s="1"/>
  <c r="W47" i="1" a="1"/>
  <c r="W47" i="1"/>
  <c r="W48" i="1" a="1"/>
  <c r="W48" i="1" s="1"/>
  <c r="W49" i="1" a="1"/>
  <c r="W49" i="1"/>
  <c r="W50" i="1" a="1"/>
  <c r="W50" i="1"/>
  <c r="W51" i="1" a="1"/>
  <c r="W51" i="1" s="1"/>
  <c r="W52" i="1" a="1"/>
  <c r="W52" i="1"/>
  <c r="W53" i="1" a="1"/>
  <c r="W53" i="1"/>
  <c r="W54" i="1" a="1"/>
  <c r="W54" i="1" s="1"/>
  <c r="W55" i="1" a="1"/>
  <c r="W55" i="1"/>
  <c r="W56" i="1" a="1"/>
  <c r="W56" i="1"/>
  <c r="W57" i="1" a="1"/>
  <c r="W57" i="1"/>
  <c r="W58" i="1" a="1"/>
  <c r="W58" i="1" s="1"/>
  <c r="W59" i="1" a="1"/>
  <c r="W59" i="1"/>
  <c r="W60" i="1" a="1"/>
  <c r="W60" i="1"/>
  <c r="W61" i="1" a="1"/>
  <c r="W61" i="1"/>
  <c r="W62" i="1" a="1"/>
  <c r="W62" i="1"/>
  <c r="W63" i="1" a="1"/>
  <c r="W63" i="1"/>
  <c r="W64" i="1" a="1"/>
  <c r="W64" i="1" s="1"/>
  <c r="W65" i="1" a="1"/>
  <c r="W65" i="1" s="1"/>
  <c r="W3" i="1" a="1"/>
  <c r="W3" i="1" s="1"/>
  <c r="W4" i="1" a="1"/>
  <c r="W4" i="1"/>
  <c r="W5" i="1" a="1"/>
  <c r="W5" i="1"/>
  <c r="W6" i="1" a="1"/>
  <c r="W6" i="1" s="1"/>
  <c r="W7" i="1" a="1"/>
  <c r="W7" i="1"/>
  <c r="W8" i="1" a="1"/>
  <c r="W8" i="1"/>
  <c r="W9" i="1" a="1"/>
  <c r="W9" i="1" s="1"/>
  <c r="W10" i="1" a="1"/>
  <c r="W10" i="1"/>
  <c r="W11" i="1" a="1"/>
  <c r="W11" i="1"/>
  <c r="W12" i="1" a="1"/>
  <c r="W12" i="1"/>
  <c r="W13" i="1" a="1"/>
  <c r="W13" i="1"/>
  <c r="W14" i="1" a="1"/>
  <c r="W14" i="1"/>
  <c r="W15" i="1" a="1"/>
  <c r="W15" i="1"/>
  <c r="W16" i="1" a="1"/>
  <c r="W16" i="1"/>
  <c r="W17" i="1" a="1"/>
  <c r="W17" i="1"/>
  <c r="W2" i="1" a="1"/>
  <c r="W2" i="1"/>
  <c r="I33" i="7" l="1"/>
  <c r="K33" i="7" s="1"/>
  <c r="D33" i="7"/>
  <c r="D24" i="7"/>
  <c r="D23" i="7"/>
  <c r="AA7" i="1"/>
  <c r="AA8" i="1"/>
  <c r="AA9" i="1"/>
  <c r="AA10" i="1"/>
  <c r="AA11" i="1"/>
  <c r="AA12" i="1"/>
  <c r="AA13" i="1"/>
  <c r="AA14" i="1"/>
  <c r="AA15" i="1"/>
  <c r="AA16" i="1"/>
  <c r="AA17" i="1"/>
  <c r="AA21" i="1"/>
  <c r="AA22" i="1"/>
  <c r="AA23" i="1"/>
  <c r="AA24" i="1"/>
  <c r="AA25" i="1"/>
  <c r="AA26" i="1"/>
  <c r="AA27" i="1"/>
  <c r="AA28" i="1"/>
  <c r="AA30" i="1"/>
  <c r="AA31" i="1"/>
  <c r="AA33" i="1"/>
  <c r="AA34" i="1"/>
  <c r="AA35" i="1"/>
  <c r="AA36" i="1"/>
  <c r="AA37" i="1"/>
  <c r="AA38" i="1"/>
  <c r="AA39" i="1"/>
  <c r="AA40" i="1"/>
  <c r="AA42" i="1"/>
  <c r="AA43" i="1"/>
  <c r="AA44" i="1"/>
  <c r="AA45" i="1"/>
  <c r="AA46" i="1"/>
  <c r="AA47" i="1"/>
  <c r="AA48" i="1"/>
  <c r="AA49" i="1"/>
  <c r="AA51" i="1"/>
  <c r="AA52" i="1"/>
  <c r="AA53" i="1"/>
  <c r="AA54" i="1"/>
  <c r="AA55" i="1"/>
  <c r="AA56" i="1"/>
  <c r="AA57" i="1"/>
  <c r="AA58" i="1"/>
  <c r="AA59" i="1"/>
  <c r="AA60" i="1"/>
  <c r="AA61" i="1"/>
  <c r="AA62" i="1"/>
  <c r="AA63" i="1"/>
  <c r="AA64" i="1"/>
  <c r="AA65" i="1"/>
  <c r="AA66" i="1"/>
  <c r="AA3" i="1"/>
  <c r="AA4" i="1"/>
  <c r="AA5" i="1"/>
  <c r="AA6" i="1"/>
  <c r="AA2" i="1"/>
  <c r="AB3" i="1"/>
  <c r="AB4" i="1"/>
  <c r="AB5" i="1"/>
  <c r="AB6" i="1"/>
  <c r="AB7" i="1"/>
  <c r="AB8" i="1"/>
  <c r="AB9" i="1"/>
  <c r="AB10" i="1"/>
  <c r="AB11" i="1"/>
  <c r="AB12" i="1"/>
  <c r="AB13" i="1"/>
  <c r="AB14" i="1"/>
  <c r="AB15" i="1"/>
  <c r="AB16" i="1"/>
  <c r="AB17" i="1"/>
  <c r="AB21" i="1"/>
  <c r="AC21" i="1" s="1"/>
  <c r="AB22" i="1"/>
  <c r="AC22" i="1" s="1"/>
  <c r="AB23" i="1"/>
  <c r="AC23" i="1" s="1"/>
  <c r="AB24" i="1"/>
  <c r="AC24" i="1" s="1"/>
  <c r="AB25" i="1"/>
  <c r="AC25" i="1" s="1"/>
  <c r="AB26" i="1"/>
  <c r="AC26" i="1" s="1"/>
  <c r="AB27" i="1"/>
  <c r="AC27" i="1" s="1"/>
  <c r="AB28" i="1"/>
  <c r="AC28" i="1" s="1"/>
  <c r="AB29" i="1"/>
  <c r="AC29" i="1" s="1"/>
  <c r="AB30" i="1"/>
  <c r="AC30" i="1" s="1"/>
  <c r="AB31" i="1"/>
  <c r="AC31" i="1" s="1"/>
  <c r="AB33" i="1"/>
  <c r="AC33" i="1" s="1"/>
  <c r="AB34" i="1"/>
  <c r="AC34" i="1" s="1"/>
  <c r="AB35" i="1"/>
  <c r="AC35" i="1" s="1"/>
  <c r="AB36" i="1"/>
  <c r="AC36" i="1" s="1"/>
  <c r="AB37" i="1"/>
  <c r="AC37" i="1" s="1"/>
  <c r="AB38" i="1"/>
  <c r="AC38" i="1" s="1"/>
  <c r="AB39" i="1"/>
  <c r="AC39" i="1" s="1"/>
  <c r="AB40" i="1"/>
  <c r="AC40" i="1" s="1"/>
  <c r="AB42" i="1"/>
  <c r="AC42" i="1" s="1"/>
  <c r="AB43" i="1"/>
  <c r="AC43" i="1" s="1"/>
  <c r="AB44" i="1"/>
  <c r="AC44" i="1" s="1"/>
  <c r="AB45" i="1"/>
  <c r="AC45" i="1" s="1"/>
  <c r="AB46" i="1"/>
  <c r="AC46" i="1" s="1"/>
  <c r="AB47" i="1"/>
  <c r="AC47" i="1" s="1"/>
  <c r="AB48" i="1"/>
  <c r="AC48" i="1" s="1"/>
  <c r="AB49" i="1"/>
  <c r="AC49" i="1" s="1"/>
  <c r="AB51" i="1"/>
  <c r="AC51" i="1" s="1"/>
  <c r="AB52" i="1"/>
  <c r="AC52" i="1" s="1"/>
  <c r="AB53" i="1"/>
  <c r="AC53" i="1" s="1"/>
  <c r="AB54" i="1"/>
  <c r="AC54" i="1" s="1"/>
  <c r="AB55" i="1"/>
  <c r="AC55" i="1" s="1"/>
  <c r="AB56" i="1"/>
  <c r="AC56" i="1" s="1"/>
  <c r="AB57" i="1"/>
  <c r="AC57" i="1" s="1"/>
  <c r="AB58" i="1"/>
  <c r="AC58" i="1" s="1"/>
  <c r="AB59" i="1"/>
  <c r="AC59" i="1" s="1"/>
  <c r="AB60" i="1"/>
  <c r="AC60" i="1" s="1"/>
  <c r="AB61" i="1"/>
  <c r="AC61" i="1" s="1"/>
  <c r="AB62" i="1"/>
  <c r="AC62" i="1" s="1"/>
  <c r="AB63" i="1"/>
  <c r="AC63" i="1" s="1"/>
  <c r="AB64" i="1"/>
  <c r="AC64" i="1" s="1"/>
  <c r="AB65" i="1"/>
  <c r="AC65" i="1" s="1"/>
  <c r="AB66" i="1"/>
  <c r="AC66" i="1" s="1"/>
  <c r="AB2" i="1"/>
  <c r="D34" i="7" l="1"/>
  <c r="D32" i="7"/>
  <c r="D31" i="7"/>
  <c r="D30" i="7"/>
  <c r="I19" i="7"/>
  <c r="D19" i="7"/>
  <c r="I18" i="7"/>
  <c r="D18" i="7"/>
  <c r="I17" i="7"/>
  <c r="I25" i="7"/>
  <c r="D25" i="7"/>
  <c r="I28" i="7" s="1"/>
  <c r="I23" i="7"/>
  <c r="I31" i="7" l="1"/>
  <c r="K31" i="7" s="1"/>
  <c r="K28" i="7"/>
  <c r="I30" i="7" l="1"/>
  <c r="K30" i="7" s="1"/>
  <c r="I32" i="7"/>
  <c r="K32" i="7" s="1"/>
  <c r="I34" i="7" l="1"/>
  <c r="K34" i="7" s="1"/>
  <c r="K35" i="7" s="1"/>
  <c r="I35" i="7" l="1"/>
  <c r="F40" i="7" l="1"/>
  <c r="F41" i="7" s="1"/>
  <c r="K43" i="7" s="1"/>
  <c r="K36" i="7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William Talas</author>
  </authors>
  <commentList>
    <comment ref="Q1" authorId="0" shapeId="0" xr:uid="{831281EA-90A2-4F1D-B5A0-1DA0E3CA37C7}">
      <text>
        <r>
          <rPr>
            <b/>
            <sz val="9"/>
            <color indexed="81"/>
            <rFont val="Tahoma"/>
            <family val="2"/>
          </rPr>
          <t xml:space="preserve">William Talas:
fft immatriculation
Carte grise
frais de dossier
frais autres </t>
        </r>
      </text>
    </comment>
    <comment ref="S7" authorId="0" shapeId="0" xr:uid="{1F32516E-437B-4867-8B20-80E6A08E76BE}">
      <text>
        <r>
          <rPr>
            <b/>
            <sz val="9"/>
            <color indexed="81"/>
            <rFont val="Tahoma"/>
            <family val="2"/>
          </rPr>
          <t>William Talas:</t>
        </r>
        <r>
          <rPr>
            <sz val="9"/>
            <color indexed="81"/>
            <rFont val="Tahoma"/>
            <family val="2"/>
          </rPr>
          <t xml:space="preserve">
JPM 511 DU 25/09/2018
</t>
        </r>
      </text>
    </comment>
    <comment ref="S8" authorId="0" shapeId="0" xr:uid="{CD73124D-5276-4A0D-B41D-2E8DF1C8380B}">
      <text>
        <r>
          <rPr>
            <b/>
            <sz val="9"/>
            <color indexed="81"/>
            <rFont val="Tahoma"/>
            <family val="2"/>
          </rPr>
          <t>William Talas:</t>
        </r>
        <r>
          <rPr>
            <sz val="9"/>
            <color indexed="81"/>
            <rFont val="Tahoma"/>
            <family val="2"/>
          </rPr>
          <t xml:space="preserve">
JPM 512 DU 25/09/2018
</t>
        </r>
      </text>
    </comment>
    <comment ref="R9" authorId="0" shapeId="0" xr:uid="{2D057749-7CE8-4AA2-AEF6-EE78B1DBAED9}">
      <text>
        <r>
          <rPr>
            <b/>
            <sz val="9"/>
            <color indexed="81"/>
            <rFont val="Tahoma"/>
            <family val="2"/>
          </rPr>
          <t>William Talas:</t>
        </r>
        <r>
          <rPr>
            <sz val="9"/>
            <color indexed="81"/>
            <rFont val="Tahoma"/>
            <family val="2"/>
          </rPr>
          <t xml:space="preserve">
PIXOCOLOR FC191111 DU 20/11/2019</t>
        </r>
      </text>
    </comment>
    <comment ref="R10" authorId="0" shapeId="0" xr:uid="{C30DD8C8-0206-4F74-96F2-3822DC902F7E}">
      <text>
        <r>
          <rPr>
            <b/>
            <sz val="9"/>
            <color indexed="81"/>
            <rFont val="Tahoma"/>
            <family val="2"/>
          </rPr>
          <t>William Talas:</t>
        </r>
        <r>
          <rPr>
            <sz val="9"/>
            <color indexed="81"/>
            <rFont val="Tahoma"/>
            <family val="2"/>
          </rPr>
          <t xml:space="preserve">
PIXOCOLOR FC191111 DU 20/11/2019</t>
        </r>
      </text>
    </comment>
    <comment ref="R11" authorId="0" shapeId="0" xr:uid="{C27CAF67-3FB8-4DC3-806A-16D191D7275A}">
      <text>
        <r>
          <rPr>
            <b/>
            <sz val="9"/>
            <color indexed="81"/>
            <rFont val="Tahoma"/>
            <family val="2"/>
          </rPr>
          <t>William Talas:</t>
        </r>
        <r>
          <rPr>
            <sz val="9"/>
            <color indexed="81"/>
            <rFont val="Tahoma"/>
            <family val="2"/>
          </rPr>
          <t xml:space="preserve">
PIXOCOLOR FM210321 07/04/2021</t>
        </r>
      </text>
    </comment>
    <comment ref="S11" authorId="0" shapeId="0" xr:uid="{3D62CD15-F8C5-4323-A935-2F8CE8DD5B2E}">
      <text>
        <r>
          <rPr>
            <b/>
            <sz val="9"/>
            <color indexed="81"/>
            <rFont val="Tahoma"/>
            <family val="2"/>
          </rPr>
          <t>William Talas:</t>
        </r>
        <r>
          <rPr>
            <sz val="9"/>
            <color indexed="81"/>
            <rFont val="Tahoma"/>
            <family val="2"/>
          </rPr>
          <t xml:space="preserve">
JPM 3427 07/05/2021</t>
        </r>
      </text>
    </comment>
    <comment ref="R12" authorId="0" shapeId="0" xr:uid="{76C78968-109E-4D45-8AE1-2A331DA29415}">
      <text>
        <r>
          <rPr>
            <b/>
            <sz val="9"/>
            <color indexed="81"/>
            <rFont val="Tahoma"/>
            <family val="2"/>
          </rPr>
          <t>William Talas:</t>
        </r>
        <r>
          <rPr>
            <sz val="9"/>
            <color indexed="81"/>
            <rFont val="Tahoma"/>
            <family val="2"/>
          </rPr>
          <t xml:space="preserve">
PIXOCOLOR FM210321 07/04/2021</t>
        </r>
      </text>
    </comment>
    <comment ref="S12" authorId="0" shapeId="0" xr:uid="{7E8E88B7-5867-4DA5-B116-8E42A8C6DBB8}">
      <text>
        <r>
          <rPr>
            <b/>
            <sz val="9"/>
            <color indexed="81"/>
            <rFont val="Tahoma"/>
            <family val="2"/>
          </rPr>
          <t>William Talas:</t>
        </r>
        <r>
          <rPr>
            <sz val="9"/>
            <color indexed="81"/>
            <rFont val="Tahoma"/>
            <family val="2"/>
          </rPr>
          <t xml:space="preserve">
JPM 3377 DU 23/04/2021</t>
        </r>
      </text>
    </comment>
    <comment ref="R19" authorId="0" shapeId="0" xr:uid="{1DE9FD07-11B9-44A2-9428-2F922C415984}">
      <text>
        <r>
          <rPr>
            <b/>
            <sz val="9"/>
            <color indexed="81"/>
            <rFont val="Tahoma"/>
            <family val="2"/>
          </rPr>
          <t>William Talas:</t>
        </r>
        <r>
          <rPr>
            <sz val="9"/>
            <color indexed="81"/>
            <rFont val="Tahoma"/>
            <family val="2"/>
          </rPr>
          <t xml:space="preserve">
PIXOCOLOR FM201103 10/11/2020</t>
        </r>
      </text>
    </comment>
    <comment ref="R24" authorId="0" shapeId="0" xr:uid="{083474C5-F277-4F65-BFA8-823DAB7D37E1}">
      <text>
        <r>
          <rPr>
            <b/>
            <sz val="9"/>
            <color indexed="81"/>
            <rFont val="Tahoma"/>
            <family val="2"/>
          </rPr>
          <t>William Talas:</t>
        </r>
        <r>
          <rPr>
            <sz val="9"/>
            <color indexed="81"/>
            <rFont val="Tahoma"/>
            <family val="2"/>
          </rPr>
          <t xml:space="preserve">
PIXOCOLOR FC190414 16/04/2019</t>
        </r>
      </text>
    </comment>
    <comment ref="R25" authorId="0" shapeId="0" xr:uid="{EA394C45-88ED-4F3C-A945-2450C873490B}">
      <text>
        <r>
          <rPr>
            <b/>
            <sz val="9"/>
            <color indexed="81"/>
            <rFont val="Tahoma"/>
            <family val="2"/>
          </rPr>
          <t>William Talas:</t>
        </r>
        <r>
          <rPr>
            <sz val="9"/>
            <color indexed="81"/>
            <rFont val="Tahoma"/>
            <family val="2"/>
          </rPr>
          <t xml:space="preserve">
PIXOCOLOR FC191001 DU 01/10/2019</t>
        </r>
      </text>
    </comment>
    <comment ref="R27" authorId="0" shapeId="0" xr:uid="{5150C683-EE79-4800-946F-586263F85583}">
      <text>
        <r>
          <rPr>
            <b/>
            <sz val="9"/>
            <color indexed="81"/>
            <rFont val="Tahoma"/>
            <family val="2"/>
          </rPr>
          <t>William Talas:</t>
        </r>
        <r>
          <rPr>
            <sz val="9"/>
            <color indexed="81"/>
            <rFont val="Tahoma"/>
            <family val="2"/>
          </rPr>
          <t xml:space="preserve">
PIXOCOLOR FM210322 12/04/2021</t>
        </r>
      </text>
    </comment>
    <comment ref="A58" authorId="0" shapeId="0" xr:uid="{E8E38987-9F96-4040-B02F-DE60813E0EEE}">
      <text>
        <r>
          <rPr>
            <sz val="9"/>
            <color indexed="81"/>
            <rFont val="Tahoma"/>
            <family val="2"/>
          </rPr>
          <t xml:space="preserve">WT : Finacement 48 mois terminé
Vente du tracteur à GPDG le 02/03/2022 (Date CG) 
V.A. 21418,06 HT (durée de vie estimée : 9 ans)
Revente (- 40% à la V.A.) = 12850,00 HT sur 60 mois
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<sst xmlns="http://schemas.openxmlformats.org/spreadsheetml/2006/main" count="842" uniqueCount="269">
  <si>
    <t xml:space="preserve">JANVIER 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</si>
  <si>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</si>
  <si>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</si>
  <si>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</si>
  <si>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</si>
  <si>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</si>
  <si>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</si>
  <si>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</si>
  <si>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</si>
  <si>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</si>
  <si>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</si>
  <si>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</si>
  <si>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REM 01</t>
  </si>
  <si>
    <t>REM XX</t>
  </si>
  <si>
    <t>REM 02</t>
  </si>
  <si>
    <t>REM 03</t>
  </si>
  <si>
    <t>REM 04</t>
  </si>
  <si>
    <t>MARQUE</t>
  </si>
  <si>
    <t>MODELE</t>
  </si>
  <si>
    <t>IVECO</t>
  </si>
  <si>
    <t>DAYLY</t>
  </si>
  <si>
    <t xml:space="preserve">RENAULT </t>
  </si>
  <si>
    <t>MAXITY</t>
  </si>
  <si>
    <t xml:space="preserve">FIAT </t>
  </si>
  <si>
    <t>DUCATO</t>
  </si>
  <si>
    <t>DAILY</t>
  </si>
  <si>
    <t>FIAT</t>
  </si>
  <si>
    <t>RENAULT</t>
  </si>
  <si>
    <t>S180</t>
  </si>
  <si>
    <t>CLIO</t>
  </si>
  <si>
    <t>KANGOO</t>
  </si>
  <si>
    <t>EXPERT</t>
  </si>
  <si>
    <t>PEUGEOT</t>
  </si>
  <si>
    <t>TOYOTA</t>
  </si>
  <si>
    <t>MASTER</t>
  </si>
  <si>
    <t>HILUX</t>
  </si>
  <si>
    <t>CADIX</t>
  </si>
  <si>
    <t>GRILLAGE</t>
  </si>
  <si>
    <t>TRI BENNE</t>
  </si>
  <si>
    <t>GRD PLATEAU</t>
  </si>
  <si>
    <t>PETIT PLATEAU</t>
  </si>
  <si>
    <t>PLATEAU</t>
  </si>
  <si>
    <t xml:space="preserve">PETIT PLATEAU </t>
  </si>
  <si>
    <t>LIDER</t>
  </si>
  <si>
    <t>TRELGO</t>
  </si>
  <si>
    <t>MECANOREM</t>
  </si>
  <si>
    <t>FLOCAGE</t>
  </si>
  <si>
    <t>REHAUSSE  JPM</t>
  </si>
  <si>
    <t>VN51L2B23J1001231</t>
  </si>
  <si>
    <t>VN52L1630J1000067</t>
  </si>
  <si>
    <t>VHT1101LNK0007532</t>
  </si>
  <si>
    <t>VHT1101LNK0007638</t>
  </si>
  <si>
    <t>VN52L1631J1000246</t>
  </si>
  <si>
    <t>G23HD n°2</t>
  </si>
  <si>
    <t>G23HD n°3</t>
  </si>
  <si>
    <t>TORO ZD</t>
  </si>
  <si>
    <t>KUB Z122R</t>
  </si>
  <si>
    <t>KUB Z122R 2</t>
  </si>
  <si>
    <t>PDGA</t>
  </si>
  <si>
    <t>NLJ</t>
  </si>
  <si>
    <t>PDG</t>
  </si>
  <si>
    <t>MAINTENANCE</t>
  </si>
  <si>
    <t>KUBOTA</t>
  </si>
  <si>
    <t>TORO</t>
  </si>
  <si>
    <t>SOGEWALOT</t>
  </si>
  <si>
    <t>VHT1101LNL0008177</t>
  </si>
  <si>
    <t>SVRS1AMA1LP020346</t>
  </si>
  <si>
    <t>G23 N° 4</t>
  </si>
  <si>
    <t>KUB Z122R 3</t>
  </si>
  <si>
    <t>VTH1101LNL0008217</t>
  </si>
  <si>
    <t>TALENTO</t>
  </si>
  <si>
    <t>M</t>
  </si>
  <si>
    <t>X</t>
  </si>
  <si>
    <t>VHT1101LNM0008785</t>
  </si>
  <si>
    <t>VHT1101LNM0008786</t>
  </si>
  <si>
    <t>KUB Z122R 5</t>
  </si>
  <si>
    <t>KUB Z122R 4</t>
  </si>
  <si>
    <t>GREENMECH</t>
  </si>
  <si>
    <t>EVO165TD</t>
  </si>
  <si>
    <t>SKHDKCA000C210706</t>
  </si>
  <si>
    <t>YARIS</t>
  </si>
  <si>
    <t>BEN 03</t>
  </si>
  <si>
    <t>BEN 04</t>
  </si>
  <si>
    <t>VL 001</t>
  </si>
  <si>
    <t>VL 003</t>
  </si>
  <si>
    <t>PRAOCE CITY</t>
  </si>
  <si>
    <t>Montant HT</t>
  </si>
  <si>
    <t>taux taxe</t>
  </si>
  <si>
    <t>Montant taxe</t>
  </si>
  <si>
    <t>Cotis. / an :</t>
  </si>
  <si>
    <t>(les montant sont exprimés en HT)</t>
  </si>
  <si>
    <t>* Exempté de TVA</t>
  </si>
  <si>
    <t xml:space="preserve">TOTAL </t>
  </si>
  <si>
    <t xml:space="preserve">TOTAL TTC </t>
  </si>
  <si>
    <t>Prix HT du véhicule moyen par mois :</t>
  </si>
  <si>
    <t>Prix HT du véhicule moyen par jour :</t>
  </si>
  <si>
    <t>Prix HT du véhicule moyen par jour avec marge de l'entreprise</t>
  </si>
  <si>
    <t>REFERENCE</t>
  </si>
  <si>
    <t>:</t>
  </si>
  <si>
    <t xml:space="preserve">Financement / Financeur </t>
  </si>
  <si>
    <t xml:space="preserve">montant à l'acquisition </t>
  </si>
  <si>
    <t>Réhausses</t>
  </si>
  <si>
    <t>Contrat de maintenance</t>
  </si>
  <si>
    <t>Flocage</t>
  </si>
  <si>
    <t>*Assurance n°</t>
  </si>
  <si>
    <t>FRAIS ANNEXE</t>
  </si>
  <si>
    <t>TYPE</t>
  </si>
  <si>
    <t>BENNE</t>
  </si>
  <si>
    <t>POID LOURD</t>
  </si>
  <si>
    <t>VEHICULE LEGER</t>
  </si>
  <si>
    <t>REMORQUE / BROYEUR</t>
  </si>
  <si>
    <t>ENGIN AGRICOLE</t>
  </si>
  <si>
    <t>TRA 04</t>
  </si>
  <si>
    <t>TRA 06</t>
  </si>
  <si>
    <t>TRA 08</t>
  </si>
  <si>
    <t>TRA 09</t>
  </si>
  <si>
    <t>TRA 10</t>
  </si>
  <si>
    <t>TRA 11</t>
  </si>
  <si>
    <t>TRA 12</t>
  </si>
  <si>
    <t>TRA 13</t>
  </si>
  <si>
    <t>TRA 14</t>
  </si>
  <si>
    <t>REM 05</t>
  </si>
  <si>
    <t>REM 06</t>
  </si>
  <si>
    <t>REM 07</t>
  </si>
  <si>
    <t>REM 08</t>
  </si>
  <si>
    <t>REM 10</t>
  </si>
  <si>
    <t>REM 09</t>
  </si>
  <si>
    <t>REM 11</t>
  </si>
  <si>
    <t>REM 12</t>
  </si>
  <si>
    <t>REM 13</t>
  </si>
  <si>
    <t>BRO 03</t>
  </si>
  <si>
    <t>REM 14</t>
  </si>
  <si>
    <t>P.UP 1</t>
  </si>
  <si>
    <t>BEN 01</t>
  </si>
  <si>
    <t>BEN 02</t>
  </si>
  <si>
    <t>BEN 05</t>
  </si>
  <si>
    <t>BEN 06</t>
  </si>
  <si>
    <t>BEN 07</t>
  </si>
  <si>
    <t>BEN 08</t>
  </si>
  <si>
    <t>BEN 09</t>
  </si>
  <si>
    <t>BEN 10</t>
  </si>
  <si>
    <t>BEN 11</t>
  </si>
  <si>
    <t>PL 001</t>
  </si>
  <si>
    <t>VL 002</t>
  </si>
  <si>
    <t>VL 004</t>
  </si>
  <si>
    <t>VL 005</t>
  </si>
  <si>
    <t>VL 006</t>
  </si>
  <si>
    <t>VL 007</t>
  </si>
  <si>
    <t>VL 008</t>
  </si>
  <si>
    <t>REFERENCE INTERNE</t>
  </si>
  <si>
    <t>PLAQUE D'IMMAT.</t>
  </si>
  <si>
    <t>A/M</t>
  </si>
  <si>
    <t>A</t>
  </si>
  <si>
    <t>CEAPC</t>
  </si>
  <si>
    <t>BC</t>
  </si>
  <si>
    <t xml:space="preserve">PLATEAU </t>
  </si>
  <si>
    <t>VN52L138520150077</t>
  </si>
  <si>
    <t>VNC2AF350DV000644</t>
  </si>
  <si>
    <t>VN52L266020140161</t>
  </si>
  <si>
    <t>BANQUE</t>
  </si>
  <si>
    <t>TIMBERWOLF</t>
  </si>
  <si>
    <t>TW230DHB</t>
  </si>
  <si>
    <t>TRIGANEAU</t>
  </si>
  <si>
    <t>PLATEAU 2L2011660</t>
  </si>
  <si>
    <t>BRO 02</t>
  </si>
  <si>
    <t>TRA 01</t>
  </si>
  <si>
    <t>TRA 02</t>
  </si>
  <si>
    <t>TRA 03</t>
  </si>
  <si>
    <t>BX2200</t>
  </si>
  <si>
    <t>MK5000</t>
  </si>
  <si>
    <t>G23HD n°1</t>
  </si>
  <si>
    <t>TRA 05</t>
  </si>
  <si>
    <t>TRA 07</t>
  </si>
  <si>
    <t>BX2350</t>
  </si>
  <si>
    <t>F2880EC</t>
  </si>
  <si>
    <t>BC NB</t>
  </si>
  <si>
    <t>TRA XX</t>
  </si>
  <si>
    <t>CASE</t>
  </si>
  <si>
    <t>MXU100 PRO</t>
  </si>
  <si>
    <t>EKP007766</t>
  </si>
  <si>
    <t xml:space="preserve">FDC </t>
  </si>
  <si>
    <t xml:space="preserve">Durée du financement </t>
  </si>
  <si>
    <t>ENGIN AGRICOLE-</t>
  </si>
  <si>
    <t>BENNE-</t>
  </si>
  <si>
    <t>ECIM</t>
  </si>
  <si>
    <t>G23</t>
  </si>
  <si>
    <t>F280</t>
  </si>
  <si>
    <t>TRAXX</t>
  </si>
  <si>
    <t>GPDG</t>
  </si>
  <si>
    <t>BEN 12</t>
  </si>
  <si>
    <t>BEN 13</t>
  </si>
  <si>
    <t>PIAGGIO</t>
  </si>
  <si>
    <t>PORTER NP6</t>
  </si>
  <si>
    <t>RMK150</t>
  </si>
  <si>
    <t>OREC</t>
  </si>
  <si>
    <t>TRA 15</t>
  </si>
  <si>
    <t>VL 009</t>
  </si>
  <si>
    <t>VL 010</t>
  </si>
  <si>
    <t>ZOE</t>
  </si>
  <si>
    <t>REF. interne</t>
  </si>
  <si>
    <t>Propriétaire</t>
  </si>
  <si>
    <t>Plaque</t>
  </si>
  <si>
    <t>Type</t>
  </si>
  <si>
    <t>Marque</t>
  </si>
  <si>
    <t>Modèle</t>
  </si>
  <si>
    <t>N° Série</t>
  </si>
  <si>
    <t>CB / Leaseur</t>
  </si>
  <si>
    <t>Date achat</t>
  </si>
  <si>
    <t>Devenir</t>
  </si>
  <si>
    <t>Durée</t>
  </si>
  <si>
    <t xml:space="preserve">Relevé d'information du </t>
  </si>
  <si>
    <t>N° SERIE / ID</t>
  </si>
  <si>
    <t>Valeur achat</t>
  </si>
  <si>
    <t>Frais dossier</t>
  </si>
  <si>
    <t>ass deces</t>
  </si>
  <si>
    <t>greffe</t>
  </si>
  <si>
    <t>BEN 14</t>
  </si>
  <si>
    <t>BEN 15</t>
  </si>
  <si>
    <t>BEN 16</t>
  </si>
  <si>
    <t>MOIS TR</t>
  </si>
  <si>
    <t>ECH. 2024</t>
  </si>
  <si>
    <t>ECH. 2023</t>
  </si>
  <si>
    <t>ECH. 2022</t>
  </si>
  <si>
    <t>ECH. 2021</t>
  </si>
  <si>
    <t>ECH. 2020</t>
  </si>
  <si>
    <t>ECH. 2019</t>
  </si>
  <si>
    <t>ECH. 2018</t>
  </si>
  <si>
    <t>ECH. 2017</t>
  </si>
  <si>
    <t>ECH. 2016</t>
  </si>
  <si>
    <t>ECH. 2015</t>
  </si>
  <si>
    <t>AUTOMOBILE</t>
  </si>
  <si>
    <t>NOV.</t>
  </si>
  <si>
    <t>AOUT</t>
  </si>
  <si>
    <t xml:space="preserve">REMORQUE </t>
  </si>
  <si>
    <t>REMORQUE</t>
  </si>
  <si>
    <t>SEPT.</t>
  </si>
  <si>
    <t>OCT.</t>
  </si>
  <si>
    <t>EVO165-45D</t>
  </si>
  <si>
    <t>BX220E</t>
  </si>
  <si>
    <t>DEC.</t>
  </si>
  <si>
    <t>Z122R</t>
  </si>
  <si>
    <t>Assiette de calcul initiale</t>
  </si>
  <si>
    <t>En compta</t>
  </si>
  <si>
    <t>Année Fin Amort.</t>
  </si>
  <si>
    <t>Année acq</t>
  </si>
  <si>
    <t>Amort (A)</t>
  </si>
  <si>
    <t>Amort (M)</t>
  </si>
  <si>
    <t xml:space="preserve">Devenir </t>
  </si>
  <si>
    <t>Dureée de vie estimée</t>
  </si>
  <si>
    <t>vP.UP 1</t>
  </si>
  <si>
    <t>RBRO 02</t>
  </si>
  <si>
    <t>RBRO 03</t>
  </si>
  <si>
    <t>*Moyenne de jours travaillés par mois établi à partir d'un relevé de 2 années (2021/2022)</t>
  </si>
  <si>
    <t xml:space="preserve">*Moyenne de jour travaillés dans le mois : </t>
  </si>
  <si>
    <t xml:space="preserve">BENNE </t>
  </si>
  <si>
    <t>VL</t>
  </si>
  <si>
    <t>TRACTEUR</t>
  </si>
  <si>
    <t>location estimé dans le commerce :
- Camion benne simple cabine :  entre 130 € HT et 150 € HT
- tracteur (suivant gabarit) : entre 55 € HT et 260 € HT
- Véhicule léger : entre 60 € HT et 120 € HT 
- Remorque : entre 60 € HT et 75 € HT</t>
  </si>
  <si>
    <t>abbrev.</t>
  </si>
  <si>
    <t>quoi</t>
  </si>
  <si>
    <t>année1</t>
  </si>
  <si>
    <t>suivants</t>
  </si>
  <si>
    <t>BEN</t>
  </si>
  <si>
    <t>bennes</t>
  </si>
  <si>
    <t>REM</t>
  </si>
  <si>
    <t>TRA</t>
  </si>
  <si>
    <t>remorques, VL, tracteur</t>
  </si>
  <si>
    <t>formule originale</t>
  </si>
  <si>
    <t>Valeur d'achat après décote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</si>
</sst>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_(&quot;€&quot;* #,##0.00_);_(&quot;€&quot;* \(#,##0.00\);_(&quot;€&quot;* &quot;-&quot;??_);_(@_)"/>
    <numFmt numFmtId="165" formatCode="_(* #,##0.00_);_(* \(#,##0.00\);_(* &quot;-&quot;??_);_(@_)"/>
    <numFmt numFmtId="166" formatCode="#,##0.00\ &quot;€&quot;"/>
    <numFmt numFmtId="167" formatCode="_-* #,##0.00\ [$€-40C]_-;\-* #,##0.00\ [$€-40C]_-;_-* &quot;-&quot;??\ [$€-40C]_-;_-@_-"/>
    <numFmt numFmtId="168" formatCode="yyyy"/>
    <numFmt numFmtId="169" formatCode="0.0%"/>
    <numFmt numFmtId="170" formatCode="_(* #,##0_);_(* \(#,##0\);_(* &quot;-&quot;??_);_(@_)"/>
  </numFmts>
  <fonts count="17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theme="1"/>
      <name val="Arial"/>
      <family val="2"/>
    </font>
    <font>
      <b/>
      <sz val="10"/>
      <color theme="1"/>
      <name val="Arial"/>
      <family val="2"/>
    </font>
    <font>
      <b/>
      <sz val="9"/>
      <color theme="1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9"/>
      <name val="Arial"/>
      <family val="2"/>
    </font>
    <font>
      <sz val="9"/>
      <color rgb="FFFF0000"/>
      <name val="Arial"/>
      <family val="2"/>
    </font>
    <font>
      <i/>
      <sz val="10"/>
      <color theme="1"/>
      <name val="Arial"/>
      <family val="2"/>
    </font>
    <font>
      <b/>
      <sz val="9"/>
      <color theme="0"/>
      <name val="Arial"/>
      <family val="2"/>
    </font>
    <font>
      <sz val="10"/>
      <name val="Calibri"/>
      <family val="2"/>
    </font>
    <font>
      <b/>
      <sz val="10"/>
      <name val="Calibri"/>
      <family val="2"/>
    </font>
    <font>
      <sz val="12"/>
      <color rgb="FF34373A"/>
      <name val="Roboto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rgb="FFFFC00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hair">
        <color theme="1"/>
      </bottom>
      <diagonal/>
    </border>
    <border>
      <left style="thin">
        <color theme="1"/>
      </left>
      <right style="thin">
        <color theme="1"/>
      </right>
      <top style="hair">
        <color theme="1"/>
      </top>
      <bottom style="hair">
        <color theme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5">
    <xf numFmtId="0" fontId="0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</cellStyleXfs>
  <cellXfs count="136">
    <xf numFmtId="0" fontId="0" fillId="0" borderId="0" xfId="0"/>
    <xf numFmtId="0" fontId="8" fillId="0" borderId="0" xfId="0" applyFont="1"/>
    <xf numFmtId="0" fontId="8" fillId="0" borderId="0" xfId="0" applyFont="1" applyAlignment="1">
      <alignment horizontal="center"/>
    </xf>
    <xf numFmtId="14" fontId="8" fillId="0" borderId="0" xfId="0" applyNumberFormat="1" applyFont="1"/>
    <xf numFmtId="0" fontId="7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167" fontId="7" fillId="0" borderId="0" xfId="0" applyNumberFormat="1" applyFont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14" fontId="5" fillId="0" borderId="0" xfId="0" applyNumberFormat="1" applyFont="1" applyAlignment="1">
      <alignment horizontal="center" vertical="center"/>
    </xf>
    <xf numFmtId="166" fontId="5" fillId="0" borderId="0" xfId="0" applyNumberFormat="1" applyFont="1" applyAlignment="1">
      <alignment horizontal="center" vertical="center"/>
    </xf>
    <xf numFmtId="164" fontId="5" fillId="0" borderId="0" xfId="1" applyFont="1" applyFill="1" applyAlignment="1">
      <alignment horizontal="center" vertical="center"/>
    </xf>
    <xf numFmtId="167" fontId="5" fillId="0" borderId="0" xfId="0" applyNumberFormat="1" applyFont="1" applyAlignment="1">
      <alignment horizontal="center" vertical="center"/>
    </xf>
    <xf numFmtId="164" fontId="5" fillId="0" borderId="0" xfId="1" applyFont="1" applyAlignment="1">
      <alignment horizontal="center" vertical="center"/>
    </xf>
    <xf numFmtId="167" fontId="5" fillId="0" borderId="0" xfId="1" applyNumberFormat="1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5" fillId="4" borderId="0" xfId="0" applyFont="1" applyFill="1" applyAlignment="1">
      <alignment horizontal="center" vertical="center"/>
    </xf>
    <xf numFmtId="166" fontId="11" fillId="4" borderId="0" xfId="0" applyNumberFormat="1" applyFont="1" applyFill="1" applyAlignment="1">
      <alignment horizontal="center" vertical="center"/>
    </xf>
    <xf numFmtId="164" fontId="5" fillId="4" borderId="0" xfId="1" applyFont="1" applyFill="1" applyAlignment="1">
      <alignment horizontal="center" vertical="center"/>
    </xf>
    <xf numFmtId="167" fontId="5" fillId="4" borderId="0" xfId="0" applyNumberFormat="1" applyFont="1" applyFill="1" applyAlignment="1">
      <alignment horizontal="center" vertical="center"/>
    </xf>
    <xf numFmtId="166" fontId="5" fillId="4" borderId="0" xfId="0" applyNumberFormat="1" applyFont="1" applyFill="1" applyAlignment="1">
      <alignment horizontal="center" vertical="center"/>
    </xf>
    <xf numFmtId="0" fontId="5" fillId="6" borderId="0" xfId="0" applyFont="1" applyFill="1" applyAlignment="1">
      <alignment horizontal="center" vertical="center"/>
    </xf>
    <xf numFmtId="166" fontId="5" fillId="6" borderId="0" xfId="0" applyNumberFormat="1" applyFont="1" applyFill="1" applyAlignment="1">
      <alignment horizontal="center" vertical="center"/>
    </xf>
    <xf numFmtId="167" fontId="5" fillId="6" borderId="0" xfId="0" applyNumberFormat="1" applyFont="1" applyFill="1" applyAlignment="1">
      <alignment horizontal="center" vertical="center"/>
    </xf>
    <xf numFmtId="166" fontId="10" fillId="0" borderId="0" xfId="0" applyNumberFormat="1" applyFont="1" applyAlignment="1">
      <alignment horizontal="center" vertical="center"/>
    </xf>
    <xf numFmtId="164" fontId="10" fillId="0" borderId="0" xfId="1" applyFont="1" applyAlignment="1">
      <alignment horizontal="center" vertical="center"/>
    </xf>
    <xf numFmtId="167" fontId="10" fillId="0" borderId="0" xfId="0" applyNumberFormat="1" applyFont="1" applyAlignment="1">
      <alignment horizontal="center" vertical="center"/>
    </xf>
    <xf numFmtId="0" fontId="5" fillId="5" borderId="0" xfId="0" applyFont="1" applyFill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14" fontId="5" fillId="6" borderId="0" xfId="0" applyNumberFormat="1" applyFont="1" applyFill="1" applyAlignment="1">
      <alignment horizontal="center" vertical="center"/>
    </xf>
    <xf numFmtId="14" fontId="10" fillId="0" borderId="0" xfId="0" applyNumberFormat="1" applyFont="1" applyAlignment="1">
      <alignment horizontal="center" vertical="center"/>
    </xf>
    <xf numFmtId="14" fontId="5" fillId="2" borderId="0" xfId="0" applyNumberFormat="1" applyFont="1" applyFill="1" applyAlignment="1">
      <alignment horizontal="center" vertical="center"/>
    </xf>
    <xf numFmtId="14" fontId="5" fillId="5" borderId="0" xfId="0" applyNumberFormat="1" applyFont="1" applyFill="1" applyAlignment="1">
      <alignment horizontal="center" vertical="center"/>
    </xf>
    <xf numFmtId="164" fontId="8" fillId="0" borderId="0" xfId="1" applyFont="1" applyBorder="1"/>
    <xf numFmtId="0" fontId="8" fillId="0" borderId="11" xfId="1" applyNumberFormat="1" applyFont="1" applyBorder="1"/>
    <xf numFmtId="0" fontId="8" fillId="0" borderId="2" xfId="0" applyFont="1" applyBorder="1" applyAlignment="1">
      <alignment horizont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right"/>
    </xf>
    <xf numFmtId="14" fontId="9" fillId="0" borderId="0" xfId="0" applyNumberFormat="1" applyFont="1" applyAlignment="1">
      <alignment horizontal="center"/>
    </xf>
    <xf numFmtId="14" fontId="8" fillId="0" borderId="0" xfId="0" applyNumberFormat="1" applyFont="1" applyAlignment="1">
      <alignment horizontal="center"/>
    </xf>
    <xf numFmtId="0" fontId="8" fillId="0" borderId="0" xfId="0" applyFont="1" applyAlignment="1">
      <alignment horizontal="left"/>
    </xf>
    <xf numFmtId="0" fontId="8" fillId="0" borderId="7" xfId="0" applyFont="1" applyBorder="1"/>
    <xf numFmtId="0" fontId="8" fillId="0" borderId="14" xfId="0" applyFont="1" applyBorder="1"/>
    <xf numFmtId="0" fontId="8" fillId="0" borderId="5" xfId="0" applyFont="1" applyBorder="1"/>
    <xf numFmtId="0" fontId="8" fillId="0" borderId="12" xfId="0" applyFont="1" applyBorder="1"/>
    <xf numFmtId="0" fontId="8" fillId="0" borderId="14" xfId="0" applyFont="1" applyBorder="1" applyAlignment="1">
      <alignment horizontal="left" vertical="center"/>
    </xf>
    <xf numFmtId="0" fontId="8" fillId="0" borderId="14" xfId="0" applyFont="1" applyBorder="1" applyAlignment="1">
      <alignment vertical="center"/>
    </xf>
    <xf numFmtId="0" fontId="8" fillId="0" borderId="14" xfId="0" applyFont="1" applyBorder="1" applyAlignment="1">
      <alignment horizontal="right" vertical="center"/>
    </xf>
    <xf numFmtId="14" fontId="8" fillId="0" borderId="14" xfId="0" applyNumberFormat="1" applyFont="1" applyBorder="1" applyAlignment="1">
      <alignment horizontal="left" vertical="center"/>
    </xf>
    <xf numFmtId="0" fontId="8" fillId="0" borderId="5" xfId="0" applyFont="1" applyBorder="1" applyAlignment="1">
      <alignment horizontal="left" vertical="center"/>
    </xf>
    <xf numFmtId="0" fontId="8" fillId="0" borderId="15" xfId="0" applyFont="1" applyBorder="1"/>
    <xf numFmtId="0" fontId="8" fillId="0" borderId="16" xfId="0" applyFont="1" applyBorder="1"/>
    <xf numFmtId="0" fontId="8" fillId="0" borderId="11" xfId="0" applyFont="1" applyBorder="1"/>
    <xf numFmtId="0" fontId="8" fillId="0" borderId="8" xfId="0" applyFont="1" applyBorder="1"/>
    <xf numFmtId="0" fontId="8" fillId="0" borderId="10" xfId="0" applyFont="1" applyBorder="1"/>
    <xf numFmtId="0" fontId="8" fillId="0" borderId="1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164" fontId="8" fillId="0" borderId="6" xfId="1" applyFont="1" applyBorder="1"/>
    <xf numFmtId="9" fontId="8" fillId="0" borderId="6" xfId="0" applyNumberFormat="1" applyFont="1" applyBorder="1"/>
    <xf numFmtId="164" fontId="8" fillId="0" borderId="13" xfId="1" applyFont="1" applyBorder="1"/>
    <xf numFmtId="9" fontId="8" fillId="0" borderId="13" xfId="0" applyNumberFormat="1" applyFont="1" applyBorder="1"/>
    <xf numFmtId="0" fontId="8" fillId="0" borderId="4" xfId="0" applyFont="1" applyBorder="1"/>
    <xf numFmtId="164" fontId="8" fillId="0" borderId="2" xfId="1" applyFont="1" applyBorder="1"/>
    <xf numFmtId="0" fontId="12" fillId="0" borderId="0" xfId="0" applyFont="1"/>
    <xf numFmtId="0" fontId="8" fillId="0" borderId="3" xfId="0" applyFont="1" applyBorder="1"/>
    <xf numFmtId="164" fontId="8" fillId="0" borderId="1" xfId="1" applyFont="1" applyBorder="1"/>
    <xf numFmtId="164" fontId="8" fillId="0" borderId="0" xfId="0" applyNumberFormat="1" applyFont="1" applyAlignment="1">
      <alignment horizontal="center"/>
    </xf>
    <xf numFmtId="166" fontId="5" fillId="2" borderId="0" xfId="0" applyNumberFormat="1" applyFont="1" applyFill="1" applyAlignment="1">
      <alignment horizontal="center" vertical="center"/>
    </xf>
    <xf numFmtId="164" fontId="5" fillId="2" borderId="0" xfId="1" applyFont="1" applyFill="1" applyAlignment="1">
      <alignment horizontal="center" vertical="center"/>
    </xf>
    <xf numFmtId="167" fontId="5" fillId="2" borderId="0" xfId="0" applyNumberFormat="1" applyFont="1" applyFill="1" applyAlignment="1">
      <alignment horizontal="center" vertical="center"/>
    </xf>
    <xf numFmtId="2" fontId="8" fillId="0" borderId="11" xfId="0" applyNumberFormat="1" applyFont="1" applyBorder="1"/>
    <xf numFmtId="0" fontId="13" fillId="4" borderId="17" xfId="0" applyFont="1" applyFill="1" applyBorder="1" applyAlignment="1">
      <alignment horizontal="center" vertical="center"/>
    </xf>
    <xf numFmtId="2" fontId="13" fillId="4" borderId="17" xfId="0" applyNumberFormat="1" applyFont="1" applyFill="1" applyBorder="1" applyAlignment="1">
      <alignment horizontal="center" vertical="center"/>
    </xf>
    <xf numFmtId="0" fontId="5" fillId="5" borderId="18" xfId="0" applyFont="1" applyFill="1" applyBorder="1" applyAlignment="1">
      <alignment horizontal="center" vertical="center"/>
    </xf>
    <xf numFmtId="2" fontId="5" fillId="0" borderId="18" xfId="0" applyNumberFormat="1" applyFont="1" applyBorder="1" applyAlignment="1">
      <alignment horizontal="center" vertical="center"/>
    </xf>
    <xf numFmtId="0" fontId="5" fillId="3" borderId="18" xfId="0" applyFont="1" applyFill="1" applyBorder="1" applyAlignment="1">
      <alignment horizontal="center" vertical="center"/>
    </xf>
    <xf numFmtId="0" fontId="11" fillId="0" borderId="18" xfId="0" applyFont="1" applyBorder="1" applyAlignment="1">
      <alignment horizontal="center" vertical="center"/>
    </xf>
    <xf numFmtId="2" fontId="11" fillId="0" borderId="18" xfId="0" applyNumberFormat="1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2" borderId="18" xfId="0" applyFont="1" applyFill="1" applyBorder="1" applyAlignment="1">
      <alignment horizontal="center" vertical="center"/>
    </xf>
    <xf numFmtId="0" fontId="5" fillId="7" borderId="18" xfId="0" applyFont="1" applyFill="1" applyBorder="1" applyAlignment="1">
      <alignment horizontal="center" vertical="center"/>
    </xf>
    <xf numFmtId="0" fontId="11" fillId="5" borderId="18" xfId="0" applyFont="1" applyFill="1" applyBorder="1" applyAlignment="1">
      <alignment horizontal="center" vertical="center"/>
    </xf>
    <xf numFmtId="0" fontId="11" fillId="4" borderId="18" xfId="0" applyFont="1" applyFill="1" applyBorder="1" applyAlignment="1">
      <alignment horizontal="center" vertical="center"/>
    </xf>
    <xf numFmtId="0" fontId="5" fillId="8" borderId="18" xfId="0" applyFont="1" applyFill="1" applyBorder="1" applyAlignment="1">
      <alignment horizontal="center" vertical="center"/>
    </xf>
    <xf numFmtId="2" fontId="5" fillId="8" borderId="18" xfId="0" applyNumberFormat="1" applyFont="1" applyFill="1" applyBorder="1" applyAlignment="1">
      <alignment horizontal="center" vertical="center"/>
    </xf>
    <xf numFmtId="0" fontId="10" fillId="5" borderId="18" xfId="0" applyFont="1" applyFill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0" fillId="3" borderId="18" xfId="0" applyFont="1" applyFill="1" applyBorder="1" applyAlignment="1">
      <alignment horizontal="center" vertical="center"/>
    </xf>
    <xf numFmtId="1" fontId="5" fillId="0" borderId="18" xfId="0" applyNumberFormat="1" applyFont="1" applyBorder="1" applyAlignment="1">
      <alignment horizontal="center" vertical="center"/>
    </xf>
    <xf numFmtId="2" fontId="5" fillId="0" borderId="0" xfId="0" applyNumberFormat="1" applyFont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14" fillId="0" borderId="0" xfId="0" applyFont="1" applyAlignment="1">
      <alignment wrapText="1"/>
    </xf>
    <xf numFmtId="0" fontId="15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4" fillId="0" borderId="0" xfId="0" applyFont="1" applyAlignment="1">
      <alignment vertical="top" wrapText="1"/>
    </xf>
    <xf numFmtId="0" fontId="14" fillId="0" borderId="0" xfId="0" applyFont="1"/>
    <xf numFmtId="1" fontId="15" fillId="0" borderId="0" xfId="0" applyNumberFormat="1" applyFont="1" applyAlignment="1">
      <alignment horizontal="center" vertical="center" wrapText="1"/>
    </xf>
    <xf numFmtId="164" fontId="15" fillId="0" borderId="0" xfId="1" applyFont="1" applyAlignment="1">
      <alignment horizontal="center" vertical="center" wrapText="1"/>
    </xf>
    <xf numFmtId="168" fontId="15" fillId="0" borderId="0" xfId="0" applyNumberFormat="1" applyFont="1" applyAlignment="1">
      <alignment horizontal="center" vertical="center" wrapText="1"/>
    </xf>
    <xf numFmtId="1" fontId="5" fillId="0" borderId="0" xfId="0" applyNumberFormat="1" applyFont="1" applyAlignment="1">
      <alignment horizontal="center" vertical="center"/>
    </xf>
    <xf numFmtId="166" fontId="10" fillId="6" borderId="0" xfId="0" applyNumberFormat="1" applyFont="1" applyFill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14" fontId="8" fillId="0" borderId="0" xfId="0" applyNumberFormat="1" applyFont="1" applyAlignment="1">
      <alignment horizontal="left" vertical="center"/>
    </xf>
    <xf numFmtId="0" fontId="8" fillId="0" borderId="15" xfId="0" applyFont="1" applyBorder="1" applyAlignment="1">
      <alignment horizontal="left" vertical="center"/>
    </xf>
    <xf numFmtId="0" fontId="8" fillId="0" borderId="0" xfId="1" applyNumberFormat="1" applyFont="1" applyBorder="1"/>
    <xf numFmtId="2" fontId="8" fillId="0" borderId="0" xfId="0" applyNumberFormat="1" applyFont="1"/>
    <xf numFmtId="0" fontId="8" fillId="0" borderId="13" xfId="0" applyFont="1" applyBorder="1" applyAlignment="1">
      <alignment horizontal="center"/>
    </xf>
    <xf numFmtId="0" fontId="8" fillId="0" borderId="0" xfId="0" quotePrefix="1" applyFont="1"/>
    <xf numFmtId="0" fontId="8" fillId="0" borderId="1" xfId="0" applyFont="1" applyBorder="1"/>
    <xf numFmtId="0" fontId="8" fillId="0" borderId="0" xfId="0" applyFont="1" applyAlignment="1">
      <alignment vertical="top"/>
    </xf>
    <xf numFmtId="10" fontId="0" fillId="0" borderId="0" xfId="0" applyNumberFormat="1"/>
    <xf numFmtId="169" fontId="14" fillId="0" borderId="0" xfId="0" applyNumberFormat="1" applyFont="1"/>
    <xf numFmtId="169" fontId="14" fillId="0" borderId="0" xfId="4" applyNumberFormat="1" applyFont="1"/>
    <xf numFmtId="0" fontId="15" fillId="0" borderId="19" xfId="0" applyFont="1" applyBorder="1" applyAlignment="1">
      <alignment horizontal="center" vertical="center" wrapText="1"/>
    </xf>
    <xf numFmtId="2" fontId="5" fillId="0" borderId="9" xfId="0" applyNumberFormat="1" applyFont="1" applyBorder="1" applyAlignment="1">
      <alignment horizontal="center" vertical="center"/>
    </xf>
    <xf numFmtId="166" fontId="5" fillId="0" borderId="9" xfId="0" applyNumberFormat="1" applyFont="1" applyBorder="1" applyAlignment="1">
      <alignment horizontal="center" vertical="center"/>
    </xf>
    <xf numFmtId="166" fontId="11" fillId="0" borderId="9" xfId="0" applyNumberFormat="1" applyFont="1" applyBorder="1" applyAlignment="1">
      <alignment horizontal="center" vertical="center"/>
    </xf>
    <xf numFmtId="166" fontId="10" fillId="0" borderId="9" xfId="0" applyNumberFormat="1" applyFont="1" applyBorder="1" applyAlignment="1">
      <alignment horizontal="center" vertical="center"/>
    </xf>
    <xf numFmtId="0" fontId="0" fillId="0" borderId="0" xfId="0" quotePrefix="1"/>
    <xf numFmtId="0" fontId="16" fillId="9" borderId="0" xfId="0" applyFont="1" applyFill="1"/>
    <xf numFmtId="170" fontId="0" fillId="0" borderId="0" xfId="4" quotePrefix="1" applyNumberFormat="1" applyFont="1"/>
    <xf numFmtId="2" fontId="0" fillId="0" borderId="0" xfId="0" quotePrefix="1" applyNumberFormat="1"/>
    <xf numFmtId="0" fontId="8" fillId="0" borderId="0" xfId="0" applyFont="1" applyAlignment="1">
      <alignment horizontal="left" vertical="top" wrapText="1"/>
    </xf>
    <xf numFmtId="0" fontId="6" fillId="0" borderId="0" xfId="0" applyFont="1" applyAlignment="1">
      <alignment horizontal="left" vertical="center"/>
    </xf>
    <xf numFmtId="0" fontId="8" fillId="0" borderId="8" xfId="0" applyFont="1" applyBorder="1" applyAlignment="1">
      <alignment horizontal="center"/>
    </xf>
    <xf numFmtId="0" fontId="8" fillId="0" borderId="10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8" fillId="0" borderId="6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164" fontId="6" fillId="0" borderId="6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8" fillId="0" borderId="0" xfId="0" applyFont="1" applyBorder="1"/>
    <xf numFmtId="166" fontId="8" fillId="0" borderId="0" xfId="0" applyNumberFormat="1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right"/>
    </xf>
    <xf numFmtId="0" fontId="8" fillId="2" borderId="14" xfId="0" applyFont="1" applyFill="1" applyBorder="1"/>
  </cellXfs>
  <cellStyles count="5">
    <cellStyle name="Milliers" xfId="4" builtinId="3"/>
    <cellStyle name="Milliers 2" xfId="2" xr:uid="{FED11521-5BEA-4BD2-AD3B-543798E584AB}"/>
    <cellStyle name="Monétaire" xfId="1" builtinId="4"/>
    <cellStyle name="Monétaire 2" xfId="3" xr:uid="{CD17ECB5-635F-4ECF-8076-236F61093801}"/>
    <cellStyle name="Normal" xfId="0" builtinId="0"/>
  </cellStyles>
  <dxfs count="9"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none"/>
      </font>
      <numFmt numFmtId="169" formatCode="0.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none"/>
      </font>
      <numFmt numFmtId="169" formatCode="0.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42</xdr:col>
      <xdr:colOff>9526</xdr:colOff>
      <xdr:row>9</xdr:row>
      <xdr:rowOff>19051</xdr:rowOff>
    </xdr:from>
    <xdr:to>
      <xdr:col>48</xdr:col>
      <xdr:colOff>752476</xdr:colOff>
      <xdr:row>38</xdr:row>
      <xdr:rowOff>94684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3613726" y="1638301"/>
          <a:ext cx="5314950" cy="5530283"/>
        </a:xfrm>
        <a:prstGeom prst="rect">
          <a:avLst/>
        </a:prstGeom>
      </xdr:spPr>
    </xdr:pic>
    <xdr:clientData/>
  </xdr:twoCellAnchor>
  <xdr:twoCellAnchor>
    <xdr:from>
      <xdr:col>42</xdr:col>
      <xdr:colOff>0</xdr:colOff>
      <xdr:row>2</xdr:row>
      <xdr:rowOff>19050</xdr:rowOff>
    </xdr:from>
    <xdr:to>
      <xdr:col>49</xdr:col>
      <xdr:colOff>19050</xdr:colOff>
      <xdr:row>7</xdr:row>
      <xdr:rowOff>152400</xdr:rowOff>
    </xdr:to>
    <xdr:sp macro="" textlink="">
      <xdr:nvSpPr>
        <xdr:cNvPr id="3" name="Text Box 4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>
          <a:spLocks noChangeArrowheads="1"/>
        </xdr:cNvSpPr>
      </xdr:nvSpPr>
      <xdr:spPr bwMode="auto">
        <a:xfrm>
          <a:off x="33604200" y="504825"/>
          <a:ext cx="5353050" cy="9429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rPr>
            <a:t>Après amortissement comptable ou fin du leasing : 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rPr>
            <a:t>Les bennes subissent une décote de 35% sur la valeur d'achat initiale, suivie de 5% par année.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rPr>
            <a:t>Les VL + remorques subissent une décote de 50% sur la valeur initiale, suivie de 7% par année. 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73</xdr:row>
      <xdr:rowOff>0</xdr:rowOff>
    </xdr:from>
    <xdr:to>
      <xdr:col>6</xdr:col>
      <xdr:colOff>505411</xdr:colOff>
      <xdr:row>86</xdr:row>
      <xdr:rowOff>86031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200" y="11582400"/>
          <a:ext cx="4201111" cy="2191056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C7D8FBC-D903-4CE4-BB9B-A4422A859BC8}" name="TBL_Décote" displayName="TBL_Décote" ref="A1:D4" totalsRowShown="0">
  <autoFilter ref="A1:D4" xr:uid="{BC7D8FBC-D903-4CE4-BB9B-A4422A859BC8}"/>
  <tableColumns count="4">
    <tableColumn id="1" xr3:uid="{E7B6074C-DA00-4518-A54B-64CC7A991C17}" name="abbrev."/>
    <tableColumn id="2" xr3:uid="{1780A8E5-8B72-4E73-9857-B06931DEF1AB}" name="quoi" dataDxfId="8"/>
    <tableColumn id="3" xr3:uid="{92009419-1103-47E9-8A66-9AB560FDD537}" name="année1" dataDxfId="7"/>
    <tableColumn id="4" xr3:uid="{8A61D108-884A-4DAE-B0CD-1D7065FA9356}" name="suivants" dataDxfId="6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2.bin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customProperty" Target="../customProperty3.bin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customProperty" Target="../customProperty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9DC5F9-3482-46CD-B9FD-CC78D9391A17}">
  <sheetPr codeName="Feuil1"/>
  <dimension ref="A1:AR131"/>
  <sheetViews>
    <sheetView topLeftCell="A75" zoomScaleNormal="100" zoomScalePageLayoutView="90" workbookViewId="0">
      <pane xSplit="1" topLeftCell="B1" activePane="topRight" state="frozen"/>
      <selection pane="topRight" activeCell="G15" sqref="G15"/>
    </sheetView>
  </sheetViews>
  <sheetFormatPr baseColWidth="10" defaultColWidth="11.42578125" defaultRowHeight="15" x14ac:dyDescent="0.25"/>
  <cols>
    <col min="1" max="1" width="11.42578125" style="5" bestFit="1" customWidth="1"/>
    <col min="2" max="2" width="13" style="5" bestFit="1" customWidth="1"/>
    <col min="3" max="3" width="10.42578125" style="5" bestFit="1" customWidth="1"/>
    <col min="4" max="4" width="20.85546875" style="5" bestFit="1" customWidth="1"/>
    <col min="5" max="5" width="12.140625" style="5" bestFit="1" customWidth="1"/>
    <col min="6" max="6" width="14.140625" style="5" bestFit="1" customWidth="1"/>
    <col min="7" max="7" width="20.140625" style="5" bestFit="1" customWidth="1"/>
    <col min="8" max="8" width="33.5703125" style="5" bestFit="1" customWidth="1"/>
    <col min="9" max="9" width="9.85546875" style="5" bestFit="1" customWidth="1"/>
    <col min="10" max="10" width="10.28515625" style="5" bestFit="1" customWidth="1"/>
    <col min="11" max="11" width="16.85546875" style="5" bestFit="1" customWidth="1"/>
    <col min="12" max="12" width="3" style="5" bestFit="1" customWidth="1"/>
    <col min="13" max="13" width="11.140625" style="5" customWidth="1"/>
    <col min="14" max="14" width="14.7109375" style="5" bestFit="1" customWidth="1"/>
    <col min="15" max="15" width="11.140625" style="11" bestFit="1" customWidth="1"/>
    <col min="16" max="16" width="11.28515625" style="11" bestFit="1" customWidth="1"/>
    <col min="17" max="17" width="13.85546875" style="11" bestFit="1" customWidth="1"/>
    <col min="18" max="18" width="8.5703125" style="5" bestFit="1" customWidth="1"/>
    <col min="19" max="19" width="15.85546875" style="5" customWidth="1"/>
    <col min="20" max="20" width="12.7109375" style="5" bestFit="1" customWidth="1"/>
    <col min="21" max="21" width="2" style="5" bestFit="1" customWidth="1"/>
    <col min="22" max="22" width="5.42578125" style="5" customWidth="1"/>
    <col min="23" max="28" width="11.42578125" style="5"/>
    <col min="29" max="29" width="11.42578125" style="98"/>
    <col min="30" max="30" width="11.42578125" style="114"/>
    <col min="31" max="35" width="11.42578125" style="5"/>
    <col min="36" max="44" width="10.85546875" customWidth="1"/>
    <col min="45" max="16384" width="11.42578125" style="5"/>
  </cols>
  <sheetData>
    <row r="1" spans="1:44" s="4" customFormat="1" ht="26.25" x14ac:dyDescent="0.25">
      <c r="A1" s="4" t="s">
        <v>199</v>
      </c>
      <c r="B1" s="4" t="s">
        <v>200</v>
      </c>
      <c r="C1" s="4" t="s">
        <v>201</v>
      </c>
      <c r="D1" s="4" t="s">
        <v>202</v>
      </c>
      <c r="E1" s="4" t="s">
        <v>203</v>
      </c>
      <c r="F1" s="4" t="s">
        <v>204</v>
      </c>
      <c r="G1" s="4" t="s">
        <v>205</v>
      </c>
      <c r="H1" s="4" t="s">
        <v>206</v>
      </c>
      <c r="I1" s="4" t="s">
        <v>207</v>
      </c>
      <c r="J1" s="4" t="s">
        <v>212</v>
      </c>
      <c r="K1" s="4" t="s">
        <v>208</v>
      </c>
      <c r="L1" s="4" t="s">
        <v>209</v>
      </c>
      <c r="M1" s="4" t="s">
        <v>180</v>
      </c>
      <c r="N1" s="4" t="s">
        <v>213</v>
      </c>
      <c r="O1" s="6" t="s">
        <v>214</v>
      </c>
      <c r="P1" s="6" t="s">
        <v>215</v>
      </c>
      <c r="Q1" s="6" t="s">
        <v>105</v>
      </c>
      <c r="R1" s="4" t="s">
        <v>46</v>
      </c>
      <c r="S1" s="4" t="s">
        <v>47</v>
      </c>
      <c r="T1" s="4" t="s">
        <v>61</v>
      </c>
      <c r="X1" s="95" t="s">
        <v>248</v>
      </c>
      <c r="Y1" s="96" t="s">
        <v>242</v>
      </c>
      <c r="Z1" s="91" t="s">
        <v>245</v>
      </c>
      <c r="AA1" s="91" t="s">
        <v>246</v>
      </c>
      <c r="AB1" s="91" t="s">
        <v>244</v>
      </c>
      <c r="AC1" s="97" t="s">
        <v>243</v>
      </c>
      <c r="AD1" s="113" t="s">
        <v>241</v>
      </c>
      <c r="AE1" s="91">
        <v>2033</v>
      </c>
      <c r="AF1" s="91">
        <v>2032</v>
      </c>
      <c r="AG1" s="91">
        <v>2031</v>
      </c>
      <c r="AH1" s="91">
        <v>2030</v>
      </c>
      <c r="AI1" s="91">
        <v>2029</v>
      </c>
      <c r="AJ1" s="91">
        <v>2028</v>
      </c>
      <c r="AK1" s="91">
        <v>2027</v>
      </c>
      <c r="AL1" s="91">
        <v>2026</v>
      </c>
      <c r="AM1" s="91">
        <v>2025</v>
      </c>
      <c r="AN1" s="91">
        <v>2024</v>
      </c>
      <c r="AO1" s="91">
        <v>2023</v>
      </c>
      <c r="AP1" s="90"/>
      <c r="AQ1" s="119">
        <f>$AD3/$Z3/12*IF(OR(AO$1&lt;$AB3,AO$1-$AB3&gt;=2*$Z3),0,IF(AO$1-$AB3&lt;$Z3,1,POWER(1-VLOOKUP($V3,TBL_Décote[[#This Row],[suivants]],4),AO$1-$AB3-$Z3)*VLOOKUP($V3,TBL_Décote[année1],3,0)))</f>
        <v>0</v>
      </c>
      <c r="AR1" s="90" t="s">
        <v>267</v>
      </c>
    </row>
    <row r="2" spans="1:44" x14ac:dyDescent="0.25">
      <c r="A2" s="7" t="s">
        <v>133</v>
      </c>
      <c r="B2" s="5" t="s">
        <v>188</v>
      </c>
      <c r="D2" s="5" t="s">
        <v>107</v>
      </c>
      <c r="E2" s="5" t="s">
        <v>19</v>
      </c>
      <c r="F2" s="5" t="s">
        <v>20</v>
      </c>
      <c r="I2" s="8">
        <v>42107</v>
      </c>
      <c r="J2" s="9">
        <v>17500</v>
      </c>
      <c r="L2" s="5">
        <v>60</v>
      </c>
      <c r="M2" s="8">
        <v>43709</v>
      </c>
      <c r="N2" s="10"/>
      <c r="R2" s="66">
        <v>585</v>
      </c>
      <c r="S2" s="9"/>
      <c r="T2" s="9">
        <v>120</v>
      </c>
      <c r="V2" s="5" t="str">
        <f>MID(A3,1,3)</f>
        <v>BEN</v>
      </c>
      <c r="W2" s="5" cm="1">
        <f t="array" ref="W2">_xlfn.IFS(LEFT(A2)="B",1,LEFT(A2)="R",2,LEFT(A2)="T",2,LEFT(A2)="V",2,LEFT(A2)="","")</f>
        <v>1</v>
      </c>
      <c r="X2" s="5">
        <v>10</v>
      </c>
      <c r="Z2" s="5">
        <v>4</v>
      </c>
      <c r="AA2" s="5">
        <f>12*Z2</f>
        <v>48</v>
      </c>
      <c r="AB2" s="5">
        <f>YEAR(I2)</f>
        <v>2015</v>
      </c>
      <c r="AC2" s="98">
        <f>ROUND(Z2+AB2,0)</f>
        <v>2019</v>
      </c>
      <c r="AD2" s="114">
        <v>17500</v>
      </c>
      <c r="AE2" s="120">
        <f>IF(AF2&lt;$AD2,AF2,$AD2)-IF(AE$1&lt;=$AC2,0,IF(AE$1&gt;IF($AC2&lt;2022,2022,$AC2),IF(AE$1-IF($AC2&lt;2022,2022,$AC2)=1,IF(AF2&lt;$AD2,AF2,$AD2)*VLOOKUP(LEFT($A2,3),Feuil2!$A:$D,3,0),IF(AF2&lt;$AD2,AF2,$AD2)*VLOOKUP(LEFT($A2,3),Feuil2!$A:$D,4)),0))</f>
        <v>6810.6326838365621</v>
      </c>
      <c r="AF2" s="120">
        <f>IF(AG2&lt;$AD2,AG2,$AD2)-IF(AF$1&lt;=$AC2,0,IF(AF$1&gt;IF($AC2&lt;2022,2022,$AC2),IF(AF$1-IF($AC2&lt;2022,2022,$AC2)=1,IF(AG2&lt;$AD2,AG2,$AD2)*VLOOKUP(LEFT($A2,3),Feuil2!$A:$D,3,0),IF(AG2&lt;$AD2,AG2,$AD2)*VLOOKUP(LEFT($A2,3),Feuil2!$A:$D,4)),0))</f>
        <v>7169.0870356174337</v>
      </c>
      <c r="AG2" s="120">
        <f>IF(AH2&lt;$AD2,AH2,$AD2)-IF(AG$1&lt;=$AC2,0,IF(AG$1&gt;IF($AC2&lt;2022,2022,$AC2),IF(AG$1-IF($AC2&lt;2022,2022,$AC2)=1,IF(AH2&lt;$AD2,AH2,$AD2)*VLOOKUP(LEFT($A2,3),Feuil2!$A:$D,3,0),IF(AH2&lt;$AD2,AH2,$AD2)*VLOOKUP(LEFT($A2,3),Feuil2!$A:$D,4)),0))</f>
        <v>7546.407405913088</v>
      </c>
      <c r="AH2" s="120">
        <f>IF(AI2&lt;$AD2,AI2,$AD2)-IF(AH$1&lt;=$AC2,0,IF(AH$1&gt;IF($AC2&lt;2022,2022,$AC2),IF(AH$1-IF($AC2&lt;2022,2022,$AC2)=1,IF(AI2&lt;$AD2,AI2,$AD2)*VLOOKUP(LEFT($A2,3),Feuil2!$A:$D,3,0),IF(AI2&lt;$AD2,AI2,$AD2)*VLOOKUP(LEFT($A2,3),Feuil2!$A:$D,4)),0))</f>
        <v>7943.5867430664084</v>
      </c>
      <c r="AI2" s="120">
        <f>IF(AJ2&lt;$AD2,AJ2,$AD2)-IF(AI$1&lt;=$AC2,0,IF(AI$1&gt;IF($AC2&lt;2022,2022,$AC2),IF(AI$1-IF($AC2&lt;2022,2022,$AC2)=1,IF(AJ2&lt;$AD2,AJ2,$AD2)*VLOOKUP(LEFT($A2,3),Feuil2!$A:$D,3,0),IF(AJ2&lt;$AD2,AJ2,$AD2)*VLOOKUP(LEFT($A2,3),Feuil2!$A:$D,4)),0))</f>
        <v>8361.670255859377</v>
      </c>
      <c r="AJ2" s="120">
        <f>IF(AK2&lt;$AD2,AK2,$AD2)-IF(AJ$1&lt;=$AC2,0,IF(AJ$1&gt;IF($AC2&lt;2022,2022,$AC2),IF(AJ$1-IF($AC2&lt;2022,2022,$AC2)=1,IF(AK2&lt;$AD2,AK2,$AD2)*VLOOKUP(LEFT($A2,3),Feuil2!$A:$D,3,0),IF(AK2&lt;$AD2,AK2,$AD2)*VLOOKUP(LEFT($A2,3),Feuil2!$A:$D,4)),0))</f>
        <v>8801.7581640625012</v>
      </c>
      <c r="AK2" s="120">
        <f>IF(AL2&lt;$AD2,AL2,$AD2)-IF(AK$1&lt;=$AC2,0,IF(AK$1&gt;IF($AC2&lt;2022,2022,$AC2),IF(AK$1-IF($AC2&lt;2022,2022,$AC2)=1,IF(AL2&lt;$AD2,AL2,$AD2)*VLOOKUP(LEFT($A2,3),Feuil2!$A:$D,3,0),IF(AL2&lt;$AD2,AL2,$AD2)*VLOOKUP(LEFT($A2,3),Feuil2!$A:$D,4)),0))</f>
        <v>9265.0085937500007</v>
      </c>
      <c r="AL2" s="120">
        <f>IF(AM2&lt;$AD2,AM2,$AD2)-IF(AL$1&lt;=$AC2,0,IF(AL$1&gt;IF($AC2&lt;2022,2022,$AC2),IF(AL$1-IF($AC2&lt;2022,2022,$AC2)=1,IF(AM2&lt;$AD2,AM2,$AD2)*VLOOKUP(LEFT($A2,3),Feuil2!$A:$D,3,0),IF(AM2&lt;$AD2,AM2,$AD2)*VLOOKUP(LEFT($A2,3),Feuil2!$A:$D,4)),0))</f>
        <v>9752.640625</v>
      </c>
      <c r="AM2" s="120">
        <f>IF(AN2&lt;$AD2,AN2,$AD2)-IF(AM$1&lt;=$AC2,0,IF(AM$1&gt;IF($AC2&lt;2022,2022,$AC2),IF(AM$1-IF($AC2&lt;2022,2022,$AC2)=1,IF(AN2&lt;$AD2,AN2,$AD2)*VLOOKUP(LEFT($A2,3),Feuil2!$A:$D,3,0),IF(AN2&lt;$AD2,AN2,$AD2)*VLOOKUP(LEFT($A2,3),Feuil2!$A:$D,4)),0))</f>
        <v>10265.9375</v>
      </c>
      <c r="AN2" s="120">
        <f>IF(AO2&lt;$AD2,AO2,$AD2)-IF(AN$1&lt;=$AC2,0,IF(AN$1&gt;IF($AC2&lt;2022,2022,$AC2),IF(AN$1-IF($AC2&lt;2022,2022,$AC2)=1,IF(AO2&lt;$AD2,AO2,$AD2)*VLOOKUP(LEFT($A2,3),Feuil2!$A:$D,3,0),IF(AO2&lt;$AD2,AO2,$AD2)*VLOOKUP(LEFT($A2,3),Feuil2!$A:$D,4)),0))</f>
        <v>10806.25</v>
      </c>
      <c r="AO2" s="120">
        <f>$AD2-IF(AO$1&lt;=$AC2,0,IF(AO$1&gt;IF($AC2&lt;2022,2022,$AC2),IF(AO$1-IF($AC2&lt;2022,2022,$AC2)=1,$AD2*VLOOKUP(LEFT($A2,3),Feuil2!$A:$D,3,0),$AD2*VLOOKUP(LEFT($A2,3),Feuil2!$A:$D,4)),0))</f>
        <v>11375</v>
      </c>
      <c r="AP2" s="118"/>
      <c r="AQ2" s="93"/>
      <c r="AR2" s="92"/>
    </row>
    <row r="3" spans="1:44" x14ac:dyDescent="0.25">
      <c r="A3" s="7" t="s">
        <v>134</v>
      </c>
      <c r="B3" s="5" t="s">
        <v>188</v>
      </c>
      <c r="D3" s="5" t="s">
        <v>107</v>
      </c>
      <c r="E3" s="5" t="s">
        <v>21</v>
      </c>
      <c r="F3" s="5" t="s">
        <v>22</v>
      </c>
      <c r="I3" s="8">
        <v>42108</v>
      </c>
      <c r="J3" s="66">
        <v>29100</v>
      </c>
      <c r="L3" s="7">
        <v>60</v>
      </c>
      <c r="M3" s="8">
        <v>43935</v>
      </c>
      <c r="N3" s="67">
        <v>150</v>
      </c>
      <c r="O3" s="68">
        <v>764.4</v>
      </c>
      <c r="P3" s="68">
        <v>23</v>
      </c>
      <c r="R3" s="66">
        <v>405</v>
      </c>
      <c r="S3" s="9"/>
      <c r="T3" s="9">
        <v>120</v>
      </c>
      <c r="V3" s="5" t="str">
        <f t="shared" ref="V3:V66" si="0">MID(A4,1,3)</f>
        <v>BEN</v>
      </c>
      <c r="W3" s="5" cm="1">
        <f t="array" ref="W3">_xlfn.IFS(LEFT(A3)="B",1,LEFT(A3)="R",2,LEFT(A3)="T",2,LEFT(A3)="V",2,LEFT(A3)="","")</f>
        <v>1</v>
      </c>
      <c r="X3" s="5">
        <v>10</v>
      </c>
      <c r="Z3" s="5">
        <v>3</v>
      </c>
      <c r="AA3" s="5">
        <f t="shared" ref="AA3:AA66" si="1">12*Z3</f>
        <v>36</v>
      </c>
      <c r="AB3" s="5">
        <f t="shared" ref="AB3:AB66" si="2">YEAR(I3)</f>
        <v>2015</v>
      </c>
      <c r="AC3" s="98">
        <f t="shared" ref="AC3:AC17" si="3">ROUND(Z3+AB3,0)</f>
        <v>2018</v>
      </c>
      <c r="AD3" s="114">
        <v>29100</v>
      </c>
      <c r="AE3" s="120">
        <f>IF(AF3&lt;$AD3,AF3,$AD3)-IF(AE$1&lt;=$AC3,0,IF(AE$1&gt;IF($AC3&lt;2022,2022,$AC3),IF(AE$1-IF($AC3&lt;2022,2022,$AC3)=1,IF(AF3&lt;$AD3,AF3,$AD3)*VLOOKUP(LEFT($A3,3),Feuil2!$A:$D,3,0),IF(AF3&lt;$AD3,AF3,$AD3)*VLOOKUP(LEFT($A3,3),Feuil2!$A:$D,4)),0))</f>
        <v>11325.109205693936</v>
      </c>
      <c r="AF3" s="120">
        <f>IF(AG3&lt;$AD3,AG3,$AD3)-IF(AF$1&lt;=$AC3,0,IF(AF$1&gt;IF($AC3&lt;2022,2022,$AC3),IF(AF$1-IF($AC3&lt;2022,2022,$AC3)=1,IF(AG3&lt;$AD3,AG3,$AD3)*VLOOKUP(LEFT($A3,3),Feuil2!$A:$D,3,0),IF(AG3&lt;$AD3,AG3,$AD3)*VLOOKUP(LEFT($A3,3),Feuil2!$A:$D,4)),0))</f>
        <v>11921.167584940986</v>
      </c>
      <c r="AG3" s="120">
        <f>IF(AH3&lt;$AD3,AH3,$AD3)-IF(AG$1&lt;=$AC3,0,IF(AG$1&gt;IF($AC3&lt;2022,2022,$AC3),IF(AG$1-IF($AC3&lt;2022,2022,$AC3)=1,IF(AH3&lt;$AD3,AH3,$AD3)*VLOOKUP(LEFT($A3,3),Feuil2!$A:$D,3,0),IF(AH3&lt;$AD3,AH3,$AD3)*VLOOKUP(LEFT($A3,3),Feuil2!$A:$D,4)),0))</f>
        <v>12548.597457832617</v>
      </c>
      <c r="AH3" s="120">
        <f>IF(AI3&lt;$AD3,AI3,$AD3)-IF(AH$1&lt;=$AC3,0,IF(AH$1&gt;IF($AC3&lt;2022,2022,$AC3),IF(AH$1-IF($AC3&lt;2022,2022,$AC3)=1,IF(AI3&lt;$AD3,AI3,$AD3)*VLOOKUP(LEFT($A3,3),Feuil2!$A:$D,3,0),IF(AI3&lt;$AD3,AI3,$AD3)*VLOOKUP(LEFT($A3,3),Feuil2!$A:$D,4)),0))</f>
        <v>13209.04995561328</v>
      </c>
      <c r="AI3" s="120">
        <f>IF(AJ3&lt;$AD3,AJ3,$AD3)-IF(AI$1&lt;=$AC3,0,IF(AI$1&gt;IF($AC3&lt;2022,2022,$AC3),IF(AI$1-IF($AC3&lt;2022,2022,$AC3)=1,IF(AJ3&lt;$AD3,AJ3,$AD3)*VLOOKUP(LEFT($A3,3),Feuil2!$A:$D,3,0),IF(AJ3&lt;$AD3,AJ3,$AD3)*VLOOKUP(LEFT($A3,3),Feuil2!$A:$D,4)),0))</f>
        <v>13904.263111171873</v>
      </c>
      <c r="AJ3" s="120">
        <f>IF(AK3&lt;$AD3,AK3,$AD3)-IF(AJ$1&lt;=$AC3,0,IF(AJ$1&gt;IF($AC3&lt;2022,2022,$AC3),IF(AJ$1-IF($AC3&lt;2022,2022,$AC3)=1,IF(AK3&lt;$AD3,AK3,$AD3)*VLOOKUP(LEFT($A3,3),Feuil2!$A:$D,3,0),IF(AK3&lt;$AD3,AK3,$AD3)*VLOOKUP(LEFT($A3,3),Feuil2!$A:$D,4)),0))</f>
        <v>14636.066432812499</v>
      </c>
      <c r="AK3" s="120">
        <f>IF(AL3&lt;$AD3,AL3,$AD3)-IF(AK$1&lt;=$AC3,0,IF(AK$1&gt;IF($AC3&lt;2022,2022,$AC3),IF(AK$1-IF($AC3&lt;2022,2022,$AC3)=1,IF(AL3&lt;$AD3,AL3,$AD3)*VLOOKUP(LEFT($A3,3),Feuil2!$A:$D,3,0),IF(AL3&lt;$AD3,AL3,$AD3)*VLOOKUP(LEFT($A3,3),Feuil2!$A:$D,4)),0))</f>
        <v>15406.385718749998</v>
      </c>
      <c r="AL3" s="120">
        <f>IF(AM3&lt;$AD3,AM3,$AD3)-IF(AL$1&lt;=$AC3,0,IF(AL$1&gt;IF($AC3&lt;2022,2022,$AC3),IF(AL$1-IF($AC3&lt;2022,2022,$AC3)=1,IF(AM3&lt;$AD3,AM3,$AD3)*VLOOKUP(LEFT($A3,3),Feuil2!$A:$D,3,0),IF(AM3&lt;$AD3,AM3,$AD3)*VLOOKUP(LEFT($A3,3),Feuil2!$A:$D,4)),0))</f>
        <v>16217.248124999998</v>
      </c>
      <c r="AM3" s="120">
        <f>IF(AN3&lt;$AD3,AN3,$AD3)-IF(AM$1&lt;=$AC3,0,IF(AM$1&gt;IF($AC3&lt;2022,2022,$AC3),IF(AM$1-IF($AC3&lt;2022,2022,$AC3)=1,IF(AN3&lt;$AD3,AN3,$AD3)*VLOOKUP(LEFT($A3,3),Feuil2!$A:$D,3,0),IF(AN3&lt;$AD3,AN3,$AD3)*VLOOKUP(LEFT($A3,3),Feuil2!$A:$D,4)),0))</f>
        <v>17070.787499999999</v>
      </c>
      <c r="AN3" s="120">
        <f>IF(AO3&lt;$AD3,AO3,$AD3)-IF(AN$1&lt;=$AC3,0,IF(AN$1&gt;IF($AC3&lt;2022,2022,$AC3),IF(AN$1-IF($AC3&lt;2022,2022,$AC3)=1,IF(AO3&lt;$AD3,AO3,$AD3)*VLOOKUP(LEFT($A3,3),Feuil2!$A:$D,3,0),IF(AO3&lt;$AD3,AO3,$AD3)*VLOOKUP(LEFT($A3,3),Feuil2!$A:$D,4)),0))</f>
        <v>17969.25</v>
      </c>
      <c r="AO3" s="120">
        <f>$AD3-IF(AO$1&lt;=$AC3,0,IF(AO$1&gt;IF($AC3&lt;2022,2022,$AC3),IF(AO$1-IF($AC3&lt;2022,2022,$AC3)=1,$AD3*VLOOKUP(LEFT($A3,3),Feuil2!$A:$D,3,0),$AD3*VLOOKUP(LEFT($A3,3),Feuil2!$A:$D,4)),0))</f>
        <v>18915</v>
      </c>
      <c r="AP3" s="118"/>
      <c r="AQ3" s="93"/>
      <c r="AR3" s="94"/>
    </row>
    <row r="4" spans="1:44" x14ac:dyDescent="0.25">
      <c r="A4" s="7" t="s">
        <v>81</v>
      </c>
      <c r="B4" s="5" t="s">
        <v>188</v>
      </c>
      <c r="D4" s="5" t="s">
        <v>183</v>
      </c>
      <c r="E4" s="5" t="s">
        <v>21</v>
      </c>
      <c r="F4" s="5" t="s">
        <v>22</v>
      </c>
      <c r="I4" s="8">
        <v>42627</v>
      </c>
      <c r="J4" s="9">
        <v>29700</v>
      </c>
      <c r="L4" s="5">
        <v>66</v>
      </c>
      <c r="M4" s="8">
        <v>44542</v>
      </c>
      <c r="N4" s="12"/>
      <c r="O4" s="13"/>
      <c r="P4" s="13"/>
      <c r="Q4" s="13"/>
      <c r="R4" s="66">
        <v>405</v>
      </c>
      <c r="S4" s="9"/>
      <c r="T4" s="9">
        <v>120</v>
      </c>
      <c r="V4" s="5" t="str">
        <f t="shared" si="0"/>
        <v>BEN</v>
      </c>
      <c r="W4" s="5" cm="1">
        <f t="array" ref="W4">_xlfn.IFS(LEFT(A4)="B",1,LEFT(A4)="R",2,LEFT(A4)="T",2,LEFT(A4)="V",2,LEFT(A4)="","")</f>
        <v>1</v>
      </c>
      <c r="X4" s="5">
        <v>10</v>
      </c>
      <c r="Z4" s="5">
        <v>5.5</v>
      </c>
      <c r="AA4" s="5">
        <f t="shared" si="1"/>
        <v>66</v>
      </c>
      <c r="AB4" s="5">
        <f t="shared" si="2"/>
        <v>2016</v>
      </c>
      <c r="AC4" s="98">
        <f t="shared" si="3"/>
        <v>2022</v>
      </c>
      <c r="AD4" s="114">
        <v>29700</v>
      </c>
      <c r="AE4" s="120">
        <f>IF(AF4&lt;$AD4,AF4,$AD4)-IF(AE$1&lt;=$AC4,0,IF(AE$1&gt;IF($AC4&lt;2022,2022,$AC4),IF(AE$1-IF($AC4&lt;2022,2022,$AC4)=1,IF(AF4&lt;$AD4,AF4,$AD4)*VLOOKUP(LEFT($A4,3),Feuil2!$A:$D,3,0),IF(AF4&lt;$AD4,AF4,$AD4)*VLOOKUP(LEFT($A4,3),Feuil2!$A:$D,4)),0))</f>
        <v>11558.616611996904</v>
      </c>
      <c r="AF4" s="120">
        <f>IF(AG4&lt;$AD4,AG4,$AD4)-IF(AF$1&lt;=$AC4,0,IF(AF$1&gt;IF($AC4&lt;2022,2022,$AC4),IF(AF$1-IF($AC4&lt;2022,2022,$AC4)=1,IF(AG4&lt;$AD4,AG4,$AD4)*VLOOKUP(LEFT($A4,3),Feuil2!$A:$D,3,0),IF(AG4&lt;$AD4,AG4,$AD4)*VLOOKUP(LEFT($A4,3),Feuil2!$A:$D,4)),0))</f>
        <v>12166.964854733584</v>
      </c>
      <c r="AG4" s="120">
        <f>IF(AH4&lt;$AD4,AH4,$AD4)-IF(AG$1&lt;=$AC4,0,IF(AG$1&gt;IF($AC4&lt;2022,2022,$AC4),IF(AG$1-IF($AC4&lt;2022,2022,$AC4)=1,IF(AH4&lt;$AD4,AH4,$AD4)*VLOOKUP(LEFT($A4,3),Feuil2!$A:$D,3,0),IF(AH4&lt;$AD4,AH4,$AD4)*VLOOKUP(LEFT($A4,3),Feuil2!$A:$D,4)),0))</f>
        <v>12807.331426035351</v>
      </c>
      <c r="AH4" s="120">
        <f>IF(AI4&lt;$AD4,AI4,$AD4)-IF(AH$1&lt;=$AC4,0,IF(AH$1&gt;IF($AC4&lt;2022,2022,$AC4),IF(AH$1-IF($AC4&lt;2022,2022,$AC4)=1,IF(AI4&lt;$AD4,AI4,$AD4)*VLOOKUP(LEFT($A4,3),Feuil2!$A:$D,3,0),IF(AI4&lt;$AD4,AI4,$AD4)*VLOOKUP(LEFT($A4,3),Feuil2!$A:$D,4)),0))</f>
        <v>13481.401501089844</v>
      </c>
      <c r="AI4" s="120">
        <f>IF(AJ4&lt;$AD4,AJ4,$AD4)-IF(AI$1&lt;=$AC4,0,IF(AI$1&gt;IF($AC4&lt;2022,2022,$AC4),IF(AI$1-IF($AC4&lt;2022,2022,$AC4)=1,IF(AJ4&lt;$AD4,AJ4,$AD4)*VLOOKUP(LEFT($A4,3),Feuil2!$A:$D,3,0),IF(AJ4&lt;$AD4,AJ4,$AD4)*VLOOKUP(LEFT($A4,3),Feuil2!$A:$D,4)),0))</f>
        <v>14190.948948515625</v>
      </c>
      <c r="AJ4" s="120">
        <f>IF(AK4&lt;$AD4,AK4,$AD4)-IF(AJ$1&lt;=$AC4,0,IF(AJ$1&gt;IF($AC4&lt;2022,2022,$AC4),IF(AJ$1-IF($AC4&lt;2022,2022,$AC4)=1,IF(AK4&lt;$AD4,AK4,$AD4)*VLOOKUP(LEFT($A4,3),Feuil2!$A:$D,3,0),IF(AK4&lt;$AD4,AK4,$AD4)*VLOOKUP(LEFT($A4,3),Feuil2!$A:$D,4)),0))</f>
        <v>14937.840998437499</v>
      </c>
      <c r="AK4" s="120">
        <f>IF(AL4&lt;$AD4,AL4,$AD4)-IF(AK$1&lt;=$AC4,0,IF(AK$1&gt;IF($AC4&lt;2022,2022,$AC4),IF(AK$1-IF($AC4&lt;2022,2022,$AC4)=1,IF(AL4&lt;$AD4,AL4,$AD4)*VLOOKUP(LEFT($A4,3),Feuil2!$A:$D,3,0),IF(AL4&lt;$AD4,AL4,$AD4)*VLOOKUP(LEFT($A4,3),Feuil2!$A:$D,4)),0))</f>
        <v>15724.04315625</v>
      </c>
      <c r="AL4" s="120">
        <f>IF(AM4&lt;$AD4,AM4,$AD4)-IF(AL$1&lt;=$AC4,0,IF(AL$1&gt;IF($AC4&lt;2022,2022,$AC4),IF(AL$1-IF($AC4&lt;2022,2022,$AC4)=1,IF(AM4&lt;$AD4,AM4,$AD4)*VLOOKUP(LEFT($A4,3),Feuil2!$A:$D,3,0),IF(AM4&lt;$AD4,AM4,$AD4)*VLOOKUP(LEFT($A4,3),Feuil2!$A:$D,4)),0))</f>
        <v>16551.624374999999</v>
      </c>
      <c r="AM4" s="120">
        <f>IF(AN4&lt;$AD4,AN4,$AD4)-IF(AM$1&lt;=$AC4,0,IF(AM$1&gt;IF($AC4&lt;2022,2022,$AC4),IF(AM$1-IF($AC4&lt;2022,2022,$AC4)=1,IF(AN4&lt;$AD4,AN4,$AD4)*VLOOKUP(LEFT($A4,3),Feuil2!$A:$D,3,0),IF(AN4&lt;$AD4,AN4,$AD4)*VLOOKUP(LEFT($A4,3),Feuil2!$A:$D,4)),0))</f>
        <v>17422.762500000001</v>
      </c>
      <c r="AN4" s="120">
        <f>IF(AO4&lt;$AD4,AO4,$AD4)-IF(AN$1&lt;=$AC4,0,IF(AN$1&gt;IF($AC4&lt;2022,2022,$AC4),IF(AN$1-IF($AC4&lt;2022,2022,$AC4)=1,IF(AO4&lt;$AD4,AO4,$AD4)*VLOOKUP(LEFT($A4,3),Feuil2!$A:$D,3,0),IF(AO4&lt;$AD4,AO4,$AD4)*VLOOKUP(LEFT($A4,3),Feuil2!$A:$D,4)),0))</f>
        <v>18339.75</v>
      </c>
      <c r="AO4" s="120">
        <f>$AD4-IF(AO$1&lt;=$AC4,0,IF(AO$1&gt;IF($AC4&lt;2022,2022,$AC4),IF(AO$1-IF($AC4&lt;2022,2022,$AC4)=1,$AD4*VLOOKUP(LEFT($A4,3),Feuil2!$A:$D,3,0),$AD4*VLOOKUP(LEFT($A4,3),Feuil2!$A:$D,4)),0))</f>
        <v>19305</v>
      </c>
      <c r="AP4" s="121"/>
      <c r="AQ4" s="93"/>
      <c r="AR4" s="94"/>
    </row>
    <row r="5" spans="1:44" x14ac:dyDescent="0.25">
      <c r="A5" s="7" t="s">
        <v>82</v>
      </c>
      <c r="B5" s="5" t="s">
        <v>60</v>
      </c>
      <c r="D5" s="5" t="s">
        <v>183</v>
      </c>
      <c r="E5" s="5" t="s">
        <v>23</v>
      </c>
      <c r="F5" s="5" t="s">
        <v>24</v>
      </c>
      <c r="I5" s="8">
        <v>43074</v>
      </c>
      <c r="J5" s="9">
        <v>16241.67</v>
      </c>
      <c r="L5" s="5">
        <v>60</v>
      </c>
      <c r="M5" s="8">
        <v>44880</v>
      </c>
      <c r="N5" s="12"/>
      <c r="R5" s="66">
        <v>405</v>
      </c>
      <c r="S5" s="9"/>
      <c r="T5" s="9">
        <v>120</v>
      </c>
      <c r="V5" s="5" t="str">
        <f t="shared" si="0"/>
        <v>BEN</v>
      </c>
      <c r="W5" s="5" cm="1">
        <f t="array" ref="W5">_xlfn.IFS(LEFT(A5)="B",1,LEFT(A5)="R",2,LEFT(A5)="T",2,LEFT(A5)="V",2,LEFT(A5)="","")</f>
        <v>1</v>
      </c>
      <c r="X5" s="5">
        <v>10</v>
      </c>
      <c r="Z5" s="5">
        <v>5.5</v>
      </c>
      <c r="AA5" s="5">
        <f t="shared" si="1"/>
        <v>66</v>
      </c>
      <c r="AB5" s="5">
        <f t="shared" si="2"/>
        <v>2017</v>
      </c>
      <c r="AC5" s="98">
        <f t="shared" si="3"/>
        <v>2023</v>
      </c>
      <c r="AD5" s="114">
        <v>16241.27</v>
      </c>
      <c r="AE5" s="120">
        <f>IF(AF5&lt;$AD5,AF5,$AD5)-IF(AE$1&lt;=$AC5,0,IF(AE$1&gt;IF($AC5&lt;2022,2022,$AC5),IF(AE$1-IF($AC5&lt;2022,2022,$AC5)=1,IF(AF5&lt;$AD5,AF5,$AD5)*VLOOKUP(LEFT($A5,3),Feuil2!$A:$D,3,0),IF(AF5&lt;$AD5,AF5,$AD5)*VLOOKUP(LEFT($A5,3),Feuil2!$A:$D,4)),0))</f>
        <v>6653.4330399407054</v>
      </c>
      <c r="AF5" s="120">
        <f>IF(AG5&lt;$AD5,AG5,$AD5)-IF(AF$1&lt;=$AC5,0,IF(AF$1&gt;IF($AC5&lt;2022,2022,$AC5),IF(AF$1-IF($AC5&lt;2022,2022,$AC5)=1,IF(AG5&lt;$AD5,AG5,$AD5)*VLOOKUP(LEFT($A5,3),Feuil2!$A:$D,3,0),IF(AG5&lt;$AD5,AG5,$AD5)*VLOOKUP(LEFT($A5,3),Feuil2!$A:$D,4)),0))</f>
        <v>7003.6137262533739</v>
      </c>
      <c r="AG5" s="120">
        <f>IF(AH5&lt;$AD5,AH5,$AD5)-IF(AG$1&lt;=$AC5,0,IF(AG$1&gt;IF($AC5&lt;2022,2022,$AC5),IF(AG$1-IF($AC5&lt;2022,2022,$AC5)=1,IF(AH5&lt;$AD5,AH5,$AD5)*VLOOKUP(LEFT($A5,3),Feuil2!$A:$D,3,0),IF(AH5&lt;$AD5,AH5,$AD5)*VLOOKUP(LEFT($A5,3),Feuil2!$A:$D,4)),0))</f>
        <v>7372.2249750035517</v>
      </c>
      <c r="AH5" s="120">
        <f>IF(AI5&lt;$AD5,AI5,$AD5)-IF(AH$1&lt;=$AC5,0,IF(AH$1&gt;IF($AC5&lt;2022,2022,$AC5),IF(AH$1-IF($AC5&lt;2022,2022,$AC5)=1,IF(AI5&lt;$AD5,AI5,$AD5)*VLOOKUP(LEFT($A5,3),Feuil2!$A:$D,3,0),IF(AI5&lt;$AD5,AI5,$AD5)*VLOOKUP(LEFT($A5,3),Feuil2!$A:$D,4)),0))</f>
        <v>7760.2368157932124</v>
      </c>
      <c r="AI5" s="120">
        <f>IF(AJ5&lt;$AD5,AJ5,$AD5)-IF(AI$1&lt;=$AC5,0,IF(AI$1&gt;IF($AC5&lt;2022,2022,$AC5),IF(AI$1-IF($AC5&lt;2022,2022,$AC5)=1,IF(AJ5&lt;$AD5,AJ5,$AD5)*VLOOKUP(LEFT($A5,3),Feuil2!$A:$D,3,0),IF(AJ5&lt;$AD5,AJ5,$AD5)*VLOOKUP(LEFT($A5,3),Feuil2!$A:$D,4)),0))</f>
        <v>8168.670332413908</v>
      </c>
      <c r="AJ5" s="120">
        <f>IF(AK5&lt;$AD5,AK5,$AD5)-IF(AJ$1&lt;=$AC5,0,IF(AJ$1&gt;IF($AC5&lt;2022,2022,$AC5),IF(AJ$1-IF($AC5&lt;2022,2022,$AC5)=1,IF(AK5&lt;$AD5,AK5,$AD5)*VLOOKUP(LEFT($A5,3),Feuil2!$A:$D,3,0),IF(AK5&lt;$AD5,AK5,$AD5)*VLOOKUP(LEFT($A5,3),Feuil2!$A:$D,4)),0))</f>
        <v>8598.6003499093767</v>
      </c>
      <c r="AK5" s="120">
        <f>IF(AL5&lt;$AD5,AL5,$AD5)-IF(AK$1&lt;=$AC5,0,IF(AK$1&gt;IF($AC5&lt;2022,2022,$AC5),IF(AK$1-IF($AC5&lt;2022,2022,$AC5)=1,IF(AL5&lt;$AD5,AL5,$AD5)*VLOOKUP(LEFT($A5,3),Feuil2!$A:$D,3,0),IF(AL5&lt;$AD5,AL5,$AD5)*VLOOKUP(LEFT($A5,3),Feuil2!$A:$D,4)),0))</f>
        <v>9051.1582630625016</v>
      </c>
      <c r="AL5" s="120">
        <f>IF(AM5&lt;$AD5,AM5,$AD5)-IF(AL$1&lt;=$AC5,0,IF(AL$1&gt;IF($AC5&lt;2022,2022,$AC5),IF(AL$1-IF($AC5&lt;2022,2022,$AC5)=1,IF(AM5&lt;$AD5,AM5,$AD5)*VLOOKUP(LEFT($A5,3),Feuil2!$A:$D,3,0),IF(AM5&lt;$AD5,AM5,$AD5)*VLOOKUP(LEFT($A5,3),Feuil2!$A:$D,4)),0))</f>
        <v>9527.5350137500009</v>
      </c>
      <c r="AM5" s="120">
        <f>IF(AN5&lt;$AD5,AN5,$AD5)-IF(AM$1&lt;=$AC5,0,IF(AM$1&gt;IF($AC5&lt;2022,2022,$AC5),IF(AM$1-IF($AC5&lt;2022,2022,$AC5)=1,IF(AN5&lt;$AD5,AN5,$AD5)*VLOOKUP(LEFT($A5,3),Feuil2!$A:$D,3,0),IF(AN5&lt;$AD5,AN5,$AD5)*VLOOKUP(LEFT($A5,3),Feuil2!$A:$D,4)),0))</f>
        <v>10028.984225</v>
      </c>
      <c r="AN5" s="120">
        <f>IF(AO5&lt;$AD5,AO5,$AD5)-IF(AN$1&lt;=$AC5,0,IF(AN$1&gt;IF($AC5&lt;2022,2022,$AC5),IF(AN$1-IF($AC5&lt;2022,2022,$AC5)=1,IF(AO5&lt;$AD5,AO5,$AD5)*VLOOKUP(LEFT($A5,3),Feuil2!$A:$D,3,0),IF(AO5&lt;$AD5,AO5,$AD5)*VLOOKUP(LEFT($A5,3),Feuil2!$A:$D,4)),0))</f>
        <v>10556.825500000001</v>
      </c>
      <c r="AO5" s="120">
        <f>$AD5-IF(AO$1&lt;=$AC5,0,IF(AO$1&gt;IF($AC5&lt;2022,2022,$AC5),IF(AO$1-IF($AC5&lt;2022,2022,$AC5)=1,$AD5*VLOOKUP(LEFT($A5,3),Feuil2!$A:$D,3,0),$AD5*VLOOKUP(LEFT($A5,3),Feuil2!$A:$D,4)),0))</f>
        <v>16241.27</v>
      </c>
      <c r="AP5" s="118"/>
      <c r="AQ5" s="93"/>
      <c r="AR5" s="94"/>
    </row>
    <row r="6" spans="1:44" x14ac:dyDescent="0.25">
      <c r="A6" s="7" t="s">
        <v>135</v>
      </c>
      <c r="B6" s="5" t="s">
        <v>188</v>
      </c>
      <c r="D6" s="5" t="s">
        <v>107</v>
      </c>
      <c r="E6" s="5" t="s">
        <v>19</v>
      </c>
      <c r="F6" s="5" t="s">
        <v>25</v>
      </c>
      <c r="I6" s="8">
        <v>43165</v>
      </c>
      <c r="J6" s="9">
        <v>36300</v>
      </c>
      <c r="L6" s="5">
        <v>60</v>
      </c>
      <c r="M6" s="8">
        <v>45017</v>
      </c>
      <c r="N6" s="12">
        <v>120</v>
      </c>
      <c r="R6" s="66">
        <v>585</v>
      </c>
      <c r="S6" s="9"/>
      <c r="T6" s="9">
        <v>120</v>
      </c>
      <c r="V6" s="5" t="str">
        <f t="shared" si="0"/>
        <v>BEN</v>
      </c>
      <c r="W6" s="5" cm="1">
        <f t="array" ref="W6">_xlfn.IFS(LEFT(A6)="B",1,LEFT(A6)="R",2,LEFT(A6)="T",2,LEFT(A6)="V",2,LEFT(A6)="","")</f>
        <v>1</v>
      </c>
      <c r="X6" s="5">
        <v>10</v>
      </c>
      <c r="Z6" s="5">
        <v>5</v>
      </c>
      <c r="AA6" s="5">
        <f t="shared" si="1"/>
        <v>60</v>
      </c>
      <c r="AB6" s="5">
        <f t="shared" si="2"/>
        <v>2018</v>
      </c>
      <c r="AC6" s="98">
        <f t="shared" si="3"/>
        <v>2023</v>
      </c>
      <c r="AD6" s="114">
        <v>36300</v>
      </c>
      <c r="AE6" s="120">
        <f>IF(AF6&lt;$AD6,AF6,$AD6)-IF(AE$1&lt;=$AC6,0,IF(AE$1&gt;IF($AC6&lt;2022,2022,$AC6),IF(AE$1-IF($AC6&lt;2022,2022,$AC6)=1,IF(AF6&lt;$AD6,AF6,$AD6)*VLOOKUP(LEFT($A6,3),Feuil2!$A:$D,3,0),IF(AF6&lt;$AD6,AF6,$AD6)*VLOOKUP(LEFT($A6,3),Feuil2!$A:$D,4)),0))</f>
        <v>14870.734822452156</v>
      </c>
      <c r="AF6" s="120">
        <f>IF(AG6&lt;$AD6,AG6,$AD6)-IF(AF$1&lt;=$AC6,0,IF(AF$1&gt;IF($AC6&lt;2022,2022,$AC6),IF(AF$1-IF($AC6&lt;2022,2022,$AC6)=1,IF(AG6&lt;$AD6,AG6,$AD6)*VLOOKUP(LEFT($A6,3),Feuil2!$A:$D,3,0),IF(AG6&lt;$AD6,AG6,$AD6)*VLOOKUP(LEFT($A6,3),Feuil2!$A:$D,4)),0))</f>
        <v>15653.405076265428</v>
      </c>
      <c r="AG6" s="120">
        <f>IF(AH6&lt;$AD6,AH6,$AD6)-IF(AG$1&lt;=$AC6,0,IF(AG$1&gt;IF($AC6&lt;2022,2022,$AC6),IF(AG$1-IF($AC6&lt;2022,2022,$AC6)=1,IF(AH6&lt;$AD6,AH6,$AD6)*VLOOKUP(LEFT($A6,3),Feuil2!$A:$D,3,0),IF(AH6&lt;$AD6,AH6,$AD6)*VLOOKUP(LEFT($A6,3),Feuil2!$A:$D,4)),0))</f>
        <v>16477.26850133203</v>
      </c>
      <c r="AH6" s="120">
        <f>IF(AI6&lt;$AD6,AI6,$AD6)-IF(AH$1&lt;=$AC6,0,IF(AH$1&gt;IF($AC6&lt;2022,2022,$AC6),IF(AH$1-IF($AC6&lt;2022,2022,$AC6)=1,IF(AI6&lt;$AD6,AI6,$AD6)*VLOOKUP(LEFT($A6,3),Feuil2!$A:$D,3,0),IF(AI6&lt;$AD6,AI6,$AD6)*VLOOKUP(LEFT($A6,3),Feuil2!$A:$D,4)),0))</f>
        <v>17344.493159296871</v>
      </c>
      <c r="AI6" s="120">
        <f>IF(AJ6&lt;$AD6,AJ6,$AD6)-IF(AI$1&lt;=$AC6,0,IF(AI$1&gt;IF($AC6&lt;2022,2022,$AC6),IF(AI$1-IF($AC6&lt;2022,2022,$AC6)=1,IF(AJ6&lt;$AD6,AJ6,$AD6)*VLOOKUP(LEFT($A6,3),Feuil2!$A:$D,3,0),IF(AJ6&lt;$AD6,AJ6,$AD6)*VLOOKUP(LEFT($A6,3),Feuil2!$A:$D,4)),0))</f>
        <v>18257.361220312498</v>
      </c>
      <c r="AJ6" s="120">
        <f>IF(AK6&lt;$AD6,AK6,$AD6)-IF(AJ$1&lt;=$AC6,0,IF(AJ$1&gt;IF($AC6&lt;2022,2022,$AC6),IF(AJ$1-IF($AC6&lt;2022,2022,$AC6)=1,IF(AK6&lt;$AD6,AK6,$AD6)*VLOOKUP(LEFT($A6,3),Feuil2!$A:$D,3,0),IF(AK6&lt;$AD6,AK6,$AD6)*VLOOKUP(LEFT($A6,3),Feuil2!$A:$D,4)),0))</f>
        <v>19218.274968749996</v>
      </c>
      <c r="AK6" s="120">
        <f>IF(AL6&lt;$AD6,AL6,$AD6)-IF(AK$1&lt;=$AC6,0,IF(AK$1&gt;IF($AC6&lt;2022,2022,$AC6),IF(AK$1-IF($AC6&lt;2022,2022,$AC6)=1,IF(AL6&lt;$AD6,AL6,$AD6)*VLOOKUP(LEFT($A6,3),Feuil2!$A:$D,3,0),IF(AL6&lt;$AD6,AL6,$AD6)*VLOOKUP(LEFT($A6,3),Feuil2!$A:$D,4)),0))</f>
        <v>20229.763124999998</v>
      </c>
      <c r="AL6" s="120">
        <f>IF(AM6&lt;$AD6,AM6,$AD6)-IF(AL$1&lt;=$AC6,0,IF(AL$1&gt;IF($AC6&lt;2022,2022,$AC6),IF(AL$1-IF($AC6&lt;2022,2022,$AC6)=1,IF(AM6&lt;$AD6,AM6,$AD6)*VLOOKUP(LEFT($A6,3),Feuil2!$A:$D,3,0),IF(AM6&lt;$AD6,AM6,$AD6)*VLOOKUP(LEFT($A6,3),Feuil2!$A:$D,4)),0))</f>
        <v>21294.487499999999</v>
      </c>
      <c r="AM6" s="120">
        <f>IF(AN6&lt;$AD6,AN6,$AD6)-IF(AM$1&lt;=$AC6,0,IF(AM$1&gt;IF($AC6&lt;2022,2022,$AC6),IF(AM$1-IF($AC6&lt;2022,2022,$AC6)=1,IF(AN6&lt;$AD6,AN6,$AD6)*VLOOKUP(LEFT($A6,3),Feuil2!$A:$D,3,0),IF(AN6&lt;$AD6,AN6,$AD6)*VLOOKUP(LEFT($A6,3),Feuil2!$A:$D,4)),0))</f>
        <v>22415.25</v>
      </c>
      <c r="AN6" s="120">
        <f>IF(AO6&lt;$AD6,AO6,$AD6)-IF(AN$1&lt;=$AC6,0,IF(AN$1&gt;IF($AC6&lt;2022,2022,$AC6),IF(AN$1-IF($AC6&lt;2022,2022,$AC6)=1,IF(AO6&lt;$AD6,AO6,$AD6)*VLOOKUP(LEFT($A6,3),Feuil2!$A:$D,3,0),IF(AO6&lt;$AD6,AO6,$AD6)*VLOOKUP(LEFT($A6,3),Feuil2!$A:$D,4)),0))</f>
        <v>23595</v>
      </c>
      <c r="AO6" s="120">
        <f>$AD6-IF(AO$1&lt;=$AC6,0,IF(AO$1&gt;IF($AC6&lt;2022,2022,$AC6),IF(AO$1-IF($AC6&lt;2022,2022,$AC6)=1,$AD6*VLOOKUP(LEFT($A6,3),Feuil2!$A:$D,3,0),$AD6*VLOOKUP(LEFT($A6,3),Feuil2!$A:$D,4)),0))</f>
        <v>36300</v>
      </c>
      <c r="AP6" s="121"/>
      <c r="AQ6" s="93"/>
      <c r="AR6" s="94"/>
    </row>
    <row r="7" spans="1:44" x14ac:dyDescent="0.25">
      <c r="A7" s="7" t="s">
        <v>136</v>
      </c>
      <c r="B7" s="5" t="s">
        <v>188</v>
      </c>
      <c r="D7" s="5" t="s">
        <v>107</v>
      </c>
      <c r="E7" s="5" t="s">
        <v>26</v>
      </c>
      <c r="F7" s="5" t="s">
        <v>24</v>
      </c>
      <c r="I7" s="8">
        <v>43276</v>
      </c>
      <c r="J7" s="9">
        <v>24490</v>
      </c>
      <c r="L7" s="5">
        <v>60</v>
      </c>
      <c r="M7" s="8">
        <v>45071</v>
      </c>
      <c r="N7" s="12"/>
      <c r="R7" s="66">
        <v>405</v>
      </c>
      <c r="S7" s="9">
        <v>2608</v>
      </c>
      <c r="T7" s="9">
        <v>120</v>
      </c>
      <c r="V7" s="5" t="str">
        <f t="shared" si="0"/>
        <v>BEN</v>
      </c>
      <c r="W7" s="5" cm="1">
        <f t="array" ref="W7">_xlfn.IFS(LEFT(A7)="B",1,LEFT(A7)="R",2,LEFT(A7)="T",2,LEFT(A7)="V",2,LEFT(A7)="","")</f>
        <v>1</v>
      </c>
      <c r="X7" s="5">
        <v>10</v>
      </c>
      <c r="AA7" s="5">
        <f t="shared" si="1"/>
        <v>0</v>
      </c>
      <c r="AB7" s="5">
        <f t="shared" si="2"/>
        <v>2018</v>
      </c>
      <c r="AC7" s="98">
        <f t="shared" si="3"/>
        <v>2018</v>
      </c>
      <c r="AD7" s="114">
        <v>24490</v>
      </c>
      <c r="AE7" s="120">
        <f>IF(AF7&lt;$AD7,AF7,$AD7)-IF(AE$1&lt;=$AC7,0,IF(AE$1&gt;IF($AC7&lt;2022,2022,$AC7),IF(AE$1-IF($AC7&lt;2022,2022,$AC7)=1,IF(AF7&lt;$AD7,AF7,$AD7)*VLOOKUP(LEFT($A7,3),Feuil2!$A:$D,3,0),IF(AF7&lt;$AD7,AF7,$AD7)*VLOOKUP(LEFT($A7,3),Feuil2!$A:$D,4)),0))</f>
        <v>9530.9939672661349</v>
      </c>
      <c r="AF7" s="120">
        <f>IF(AG7&lt;$AD7,AG7,$AD7)-IF(AF$1&lt;=$AC7,0,IF(AF$1&gt;IF($AC7&lt;2022,2022,$AC7),IF(AF$1-IF($AC7&lt;2022,2022,$AC7)=1,IF(AG7&lt;$AD7,AG7,$AD7)*VLOOKUP(LEFT($A7,3),Feuil2!$A:$D,3,0),IF(AG7&lt;$AD7,AG7,$AD7)*VLOOKUP(LEFT($A7,3),Feuil2!$A:$D,4)),0))</f>
        <v>10032.625228701194</v>
      </c>
      <c r="AG7" s="120">
        <f>IF(AH7&lt;$AD7,AH7,$AD7)-IF(AG$1&lt;=$AC7,0,IF(AG$1&gt;IF($AC7&lt;2022,2022,$AC7),IF(AG$1-IF($AC7&lt;2022,2022,$AC7)=1,IF(AH7&lt;$AD7,AH7,$AD7)*VLOOKUP(LEFT($A7,3),Feuil2!$A:$D,3,0),IF(AH7&lt;$AD7,AH7,$AD7)*VLOOKUP(LEFT($A7,3),Feuil2!$A:$D,4)),0))</f>
        <v>10560.658135474941</v>
      </c>
      <c r="AH7" s="120">
        <f>IF(AI7&lt;$AD7,AI7,$AD7)-IF(AH$1&lt;=$AC7,0,IF(AH$1&gt;IF($AC7&lt;2022,2022,$AC7),IF(AH$1-IF($AC7&lt;2022,2022,$AC7)=1,IF(AI7&lt;$AD7,AI7,$AD7)*VLOOKUP(LEFT($A7,3),Feuil2!$A:$D,3,0),IF(AI7&lt;$AD7,AI7,$AD7)*VLOOKUP(LEFT($A7,3),Feuil2!$A:$D,4)),0))</f>
        <v>11116.48224786836</v>
      </c>
      <c r="AI7" s="120">
        <f>IF(AJ7&lt;$AD7,AJ7,$AD7)-IF(AI$1&lt;=$AC7,0,IF(AI$1&gt;IF($AC7&lt;2022,2022,$AC7),IF(AI$1-IF($AC7&lt;2022,2022,$AC7)=1,IF(AJ7&lt;$AD7,AJ7,$AD7)*VLOOKUP(LEFT($A7,3),Feuil2!$A:$D,3,0),IF(AJ7&lt;$AD7,AJ7,$AD7)*VLOOKUP(LEFT($A7,3),Feuil2!$A:$D,4)),0))</f>
        <v>11701.560260914062</v>
      </c>
      <c r="AJ7" s="120">
        <f>IF(AK7&lt;$AD7,AK7,$AD7)-IF(AJ$1&lt;=$AC7,0,IF(AJ$1&gt;IF($AC7&lt;2022,2022,$AC7),IF(AJ$1-IF($AC7&lt;2022,2022,$AC7)=1,IF(AK7&lt;$AD7,AK7,$AD7)*VLOOKUP(LEFT($A7,3),Feuil2!$A:$D,3,0),IF(AK7&lt;$AD7,AK7,$AD7)*VLOOKUP(LEFT($A7,3),Feuil2!$A:$D,4)),0))</f>
        <v>12317.431853593751</v>
      </c>
      <c r="AK7" s="120">
        <f>IF(AL7&lt;$AD7,AL7,$AD7)-IF(AK$1&lt;=$AC7,0,IF(AK$1&gt;IF($AC7&lt;2022,2022,$AC7),IF(AK$1-IF($AC7&lt;2022,2022,$AC7)=1,IF(AL7&lt;$AD7,AL7,$AD7)*VLOOKUP(LEFT($A7,3),Feuil2!$A:$D,3,0),IF(AL7&lt;$AD7,AL7,$AD7)*VLOOKUP(LEFT($A7,3),Feuil2!$A:$D,4)),0))</f>
        <v>12965.717740625001</v>
      </c>
      <c r="AL7" s="120">
        <f>IF(AM7&lt;$AD7,AM7,$AD7)-IF(AL$1&lt;=$AC7,0,IF(AL$1&gt;IF($AC7&lt;2022,2022,$AC7),IF(AL$1-IF($AC7&lt;2022,2022,$AC7)=1,IF(AM7&lt;$AD7,AM7,$AD7)*VLOOKUP(LEFT($A7,3),Feuil2!$A:$D,3,0),IF(AM7&lt;$AD7,AM7,$AD7)*VLOOKUP(LEFT($A7,3),Feuil2!$A:$D,4)),0))</f>
        <v>13648.1239375</v>
      </c>
      <c r="AM7" s="120">
        <f>IF(AN7&lt;$AD7,AN7,$AD7)-IF(AM$1&lt;=$AC7,0,IF(AM$1&gt;IF($AC7&lt;2022,2022,$AC7),IF(AM$1-IF($AC7&lt;2022,2022,$AC7)=1,IF(AN7&lt;$AD7,AN7,$AD7)*VLOOKUP(LEFT($A7,3),Feuil2!$A:$D,3,0),IF(AN7&lt;$AD7,AN7,$AD7)*VLOOKUP(LEFT($A7,3),Feuil2!$A:$D,4)),0))</f>
        <v>14366.446250000001</v>
      </c>
      <c r="AN7" s="120">
        <f>IF(AO7&lt;$AD7,AO7,$AD7)-IF(AN$1&lt;=$AC7,0,IF(AN$1&gt;IF($AC7&lt;2022,2022,$AC7),IF(AN$1-IF($AC7&lt;2022,2022,$AC7)=1,IF(AO7&lt;$AD7,AO7,$AD7)*VLOOKUP(LEFT($A7,3),Feuil2!$A:$D,3,0),IF(AO7&lt;$AD7,AO7,$AD7)*VLOOKUP(LEFT($A7,3),Feuil2!$A:$D,4)),0))</f>
        <v>15122.575000000001</v>
      </c>
      <c r="AO7" s="120">
        <f>$AD7-IF(AO$1&lt;=$AC7,0,IF(AO$1&gt;IF($AC7&lt;2022,2022,$AC7),IF(AO$1-IF($AC7&lt;2022,2022,$AC7)=1,$AD7*VLOOKUP(LEFT($A7,3),Feuil2!$A:$D,3,0),$AD7*VLOOKUP(LEFT($A7,3),Feuil2!$A:$D,4)),0))</f>
        <v>15918.5</v>
      </c>
      <c r="AP7" s="118"/>
      <c r="AQ7" s="93"/>
      <c r="AR7" s="94"/>
    </row>
    <row r="8" spans="1:44" x14ac:dyDescent="0.25">
      <c r="A8" s="7" t="s">
        <v>137</v>
      </c>
      <c r="B8" s="5" t="s">
        <v>188</v>
      </c>
      <c r="D8" s="5" t="s">
        <v>107</v>
      </c>
      <c r="E8" s="5" t="s">
        <v>26</v>
      </c>
      <c r="F8" s="5" t="s">
        <v>24</v>
      </c>
      <c r="I8" s="8">
        <v>43276</v>
      </c>
      <c r="J8" s="9">
        <v>19990</v>
      </c>
      <c r="L8" s="5">
        <v>60</v>
      </c>
      <c r="M8" s="8">
        <v>45098</v>
      </c>
      <c r="N8" s="12"/>
      <c r="R8" s="66">
        <v>354</v>
      </c>
      <c r="S8" s="9">
        <v>2608</v>
      </c>
      <c r="T8" s="9">
        <v>120</v>
      </c>
      <c r="V8" s="5" t="str">
        <f t="shared" si="0"/>
        <v>BEN</v>
      </c>
      <c r="W8" s="5" cm="1">
        <f t="array" ref="W8">_xlfn.IFS(LEFT(A8)="B",1,LEFT(A8)="R",2,LEFT(A8)="T",2,LEFT(A8)="V",2,LEFT(A8)="","")</f>
        <v>1</v>
      </c>
      <c r="X8" s="5">
        <v>10</v>
      </c>
      <c r="AA8" s="5">
        <f t="shared" si="1"/>
        <v>0</v>
      </c>
      <c r="AB8" s="5">
        <f t="shared" si="2"/>
        <v>2018</v>
      </c>
      <c r="AC8" s="98">
        <f t="shared" si="3"/>
        <v>2018</v>
      </c>
      <c r="AD8" s="114">
        <v>19990</v>
      </c>
      <c r="AE8" s="120">
        <f>IF(AF8&lt;$AD8,AF8,$AD8)-IF(AE$1&lt;=$AC8,0,IF(AE$1&gt;IF($AC8&lt;2022,2022,$AC8),IF(AE$1-IF($AC8&lt;2022,2022,$AC8)=1,IF(AF8&lt;$AD8,AF8,$AD8)*VLOOKUP(LEFT($A8,3),Feuil2!$A:$D,3,0),IF(AF8&lt;$AD8,AF8,$AD8)*VLOOKUP(LEFT($A8,3),Feuil2!$A:$D,4)),0))</f>
        <v>7779.6884199938768</v>
      </c>
      <c r="AF8" s="120">
        <f>IF(AG8&lt;$AD8,AG8,$AD8)-IF(AF$1&lt;=$AC8,0,IF(AF$1&gt;IF($AC8&lt;2022,2022,$AC8),IF(AF$1-IF($AC8&lt;2022,2022,$AC8)=1,IF(AG8&lt;$AD8,AG8,$AD8)*VLOOKUP(LEFT($A8,3),Feuil2!$A:$D,3,0),IF(AG8&lt;$AD8,AG8,$AD8)*VLOOKUP(LEFT($A8,3),Feuil2!$A:$D,4)),0))</f>
        <v>8189.1457052567121</v>
      </c>
      <c r="AG8" s="120">
        <f>IF(AH8&lt;$AD8,AH8,$AD8)-IF(AG$1&lt;=$AC8,0,IF(AG$1&gt;IF($AC8&lt;2022,2022,$AC8),IF(AG$1-IF($AC8&lt;2022,2022,$AC8)=1,IF(AH8&lt;$AD8,AH8,$AD8)*VLOOKUP(LEFT($A8,3),Feuil2!$A:$D,3,0),IF(AH8&lt;$AD8,AH8,$AD8)*VLOOKUP(LEFT($A8,3),Feuil2!$A:$D,4)),0))</f>
        <v>8620.1533739544338</v>
      </c>
      <c r="AH8" s="120">
        <f>IF(AI8&lt;$AD8,AI8,$AD8)-IF(AH$1&lt;=$AC8,0,IF(AH$1&gt;IF($AC8&lt;2022,2022,$AC8),IF(AH$1-IF($AC8&lt;2022,2022,$AC8)=1,IF(AI8&lt;$AD8,AI8,$AD8)*VLOOKUP(LEFT($A8,3),Feuil2!$A:$D,3,0),IF(AI8&lt;$AD8,AI8,$AD8)*VLOOKUP(LEFT($A8,3),Feuil2!$A:$D,4)),0))</f>
        <v>9073.8456567941412</v>
      </c>
      <c r="AI8" s="120">
        <f>IF(AJ8&lt;$AD8,AJ8,$AD8)-IF(AI$1&lt;=$AC8,0,IF(AI$1&gt;IF($AC8&lt;2022,2022,$AC8),IF(AI$1-IF($AC8&lt;2022,2022,$AC8)=1,IF(AJ8&lt;$AD8,AJ8,$AD8)*VLOOKUP(LEFT($A8,3),Feuil2!$A:$D,3,0),IF(AJ8&lt;$AD8,AJ8,$AD8)*VLOOKUP(LEFT($A8,3),Feuil2!$A:$D,4)),0))</f>
        <v>9551.4164808359383</v>
      </c>
      <c r="AJ8" s="120">
        <f>IF(AK8&lt;$AD8,AK8,$AD8)-IF(AJ$1&lt;=$AC8,0,IF(AJ$1&gt;IF($AC8&lt;2022,2022,$AC8),IF(AJ$1-IF($AC8&lt;2022,2022,$AC8)=1,IF(AK8&lt;$AD8,AK8,$AD8)*VLOOKUP(LEFT($A8,3),Feuil2!$A:$D,3,0),IF(AK8&lt;$AD8,AK8,$AD8)*VLOOKUP(LEFT($A8,3),Feuil2!$A:$D,4)),0))</f>
        <v>10054.12261140625</v>
      </c>
      <c r="AK8" s="120">
        <f>IF(AL8&lt;$AD8,AL8,$AD8)-IF(AK$1&lt;=$AC8,0,IF(AK$1&gt;IF($AC8&lt;2022,2022,$AC8),IF(AK$1-IF($AC8&lt;2022,2022,$AC8)=1,IF(AL8&lt;$AD8,AL8,$AD8)*VLOOKUP(LEFT($A8,3),Feuil2!$A:$D,3,0),IF(AL8&lt;$AD8,AL8,$AD8)*VLOOKUP(LEFT($A8,3),Feuil2!$A:$D,4)),0))</f>
        <v>10583.286959375</v>
      </c>
      <c r="AL8" s="120">
        <f>IF(AM8&lt;$AD8,AM8,$AD8)-IF(AL$1&lt;=$AC8,0,IF(AL$1&gt;IF($AC8&lt;2022,2022,$AC8),IF(AL$1-IF($AC8&lt;2022,2022,$AC8)=1,IF(AM8&lt;$AD8,AM8,$AD8)*VLOOKUP(LEFT($A8,3),Feuil2!$A:$D,3,0),IF(AM8&lt;$AD8,AM8,$AD8)*VLOOKUP(LEFT($A8,3),Feuil2!$A:$D,4)),0))</f>
        <v>11140.302062500001</v>
      </c>
      <c r="AM8" s="120">
        <f>IF(AN8&lt;$AD8,AN8,$AD8)-IF(AM$1&lt;=$AC8,0,IF(AM$1&gt;IF($AC8&lt;2022,2022,$AC8),IF(AM$1-IF($AC8&lt;2022,2022,$AC8)=1,IF(AN8&lt;$AD8,AN8,$AD8)*VLOOKUP(LEFT($A8,3),Feuil2!$A:$D,3,0),IF(AN8&lt;$AD8,AN8,$AD8)*VLOOKUP(LEFT($A8,3),Feuil2!$A:$D,4)),0))</f>
        <v>11726.633750000001</v>
      </c>
      <c r="AN8" s="120">
        <f>IF(AO8&lt;$AD8,AO8,$AD8)-IF(AN$1&lt;=$AC8,0,IF(AN$1&gt;IF($AC8&lt;2022,2022,$AC8),IF(AN$1-IF($AC8&lt;2022,2022,$AC8)=1,IF(AO8&lt;$AD8,AO8,$AD8)*VLOOKUP(LEFT($A8,3),Feuil2!$A:$D,3,0),IF(AO8&lt;$AD8,AO8,$AD8)*VLOOKUP(LEFT($A8,3),Feuil2!$A:$D,4)),0))</f>
        <v>12343.825000000001</v>
      </c>
      <c r="AO8" s="120">
        <f>$AD8-IF(AO$1&lt;=$AC8,0,IF(AO$1&gt;IF($AC8&lt;2022,2022,$AC8),IF(AO$1-IF($AC8&lt;2022,2022,$AC8)=1,$AD8*VLOOKUP(LEFT($A8,3),Feuil2!$A:$D,3,0),$AD8*VLOOKUP(LEFT($A8,3),Feuil2!$A:$D,4)),0))</f>
        <v>12993.5</v>
      </c>
      <c r="AP8" s="118"/>
      <c r="AQ8" s="93"/>
      <c r="AR8" s="94"/>
    </row>
    <row r="9" spans="1:44" x14ac:dyDescent="0.25">
      <c r="A9" s="7" t="s">
        <v>138</v>
      </c>
      <c r="B9" s="5" t="s">
        <v>188</v>
      </c>
      <c r="D9" s="5" t="s">
        <v>107</v>
      </c>
      <c r="E9" s="5" t="s">
        <v>26</v>
      </c>
      <c r="F9" s="5" t="s">
        <v>24</v>
      </c>
      <c r="I9" s="8">
        <v>43279</v>
      </c>
      <c r="J9" s="9">
        <v>22000</v>
      </c>
      <c r="L9" s="5">
        <v>60</v>
      </c>
      <c r="M9" s="8">
        <v>45658</v>
      </c>
      <c r="N9" s="12"/>
      <c r="R9" s="66">
        <v>177</v>
      </c>
      <c r="S9" s="9">
        <v>2578</v>
      </c>
      <c r="T9" s="9">
        <v>120</v>
      </c>
      <c r="V9" s="5" t="str">
        <f t="shared" si="0"/>
        <v>BEN</v>
      </c>
      <c r="W9" s="5" cm="1">
        <f t="array" ref="W9">_xlfn.IFS(LEFT(A9)="B",1,LEFT(A9)="R",2,LEFT(A9)="T",2,LEFT(A9)="V",2,LEFT(A9)="","")</f>
        <v>1</v>
      </c>
      <c r="X9" s="5">
        <v>10</v>
      </c>
      <c r="AA9" s="5">
        <f t="shared" si="1"/>
        <v>0</v>
      </c>
      <c r="AB9" s="5">
        <f t="shared" si="2"/>
        <v>2018</v>
      </c>
      <c r="AC9" s="98">
        <f t="shared" si="3"/>
        <v>2018</v>
      </c>
      <c r="AD9" s="114">
        <v>22000</v>
      </c>
      <c r="AE9" s="120">
        <f>IF(AF9&lt;$AD9,AF9,$AD9)-IF(AE$1&lt;=$AC9,0,IF(AE$1&gt;IF($AC9&lt;2022,2022,$AC9),IF(AE$1-IF($AC9&lt;2022,2022,$AC9)=1,IF(AF9&lt;$AD9,AF9,$AD9)*VLOOKUP(LEFT($A9,3),Feuil2!$A:$D,3,0),IF(AF9&lt;$AD9,AF9,$AD9)*VLOOKUP(LEFT($A9,3),Feuil2!$A:$D,4)),0))</f>
        <v>8561.9382311088175</v>
      </c>
      <c r="AF9" s="120">
        <f>IF(AG9&lt;$AD9,AG9,$AD9)-IF(AF$1&lt;=$AC9,0,IF(AF$1&gt;IF($AC9&lt;2022,2022,$AC9),IF(AF$1-IF($AC9&lt;2022,2022,$AC9)=1,IF(AG9&lt;$AD9,AG9,$AD9)*VLOOKUP(LEFT($A9,3),Feuil2!$A:$D,3,0),IF(AG9&lt;$AD9,AG9,$AD9)*VLOOKUP(LEFT($A9,3),Feuil2!$A:$D,4)),0))</f>
        <v>9012.5665590619137</v>
      </c>
      <c r="AG9" s="120">
        <f>IF(AH9&lt;$AD9,AH9,$AD9)-IF(AG$1&lt;=$AC9,0,IF(AG$1&gt;IF($AC9&lt;2022,2022,$AC9),IF(AG$1-IF($AC9&lt;2022,2022,$AC9)=1,IF(AH9&lt;$AD9,AH9,$AD9)*VLOOKUP(LEFT($A9,3),Feuil2!$A:$D,3,0),IF(AH9&lt;$AD9,AH9,$AD9)*VLOOKUP(LEFT($A9,3),Feuil2!$A:$D,4)),0))</f>
        <v>9486.9121674335929</v>
      </c>
      <c r="AH9" s="120">
        <f>IF(AI9&lt;$AD9,AI9,$AD9)-IF(AH$1&lt;=$AC9,0,IF(AH$1&gt;IF($AC9&lt;2022,2022,$AC9),IF(AH$1-IF($AC9&lt;2022,2022,$AC9)=1,IF(AI9&lt;$AD9,AI9,$AD9)*VLOOKUP(LEFT($A9,3),Feuil2!$A:$D,3,0),IF(AI9&lt;$AD9,AI9,$AD9)*VLOOKUP(LEFT($A9,3),Feuil2!$A:$D,4)),0))</f>
        <v>9986.2233341406245</v>
      </c>
      <c r="AI9" s="120">
        <f>IF(AJ9&lt;$AD9,AJ9,$AD9)-IF(AI$1&lt;=$AC9,0,IF(AI$1&gt;IF($AC9&lt;2022,2022,$AC9),IF(AI$1-IF($AC9&lt;2022,2022,$AC9)=1,IF(AJ9&lt;$AD9,AJ9,$AD9)*VLOOKUP(LEFT($A9,3),Feuil2!$A:$D,3,0),IF(AJ9&lt;$AD9,AJ9,$AD9)*VLOOKUP(LEFT($A9,3),Feuil2!$A:$D,4)),0))</f>
        <v>10511.814035937499</v>
      </c>
      <c r="AJ9" s="120">
        <f>IF(AK9&lt;$AD9,AK9,$AD9)-IF(AJ$1&lt;=$AC9,0,IF(AJ$1&gt;IF($AC9&lt;2022,2022,$AC9),IF(AJ$1-IF($AC9&lt;2022,2022,$AC9)=1,IF(AK9&lt;$AD9,AK9,$AD9)*VLOOKUP(LEFT($A9,3),Feuil2!$A:$D,3,0),IF(AK9&lt;$AD9,AK9,$AD9)*VLOOKUP(LEFT($A9,3),Feuil2!$A:$D,4)),0))</f>
        <v>11065.06740625</v>
      </c>
      <c r="AK9" s="120">
        <f>IF(AL9&lt;$AD9,AL9,$AD9)-IF(AK$1&lt;=$AC9,0,IF(AK$1&gt;IF($AC9&lt;2022,2022,$AC9),IF(AK$1-IF($AC9&lt;2022,2022,$AC9)=1,IF(AL9&lt;$AD9,AL9,$AD9)*VLOOKUP(LEFT($A9,3),Feuil2!$A:$D,3,0),IF(AL9&lt;$AD9,AL9,$AD9)*VLOOKUP(LEFT($A9,3),Feuil2!$A:$D,4)),0))</f>
        <v>11647.439375</v>
      </c>
      <c r="AL9" s="120">
        <f>IF(AM9&lt;$AD9,AM9,$AD9)-IF(AL$1&lt;=$AC9,0,IF(AL$1&gt;IF($AC9&lt;2022,2022,$AC9),IF(AL$1-IF($AC9&lt;2022,2022,$AC9)=1,IF(AM9&lt;$AD9,AM9,$AD9)*VLOOKUP(LEFT($A9,3),Feuil2!$A:$D,3,0),IF(AM9&lt;$AD9,AM9,$AD9)*VLOOKUP(LEFT($A9,3),Feuil2!$A:$D,4)),0))</f>
        <v>12260.4625</v>
      </c>
      <c r="AM9" s="120">
        <f>IF(AN9&lt;$AD9,AN9,$AD9)-IF(AM$1&lt;=$AC9,0,IF(AM$1&gt;IF($AC9&lt;2022,2022,$AC9),IF(AM$1-IF($AC9&lt;2022,2022,$AC9)=1,IF(AN9&lt;$AD9,AN9,$AD9)*VLOOKUP(LEFT($A9,3),Feuil2!$A:$D,3,0),IF(AN9&lt;$AD9,AN9,$AD9)*VLOOKUP(LEFT($A9,3),Feuil2!$A:$D,4)),0))</f>
        <v>12905.75</v>
      </c>
      <c r="AN9" s="120">
        <f>IF(AO9&lt;$AD9,AO9,$AD9)-IF(AN$1&lt;=$AC9,0,IF(AN$1&gt;IF($AC9&lt;2022,2022,$AC9),IF(AN$1-IF($AC9&lt;2022,2022,$AC9)=1,IF(AO9&lt;$AD9,AO9,$AD9)*VLOOKUP(LEFT($A9,3),Feuil2!$A:$D,3,0),IF(AO9&lt;$AD9,AO9,$AD9)*VLOOKUP(LEFT($A9,3),Feuil2!$A:$D,4)),0))</f>
        <v>13585</v>
      </c>
      <c r="AO9" s="120">
        <f>$AD9-IF(AO$1&lt;=$AC9,0,IF(AO$1&gt;IF($AC9&lt;2022,2022,$AC9),IF(AO$1-IF($AC9&lt;2022,2022,$AC9)=1,$AD9*VLOOKUP(LEFT($A9,3),Feuil2!$A:$D,3,0),$AD9*VLOOKUP(LEFT($A9,3),Feuil2!$A:$D,4)),0))</f>
        <v>14300</v>
      </c>
      <c r="AP9" s="118"/>
      <c r="AQ9" s="94"/>
      <c r="AR9" s="94"/>
    </row>
    <row r="10" spans="1:44" x14ac:dyDescent="0.25">
      <c r="A10" s="7" t="s">
        <v>139</v>
      </c>
      <c r="B10" s="5" t="s">
        <v>188</v>
      </c>
      <c r="D10" s="5" t="s">
        <v>107</v>
      </c>
      <c r="E10" s="5" t="s">
        <v>26</v>
      </c>
      <c r="F10" s="5" t="s">
        <v>24</v>
      </c>
      <c r="I10" s="8">
        <v>43645</v>
      </c>
      <c r="J10" s="9">
        <v>22000</v>
      </c>
      <c r="L10" s="5">
        <v>60</v>
      </c>
      <c r="M10" s="8">
        <v>45658</v>
      </c>
      <c r="N10" s="12"/>
      <c r="R10" s="66">
        <v>177</v>
      </c>
      <c r="S10" s="9">
        <v>2578</v>
      </c>
      <c r="T10" s="9">
        <v>120</v>
      </c>
      <c r="V10" s="5" t="str">
        <f t="shared" si="0"/>
        <v>BEN</v>
      </c>
      <c r="W10" s="5" cm="1">
        <f t="array" ref="W10">_xlfn.IFS(LEFT(A10)="B",1,LEFT(A10)="R",2,LEFT(A10)="T",2,LEFT(A10)="V",2,LEFT(A10)="","")</f>
        <v>1</v>
      </c>
      <c r="X10" s="5">
        <v>10</v>
      </c>
      <c r="AA10" s="5">
        <f t="shared" si="1"/>
        <v>0</v>
      </c>
      <c r="AB10" s="5">
        <f t="shared" si="2"/>
        <v>2019</v>
      </c>
      <c r="AC10" s="98">
        <f t="shared" si="3"/>
        <v>2019</v>
      </c>
      <c r="AD10" s="114">
        <v>22000</v>
      </c>
      <c r="AE10" s="120">
        <f>IF(AF10&lt;$AD10,AF10,$AD10)-IF(AE$1&lt;=$AC10,0,IF(AE$1&gt;IF($AC10&lt;2022,2022,$AC10),IF(AE$1-IF($AC10&lt;2022,2022,$AC10)=1,IF(AF10&lt;$AD10,AF10,$AD10)*VLOOKUP(LEFT($A10,3),Feuil2!$A:$D,3,0),IF(AF10&lt;$AD10,AF10,$AD10)*VLOOKUP(LEFT($A10,3),Feuil2!$A:$D,4)),0))</f>
        <v>8561.9382311088175</v>
      </c>
      <c r="AF10" s="120">
        <f>IF(AG10&lt;$AD10,AG10,$AD10)-IF(AF$1&lt;=$AC10,0,IF(AF$1&gt;IF($AC10&lt;2022,2022,$AC10),IF(AF$1-IF($AC10&lt;2022,2022,$AC10)=1,IF(AG10&lt;$AD10,AG10,$AD10)*VLOOKUP(LEFT($A10,3),Feuil2!$A:$D,3,0),IF(AG10&lt;$AD10,AG10,$AD10)*VLOOKUP(LEFT($A10,3),Feuil2!$A:$D,4)),0))</f>
        <v>9012.5665590619137</v>
      </c>
      <c r="AG10" s="120">
        <f>IF(AH10&lt;$AD10,AH10,$AD10)-IF(AG$1&lt;=$AC10,0,IF(AG$1&gt;IF($AC10&lt;2022,2022,$AC10),IF(AG$1-IF($AC10&lt;2022,2022,$AC10)=1,IF(AH10&lt;$AD10,AH10,$AD10)*VLOOKUP(LEFT($A10,3),Feuil2!$A:$D,3,0),IF(AH10&lt;$AD10,AH10,$AD10)*VLOOKUP(LEFT($A10,3),Feuil2!$A:$D,4)),0))</f>
        <v>9486.9121674335929</v>
      </c>
      <c r="AH10" s="120">
        <f>IF(AI10&lt;$AD10,AI10,$AD10)-IF(AH$1&lt;=$AC10,0,IF(AH$1&gt;IF($AC10&lt;2022,2022,$AC10),IF(AH$1-IF($AC10&lt;2022,2022,$AC10)=1,IF(AI10&lt;$AD10,AI10,$AD10)*VLOOKUP(LEFT($A10,3),Feuil2!$A:$D,3,0),IF(AI10&lt;$AD10,AI10,$AD10)*VLOOKUP(LEFT($A10,3),Feuil2!$A:$D,4)),0))</f>
        <v>9986.2233341406245</v>
      </c>
      <c r="AI10" s="120">
        <f>IF(AJ10&lt;$AD10,AJ10,$AD10)-IF(AI$1&lt;=$AC10,0,IF(AI$1&gt;IF($AC10&lt;2022,2022,$AC10),IF(AI$1-IF($AC10&lt;2022,2022,$AC10)=1,IF(AJ10&lt;$AD10,AJ10,$AD10)*VLOOKUP(LEFT($A10,3),Feuil2!$A:$D,3,0),IF(AJ10&lt;$AD10,AJ10,$AD10)*VLOOKUP(LEFT($A10,3),Feuil2!$A:$D,4)),0))</f>
        <v>10511.814035937499</v>
      </c>
      <c r="AJ10" s="120">
        <f>IF(AK10&lt;$AD10,AK10,$AD10)-IF(AJ$1&lt;=$AC10,0,IF(AJ$1&gt;IF($AC10&lt;2022,2022,$AC10),IF(AJ$1-IF($AC10&lt;2022,2022,$AC10)=1,IF(AK10&lt;$AD10,AK10,$AD10)*VLOOKUP(LEFT($A10,3),Feuil2!$A:$D,3,0),IF(AK10&lt;$AD10,AK10,$AD10)*VLOOKUP(LEFT($A10,3),Feuil2!$A:$D,4)),0))</f>
        <v>11065.06740625</v>
      </c>
      <c r="AK10" s="120">
        <f>IF(AL10&lt;$AD10,AL10,$AD10)-IF(AK$1&lt;=$AC10,0,IF(AK$1&gt;IF($AC10&lt;2022,2022,$AC10),IF(AK$1-IF($AC10&lt;2022,2022,$AC10)=1,IF(AL10&lt;$AD10,AL10,$AD10)*VLOOKUP(LEFT($A10,3),Feuil2!$A:$D,3,0),IF(AL10&lt;$AD10,AL10,$AD10)*VLOOKUP(LEFT($A10,3),Feuil2!$A:$D,4)),0))</f>
        <v>11647.439375</v>
      </c>
      <c r="AL10" s="120">
        <f>IF(AM10&lt;$AD10,AM10,$AD10)-IF(AL$1&lt;=$AC10,0,IF(AL$1&gt;IF($AC10&lt;2022,2022,$AC10),IF(AL$1-IF($AC10&lt;2022,2022,$AC10)=1,IF(AM10&lt;$AD10,AM10,$AD10)*VLOOKUP(LEFT($A10,3),Feuil2!$A:$D,3,0),IF(AM10&lt;$AD10,AM10,$AD10)*VLOOKUP(LEFT($A10,3),Feuil2!$A:$D,4)),0))</f>
        <v>12260.4625</v>
      </c>
      <c r="AM10" s="120">
        <f>IF(AN10&lt;$AD10,AN10,$AD10)-IF(AM$1&lt;=$AC10,0,IF(AM$1&gt;IF($AC10&lt;2022,2022,$AC10),IF(AM$1-IF($AC10&lt;2022,2022,$AC10)=1,IF(AN10&lt;$AD10,AN10,$AD10)*VLOOKUP(LEFT($A10,3),Feuil2!$A:$D,3,0),IF(AN10&lt;$AD10,AN10,$AD10)*VLOOKUP(LEFT($A10,3),Feuil2!$A:$D,4)),0))</f>
        <v>12905.75</v>
      </c>
      <c r="AN10" s="120">
        <f>IF(AO10&lt;$AD10,AO10,$AD10)-IF(AN$1&lt;=$AC10,0,IF(AN$1&gt;IF($AC10&lt;2022,2022,$AC10),IF(AN$1-IF($AC10&lt;2022,2022,$AC10)=1,IF(AO10&lt;$AD10,AO10,$AD10)*VLOOKUP(LEFT($A10,3),Feuil2!$A:$D,3,0),IF(AO10&lt;$AD10,AO10,$AD10)*VLOOKUP(LEFT($A10,3),Feuil2!$A:$D,4)),0))</f>
        <v>13585</v>
      </c>
      <c r="AO10" s="120">
        <f>$AD10-IF(AO$1&lt;=$AC10,0,IF(AO$1&gt;IF($AC10&lt;2022,2022,$AC10),IF(AO$1-IF($AC10&lt;2022,2022,$AC10)=1,$AD10*VLOOKUP(LEFT($A10,3),Feuil2!$A:$D,3,0),$AD10*VLOOKUP(LEFT($A10,3),Feuil2!$A:$D,4)),0))</f>
        <v>14300</v>
      </c>
      <c r="AP10" s="118"/>
      <c r="AQ10" s="94"/>
      <c r="AR10" s="94"/>
    </row>
    <row r="11" spans="1:44" x14ac:dyDescent="0.25">
      <c r="A11" s="7" t="s">
        <v>140</v>
      </c>
      <c r="B11" s="5" t="s">
        <v>188</v>
      </c>
      <c r="D11" s="5" t="s">
        <v>107</v>
      </c>
      <c r="E11" s="5" t="s">
        <v>26</v>
      </c>
      <c r="F11" s="5" t="s">
        <v>24</v>
      </c>
      <c r="I11" s="8">
        <v>44298</v>
      </c>
      <c r="J11" s="9">
        <v>24584</v>
      </c>
      <c r="L11" s="5">
        <v>60</v>
      </c>
      <c r="M11" s="8">
        <v>46093</v>
      </c>
      <c r="N11" s="12"/>
      <c r="R11" s="66">
        <v>523.79999999999995</v>
      </c>
      <c r="S11" s="9">
        <v>3058</v>
      </c>
      <c r="T11" s="9">
        <v>120</v>
      </c>
      <c r="V11" s="5" t="str">
        <f t="shared" si="0"/>
        <v>BEN</v>
      </c>
      <c r="W11" s="5" cm="1">
        <f t="array" ref="W11">_xlfn.IFS(LEFT(A11)="B",1,LEFT(A11)="R",2,LEFT(A11)="T",2,LEFT(A11)="V",2,LEFT(A11)="","")</f>
        <v>1</v>
      </c>
      <c r="X11" s="5">
        <v>10</v>
      </c>
      <c r="Z11" s="5">
        <v>5</v>
      </c>
      <c r="AA11" s="5">
        <f t="shared" si="1"/>
        <v>60</v>
      </c>
      <c r="AB11" s="5">
        <f t="shared" si="2"/>
        <v>2021</v>
      </c>
      <c r="AC11" s="98">
        <f t="shared" si="3"/>
        <v>2026</v>
      </c>
      <c r="AD11" s="114">
        <v>24854</v>
      </c>
      <c r="AE11" s="120">
        <f>IF(AF11&lt;$AD11,AF11,$AD11)-IF(AE$1&lt;=$AC11,0,IF(AE$1&gt;IF($AC11&lt;2022,2022,$AC11),IF(AE$1-IF($AC11&lt;2022,2022,$AC11)=1,IF(AF11&lt;$AD11,AF11,$AD11)*VLOOKUP(LEFT($A11,3),Feuil2!$A:$D,3,0),IF(AF11&lt;$AD11,AF11,$AD11)*VLOOKUP(LEFT($A11,3),Feuil2!$A:$D,4)),0))</f>
        <v>11875.483002235938</v>
      </c>
      <c r="AF11" s="120">
        <f>IF(AG11&lt;$AD11,AG11,$AD11)-IF(AF$1&lt;=$AC11,0,IF(AF$1&gt;IF($AC11&lt;2022,2022,$AC11),IF(AF$1-IF($AC11&lt;2022,2022,$AC11)=1,IF(AG11&lt;$AD11,AG11,$AD11)*VLOOKUP(LEFT($A11,3),Feuil2!$A:$D,3,0),IF(AG11&lt;$AD11,AG11,$AD11)*VLOOKUP(LEFT($A11,3),Feuil2!$A:$D,4)),0))</f>
        <v>12500.508423406251</v>
      </c>
      <c r="AG11" s="120">
        <f>IF(AH11&lt;$AD11,AH11,$AD11)-IF(AG$1&lt;=$AC11,0,IF(AG$1&gt;IF($AC11&lt;2022,2022,$AC11),IF(AG$1-IF($AC11&lt;2022,2022,$AC11)=1,IF(AH11&lt;$AD11,AH11,$AD11)*VLOOKUP(LEFT($A11,3),Feuil2!$A:$D,3,0),IF(AH11&lt;$AD11,AH11,$AD11)*VLOOKUP(LEFT($A11,3),Feuil2!$A:$D,4)),0))</f>
        <v>13158.429919375001</v>
      </c>
      <c r="AH11" s="120">
        <f>IF(AI11&lt;$AD11,AI11,$AD11)-IF(AH$1&lt;=$AC11,0,IF(AH$1&gt;IF($AC11&lt;2022,2022,$AC11),IF(AH$1-IF($AC11&lt;2022,2022,$AC11)=1,IF(AI11&lt;$AD11,AI11,$AD11)*VLOOKUP(LEFT($A11,3),Feuil2!$A:$D,3,0),IF(AI11&lt;$AD11,AI11,$AD11)*VLOOKUP(LEFT($A11,3),Feuil2!$A:$D,4)),0))</f>
        <v>13850.978862500002</v>
      </c>
      <c r="AI11" s="120">
        <f>IF(AJ11&lt;$AD11,AJ11,$AD11)-IF(AI$1&lt;=$AC11,0,IF(AI$1&gt;IF($AC11&lt;2022,2022,$AC11),IF(AI$1-IF($AC11&lt;2022,2022,$AC11)=1,IF(AJ11&lt;$AD11,AJ11,$AD11)*VLOOKUP(LEFT($A11,3),Feuil2!$A:$D,3,0),IF(AJ11&lt;$AD11,AJ11,$AD11)*VLOOKUP(LEFT($A11,3),Feuil2!$A:$D,4)),0))</f>
        <v>14579.977750000002</v>
      </c>
      <c r="AJ11" s="120">
        <f>IF(AK11&lt;$AD11,AK11,$AD11)-IF(AJ$1&lt;=$AC11,0,IF(AJ$1&gt;IF($AC11&lt;2022,2022,$AC11),IF(AJ$1-IF($AC11&lt;2022,2022,$AC11)=1,IF(AK11&lt;$AD11,AK11,$AD11)*VLOOKUP(LEFT($A11,3),Feuil2!$A:$D,3,0),IF(AK11&lt;$AD11,AK11,$AD11)*VLOOKUP(LEFT($A11,3),Feuil2!$A:$D,4)),0))</f>
        <v>15347.345000000001</v>
      </c>
      <c r="AK11" s="120">
        <f>IF(AL11&lt;$AD11,AL11,$AD11)-IF(AK$1&lt;=$AC11,0,IF(AK$1&gt;IF($AC11&lt;2022,2022,$AC11),IF(AK$1-IF($AC11&lt;2022,2022,$AC11)=1,IF(AL11&lt;$AD11,AL11,$AD11)*VLOOKUP(LEFT($A11,3),Feuil2!$A:$D,3,0),IF(AL11&lt;$AD11,AL11,$AD11)*VLOOKUP(LEFT($A11,3),Feuil2!$A:$D,4)),0))</f>
        <v>16155.1</v>
      </c>
      <c r="AL11" s="120">
        <f>IF(AM11&lt;$AD11,AM11,$AD11)-IF(AL$1&lt;=$AC11,0,IF(AL$1&gt;IF($AC11&lt;2022,2022,$AC11),IF(AL$1-IF($AC11&lt;2022,2022,$AC11)=1,IF(AM11&lt;$AD11,AM11,$AD11)*VLOOKUP(LEFT($A11,3),Feuil2!$A:$D,3,0),IF(AM11&lt;$AD11,AM11,$AD11)*VLOOKUP(LEFT($A11,3),Feuil2!$A:$D,4)),0))</f>
        <v>24854</v>
      </c>
      <c r="AM11" s="120">
        <f>IF(AN11&lt;$AD11,AN11,$AD11)-IF(AM$1&lt;=$AC11,0,IF(AM$1&gt;IF($AC11&lt;2022,2022,$AC11),IF(AM$1-IF($AC11&lt;2022,2022,$AC11)=1,IF(AN11&lt;$AD11,AN11,$AD11)*VLOOKUP(LEFT($A11,3),Feuil2!$A:$D,3,0),IF(AN11&lt;$AD11,AN11,$AD11)*VLOOKUP(LEFT($A11,3),Feuil2!$A:$D,4)),0))</f>
        <v>24854</v>
      </c>
      <c r="AN11" s="120">
        <f>IF(AO11&lt;$AD11,AO11,$AD11)-IF(AN$1&lt;=$AC11,0,IF(AN$1&gt;IF($AC11&lt;2022,2022,$AC11),IF(AN$1-IF($AC11&lt;2022,2022,$AC11)=1,IF(AO11&lt;$AD11,AO11,$AD11)*VLOOKUP(LEFT($A11,3),Feuil2!$A:$D,3,0),IF(AO11&lt;$AD11,AO11,$AD11)*VLOOKUP(LEFT($A11,3),Feuil2!$A:$D,4)),0))</f>
        <v>24854</v>
      </c>
      <c r="AO11" s="120">
        <f>$AD11-IF(AO$1&lt;=$AC11,0,IF(AO$1&gt;IF($AC11&lt;2022,2022,$AC11),IF(AO$1-IF($AC11&lt;2022,2022,$AC11)=1,$AD11*VLOOKUP(LEFT($A11,3),Feuil2!$A:$D,3,0),$AD11*VLOOKUP(LEFT($A11,3),Feuil2!$A:$D,4)),0))</f>
        <v>24854</v>
      </c>
      <c r="AP11" s="118"/>
      <c r="AQ11" s="94"/>
      <c r="AR11" s="94"/>
    </row>
    <row r="12" spans="1:44" x14ac:dyDescent="0.25">
      <c r="A12" s="7" t="s">
        <v>141</v>
      </c>
      <c r="B12" s="5" t="s">
        <v>188</v>
      </c>
      <c r="D12" s="5" t="s">
        <v>107</v>
      </c>
      <c r="E12" s="5" t="s">
        <v>26</v>
      </c>
      <c r="F12" s="5" t="s">
        <v>24</v>
      </c>
      <c r="I12" s="8">
        <v>44298</v>
      </c>
      <c r="J12" s="9">
        <v>24584</v>
      </c>
      <c r="L12" s="5">
        <v>60</v>
      </c>
      <c r="M12" s="8">
        <v>46093</v>
      </c>
      <c r="N12" s="12"/>
      <c r="R12" s="66">
        <v>523.79999999999995</v>
      </c>
      <c r="S12" s="9">
        <v>3058</v>
      </c>
      <c r="T12" s="9">
        <v>120</v>
      </c>
      <c r="V12" s="5" t="str">
        <f t="shared" si="0"/>
        <v>BEN</v>
      </c>
      <c r="W12" s="5" cm="1">
        <f t="array" ref="W12">_xlfn.IFS(LEFT(A12)="B",1,LEFT(A12)="R",2,LEFT(A12)="T",2,LEFT(A12)="V",2,LEFT(A12)="","")</f>
        <v>1</v>
      </c>
      <c r="X12" s="5">
        <v>10</v>
      </c>
      <c r="Z12" s="5">
        <v>5</v>
      </c>
      <c r="AA12" s="5">
        <f t="shared" si="1"/>
        <v>60</v>
      </c>
      <c r="AB12" s="5">
        <f t="shared" si="2"/>
        <v>2021</v>
      </c>
      <c r="AC12" s="98">
        <f t="shared" si="3"/>
        <v>2026</v>
      </c>
      <c r="AD12" s="114">
        <v>24854</v>
      </c>
      <c r="AE12" s="120">
        <f>IF(AF12&lt;$AD12,AF12,$AD12)-IF(AE$1&lt;=$AC12,0,IF(AE$1&gt;IF($AC12&lt;2022,2022,$AC12),IF(AE$1-IF($AC12&lt;2022,2022,$AC12)=1,IF(AF12&lt;$AD12,AF12,$AD12)*VLOOKUP(LEFT($A12,3),Feuil2!$A:$D,3,0),IF(AF12&lt;$AD12,AF12,$AD12)*VLOOKUP(LEFT($A12,3),Feuil2!$A:$D,4)),0))</f>
        <v>11875.483002235938</v>
      </c>
      <c r="AF12" s="120">
        <f>IF(AG12&lt;$AD12,AG12,$AD12)-IF(AF$1&lt;=$AC12,0,IF(AF$1&gt;IF($AC12&lt;2022,2022,$AC12),IF(AF$1-IF($AC12&lt;2022,2022,$AC12)=1,IF(AG12&lt;$AD12,AG12,$AD12)*VLOOKUP(LEFT($A12,3),Feuil2!$A:$D,3,0),IF(AG12&lt;$AD12,AG12,$AD12)*VLOOKUP(LEFT($A12,3),Feuil2!$A:$D,4)),0))</f>
        <v>12500.508423406251</v>
      </c>
      <c r="AG12" s="120">
        <f>IF(AH12&lt;$AD12,AH12,$AD12)-IF(AG$1&lt;=$AC12,0,IF(AG$1&gt;IF($AC12&lt;2022,2022,$AC12),IF(AG$1-IF($AC12&lt;2022,2022,$AC12)=1,IF(AH12&lt;$AD12,AH12,$AD12)*VLOOKUP(LEFT($A12,3),Feuil2!$A:$D,3,0),IF(AH12&lt;$AD12,AH12,$AD12)*VLOOKUP(LEFT($A12,3),Feuil2!$A:$D,4)),0))</f>
        <v>13158.429919375001</v>
      </c>
      <c r="AH12" s="120">
        <f>IF(AI12&lt;$AD12,AI12,$AD12)-IF(AH$1&lt;=$AC12,0,IF(AH$1&gt;IF($AC12&lt;2022,2022,$AC12),IF(AH$1-IF($AC12&lt;2022,2022,$AC12)=1,IF(AI12&lt;$AD12,AI12,$AD12)*VLOOKUP(LEFT($A12,3),Feuil2!$A:$D,3,0),IF(AI12&lt;$AD12,AI12,$AD12)*VLOOKUP(LEFT($A12,3),Feuil2!$A:$D,4)),0))</f>
        <v>13850.978862500002</v>
      </c>
      <c r="AI12" s="120">
        <f>IF(AJ12&lt;$AD12,AJ12,$AD12)-IF(AI$1&lt;=$AC12,0,IF(AI$1&gt;IF($AC12&lt;2022,2022,$AC12),IF(AI$1-IF($AC12&lt;2022,2022,$AC12)=1,IF(AJ12&lt;$AD12,AJ12,$AD12)*VLOOKUP(LEFT($A12,3),Feuil2!$A:$D,3,0),IF(AJ12&lt;$AD12,AJ12,$AD12)*VLOOKUP(LEFT($A12,3),Feuil2!$A:$D,4)),0))</f>
        <v>14579.977750000002</v>
      </c>
      <c r="AJ12" s="120">
        <f>IF(AK12&lt;$AD12,AK12,$AD12)-IF(AJ$1&lt;=$AC12,0,IF(AJ$1&gt;IF($AC12&lt;2022,2022,$AC12),IF(AJ$1-IF($AC12&lt;2022,2022,$AC12)=1,IF(AK12&lt;$AD12,AK12,$AD12)*VLOOKUP(LEFT($A12,3),Feuil2!$A:$D,3,0),IF(AK12&lt;$AD12,AK12,$AD12)*VLOOKUP(LEFT($A12,3),Feuil2!$A:$D,4)),0))</f>
        <v>15347.345000000001</v>
      </c>
      <c r="AK12" s="120">
        <f>IF(AL12&lt;$AD12,AL12,$AD12)-IF(AK$1&lt;=$AC12,0,IF(AK$1&gt;IF($AC12&lt;2022,2022,$AC12),IF(AK$1-IF($AC12&lt;2022,2022,$AC12)=1,IF(AL12&lt;$AD12,AL12,$AD12)*VLOOKUP(LEFT($A12,3),Feuil2!$A:$D,3,0),IF(AL12&lt;$AD12,AL12,$AD12)*VLOOKUP(LEFT($A12,3),Feuil2!$A:$D,4)),0))</f>
        <v>16155.1</v>
      </c>
      <c r="AL12" s="120">
        <f>IF(AM12&lt;$AD12,AM12,$AD12)-IF(AL$1&lt;=$AC12,0,IF(AL$1&gt;IF($AC12&lt;2022,2022,$AC12),IF(AL$1-IF($AC12&lt;2022,2022,$AC12)=1,IF(AM12&lt;$AD12,AM12,$AD12)*VLOOKUP(LEFT($A12,3),Feuil2!$A:$D,3,0),IF(AM12&lt;$AD12,AM12,$AD12)*VLOOKUP(LEFT($A12,3),Feuil2!$A:$D,4)),0))</f>
        <v>24854</v>
      </c>
      <c r="AM12" s="120">
        <f>IF(AN12&lt;$AD12,AN12,$AD12)-IF(AM$1&lt;=$AC12,0,IF(AM$1&gt;IF($AC12&lt;2022,2022,$AC12),IF(AM$1-IF($AC12&lt;2022,2022,$AC12)=1,IF(AN12&lt;$AD12,AN12,$AD12)*VLOOKUP(LEFT($A12,3),Feuil2!$A:$D,3,0),IF(AN12&lt;$AD12,AN12,$AD12)*VLOOKUP(LEFT($A12,3),Feuil2!$A:$D,4)),0))</f>
        <v>24854</v>
      </c>
      <c r="AN12" s="120">
        <f>IF(AO12&lt;$AD12,AO12,$AD12)-IF(AN$1&lt;=$AC12,0,IF(AN$1&gt;IF($AC12&lt;2022,2022,$AC12),IF(AN$1-IF($AC12&lt;2022,2022,$AC12)=1,IF(AO12&lt;$AD12,AO12,$AD12)*VLOOKUP(LEFT($A12,3),Feuil2!$A:$D,3,0),IF(AO12&lt;$AD12,AO12,$AD12)*VLOOKUP(LEFT($A12,3),Feuil2!$A:$D,4)),0))</f>
        <v>24854</v>
      </c>
      <c r="AO12" s="120">
        <f>$AD12-IF(AO$1&lt;=$AC12,0,IF(AO$1&gt;IF($AC12&lt;2022,2022,$AC12),IF(AO$1-IF($AC12&lt;2022,2022,$AC12)=1,$AD12*VLOOKUP(LEFT($A12,3),Feuil2!$A:$D,3,0),$AD12*VLOOKUP(LEFT($A12,3),Feuil2!$A:$D,4)),0))</f>
        <v>24854</v>
      </c>
      <c r="AP12" s="118"/>
      <c r="AQ12" s="94"/>
      <c r="AR12" s="94"/>
    </row>
    <row r="13" spans="1:44" x14ac:dyDescent="0.25">
      <c r="A13" s="7" t="s">
        <v>189</v>
      </c>
      <c r="B13" s="5" t="s">
        <v>188</v>
      </c>
      <c r="D13" s="5" t="s">
        <v>107</v>
      </c>
      <c r="E13" s="5" t="s">
        <v>21</v>
      </c>
      <c r="F13" s="5" t="s">
        <v>34</v>
      </c>
      <c r="I13" s="8">
        <v>44847</v>
      </c>
      <c r="J13" s="9">
        <v>37497</v>
      </c>
      <c r="K13" s="9"/>
      <c r="L13" s="5">
        <v>60</v>
      </c>
      <c r="N13" s="12"/>
      <c r="R13" s="66">
        <v>582</v>
      </c>
      <c r="S13" s="9"/>
      <c r="T13" s="9">
        <v>120</v>
      </c>
      <c r="V13" s="5" t="str">
        <f t="shared" si="0"/>
        <v>BEN</v>
      </c>
      <c r="W13" s="5" cm="1">
        <f t="array" ref="W13">_xlfn.IFS(LEFT(A13)="B",1,LEFT(A13)="R",2,LEFT(A13)="T",2,LEFT(A13)="V",2,LEFT(A13)="","")</f>
        <v>1</v>
      </c>
      <c r="X13" s="5">
        <v>10</v>
      </c>
      <c r="AA13" s="5">
        <f t="shared" si="1"/>
        <v>0</v>
      </c>
      <c r="AB13" s="5">
        <f t="shared" si="2"/>
        <v>2022</v>
      </c>
      <c r="AC13" s="98">
        <f t="shared" si="3"/>
        <v>2022</v>
      </c>
      <c r="AD13" s="114">
        <v>37497</v>
      </c>
      <c r="AE13" s="120">
        <f>IF(AF13&lt;$AD13,AF13,$AD13)-IF(AE$1&lt;=$AC13,0,IF(AE$1&gt;IF($AC13&lt;2022,2022,$AC13),IF(AE$1-IF($AC13&lt;2022,2022,$AC13)=1,IF(AF13&lt;$AD13,AF13,$AD13)*VLOOKUP(LEFT($A13,3),Feuil2!$A:$D,3,0),IF(AF13&lt;$AD13,AF13,$AD13)*VLOOKUP(LEFT($A13,3),Feuil2!$A:$D,4)),0))</f>
        <v>14593.045356903975</v>
      </c>
      <c r="AF13" s="120">
        <f>IF(AG13&lt;$AD13,AG13,$AD13)-IF(AF$1&lt;=$AC13,0,IF(AF$1&gt;IF($AC13&lt;2022,2022,$AC13),IF(AF$1-IF($AC13&lt;2022,2022,$AC13)=1,IF(AG13&lt;$AD13,AG13,$AD13)*VLOOKUP(LEFT($A13,3),Feuil2!$A:$D,3,0),IF(AG13&lt;$AD13,AG13,$AD13)*VLOOKUP(LEFT($A13,3),Feuil2!$A:$D,4)),0))</f>
        <v>15361.100375688395</v>
      </c>
      <c r="AG13" s="120">
        <f>IF(AH13&lt;$AD13,AH13,$AD13)-IF(AG$1&lt;=$AC13,0,IF(AG$1&gt;IF($AC13&lt;2022,2022,$AC13),IF(AG$1-IF($AC13&lt;2022,2022,$AC13)=1,IF(AH13&lt;$AD13,AH13,$AD13)*VLOOKUP(LEFT($A13,3),Feuil2!$A:$D,3,0),IF(AH13&lt;$AD13,AH13,$AD13)*VLOOKUP(LEFT($A13,3),Feuil2!$A:$D,4)),0))</f>
        <v>16169.579342829889</v>
      </c>
      <c r="AH13" s="120">
        <f>IF(AI13&lt;$AD13,AI13,$AD13)-IF(AH$1&lt;=$AC13,0,IF(AH$1&gt;IF($AC13&lt;2022,2022,$AC13),IF(AH$1-IF($AC13&lt;2022,2022,$AC13)=1,IF(AI13&lt;$AD13,AI13,$AD13)*VLOOKUP(LEFT($A13,3),Feuil2!$A:$D,3,0),IF(AI13&lt;$AD13,AI13,$AD13)*VLOOKUP(LEFT($A13,3),Feuil2!$A:$D,4)),0))</f>
        <v>17020.609834557778</v>
      </c>
      <c r="AI13" s="120">
        <f>IF(AJ13&lt;$AD13,AJ13,$AD13)-IF(AI$1&lt;=$AC13,0,IF(AI$1&gt;IF($AC13&lt;2022,2022,$AC13),IF(AI$1-IF($AC13&lt;2022,2022,$AC13)=1,IF(AJ13&lt;$AD13,AJ13,$AD13)*VLOOKUP(LEFT($A13,3),Feuil2!$A:$D,3,0),IF(AJ13&lt;$AD13,AJ13,$AD13)*VLOOKUP(LEFT($A13,3),Feuil2!$A:$D,4)),0))</f>
        <v>17916.431404797659</v>
      </c>
      <c r="AJ13" s="120">
        <f>IF(AK13&lt;$AD13,AK13,$AD13)-IF(AJ$1&lt;=$AC13,0,IF(AJ$1&gt;IF($AC13&lt;2022,2022,$AC13),IF(AJ$1-IF($AC13&lt;2022,2022,$AC13)=1,IF(AK13&lt;$AD13,AK13,$AD13)*VLOOKUP(LEFT($A13,3),Feuil2!$A:$D,3,0),IF(AK13&lt;$AD13,AK13,$AD13)*VLOOKUP(LEFT($A13,3),Feuil2!$A:$D,4)),0))</f>
        <v>18859.401478734377</v>
      </c>
      <c r="AK13" s="120">
        <f>IF(AL13&lt;$AD13,AL13,$AD13)-IF(AK$1&lt;=$AC13,0,IF(AK$1&gt;IF($AC13&lt;2022,2022,$AC13),IF(AK$1-IF($AC13&lt;2022,2022,$AC13)=1,IF(AL13&lt;$AD13,AL13,$AD13)*VLOOKUP(LEFT($A13,3),Feuil2!$A:$D,3,0),IF(AL13&lt;$AD13,AL13,$AD13)*VLOOKUP(LEFT($A13,3),Feuil2!$A:$D,4)),0))</f>
        <v>19852.001556562504</v>
      </c>
      <c r="AL13" s="120">
        <f>IF(AM13&lt;$AD13,AM13,$AD13)-IF(AL$1&lt;=$AC13,0,IF(AL$1&gt;IF($AC13&lt;2022,2022,$AC13),IF(AL$1-IF($AC13&lt;2022,2022,$AC13)=1,IF(AM13&lt;$AD13,AM13,$AD13)*VLOOKUP(LEFT($A13,3),Feuil2!$A:$D,3,0),IF(AM13&lt;$AD13,AM13,$AD13)*VLOOKUP(LEFT($A13,3),Feuil2!$A:$D,4)),0))</f>
        <v>20896.843743750003</v>
      </c>
      <c r="AM13" s="120">
        <f>IF(AN13&lt;$AD13,AN13,$AD13)-IF(AM$1&lt;=$AC13,0,IF(AM$1&gt;IF($AC13&lt;2022,2022,$AC13),IF(AM$1-IF($AC13&lt;2022,2022,$AC13)=1,IF(AN13&lt;$AD13,AN13,$AD13)*VLOOKUP(LEFT($A13,3),Feuil2!$A:$D,3,0),IF(AN13&lt;$AD13,AN13,$AD13)*VLOOKUP(LEFT($A13,3),Feuil2!$A:$D,4)),0))</f>
        <v>21996.677625000004</v>
      </c>
      <c r="AN13" s="120">
        <f>IF(AO13&lt;$AD13,AO13,$AD13)-IF(AN$1&lt;=$AC13,0,IF(AN$1&gt;IF($AC13&lt;2022,2022,$AC13),IF(AN$1-IF($AC13&lt;2022,2022,$AC13)=1,IF(AO13&lt;$AD13,AO13,$AD13)*VLOOKUP(LEFT($A13,3),Feuil2!$A:$D,3,0),IF(AO13&lt;$AD13,AO13,$AD13)*VLOOKUP(LEFT($A13,3),Feuil2!$A:$D,4)),0))</f>
        <v>23154.397500000003</v>
      </c>
      <c r="AO13" s="120">
        <f>$AD13-IF(AO$1&lt;=$AC13,0,IF(AO$1&gt;IF($AC13&lt;2022,2022,$AC13),IF(AO$1-IF($AC13&lt;2022,2022,$AC13)=1,$AD13*VLOOKUP(LEFT($A13,3),Feuil2!$A:$D,3,0),$AD13*VLOOKUP(LEFT($A13,3),Feuil2!$A:$D,4)),0))</f>
        <v>24373.050000000003</v>
      </c>
      <c r="AP13" s="118"/>
      <c r="AQ13" s="94"/>
      <c r="AR13" s="94"/>
    </row>
    <row r="14" spans="1:44" x14ac:dyDescent="0.25">
      <c r="A14" s="7" t="s">
        <v>190</v>
      </c>
      <c r="B14" s="5" t="s">
        <v>188</v>
      </c>
      <c r="D14" s="5" t="s">
        <v>107</v>
      </c>
      <c r="E14" s="5" t="s">
        <v>191</v>
      </c>
      <c r="F14" s="5" t="s">
        <v>192</v>
      </c>
      <c r="I14" s="8">
        <v>44834</v>
      </c>
      <c r="J14" s="9">
        <v>28330</v>
      </c>
      <c r="K14" s="9"/>
      <c r="L14" s="5">
        <v>60</v>
      </c>
      <c r="M14" s="8">
        <v>46629</v>
      </c>
      <c r="N14" s="12"/>
      <c r="R14" s="66">
        <v>495</v>
      </c>
      <c r="S14" s="9"/>
      <c r="T14" s="9">
        <v>120</v>
      </c>
      <c r="V14" s="5" t="str">
        <f t="shared" si="0"/>
        <v>BEN</v>
      </c>
      <c r="W14" s="5" cm="1">
        <f t="array" ref="W14">_xlfn.IFS(LEFT(A14)="B",1,LEFT(A14)="R",2,LEFT(A14)="T",2,LEFT(A14)="V",2,LEFT(A14)="","")</f>
        <v>1</v>
      </c>
      <c r="X14" s="5">
        <v>10</v>
      </c>
      <c r="Z14" s="5">
        <v>5</v>
      </c>
      <c r="AA14" s="5">
        <f t="shared" si="1"/>
        <v>60</v>
      </c>
      <c r="AB14" s="5">
        <f t="shared" si="2"/>
        <v>2022</v>
      </c>
      <c r="AC14" s="98">
        <f t="shared" si="3"/>
        <v>2027</v>
      </c>
      <c r="AD14" s="114">
        <v>28330</v>
      </c>
      <c r="AE14" s="120">
        <f>IF(AF14&lt;$AD14,AF14,$AD14)-IF(AE$1&lt;=$AC14,0,IF(AE$1&gt;IF($AC14&lt;2022,2022,$AC14),IF(AE$1-IF($AC14&lt;2022,2022,$AC14)=1,IF(AF14&lt;$AD14,AF14,$AD14)*VLOOKUP(LEFT($A14,3),Feuil2!$A:$D,3,0),IF(AF14&lt;$AD14,AF14,$AD14)*VLOOKUP(LEFT($A14,3),Feuil2!$A:$D,4)),0))</f>
        <v>14248.789073593751</v>
      </c>
      <c r="AF14" s="120">
        <f>IF(AG14&lt;$AD14,AG14,$AD14)-IF(AF$1&lt;=$AC14,0,IF(AF$1&gt;IF($AC14&lt;2022,2022,$AC14),IF(AF$1-IF($AC14&lt;2022,2022,$AC14)=1,IF(AG14&lt;$AD14,AG14,$AD14)*VLOOKUP(LEFT($A14,3),Feuil2!$A:$D,3,0),IF(AG14&lt;$AD14,AG14,$AD14)*VLOOKUP(LEFT($A14,3),Feuil2!$A:$D,4)),0))</f>
        <v>14998.725340625</v>
      </c>
      <c r="AG14" s="120">
        <f>IF(AH14&lt;$AD14,AH14,$AD14)-IF(AG$1&lt;=$AC14,0,IF(AG$1&gt;IF($AC14&lt;2022,2022,$AC14),IF(AG$1-IF($AC14&lt;2022,2022,$AC14)=1,IF(AH14&lt;$AD14,AH14,$AD14)*VLOOKUP(LEFT($A14,3),Feuil2!$A:$D,3,0),IF(AH14&lt;$AD14,AH14,$AD14)*VLOOKUP(LEFT($A14,3),Feuil2!$A:$D,4)),0))</f>
        <v>15788.1319375</v>
      </c>
      <c r="AH14" s="120">
        <f>IF(AI14&lt;$AD14,AI14,$AD14)-IF(AH$1&lt;=$AC14,0,IF(AH$1&gt;IF($AC14&lt;2022,2022,$AC14),IF(AH$1-IF($AC14&lt;2022,2022,$AC14)=1,IF(AI14&lt;$AD14,AI14,$AD14)*VLOOKUP(LEFT($A14,3),Feuil2!$A:$D,3,0),IF(AI14&lt;$AD14,AI14,$AD14)*VLOOKUP(LEFT($A14,3),Feuil2!$A:$D,4)),0))</f>
        <v>16619.08625</v>
      </c>
      <c r="AI14" s="120">
        <f>IF(AJ14&lt;$AD14,AJ14,$AD14)-IF(AI$1&lt;=$AC14,0,IF(AI$1&gt;IF($AC14&lt;2022,2022,$AC14),IF(AI$1-IF($AC14&lt;2022,2022,$AC14)=1,IF(AJ14&lt;$AD14,AJ14,$AD14)*VLOOKUP(LEFT($A14,3),Feuil2!$A:$D,3,0),IF(AJ14&lt;$AD14,AJ14,$AD14)*VLOOKUP(LEFT($A14,3),Feuil2!$A:$D,4)),0))</f>
        <v>17493.775000000001</v>
      </c>
      <c r="AJ14" s="120">
        <f>IF(AK14&lt;$AD14,AK14,$AD14)-IF(AJ$1&lt;=$AC14,0,IF(AJ$1&gt;IF($AC14&lt;2022,2022,$AC14),IF(AJ$1-IF($AC14&lt;2022,2022,$AC14)=1,IF(AK14&lt;$AD14,AK14,$AD14)*VLOOKUP(LEFT($A14,3),Feuil2!$A:$D,3,0),IF(AK14&lt;$AD14,AK14,$AD14)*VLOOKUP(LEFT($A14,3),Feuil2!$A:$D,4)),0))</f>
        <v>18414.5</v>
      </c>
      <c r="AK14" s="120">
        <f>IF(AL14&lt;$AD14,AL14,$AD14)-IF(AK$1&lt;=$AC14,0,IF(AK$1&gt;IF($AC14&lt;2022,2022,$AC14),IF(AK$1-IF($AC14&lt;2022,2022,$AC14)=1,IF(AL14&lt;$AD14,AL14,$AD14)*VLOOKUP(LEFT($A14,3),Feuil2!$A:$D,3,0),IF(AL14&lt;$AD14,AL14,$AD14)*VLOOKUP(LEFT($A14,3),Feuil2!$A:$D,4)),0))</f>
        <v>28330</v>
      </c>
      <c r="AL14" s="120">
        <f>IF(AM14&lt;$AD14,AM14,$AD14)-IF(AL$1&lt;=$AC14,0,IF(AL$1&gt;IF($AC14&lt;2022,2022,$AC14),IF(AL$1-IF($AC14&lt;2022,2022,$AC14)=1,IF(AM14&lt;$AD14,AM14,$AD14)*VLOOKUP(LEFT($A14,3),Feuil2!$A:$D,3,0),IF(AM14&lt;$AD14,AM14,$AD14)*VLOOKUP(LEFT($A14,3),Feuil2!$A:$D,4)),0))</f>
        <v>28330</v>
      </c>
      <c r="AM14" s="120">
        <f>IF(AN14&lt;$AD14,AN14,$AD14)-IF(AM$1&lt;=$AC14,0,IF(AM$1&gt;IF($AC14&lt;2022,2022,$AC14),IF(AM$1-IF($AC14&lt;2022,2022,$AC14)=1,IF(AN14&lt;$AD14,AN14,$AD14)*VLOOKUP(LEFT($A14,3),Feuil2!$A:$D,3,0),IF(AN14&lt;$AD14,AN14,$AD14)*VLOOKUP(LEFT($A14,3),Feuil2!$A:$D,4)),0))</f>
        <v>28330</v>
      </c>
      <c r="AN14" s="120">
        <f>IF(AO14&lt;$AD14,AO14,$AD14)-IF(AN$1&lt;=$AC14,0,IF(AN$1&gt;IF($AC14&lt;2022,2022,$AC14),IF(AN$1-IF($AC14&lt;2022,2022,$AC14)=1,IF(AO14&lt;$AD14,AO14,$AD14)*VLOOKUP(LEFT($A14,3),Feuil2!$A:$D,3,0),IF(AO14&lt;$AD14,AO14,$AD14)*VLOOKUP(LEFT($A14,3),Feuil2!$A:$D,4)),0))</f>
        <v>28330</v>
      </c>
      <c r="AO14" s="120">
        <f>$AD14-IF(AO$1&lt;=$AC14,0,IF(AO$1&gt;IF($AC14&lt;2022,2022,$AC14),IF(AO$1-IF($AC14&lt;2022,2022,$AC14)=1,$AD14*VLOOKUP(LEFT($A14,3),Feuil2!$A:$D,3,0),$AD14*VLOOKUP(LEFT($A14,3),Feuil2!$A:$D,4)),0))</f>
        <v>28330</v>
      </c>
      <c r="AP14" s="118"/>
      <c r="AQ14" s="94"/>
      <c r="AR14" s="94"/>
    </row>
    <row r="15" spans="1:44" x14ac:dyDescent="0.25">
      <c r="A15" s="7" t="s">
        <v>216</v>
      </c>
      <c r="B15" s="5" t="s">
        <v>188</v>
      </c>
      <c r="D15" s="5" t="s">
        <v>107</v>
      </c>
      <c r="E15" s="5" t="s">
        <v>27</v>
      </c>
      <c r="F15" s="5" t="s">
        <v>34</v>
      </c>
      <c r="J15" s="9"/>
      <c r="K15" s="9"/>
      <c r="N15" s="12"/>
      <c r="R15" s="66"/>
      <c r="S15" s="9"/>
      <c r="T15" s="9">
        <v>120</v>
      </c>
      <c r="V15" s="5" t="str">
        <f t="shared" si="0"/>
        <v>BEN</v>
      </c>
      <c r="W15" s="5" cm="1">
        <f t="array" ref="W15">_xlfn.IFS(LEFT(A15)="B",1,LEFT(A15)="R",2,LEFT(A15)="T",2,LEFT(A15)="V",2,LEFT(A15)="","")</f>
        <v>1</v>
      </c>
      <c r="X15" s="5">
        <v>10</v>
      </c>
      <c r="AA15" s="5">
        <f t="shared" si="1"/>
        <v>0</v>
      </c>
      <c r="AB15" s="5">
        <f t="shared" si="2"/>
        <v>1900</v>
      </c>
      <c r="AC15" s="98">
        <f t="shared" si="3"/>
        <v>1900</v>
      </c>
      <c r="AE15" s="118"/>
      <c r="AF15" s="118"/>
      <c r="AG15" s="118"/>
      <c r="AH15" s="118"/>
      <c r="AI15" s="118"/>
      <c r="AJ15" s="118"/>
      <c r="AK15" s="118"/>
      <c r="AL15" s="118"/>
      <c r="AM15" s="118"/>
      <c r="AN15" s="118">
        <f>$AD15-IF(AN$1&lt;=$AC15,0,IF(AN$1&gt;IF($AC15&lt;2022,2022,$AC15),IF(AN$1-IF($AC15&lt;2022,2022,$AC15)=1,$AD15*VLOOKUP(LEFT($A15,3),Feuil2!$A:$D,3,0),$AD15*VLOOKUP(LEFT($A15,3),Feuil2!$A:$D,4)),0))</f>
        <v>0</v>
      </c>
      <c r="AO15" s="118">
        <f>$AD15-IF(AO$1&lt;=$AC15,0,IF(AO$1&gt;IF($AC15&lt;2022,2022,$AC15),IF(AO$1-IF($AC15&lt;2022,2022,$AC15)=1,$AD15*VLOOKUP(LEFT($A15,3),Feuil2!$A:$D,3,0),$AD15*VLOOKUP(LEFT($A15,3),Feuil2!$A:$D,4)),0))</f>
        <v>0</v>
      </c>
      <c r="AP15" s="118"/>
      <c r="AQ15" s="94"/>
      <c r="AR15" s="94"/>
    </row>
    <row r="16" spans="1:44" x14ac:dyDescent="0.25">
      <c r="A16" s="7" t="s">
        <v>217</v>
      </c>
      <c r="B16" s="5" t="s">
        <v>188</v>
      </c>
      <c r="D16" s="5" t="s">
        <v>107</v>
      </c>
      <c r="E16" s="5" t="s">
        <v>27</v>
      </c>
      <c r="F16" s="5" t="s">
        <v>34</v>
      </c>
      <c r="J16" s="9"/>
      <c r="K16" s="9"/>
      <c r="N16" s="12"/>
      <c r="R16" s="66"/>
      <c r="S16" s="9"/>
      <c r="T16" s="9">
        <v>120</v>
      </c>
      <c r="V16" s="5" t="str">
        <f t="shared" si="0"/>
        <v>BEN</v>
      </c>
      <c r="W16" s="5" cm="1">
        <f t="array" ref="W16">_xlfn.IFS(LEFT(A16)="B",1,LEFT(A16)="R",2,LEFT(A16)="T",2,LEFT(A16)="V",2,LEFT(A16)="","")</f>
        <v>1</v>
      </c>
      <c r="X16" s="5">
        <v>10</v>
      </c>
      <c r="AA16" s="5">
        <f t="shared" si="1"/>
        <v>0</v>
      </c>
      <c r="AB16" s="5">
        <f t="shared" si="2"/>
        <v>1900</v>
      </c>
      <c r="AC16" s="98">
        <f t="shared" si="3"/>
        <v>1900</v>
      </c>
      <c r="AE16" s="118"/>
      <c r="AF16" s="118"/>
      <c r="AG16" s="118"/>
      <c r="AH16" s="118"/>
      <c r="AI16" s="118"/>
      <c r="AJ16" s="118"/>
      <c r="AK16" s="118"/>
      <c r="AL16" s="118"/>
      <c r="AM16" s="118"/>
      <c r="AN16" s="118">
        <f>$AD16-IF(AN$1&lt;=$AC16,0,IF(AN$1&gt;IF($AC16&lt;2022,2022,$AC16),IF(AN$1-IF($AC16&lt;2022,2022,$AC16)=1,$AD16*VLOOKUP(LEFT($A16,3),Feuil2!$A:$D,3,0),$AD16*VLOOKUP(LEFT($A16,3),Feuil2!$A:$D,4)),0))</f>
        <v>0</v>
      </c>
      <c r="AO16" s="118">
        <f>$AD16-IF(AO$1&lt;=$AC16,0,IF(AO$1&gt;IF($AC16&lt;2022,2022,$AC16),IF(AO$1-IF($AC16&lt;2022,2022,$AC16)=1,$AD16*VLOOKUP(LEFT($A16,3),Feuil2!$A:$D,3,0),$AD16*VLOOKUP(LEFT($A16,3),Feuil2!$A:$D,4)),0))</f>
        <v>0</v>
      </c>
      <c r="AP16" s="118"/>
      <c r="AQ16" s="94"/>
      <c r="AR16" s="94"/>
    </row>
    <row r="17" spans="1:44" x14ac:dyDescent="0.25">
      <c r="A17" s="7" t="s">
        <v>218</v>
      </c>
      <c r="B17" s="5" t="s">
        <v>188</v>
      </c>
      <c r="D17" s="5" t="s">
        <v>107</v>
      </c>
      <c r="E17" s="5" t="s">
        <v>191</v>
      </c>
      <c r="F17" s="5" t="s">
        <v>192</v>
      </c>
      <c r="J17" s="9"/>
      <c r="K17" s="9"/>
      <c r="N17" s="12"/>
      <c r="R17" s="66"/>
      <c r="S17" s="9"/>
      <c r="T17" s="9">
        <v>120</v>
      </c>
      <c r="V17" s="5" t="str">
        <f t="shared" si="0"/>
        <v/>
      </c>
      <c r="W17" s="5" cm="1">
        <f t="array" ref="W17">_xlfn.IFS(LEFT(A17)="B",1,LEFT(A17)="R",2,LEFT(A17)="T",2,LEFT(A17)="V",2,LEFT(A17)="","")</f>
        <v>1</v>
      </c>
      <c r="X17" s="5">
        <v>10</v>
      </c>
      <c r="AA17" s="5">
        <f t="shared" si="1"/>
        <v>0</v>
      </c>
      <c r="AB17" s="5">
        <f t="shared" si="2"/>
        <v>1900</v>
      </c>
      <c r="AC17" s="98">
        <f t="shared" si="3"/>
        <v>1900</v>
      </c>
      <c r="AE17" s="118"/>
      <c r="AF17" s="118"/>
      <c r="AG17" s="118"/>
      <c r="AH17" s="118"/>
      <c r="AI17" s="118"/>
      <c r="AJ17" s="118"/>
      <c r="AK17" s="118"/>
      <c r="AL17" s="118"/>
      <c r="AM17" s="118"/>
      <c r="AN17" s="118">
        <f>$AD17-IF(AN$1&lt;=$AC17,0,IF(AN$1&gt;IF($AC17&lt;2022,2022,$AC17),IF(AN$1-IF($AC17&lt;2022,2022,$AC17)=1,$AD17*VLOOKUP(LEFT($A17,3),Feuil2!$A:$D,3,0),$AD17*VLOOKUP(LEFT($A17,3),Feuil2!$A:$D,4)),0))</f>
        <v>0</v>
      </c>
      <c r="AO17" s="118">
        <f>$AD17-IF(AO$1&lt;=$AC17,0,IF(AO$1&gt;IF($AC17&lt;2022,2022,$AC17),IF(AO$1-IF($AC17&lt;2022,2022,$AC17)=1,$AD17*VLOOKUP(LEFT($A17,3),Feuil2!$A:$D,3,0),$AD17*VLOOKUP(LEFT($A17,3),Feuil2!$A:$D,4)),0))</f>
        <v>0</v>
      </c>
      <c r="AP17" s="118"/>
      <c r="AQ17" s="94"/>
      <c r="AR17" s="94"/>
    </row>
    <row r="18" spans="1:44" x14ac:dyDescent="0.25">
      <c r="J18" s="9"/>
      <c r="K18" s="9"/>
      <c r="N18" s="12"/>
      <c r="R18" s="9"/>
      <c r="S18" s="9"/>
      <c r="T18" s="9"/>
      <c r="V18" s="5" t="str">
        <f t="shared" si="0"/>
        <v xml:space="preserve">PL </v>
      </c>
      <c r="W18" s="5" t="str" cm="1">
        <f t="array" ref="W18">_xlfn.IFS(LEFT(A18)="B",1,LEFT(A18)="R",2,LEFT(A18)="T",2,LEFT(A18)="V",2,LEFT(A18)="","")</f>
        <v/>
      </c>
    </row>
    <row r="19" spans="1:44" x14ac:dyDescent="0.25">
      <c r="A19" s="7" t="s">
        <v>142</v>
      </c>
      <c r="B19" s="5" t="s">
        <v>188</v>
      </c>
      <c r="D19" s="5" t="s">
        <v>108</v>
      </c>
      <c r="E19" s="5" t="s">
        <v>27</v>
      </c>
      <c r="F19" s="5" t="s">
        <v>28</v>
      </c>
      <c r="J19" s="9">
        <v>17000</v>
      </c>
      <c r="K19" s="9"/>
      <c r="L19" s="5">
        <v>48</v>
      </c>
      <c r="N19" s="12"/>
      <c r="R19" s="9">
        <v>642.24</v>
      </c>
      <c r="S19" s="9"/>
      <c r="T19" s="9">
        <v>120</v>
      </c>
      <c r="V19" s="5" t="str">
        <f t="shared" si="0"/>
        <v/>
      </c>
      <c r="AO19" s="118"/>
      <c r="AP19" s="118"/>
    </row>
    <row r="20" spans="1:44" x14ac:dyDescent="0.25">
      <c r="J20" s="9"/>
      <c r="K20" s="9"/>
      <c r="N20" s="12"/>
      <c r="R20" s="9"/>
      <c r="S20" s="9"/>
      <c r="T20" s="9"/>
      <c r="V20" s="5" t="str">
        <f t="shared" si="0"/>
        <v xml:space="preserve">VL </v>
      </c>
      <c r="W20" s="5" t="str" cm="1">
        <f t="array" ref="W20">_xlfn.IFS(LEFT(A20)="B",1,LEFT(A20)="R",2,LEFT(A20)="T",2,LEFT(A20)="V",2,LEFT(A20)="","")</f>
        <v/>
      </c>
    </row>
    <row r="21" spans="1:44" x14ac:dyDescent="0.25">
      <c r="A21" s="7" t="s">
        <v>83</v>
      </c>
      <c r="B21" s="5" t="s">
        <v>188</v>
      </c>
      <c r="D21" s="5" t="s">
        <v>109</v>
      </c>
      <c r="E21" s="5" t="s">
        <v>27</v>
      </c>
      <c r="F21" s="5" t="s">
        <v>29</v>
      </c>
      <c r="I21" s="8">
        <v>42753</v>
      </c>
      <c r="J21" s="9">
        <v>1900</v>
      </c>
      <c r="K21" s="9"/>
      <c r="L21" s="5">
        <v>36</v>
      </c>
      <c r="N21" s="12"/>
      <c r="R21" s="9"/>
      <c r="S21" s="9"/>
      <c r="T21" s="9">
        <v>120</v>
      </c>
      <c r="V21" s="5" t="str">
        <f t="shared" si="0"/>
        <v xml:space="preserve">VL </v>
      </c>
      <c r="W21" s="5" cm="1">
        <f t="array" ref="W21">_xlfn.IFS(LEFT(A21)="B",1,LEFT(A21)="R",2,LEFT(A21)="T",2,LEFT(A21)="V",2,LEFT(A21)="","")</f>
        <v>2</v>
      </c>
      <c r="X21" s="5">
        <v>10</v>
      </c>
      <c r="Z21" s="5">
        <v>3</v>
      </c>
      <c r="AA21" s="5">
        <f t="shared" si="1"/>
        <v>36</v>
      </c>
      <c r="AB21" s="5">
        <f t="shared" si="2"/>
        <v>2017</v>
      </c>
      <c r="AC21" s="98">
        <f t="shared" ref="AC21:AC66" si="4">Z21+AB21</f>
        <v>2020</v>
      </c>
      <c r="AD21" s="114">
        <v>1900</v>
      </c>
      <c r="AO21" s="118"/>
      <c r="AP21" s="118"/>
    </row>
    <row r="22" spans="1:44" x14ac:dyDescent="0.25">
      <c r="A22" s="7" t="s">
        <v>143</v>
      </c>
      <c r="B22" s="5" t="s">
        <v>188</v>
      </c>
      <c r="D22" s="5" t="s">
        <v>109</v>
      </c>
      <c r="E22" s="5" t="s">
        <v>27</v>
      </c>
      <c r="F22" s="5" t="s">
        <v>30</v>
      </c>
      <c r="I22" s="8">
        <v>42856</v>
      </c>
      <c r="J22" s="9">
        <v>5495</v>
      </c>
      <c r="K22" s="9"/>
      <c r="L22" s="5">
        <v>48</v>
      </c>
      <c r="M22" s="8">
        <v>44290</v>
      </c>
      <c r="N22" s="12"/>
      <c r="R22" s="66">
        <v>445.5</v>
      </c>
      <c r="S22" s="9"/>
      <c r="T22" s="9">
        <v>120</v>
      </c>
      <c r="V22" s="5" t="str">
        <f t="shared" si="0"/>
        <v xml:space="preserve">VL </v>
      </c>
      <c r="W22" s="5" cm="1">
        <f t="array" ref="W22">_xlfn.IFS(LEFT(A22)="B",1,LEFT(A22)="R",2,LEFT(A22)="T",2,LEFT(A22)="V",2,LEFT(A22)="","")</f>
        <v>2</v>
      </c>
      <c r="X22" s="5">
        <v>10</v>
      </c>
      <c r="Z22" s="5">
        <v>3</v>
      </c>
      <c r="AA22" s="5">
        <f t="shared" si="1"/>
        <v>36</v>
      </c>
      <c r="AB22" s="5">
        <f t="shared" si="2"/>
        <v>2017</v>
      </c>
      <c r="AC22" s="98">
        <f t="shared" si="4"/>
        <v>2020</v>
      </c>
      <c r="AD22" s="114">
        <v>12461</v>
      </c>
      <c r="AO22" s="118"/>
      <c r="AP22" s="118"/>
    </row>
    <row r="23" spans="1:44" x14ac:dyDescent="0.25">
      <c r="A23" s="7" t="s">
        <v>84</v>
      </c>
      <c r="B23" s="5" t="s">
        <v>188</v>
      </c>
      <c r="D23" s="5" t="s">
        <v>109</v>
      </c>
      <c r="E23" s="5" t="s">
        <v>32</v>
      </c>
      <c r="F23" s="5" t="s">
        <v>31</v>
      </c>
      <c r="I23" s="8">
        <v>43069</v>
      </c>
      <c r="J23" s="9">
        <v>19906.900000000001</v>
      </c>
      <c r="K23" s="9"/>
      <c r="L23" s="5">
        <v>48</v>
      </c>
      <c r="M23" s="8">
        <v>44500</v>
      </c>
      <c r="N23" s="10"/>
      <c r="R23" s="66">
        <v>445.5</v>
      </c>
      <c r="S23" s="9"/>
      <c r="T23" s="9">
        <v>120</v>
      </c>
      <c r="V23" s="5" t="str">
        <f t="shared" si="0"/>
        <v xml:space="preserve">VL </v>
      </c>
      <c r="W23" s="5" cm="1">
        <f t="array" ref="W23">_xlfn.IFS(LEFT(A23)="B",1,LEFT(A23)="R",2,LEFT(A23)="T",2,LEFT(A23)="V",2,LEFT(A23)="","")</f>
        <v>2</v>
      </c>
      <c r="X23" s="5">
        <v>10</v>
      </c>
      <c r="Z23" s="5">
        <v>5</v>
      </c>
      <c r="AA23" s="5">
        <f t="shared" si="1"/>
        <v>60</v>
      </c>
      <c r="AB23" s="5">
        <f t="shared" si="2"/>
        <v>2017</v>
      </c>
      <c r="AC23" s="98">
        <f t="shared" si="4"/>
        <v>2022</v>
      </c>
      <c r="AD23" s="114">
        <v>15000</v>
      </c>
      <c r="AO23" s="118"/>
      <c r="AP23" s="118"/>
    </row>
    <row r="24" spans="1:44" x14ac:dyDescent="0.25">
      <c r="A24" s="7" t="s">
        <v>144</v>
      </c>
      <c r="B24" s="5" t="s">
        <v>188</v>
      </c>
      <c r="D24" s="5" t="s">
        <v>109</v>
      </c>
      <c r="E24" s="5" t="s">
        <v>27</v>
      </c>
      <c r="F24" s="5" t="s">
        <v>34</v>
      </c>
      <c r="I24" s="8">
        <v>43553</v>
      </c>
      <c r="J24" s="9">
        <v>17306.669999999998</v>
      </c>
      <c r="K24" s="9"/>
      <c r="L24" s="5">
        <v>48</v>
      </c>
      <c r="M24" s="8">
        <v>45077</v>
      </c>
      <c r="N24" s="12"/>
      <c r="R24" s="66">
        <v>540</v>
      </c>
      <c r="S24" s="9"/>
      <c r="T24" s="9">
        <v>120</v>
      </c>
      <c r="V24" s="5" t="str">
        <f t="shared" si="0"/>
        <v xml:space="preserve">VL </v>
      </c>
      <c r="W24" s="5" cm="1">
        <f t="array" ref="W24">_xlfn.IFS(LEFT(A24)="B",1,LEFT(A24)="R",2,LEFT(A24)="T",2,LEFT(A24)="V",2,LEFT(A24)="","")</f>
        <v>2</v>
      </c>
      <c r="X24" s="5">
        <v>10</v>
      </c>
      <c r="Z24" s="5">
        <v>5</v>
      </c>
      <c r="AA24" s="5">
        <f t="shared" si="1"/>
        <v>60</v>
      </c>
      <c r="AB24" s="5">
        <f t="shared" si="2"/>
        <v>2019</v>
      </c>
      <c r="AC24" s="98">
        <f t="shared" si="4"/>
        <v>2024</v>
      </c>
      <c r="AD24" s="114">
        <v>17306.669999999998</v>
      </c>
      <c r="AO24" s="118"/>
      <c r="AP24" s="118"/>
    </row>
    <row r="25" spans="1:44" x14ac:dyDescent="0.25">
      <c r="A25" s="7" t="s">
        <v>145</v>
      </c>
      <c r="B25" s="5" t="s">
        <v>188</v>
      </c>
      <c r="D25" s="5" t="s">
        <v>109</v>
      </c>
      <c r="E25" s="5" t="s">
        <v>19</v>
      </c>
      <c r="F25" s="5" t="s">
        <v>25</v>
      </c>
      <c r="I25" s="8">
        <v>43701</v>
      </c>
      <c r="J25" s="9">
        <v>23750</v>
      </c>
      <c r="K25" s="9"/>
      <c r="L25" s="5">
        <v>62</v>
      </c>
      <c r="M25" s="8">
        <v>45540</v>
      </c>
      <c r="N25" s="12"/>
      <c r="R25" s="66">
        <v>585</v>
      </c>
      <c r="S25" s="9"/>
      <c r="T25" s="9">
        <v>120</v>
      </c>
      <c r="V25" s="5" t="str">
        <f t="shared" si="0"/>
        <v xml:space="preserve">VL </v>
      </c>
      <c r="W25" s="5" cm="1">
        <f t="array" ref="W25">_xlfn.IFS(LEFT(A25)="B",1,LEFT(A25)="R",2,LEFT(A25)="T",2,LEFT(A25)="V",2,LEFT(A25)="","")</f>
        <v>2</v>
      </c>
      <c r="X25" s="5">
        <v>10</v>
      </c>
      <c r="Z25" s="98">
        <v>5.1666660000000002</v>
      </c>
      <c r="AA25" s="98">
        <f t="shared" si="1"/>
        <v>61.999992000000006</v>
      </c>
      <c r="AB25" s="5">
        <f t="shared" si="2"/>
        <v>2019</v>
      </c>
      <c r="AC25" s="98">
        <f t="shared" si="4"/>
        <v>2024.1666660000001</v>
      </c>
      <c r="AD25" s="114">
        <v>23750</v>
      </c>
      <c r="AO25" s="118"/>
      <c r="AP25" s="118"/>
    </row>
    <row r="26" spans="1:44" x14ac:dyDescent="0.25">
      <c r="A26" s="7" t="s">
        <v>146</v>
      </c>
      <c r="B26" s="5" t="s">
        <v>188</v>
      </c>
      <c r="D26" s="5" t="s">
        <v>109</v>
      </c>
      <c r="E26" s="5" t="s">
        <v>27</v>
      </c>
      <c r="F26" s="5" t="s">
        <v>29</v>
      </c>
      <c r="I26" s="8">
        <v>43929</v>
      </c>
      <c r="J26" s="9">
        <v>4302.79</v>
      </c>
      <c r="K26" s="9"/>
      <c r="L26" s="5">
        <v>48</v>
      </c>
      <c r="M26" s="8">
        <v>45448</v>
      </c>
      <c r="N26" s="12"/>
      <c r="R26" s="66">
        <v>396</v>
      </c>
      <c r="S26" s="9"/>
      <c r="T26" s="9">
        <v>120</v>
      </c>
      <c r="V26" s="5" t="str">
        <f t="shared" si="0"/>
        <v xml:space="preserve">VL </v>
      </c>
      <c r="W26" s="5" cm="1">
        <f t="array" ref="W26">_xlfn.IFS(LEFT(A26)="B",1,LEFT(A26)="R",2,LEFT(A26)="T",2,LEFT(A26)="V",2,LEFT(A26)="","")</f>
        <v>2</v>
      </c>
      <c r="X26" s="5">
        <v>10</v>
      </c>
      <c r="Z26" s="5">
        <v>5</v>
      </c>
      <c r="AA26" s="5">
        <f t="shared" si="1"/>
        <v>60</v>
      </c>
      <c r="AB26" s="5">
        <f t="shared" si="2"/>
        <v>2020</v>
      </c>
      <c r="AC26" s="98">
        <f t="shared" si="4"/>
        <v>2025</v>
      </c>
      <c r="AD26" s="114">
        <v>4302.79</v>
      </c>
      <c r="AO26" s="118"/>
      <c r="AP26" s="118"/>
    </row>
    <row r="27" spans="1:44" x14ac:dyDescent="0.25">
      <c r="A27" s="7" t="s">
        <v>147</v>
      </c>
      <c r="B27" s="5" t="s">
        <v>188</v>
      </c>
      <c r="D27" s="5" t="s">
        <v>109</v>
      </c>
      <c r="E27" s="5" t="s">
        <v>26</v>
      </c>
      <c r="F27" s="5" t="s">
        <v>70</v>
      </c>
      <c r="I27" s="8">
        <v>44279</v>
      </c>
      <c r="J27" s="9">
        <v>21541.88</v>
      </c>
      <c r="K27" s="9"/>
      <c r="L27" s="5">
        <v>48</v>
      </c>
      <c r="M27" s="8">
        <v>45728</v>
      </c>
      <c r="N27" s="12"/>
      <c r="R27" s="66">
        <v>445.5</v>
      </c>
      <c r="S27" s="9"/>
      <c r="T27" s="9">
        <v>120</v>
      </c>
      <c r="V27" s="5" t="str">
        <f t="shared" si="0"/>
        <v xml:space="preserve">VL </v>
      </c>
      <c r="W27" s="5" cm="1">
        <f t="array" ref="W27">_xlfn.IFS(LEFT(A27)="B",1,LEFT(A27)="R",2,LEFT(A27)="T",2,LEFT(A27)="V",2,LEFT(A27)="","")</f>
        <v>2</v>
      </c>
      <c r="X27" s="5">
        <v>10</v>
      </c>
      <c r="Z27" s="5">
        <v>4</v>
      </c>
      <c r="AA27" s="5">
        <f t="shared" si="1"/>
        <v>48</v>
      </c>
      <c r="AB27" s="5">
        <f t="shared" si="2"/>
        <v>2021</v>
      </c>
      <c r="AC27" s="98">
        <f t="shared" si="4"/>
        <v>2025</v>
      </c>
      <c r="AD27" s="114">
        <v>21541.88</v>
      </c>
      <c r="AO27" s="118"/>
      <c r="AP27" s="118"/>
    </row>
    <row r="28" spans="1:44" x14ac:dyDescent="0.25">
      <c r="A28" s="7" t="s">
        <v>148</v>
      </c>
      <c r="B28" s="5" t="s">
        <v>188</v>
      </c>
      <c r="D28" s="5" t="s">
        <v>109</v>
      </c>
      <c r="E28" s="5" t="s">
        <v>33</v>
      </c>
      <c r="F28" s="5" t="s">
        <v>85</v>
      </c>
      <c r="I28" s="8">
        <v>44535</v>
      </c>
      <c r="J28" s="9">
        <v>17799.16</v>
      </c>
      <c r="K28" s="9"/>
      <c r="L28" s="5">
        <v>48</v>
      </c>
      <c r="M28" s="8">
        <v>45959</v>
      </c>
      <c r="N28" s="10"/>
      <c r="R28" s="66">
        <v>445.5</v>
      </c>
      <c r="S28" s="9">
        <v>0</v>
      </c>
      <c r="T28" s="9">
        <v>120</v>
      </c>
      <c r="V28" s="5" t="str">
        <f t="shared" si="0"/>
        <v xml:space="preserve">VL </v>
      </c>
      <c r="W28" s="5" cm="1">
        <f t="array" ref="W28">_xlfn.IFS(LEFT(A28)="B",1,LEFT(A28)="R",2,LEFT(A28)="T",2,LEFT(A28)="V",2,LEFT(A28)="","")</f>
        <v>2</v>
      </c>
      <c r="X28" s="5">
        <v>10</v>
      </c>
      <c r="Z28" s="5">
        <v>4</v>
      </c>
      <c r="AA28" s="5">
        <f t="shared" si="1"/>
        <v>48</v>
      </c>
      <c r="AB28" s="5">
        <f t="shared" si="2"/>
        <v>2021</v>
      </c>
      <c r="AC28" s="98">
        <f t="shared" si="4"/>
        <v>2025</v>
      </c>
      <c r="AD28" s="114">
        <v>20209.38</v>
      </c>
    </row>
    <row r="29" spans="1:44" x14ac:dyDescent="0.25">
      <c r="A29" s="7" t="s">
        <v>196</v>
      </c>
      <c r="B29" s="5" t="s">
        <v>188</v>
      </c>
      <c r="D29" s="5" t="s">
        <v>109</v>
      </c>
      <c r="E29" s="5" t="s">
        <v>33</v>
      </c>
      <c r="F29" s="5" t="s">
        <v>80</v>
      </c>
      <c r="I29" s="8">
        <v>44376</v>
      </c>
      <c r="J29" s="9">
        <v>22801.279999999999</v>
      </c>
      <c r="K29" s="9"/>
      <c r="L29" s="5">
        <v>49</v>
      </c>
      <c r="N29" s="12"/>
      <c r="R29" s="66">
        <v>180</v>
      </c>
      <c r="S29" s="9"/>
      <c r="T29" s="9">
        <v>120</v>
      </c>
      <c r="V29" s="5" t="str">
        <f t="shared" si="0"/>
        <v xml:space="preserve">VL </v>
      </c>
      <c r="W29" s="5" cm="1">
        <f t="array" ref="W29">_xlfn.IFS(LEFT(A29)="B",1,LEFT(A29)="R",2,LEFT(A29)="T",2,LEFT(A29)="V",2,LEFT(A29)="","")</f>
        <v>2</v>
      </c>
      <c r="X29" s="5">
        <v>10</v>
      </c>
      <c r="Z29" s="98">
        <v>4.0830000000000002</v>
      </c>
      <c r="AA29" s="5">
        <v>49</v>
      </c>
      <c r="AB29" s="5">
        <f t="shared" si="2"/>
        <v>2021</v>
      </c>
      <c r="AC29" s="98">
        <f t="shared" si="4"/>
        <v>2025.0830000000001</v>
      </c>
      <c r="AD29" s="114">
        <v>22801.279999999999</v>
      </c>
    </row>
    <row r="30" spans="1:44" x14ac:dyDescent="0.25">
      <c r="A30" s="7" t="s">
        <v>197</v>
      </c>
      <c r="B30" s="5" t="s">
        <v>188</v>
      </c>
      <c r="D30" s="5" t="s">
        <v>109</v>
      </c>
      <c r="E30" s="5" t="s">
        <v>27</v>
      </c>
      <c r="F30" s="5" t="s">
        <v>198</v>
      </c>
      <c r="I30" s="8">
        <v>44999</v>
      </c>
      <c r="J30" s="9">
        <v>22918.959999999999</v>
      </c>
      <c r="K30" s="9"/>
      <c r="L30" s="5">
        <v>60</v>
      </c>
      <c r="N30" s="12"/>
      <c r="R30" s="9"/>
      <c r="S30" s="9">
        <v>0</v>
      </c>
      <c r="T30" s="9">
        <v>120</v>
      </c>
      <c r="V30" s="5" t="str">
        <f t="shared" si="0"/>
        <v>vP.</v>
      </c>
      <c r="W30" s="5" cm="1">
        <f t="array" ref="W30">_xlfn.IFS(LEFT(A30)="B",1,LEFT(A30)="R",2,LEFT(A30)="T",2,LEFT(A30)="V",2,LEFT(A30)="","")</f>
        <v>2</v>
      </c>
      <c r="X30" s="5">
        <v>10</v>
      </c>
      <c r="Z30" s="5">
        <v>5</v>
      </c>
      <c r="AA30" s="5">
        <f t="shared" si="1"/>
        <v>60</v>
      </c>
      <c r="AB30" s="5">
        <f t="shared" si="2"/>
        <v>2023</v>
      </c>
      <c r="AC30" s="98">
        <f t="shared" si="4"/>
        <v>2028</v>
      </c>
      <c r="AD30" s="114">
        <v>22918.959999999999</v>
      </c>
    </row>
    <row r="31" spans="1:44" x14ac:dyDescent="0.25">
      <c r="A31" s="7" t="s">
        <v>249</v>
      </c>
      <c r="D31" s="5" t="s">
        <v>109</v>
      </c>
      <c r="E31" s="5" t="s">
        <v>33</v>
      </c>
      <c r="F31" s="5" t="s">
        <v>35</v>
      </c>
      <c r="I31" s="8">
        <v>42885</v>
      </c>
      <c r="J31" s="9">
        <v>28533.4</v>
      </c>
      <c r="K31" s="9"/>
      <c r="L31" s="5">
        <v>66</v>
      </c>
      <c r="M31" s="8">
        <v>44867</v>
      </c>
      <c r="N31" s="12"/>
      <c r="R31" s="66">
        <v>405</v>
      </c>
      <c r="S31" s="9"/>
      <c r="T31" s="9">
        <v>120</v>
      </c>
      <c r="V31" s="5" t="str">
        <f t="shared" si="0"/>
        <v/>
      </c>
      <c r="W31" s="5" cm="1">
        <f t="array" ref="W31">_xlfn.IFS(LEFT(A31)="B",1,LEFT(A31)="R",2,LEFT(A31)="T",2,LEFT(A31)="V",2,LEFT(A31)="","")</f>
        <v>2</v>
      </c>
      <c r="X31" s="5">
        <v>10</v>
      </c>
      <c r="Z31" s="5">
        <v>3</v>
      </c>
      <c r="AA31" s="5">
        <f t="shared" si="1"/>
        <v>36</v>
      </c>
      <c r="AB31" s="5">
        <f t="shared" si="2"/>
        <v>2017</v>
      </c>
      <c r="AC31" s="98">
        <f t="shared" si="4"/>
        <v>2020</v>
      </c>
      <c r="AD31" s="114">
        <v>28533.4</v>
      </c>
    </row>
    <row r="32" spans="1:44" x14ac:dyDescent="0.25">
      <c r="J32" s="9"/>
      <c r="K32" s="9"/>
      <c r="N32" s="12"/>
      <c r="R32" s="9"/>
      <c r="S32" s="9"/>
      <c r="V32" s="5" t="str">
        <f t="shared" si="0"/>
        <v>REM</v>
      </c>
      <c r="W32" s="5" t="str" cm="1">
        <f t="array" ref="W32">_xlfn.IFS(LEFT(A32)="B",1,LEFT(A32)="R",2,LEFT(A32)="T",2,LEFT(A32)="V",2,LEFT(A32)="","")</f>
        <v/>
      </c>
    </row>
    <row r="33" spans="1:42" x14ac:dyDescent="0.25">
      <c r="A33" s="5" t="s">
        <v>13</v>
      </c>
      <c r="D33" s="5" t="s">
        <v>110</v>
      </c>
      <c r="E33" s="5" t="s">
        <v>43</v>
      </c>
      <c r="F33" s="5" t="s">
        <v>36</v>
      </c>
      <c r="J33" s="9"/>
      <c r="K33" s="9"/>
      <c r="N33" s="12"/>
      <c r="R33" s="9"/>
      <c r="S33" s="9"/>
      <c r="T33" s="9">
        <v>80</v>
      </c>
      <c r="V33" s="5" t="str">
        <f t="shared" si="0"/>
        <v>REM</v>
      </c>
      <c r="W33" s="5" cm="1">
        <f t="array" ref="W33">_xlfn.IFS(LEFT(A33)="B",1,LEFT(A33)="R",2,LEFT(A33)="T",2,LEFT(A33)="V",2,LEFT(A33)="","")</f>
        <v>2</v>
      </c>
      <c r="X33" s="5">
        <v>5</v>
      </c>
      <c r="AA33" s="5">
        <f t="shared" si="1"/>
        <v>0</v>
      </c>
      <c r="AB33" s="5">
        <f t="shared" si="2"/>
        <v>1900</v>
      </c>
      <c r="AC33" s="98">
        <f t="shared" si="4"/>
        <v>1900</v>
      </c>
      <c r="AE33" s="118">
        <f>IF(AE$1&lt;$AC33,0,IF(AE$1&gt;$AC33,IF('Véhicules MAJ 20012022'!AE$1-'Véhicules MAJ 20012022'!$AC33=1,$AD33*VLOOKUP(LEFT($A33,3),Feuil2!$A:$D,3,0),$AD33*VLOOKUP(LEFT($A33,3),Feuil2!$A:$D,4)),0))</f>
        <v>0</v>
      </c>
      <c r="AF33" s="118">
        <f>IF(AF$1&lt;$AC33,0,IF(AF$1&gt;$AC33,IF('Véhicules MAJ 20012022'!AF$1-'Véhicules MAJ 20012022'!$AC33=1,$AD33*VLOOKUP(LEFT($A33,3),Feuil2!$A:$D,3,0),$AD33*VLOOKUP(LEFT($A33,3),Feuil2!$A:$D,4)),0))</f>
        <v>0</v>
      </c>
      <c r="AG33" s="118">
        <f>IF(AG$1&lt;$AC33,0,IF(AG$1&gt;$AC33,IF('Véhicules MAJ 20012022'!AG$1-'Véhicules MAJ 20012022'!$AC33=1,$AD33*VLOOKUP(LEFT($A33,3),Feuil2!$A:$D,3,0),$AD33*VLOOKUP(LEFT($A33,3),Feuil2!$A:$D,4)),0))</f>
        <v>0</v>
      </c>
      <c r="AH33" s="118">
        <f>IF(AH$1&lt;$AC33,0,IF(AH$1&gt;$AC33,IF('Véhicules MAJ 20012022'!AH$1-'Véhicules MAJ 20012022'!$AC33=1,$AD33*VLOOKUP(LEFT($A33,3),Feuil2!$A:$D,3,0),$AD33*VLOOKUP(LEFT($A33,3),Feuil2!$A:$D,4)),0))</f>
        <v>0</v>
      </c>
      <c r="AI33" s="118">
        <f>IF(AI$1&lt;$AC33,0,IF(AI$1&gt;$AC33,IF('Véhicules MAJ 20012022'!AI$1-'Véhicules MAJ 20012022'!$AC33=1,$AD33*VLOOKUP(LEFT($A33,3),Feuil2!$A:$D,3,0),$AD33*VLOOKUP(LEFT($A33,3),Feuil2!$A:$D,4)),0))</f>
        <v>0</v>
      </c>
      <c r="AJ33" s="118">
        <f>IF(AJ$1&lt;$AC33,0,IF(AJ$1&gt;$AC33,IF('Véhicules MAJ 20012022'!AJ$1-'Véhicules MAJ 20012022'!$AC33=1,$AD33*VLOOKUP(LEFT($A33,3),Feuil2!$A:$D,3,0),$AD33*VLOOKUP(LEFT($A33,3),Feuil2!$A:$D,4)),0))</f>
        <v>0</v>
      </c>
      <c r="AK33" s="118">
        <f>IF(AK$1&lt;$AC33,0,IF(AK$1&gt;$AC33,IF('Véhicules MAJ 20012022'!AK$1-'Véhicules MAJ 20012022'!$AC33=1,$AD33*VLOOKUP(LEFT($A33,3),Feuil2!$A:$D,3,0),$AD33*VLOOKUP(LEFT($A33,3),Feuil2!$A:$D,4)),0))</f>
        <v>0</v>
      </c>
      <c r="AL33" s="118">
        <f>IF(AL$1&lt;$AC33,0,IF(AL$1&gt;$AC33,IF('Véhicules MAJ 20012022'!AL$1-'Véhicules MAJ 20012022'!$AC33=1,$AD33*VLOOKUP(LEFT($A33,3),Feuil2!$A:$D,3,0),$AD33*VLOOKUP(LEFT($A33,3),Feuil2!$A:$D,4)),0))</f>
        <v>0</v>
      </c>
      <c r="AM33" s="118">
        <f>IF(AM$1&lt;$AC33,0,IF(AM$1&gt;$AC33,IF('Véhicules MAJ 20012022'!AM$1-'Véhicules MAJ 20012022'!$AC33=1,$AD33*VLOOKUP(LEFT($A33,3),Feuil2!$A:$D,3,0),$AD33*VLOOKUP(LEFT($A33,3),Feuil2!$A:$D,4)),0))</f>
        <v>0</v>
      </c>
      <c r="AN33" s="118">
        <f>IF(AN$1&lt;$AC33,0,IF(AN$1&gt;$AC33,IF('Véhicules MAJ 20012022'!AN$1-'Véhicules MAJ 20012022'!$AC33=1,$AD33*VLOOKUP(LEFT($A33,3),Feuil2!$A:$D,3,0),$AD33*VLOOKUP(LEFT($A33,3),Feuil2!$A:$D,4)),0))</f>
        <v>0</v>
      </c>
      <c r="AO33" s="118">
        <f>IF(AO$1&lt;$AC33,0,IF(AO$1&gt;$AC33,IF('Véhicules MAJ 20012022'!AO$1-'Véhicules MAJ 20012022'!$AC33=1,$AD33*VLOOKUP(LEFT($A33,3),Feuil2!$A:$D,3,0),$AD33*VLOOKUP(LEFT($A33,3),Feuil2!$A:$D,4)),0))</f>
        <v>0</v>
      </c>
      <c r="AP33" s="118">
        <f>IF(AP$1&lt;$AC33,0,IF(AP$1&gt;$AC33,IF('Véhicules MAJ 20012022'!AP$1-'Véhicules MAJ 20012022'!$AC33=1,$AD33*VLOOKUP(LEFT($A33,3),Feuil2!$A:$D,3,0),$AD33*VLOOKUP(LEFT($A33,3),Feuil2!$A:$D,4)),0))</f>
        <v>0</v>
      </c>
    </row>
    <row r="34" spans="1:42" x14ac:dyDescent="0.25">
      <c r="A34" s="5" t="s">
        <v>12</v>
      </c>
      <c r="D34" s="5" t="s">
        <v>110</v>
      </c>
      <c r="E34" s="5" t="s">
        <v>43</v>
      </c>
      <c r="F34" s="5" t="s">
        <v>37</v>
      </c>
      <c r="J34" s="9">
        <v>1200</v>
      </c>
      <c r="K34" s="9"/>
      <c r="N34" s="12"/>
      <c r="R34" s="9"/>
      <c r="S34" s="9"/>
      <c r="T34" s="9">
        <v>80</v>
      </c>
      <c r="V34" s="5" t="str">
        <f t="shared" si="0"/>
        <v>REM</v>
      </c>
      <c r="W34" s="5" cm="1">
        <f t="array" ref="W34">_xlfn.IFS(LEFT(A34)="B",1,LEFT(A34)="R",2,LEFT(A34)="T",2,LEFT(A34)="V",2,LEFT(A34)="","")</f>
        <v>2</v>
      </c>
      <c r="X34" s="5">
        <v>5</v>
      </c>
      <c r="AA34" s="5">
        <f t="shared" si="1"/>
        <v>0</v>
      </c>
      <c r="AB34" s="5">
        <f t="shared" si="2"/>
        <v>1900</v>
      </c>
      <c r="AC34" s="98">
        <f t="shared" si="4"/>
        <v>1900</v>
      </c>
      <c r="AD34" s="115">
        <v>1200</v>
      </c>
      <c r="AE34" s="118">
        <f>IF(AE$1&lt;$AC34,0,IF(AE$1&gt;$AC34,IF('Véhicules MAJ 20012022'!AE$1-'Véhicules MAJ 20012022'!$AC34=1,$AD34*VLOOKUP(LEFT($A34,3),Feuil2!$A:$D,3,0),$AD34*VLOOKUP(LEFT($A34,3),Feuil2!$A:$D,4)),0))</f>
        <v>84.000000000000014</v>
      </c>
      <c r="AF34" s="118">
        <f>IF(AF$1&lt;$AC34,0,IF(AF$1&gt;$AC34,IF('Véhicules MAJ 20012022'!AF$1-'Véhicules MAJ 20012022'!$AC34=1,$AD34*VLOOKUP(LEFT($A34,3),Feuil2!$A:$D,3,0),$AD34*VLOOKUP(LEFT($A34,3),Feuil2!$A:$D,4)),0))</f>
        <v>84.000000000000014</v>
      </c>
      <c r="AG34" s="118">
        <f>IF(AG$1&lt;$AC34,0,IF(AG$1&gt;$AC34,IF('Véhicules MAJ 20012022'!AG$1-'Véhicules MAJ 20012022'!$AC34=1,$AD34*VLOOKUP(LEFT($A34,3),Feuil2!$A:$D,3,0),$AD34*VLOOKUP(LEFT($A34,3),Feuil2!$A:$D,4)),0))</f>
        <v>84.000000000000014</v>
      </c>
      <c r="AH34" s="118">
        <f>IF(AH$1&lt;$AC34,0,IF(AH$1&gt;$AC34,IF('Véhicules MAJ 20012022'!AH$1-'Véhicules MAJ 20012022'!$AC34=1,$AD34*VLOOKUP(LEFT($A34,3),Feuil2!$A:$D,3,0),$AD34*VLOOKUP(LEFT($A34,3),Feuil2!$A:$D,4)),0))</f>
        <v>84.000000000000014</v>
      </c>
      <c r="AI34" s="118">
        <f>IF(AI$1&lt;$AC34,0,IF(AI$1&gt;$AC34,IF('Véhicules MAJ 20012022'!AI$1-'Véhicules MAJ 20012022'!$AC34=1,$AD34*VLOOKUP(LEFT($A34,3),Feuil2!$A:$D,3,0),$AD34*VLOOKUP(LEFT($A34,3),Feuil2!$A:$D,4)),0))</f>
        <v>84.000000000000014</v>
      </c>
      <c r="AJ34" s="118">
        <f>IF(AJ$1&lt;$AC34,0,IF(AJ$1&gt;$AC34,IF('Véhicules MAJ 20012022'!AJ$1-'Véhicules MAJ 20012022'!$AC34=1,$AD34*VLOOKUP(LEFT($A34,3),Feuil2!$A:$D,3,0),$AD34*VLOOKUP(LEFT($A34,3),Feuil2!$A:$D,4)),0))</f>
        <v>84.000000000000014</v>
      </c>
      <c r="AK34" s="118">
        <f>IF(AK$1&lt;$AC34,0,IF(AK$1&gt;$AC34,IF('Véhicules MAJ 20012022'!AK$1-'Véhicules MAJ 20012022'!$AC34=1,$AD34*VLOOKUP(LEFT($A34,3),Feuil2!$A:$D,3,0),$AD34*VLOOKUP(LEFT($A34,3),Feuil2!$A:$D,4)),0))</f>
        <v>84.000000000000014</v>
      </c>
      <c r="AL34" s="118">
        <f>IF(AL$1&lt;$AC34,0,IF(AL$1&gt;$AC34,IF('Véhicules MAJ 20012022'!AL$1-'Véhicules MAJ 20012022'!$AC34=1,$AD34*VLOOKUP(LEFT($A34,3),Feuil2!$A:$D,3,0),$AD34*VLOOKUP(LEFT($A34,3),Feuil2!$A:$D,4)),0))</f>
        <v>84.000000000000014</v>
      </c>
      <c r="AM34" s="118">
        <f>IF(AM$1&lt;$AC34,0,IF(AM$1&gt;$AC34,IF('Véhicules MAJ 20012022'!AM$1-'Véhicules MAJ 20012022'!$AC34=1,$AD34*VLOOKUP(LEFT($A34,3),Feuil2!$A:$D,3,0),$AD34*VLOOKUP(LEFT($A34,3),Feuil2!$A:$D,4)),0))</f>
        <v>84.000000000000014</v>
      </c>
      <c r="AN34" s="118">
        <f>IF(AN$1&lt;$AC34,0,IF(AN$1&gt;$AC34,IF('Véhicules MAJ 20012022'!AN$1-'Véhicules MAJ 20012022'!$AC34=1,$AD34*VLOOKUP(LEFT($A34,3),Feuil2!$A:$D,3,0),$AD34*VLOOKUP(LEFT($A34,3),Feuil2!$A:$D,4)),0))</f>
        <v>84.000000000000014</v>
      </c>
      <c r="AO34" s="118">
        <f>IF(AO$1&lt;$AC34,0,IF(AO$1&gt;$AC34,IF('Véhicules MAJ 20012022'!AO$1-'Véhicules MAJ 20012022'!$AC34=1,$AD34*VLOOKUP(LEFT($A34,3),Feuil2!$A:$D,3,0),$AD34*VLOOKUP(LEFT($A34,3),Feuil2!$A:$D,4)),0))</f>
        <v>84.000000000000014</v>
      </c>
      <c r="AP34" s="118">
        <f>IF(AP$1&lt;$AC34,0,IF(AP$1&gt;$AC34,IF('Véhicules MAJ 20012022'!AP$1-'Véhicules MAJ 20012022'!$AC34=1,$AD34*VLOOKUP(LEFT($A34,3),Feuil2!$A:$D,3,0),$AD34*VLOOKUP(LEFT($A34,3),Feuil2!$A:$D,4)),0))</f>
        <v>0</v>
      </c>
    </row>
    <row r="35" spans="1:42" x14ac:dyDescent="0.25">
      <c r="A35" s="5" t="s">
        <v>14</v>
      </c>
      <c r="D35" s="5" t="s">
        <v>110</v>
      </c>
      <c r="E35" s="5" t="s">
        <v>184</v>
      </c>
      <c r="F35" s="5" t="s">
        <v>38</v>
      </c>
      <c r="G35" s="5" t="s">
        <v>157</v>
      </c>
      <c r="J35" s="9">
        <v>1024.25</v>
      </c>
      <c r="K35" s="9"/>
      <c r="N35" s="12"/>
      <c r="R35" s="9"/>
      <c r="S35" s="9"/>
      <c r="T35" s="9">
        <v>80</v>
      </c>
      <c r="U35" s="5" t="s">
        <v>72</v>
      </c>
      <c r="V35" s="5" t="str">
        <f t="shared" si="0"/>
        <v>REM</v>
      </c>
      <c r="W35" s="5" cm="1">
        <f t="array" ref="W35">_xlfn.IFS(LEFT(A35)="B",1,LEFT(A35)="R",2,LEFT(A35)="T",2,LEFT(A35)="V",2,LEFT(A35)="","")</f>
        <v>2</v>
      </c>
      <c r="X35" s="5">
        <v>5</v>
      </c>
      <c r="AA35" s="5">
        <f t="shared" si="1"/>
        <v>0</v>
      </c>
      <c r="AB35" s="5">
        <f t="shared" si="2"/>
        <v>1900</v>
      </c>
      <c r="AC35" s="98">
        <f t="shared" si="4"/>
        <v>1900</v>
      </c>
      <c r="AD35" s="115">
        <v>1024.25</v>
      </c>
      <c r="AE35" s="118">
        <f>IF(AE$1&lt;$AC35,0,IF(AE$1&gt;$AC35,IF('Véhicules MAJ 20012022'!AE$1-'Véhicules MAJ 20012022'!$AC35=1,$AD35*VLOOKUP(LEFT($A35,3),Feuil2!$A:$D,3,0),$AD35*VLOOKUP(LEFT($A35,3),Feuil2!$A:$D,4)),0))</f>
        <v>71.697500000000005</v>
      </c>
      <c r="AF35" s="118">
        <f>IF(AF$1&lt;$AC35,0,IF(AF$1&gt;$AC35,IF('Véhicules MAJ 20012022'!AF$1-'Véhicules MAJ 20012022'!$AC35=1,$AD35*VLOOKUP(LEFT($A35,3),Feuil2!$A:$D,3,0),$AD35*VLOOKUP(LEFT($A35,3),Feuil2!$A:$D,4)),0))</f>
        <v>71.697500000000005</v>
      </c>
      <c r="AG35" s="118">
        <f>IF(AG$1&lt;$AC35,0,IF(AG$1&gt;$AC35,IF('Véhicules MAJ 20012022'!AG$1-'Véhicules MAJ 20012022'!$AC35=1,$AD35*VLOOKUP(LEFT($A35,3),Feuil2!$A:$D,3,0),$AD35*VLOOKUP(LEFT($A35,3),Feuil2!$A:$D,4)),0))</f>
        <v>71.697500000000005</v>
      </c>
      <c r="AH35" s="118">
        <f>IF(AH$1&lt;$AC35,0,IF(AH$1&gt;$AC35,IF('Véhicules MAJ 20012022'!AH$1-'Véhicules MAJ 20012022'!$AC35=1,$AD35*VLOOKUP(LEFT($A35,3),Feuil2!$A:$D,3,0),$AD35*VLOOKUP(LEFT($A35,3),Feuil2!$A:$D,4)),0))</f>
        <v>71.697500000000005</v>
      </c>
      <c r="AI35" s="118">
        <f>IF(AI$1&lt;$AC35,0,IF(AI$1&gt;$AC35,IF('Véhicules MAJ 20012022'!AI$1-'Véhicules MAJ 20012022'!$AC35=1,$AD35*VLOOKUP(LEFT($A35,3),Feuil2!$A:$D,3,0),$AD35*VLOOKUP(LEFT($A35,3),Feuil2!$A:$D,4)),0))</f>
        <v>71.697500000000005</v>
      </c>
      <c r="AJ35" s="118">
        <f>IF(AJ$1&lt;$AC35,0,IF(AJ$1&gt;$AC35,IF('Véhicules MAJ 20012022'!AJ$1-'Véhicules MAJ 20012022'!$AC35=1,$AD35*VLOOKUP(LEFT($A35,3),Feuil2!$A:$D,3,0),$AD35*VLOOKUP(LEFT($A35,3),Feuil2!$A:$D,4)),0))</f>
        <v>71.697500000000005</v>
      </c>
      <c r="AK35" s="118">
        <f>IF(AK$1&lt;$AC35,0,IF(AK$1&gt;$AC35,IF('Véhicules MAJ 20012022'!AK$1-'Véhicules MAJ 20012022'!$AC35=1,$AD35*VLOOKUP(LEFT($A35,3),Feuil2!$A:$D,3,0),$AD35*VLOOKUP(LEFT($A35,3),Feuil2!$A:$D,4)),0))</f>
        <v>71.697500000000005</v>
      </c>
      <c r="AL35" s="118">
        <f>IF(AL$1&lt;$AC35,0,IF(AL$1&gt;$AC35,IF('Véhicules MAJ 20012022'!AL$1-'Véhicules MAJ 20012022'!$AC35=1,$AD35*VLOOKUP(LEFT($A35,3),Feuil2!$A:$D,3,0),$AD35*VLOOKUP(LEFT($A35,3),Feuil2!$A:$D,4)),0))</f>
        <v>71.697500000000005</v>
      </c>
      <c r="AM35" s="118">
        <f>IF(AM$1&lt;$AC35,0,IF(AM$1&gt;$AC35,IF('Véhicules MAJ 20012022'!AM$1-'Véhicules MAJ 20012022'!$AC35=1,$AD35*VLOOKUP(LEFT($A35,3),Feuil2!$A:$D,3,0),$AD35*VLOOKUP(LEFT($A35,3),Feuil2!$A:$D,4)),0))</f>
        <v>71.697500000000005</v>
      </c>
      <c r="AN35" s="118">
        <f>IF(AN$1&lt;$AC35,0,IF(AN$1&gt;$AC35,IF('Véhicules MAJ 20012022'!AN$1-'Véhicules MAJ 20012022'!$AC35=1,$AD35*VLOOKUP(LEFT($A35,3),Feuil2!$A:$D,3,0),$AD35*VLOOKUP(LEFT($A35,3),Feuil2!$A:$D,4)),0))</f>
        <v>71.697500000000005</v>
      </c>
      <c r="AO35" s="118">
        <f>IF(AO$1&lt;$AC35,0,IF(AO$1&gt;$AC35,IF('Véhicules MAJ 20012022'!AO$1-'Véhicules MAJ 20012022'!$AC35=1,$AD35*VLOOKUP(LEFT($A35,3),Feuil2!$A:$D,3,0),$AD35*VLOOKUP(LEFT($A35,3),Feuil2!$A:$D,4)),0))</f>
        <v>71.697500000000005</v>
      </c>
      <c r="AP35" s="118">
        <f>IF(AP$1&lt;$AC35,0,IF(AP$1&gt;$AC35,IF('Véhicules MAJ 20012022'!AP$1-'Véhicules MAJ 20012022'!$AC35=1,$AD35*VLOOKUP(LEFT($A35,3),Feuil2!$A:$D,3,0),$AD35*VLOOKUP(LEFT($A35,3),Feuil2!$A:$D,4)),0))</f>
        <v>0</v>
      </c>
    </row>
    <row r="36" spans="1:42" x14ac:dyDescent="0.25">
      <c r="A36" s="5" t="s">
        <v>15</v>
      </c>
      <c r="D36" s="5" t="s">
        <v>110</v>
      </c>
      <c r="E36" s="5" t="s">
        <v>43</v>
      </c>
      <c r="F36" s="5" t="s">
        <v>39</v>
      </c>
      <c r="G36" s="5" t="s">
        <v>158</v>
      </c>
      <c r="J36" s="9">
        <v>4329</v>
      </c>
      <c r="K36" s="9"/>
      <c r="L36" s="5">
        <v>60</v>
      </c>
      <c r="N36" s="12"/>
      <c r="R36" s="9"/>
      <c r="S36" s="9"/>
      <c r="T36" s="9">
        <v>80</v>
      </c>
      <c r="U36" s="5" t="s">
        <v>72</v>
      </c>
      <c r="V36" s="5" t="str">
        <f t="shared" si="0"/>
        <v>REM</v>
      </c>
      <c r="W36" s="5" cm="1">
        <f t="array" ref="W36">_xlfn.IFS(LEFT(A36)="B",1,LEFT(A36)="R",2,LEFT(A36)="T",2,LEFT(A36)="V",2,LEFT(A36)="","")</f>
        <v>2</v>
      </c>
      <c r="X36" s="5">
        <v>5</v>
      </c>
      <c r="Z36" s="5">
        <v>5</v>
      </c>
      <c r="AA36" s="5">
        <f t="shared" si="1"/>
        <v>60</v>
      </c>
      <c r="AB36" s="5">
        <f t="shared" si="2"/>
        <v>1900</v>
      </c>
      <c r="AC36" s="98">
        <f t="shared" si="4"/>
        <v>1905</v>
      </c>
      <c r="AD36" s="115">
        <v>4329</v>
      </c>
      <c r="AE36" s="118">
        <f>IF(AE$1&lt;$AC36,0,IF(AE$1&gt;$AC36,IF('Véhicules MAJ 20012022'!AE$1-'Véhicules MAJ 20012022'!$AC36=1,$AD36*VLOOKUP(LEFT($A36,3),Feuil2!$A:$D,3,0),$AD36*VLOOKUP(LEFT($A36,3),Feuil2!$A:$D,4)),0))</f>
        <v>303.03000000000003</v>
      </c>
      <c r="AF36" s="118">
        <f>IF(AF$1&lt;$AC36,0,IF(AF$1&gt;$AC36,IF('Véhicules MAJ 20012022'!AF$1-'Véhicules MAJ 20012022'!$AC36=1,$AD36*VLOOKUP(LEFT($A36,3),Feuil2!$A:$D,3,0),$AD36*VLOOKUP(LEFT($A36,3),Feuil2!$A:$D,4)),0))</f>
        <v>303.03000000000003</v>
      </c>
      <c r="AG36" s="118">
        <f>IF(AG$1&lt;$AC36,0,IF(AG$1&gt;$AC36,IF('Véhicules MAJ 20012022'!AG$1-'Véhicules MAJ 20012022'!$AC36=1,$AD36*VLOOKUP(LEFT($A36,3),Feuil2!$A:$D,3,0),$AD36*VLOOKUP(LEFT($A36,3),Feuil2!$A:$D,4)),0))</f>
        <v>303.03000000000003</v>
      </c>
      <c r="AH36" s="118">
        <f>IF(AH$1&lt;$AC36,0,IF(AH$1&gt;$AC36,IF('Véhicules MAJ 20012022'!AH$1-'Véhicules MAJ 20012022'!$AC36=1,$AD36*VLOOKUP(LEFT($A36,3),Feuil2!$A:$D,3,0),$AD36*VLOOKUP(LEFT($A36,3),Feuil2!$A:$D,4)),0))</f>
        <v>303.03000000000003</v>
      </c>
      <c r="AI36" s="118">
        <f>IF(AI$1&lt;$AC36,0,IF(AI$1&gt;$AC36,IF('Véhicules MAJ 20012022'!AI$1-'Véhicules MAJ 20012022'!$AC36=1,$AD36*VLOOKUP(LEFT($A36,3),Feuil2!$A:$D,3,0),$AD36*VLOOKUP(LEFT($A36,3),Feuil2!$A:$D,4)),0))</f>
        <v>303.03000000000003</v>
      </c>
      <c r="AJ36" s="118">
        <f>IF(AJ$1&lt;$AC36,0,IF(AJ$1&gt;$AC36,IF('Véhicules MAJ 20012022'!AJ$1-'Véhicules MAJ 20012022'!$AC36=1,$AD36*VLOOKUP(LEFT($A36,3),Feuil2!$A:$D,3,0),$AD36*VLOOKUP(LEFT($A36,3),Feuil2!$A:$D,4)),0))</f>
        <v>303.03000000000003</v>
      </c>
      <c r="AK36" s="118">
        <f>IF(AK$1&lt;$AC36,0,IF(AK$1&gt;$AC36,IF('Véhicules MAJ 20012022'!AK$1-'Véhicules MAJ 20012022'!$AC36=1,$AD36*VLOOKUP(LEFT($A36,3),Feuil2!$A:$D,3,0),$AD36*VLOOKUP(LEFT($A36,3),Feuil2!$A:$D,4)),0))</f>
        <v>303.03000000000003</v>
      </c>
      <c r="AL36" s="118">
        <f>IF(AL$1&lt;$AC36,0,IF(AL$1&gt;$AC36,IF('Véhicules MAJ 20012022'!AL$1-'Véhicules MAJ 20012022'!$AC36=1,$AD36*VLOOKUP(LEFT($A36,3),Feuil2!$A:$D,3,0),$AD36*VLOOKUP(LEFT($A36,3),Feuil2!$A:$D,4)),0))</f>
        <v>303.03000000000003</v>
      </c>
      <c r="AM36" s="118">
        <f>IF(AM$1&lt;$AC36,0,IF(AM$1&gt;$AC36,IF('Véhicules MAJ 20012022'!AM$1-'Véhicules MAJ 20012022'!$AC36=1,$AD36*VLOOKUP(LEFT($A36,3),Feuil2!$A:$D,3,0),$AD36*VLOOKUP(LEFT($A36,3),Feuil2!$A:$D,4)),0))</f>
        <v>303.03000000000003</v>
      </c>
      <c r="AN36" s="118">
        <f>IF(AN$1&lt;$AC36,0,IF(AN$1&gt;$AC36,IF('Véhicules MAJ 20012022'!AN$1-'Véhicules MAJ 20012022'!$AC36=1,$AD36*VLOOKUP(LEFT($A36,3),Feuil2!$A:$D,3,0),$AD36*VLOOKUP(LEFT($A36,3),Feuil2!$A:$D,4)),0))</f>
        <v>303.03000000000003</v>
      </c>
      <c r="AO36" s="118">
        <f>IF(AO$1&lt;$AC36,0,IF(AO$1&gt;$AC36,IF('Véhicules MAJ 20012022'!AO$1-'Véhicules MAJ 20012022'!$AC36=1,$AD36*VLOOKUP(LEFT($A36,3),Feuil2!$A:$D,3,0),$AD36*VLOOKUP(LEFT($A36,3),Feuil2!$A:$D,4)),0))</f>
        <v>303.03000000000003</v>
      </c>
      <c r="AP36" s="118">
        <f>IF(AP$1&lt;$AC36,0,IF(AP$1&gt;$AC36,IF('Véhicules MAJ 20012022'!AP$1-'Véhicules MAJ 20012022'!$AC36=1,$AD36*VLOOKUP(LEFT($A36,3),Feuil2!$A:$D,3,0),$AD36*VLOOKUP(LEFT($A36,3),Feuil2!$A:$D,4)),0))</f>
        <v>0</v>
      </c>
    </row>
    <row r="37" spans="1:42" x14ac:dyDescent="0.25">
      <c r="A37" s="5" t="s">
        <v>16</v>
      </c>
      <c r="D37" s="5" t="s">
        <v>110</v>
      </c>
      <c r="E37" s="5" t="s">
        <v>43</v>
      </c>
      <c r="F37" s="5" t="s">
        <v>42</v>
      </c>
      <c r="G37" s="5" t="s">
        <v>156</v>
      </c>
      <c r="J37" s="9"/>
      <c r="K37" s="9"/>
      <c r="N37" s="12"/>
      <c r="R37" s="9"/>
      <c r="S37" s="9"/>
      <c r="T37" s="9">
        <v>80</v>
      </c>
      <c r="U37" s="5" t="s">
        <v>72</v>
      </c>
      <c r="V37" s="5" t="str">
        <f t="shared" si="0"/>
        <v>REM</v>
      </c>
      <c r="W37" s="5" cm="1">
        <f t="array" ref="W37">_xlfn.IFS(LEFT(A37)="B",1,LEFT(A37)="R",2,LEFT(A37)="T",2,LEFT(A37)="V",2,LEFT(A37)="","")</f>
        <v>2</v>
      </c>
      <c r="X37" s="5">
        <v>5</v>
      </c>
      <c r="AA37" s="5">
        <f t="shared" si="1"/>
        <v>0</v>
      </c>
      <c r="AB37" s="5">
        <f t="shared" si="2"/>
        <v>1900</v>
      </c>
      <c r="AC37" s="98">
        <f t="shared" si="4"/>
        <v>1900</v>
      </c>
      <c r="AD37" s="115"/>
      <c r="AE37" s="118">
        <f>IF(AE$1&lt;$AC37,0,IF(AE$1&gt;$AC37,IF('Véhicules MAJ 20012022'!AE$1-'Véhicules MAJ 20012022'!$AC37=1,$AD37*VLOOKUP(LEFT($A37,3),Feuil2!$A:$D,3,0),$AD37*VLOOKUP(LEFT($A37,3),Feuil2!$A:$D,4)),0))</f>
        <v>0</v>
      </c>
      <c r="AF37" s="118">
        <f>IF(AF$1&lt;$AC37,0,IF(AF$1&gt;$AC37,IF('Véhicules MAJ 20012022'!AF$1-'Véhicules MAJ 20012022'!$AC37=1,$AD37*VLOOKUP(LEFT($A37,3),Feuil2!$A:$D,3,0),$AD37*VLOOKUP(LEFT($A37,3),Feuil2!$A:$D,4)),0))</f>
        <v>0</v>
      </c>
      <c r="AG37" s="118">
        <f>IF(AG$1&lt;$AC37,0,IF(AG$1&gt;$AC37,IF('Véhicules MAJ 20012022'!AG$1-'Véhicules MAJ 20012022'!$AC37=1,$AD37*VLOOKUP(LEFT($A37,3),Feuil2!$A:$D,3,0),$AD37*VLOOKUP(LEFT($A37,3),Feuil2!$A:$D,4)),0))</f>
        <v>0</v>
      </c>
      <c r="AH37" s="118">
        <f>IF(AH$1&lt;$AC37,0,IF(AH$1&gt;$AC37,IF('Véhicules MAJ 20012022'!AH$1-'Véhicules MAJ 20012022'!$AC37=1,$AD37*VLOOKUP(LEFT($A37,3),Feuil2!$A:$D,3,0),$AD37*VLOOKUP(LEFT($A37,3),Feuil2!$A:$D,4)),0))</f>
        <v>0</v>
      </c>
      <c r="AI37" s="118">
        <f>IF(AI$1&lt;$AC37,0,IF(AI$1&gt;$AC37,IF('Véhicules MAJ 20012022'!AI$1-'Véhicules MAJ 20012022'!$AC37=1,$AD37*VLOOKUP(LEFT($A37,3),Feuil2!$A:$D,3,0),$AD37*VLOOKUP(LEFT($A37,3),Feuil2!$A:$D,4)),0))</f>
        <v>0</v>
      </c>
      <c r="AJ37" s="118">
        <f>IF(AJ$1&lt;$AC37,0,IF(AJ$1&gt;$AC37,IF('Véhicules MAJ 20012022'!AJ$1-'Véhicules MAJ 20012022'!$AC37=1,$AD37*VLOOKUP(LEFT($A37,3),Feuil2!$A:$D,3,0),$AD37*VLOOKUP(LEFT($A37,3),Feuil2!$A:$D,4)),0))</f>
        <v>0</v>
      </c>
      <c r="AK37" s="118">
        <f>IF(AK$1&lt;$AC37,0,IF(AK$1&gt;$AC37,IF('Véhicules MAJ 20012022'!AK$1-'Véhicules MAJ 20012022'!$AC37=1,$AD37*VLOOKUP(LEFT($A37,3),Feuil2!$A:$D,3,0),$AD37*VLOOKUP(LEFT($A37,3),Feuil2!$A:$D,4)),0))</f>
        <v>0</v>
      </c>
      <c r="AL37" s="118">
        <f>IF(AL$1&lt;$AC37,0,IF(AL$1&gt;$AC37,IF('Véhicules MAJ 20012022'!AL$1-'Véhicules MAJ 20012022'!$AC37=1,$AD37*VLOOKUP(LEFT($A37,3),Feuil2!$A:$D,3,0),$AD37*VLOOKUP(LEFT($A37,3),Feuil2!$A:$D,4)),0))</f>
        <v>0</v>
      </c>
      <c r="AM37" s="118">
        <f>IF(AM$1&lt;$AC37,0,IF(AM$1&gt;$AC37,IF('Véhicules MAJ 20012022'!AM$1-'Véhicules MAJ 20012022'!$AC37=1,$AD37*VLOOKUP(LEFT($A37,3),Feuil2!$A:$D,3,0),$AD37*VLOOKUP(LEFT($A37,3),Feuil2!$A:$D,4)),0))</f>
        <v>0</v>
      </c>
      <c r="AN37" s="118">
        <f>IF(AN$1&lt;$AC37,0,IF(AN$1&gt;$AC37,IF('Véhicules MAJ 20012022'!AN$1-'Véhicules MAJ 20012022'!$AC37=1,$AD37*VLOOKUP(LEFT($A37,3),Feuil2!$A:$D,3,0),$AD37*VLOOKUP(LEFT($A37,3),Feuil2!$A:$D,4)),0))</f>
        <v>0</v>
      </c>
      <c r="AO37" s="118">
        <f>IF(AO$1&lt;$AC37,0,IF(AO$1&gt;$AC37,IF('Véhicules MAJ 20012022'!AO$1-'Véhicules MAJ 20012022'!$AC37=1,$AD37*VLOOKUP(LEFT($A37,3),Feuil2!$A:$D,3,0),$AD37*VLOOKUP(LEFT($A37,3),Feuil2!$A:$D,4)),0))</f>
        <v>0</v>
      </c>
      <c r="AP37" s="118">
        <f>IF(AP$1&lt;$AC37,0,IF(AP$1&gt;$AC37,IF('Véhicules MAJ 20012022'!AP$1-'Véhicules MAJ 20012022'!$AC37=1,$AD37*VLOOKUP(LEFT($A37,3),Feuil2!$A:$D,3,0),$AD37*VLOOKUP(LEFT($A37,3),Feuil2!$A:$D,4)),0))</f>
        <v>0</v>
      </c>
    </row>
    <row r="38" spans="1:42" x14ac:dyDescent="0.25">
      <c r="A38" s="7" t="s">
        <v>121</v>
      </c>
      <c r="D38" s="5" t="s">
        <v>110</v>
      </c>
      <c r="E38" s="5" t="s">
        <v>43</v>
      </c>
      <c r="F38" s="5" t="s">
        <v>40</v>
      </c>
      <c r="G38" s="5" t="s">
        <v>49</v>
      </c>
      <c r="J38" s="9">
        <v>2426</v>
      </c>
      <c r="K38" s="9"/>
      <c r="L38" s="5">
        <v>24</v>
      </c>
      <c r="N38" s="12"/>
      <c r="R38" s="9"/>
      <c r="S38" s="9"/>
      <c r="T38" s="9">
        <v>80</v>
      </c>
      <c r="V38" s="5" t="str">
        <f t="shared" si="0"/>
        <v>REM</v>
      </c>
      <c r="W38" s="5" cm="1">
        <f t="array" ref="W38">_xlfn.IFS(LEFT(A38)="B",1,LEFT(A38)="R",2,LEFT(A38)="T",2,LEFT(A38)="V",2,LEFT(A38)="","")</f>
        <v>2</v>
      </c>
      <c r="X38" s="5">
        <v>10</v>
      </c>
      <c r="Z38" s="5">
        <v>10</v>
      </c>
      <c r="AA38" s="5">
        <f t="shared" si="1"/>
        <v>120</v>
      </c>
      <c r="AB38" s="5">
        <f t="shared" si="2"/>
        <v>1900</v>
      </c>
      <c r="AC38" s="98">
        <f t="shared" si="4"/>
        <v>1910</v>
      </c>
      <c r="AD38" s="115">
        <v>2426</v>
      </c>
      <c r="AE38" s="118">
        <f>IF(AE$1&lt;$AC38,0,IF(AE$1&gt;$AC38,IF('Véhicules MAJ 20012022'!AE$1-'Véhicules MAJ 20012022'!$AC38=1,$AD38*VLOOKUP(LEFT($A38,3),Feuil2!$A:$D,3,0),$AD38*VLOOKUP(LEFT($A38,3),Feuil2!$A:$D,4)),0))</f>
        <v>169.82000000000002</v>
      </c>
      <c r="AF38" s="118">
        <f>IF(AF$1&lt;$AC38,0,IF(AF$1&gt;$AC38,IF('Véhicules MAJ 20012022'!AF$1-'Véhicules MAJ 20012022'!$AC38=1,$AD38*VLOOKUP(LEFT($A38,3),Feuil2!$A:$D,3,0),$AD38*VLOOKUP(LEFT($A38,3),Feuil2!$A:$D,4)),0))</f>
        <v>169.82000000000002</v>
      </c>
      <c r="AG38" s="118">
        <f>IF(AG$1&lt;$AC38,0,IF(AG$1&gt;$AC38,IF('Véhicules MAJ 20012022'!AG$1-'Véhicules MAJ 20012022'!$AC38=1,$AD38*VLOOKUP(LEFT($A38,3),Feuil2!$A:$D,3,0),$AD38*VLOOKUP(LEFT($A38,3),Feuil2!$A:$D,4)),0))</f>
        <v>169.82000000000002</v>
      </c>
      <c r="AH38" s="118">
        <f>IF(AH$1&lt;$AC38,0,IF(AH$1&gt;$AC38,IF('Véhicules MAJ 20012022'!AH$1-'Véhicules MAJ 20012022'!$AC38=1,$AD38*VLOOKUP(LEFT($A38,3),Feuil2!$A:$D,3,0),$AD38*VLOOKUP(LEFT($A38,3),Feuil2!$A:$D,4)),0))</f>
        <v>169.82000000000002</v>
      </c>
      <c r="AI38" s="118">
        <f>IF(AI$1&lt;$AC38,0,IF(AI$1&gt;$AC38,IF('Véhicules MAJ 20012022'!AI$1-'Véhicules MAJ 20012022'!$AC38=1,$AD38*VLOOKUP(LEFT($A38,3),Feuil2!$A:$D,3,0),$AD38*VLOOKUP(LEFT($A38,3),Feuil2!$A:$D,4)),0))</f>
        <v>169.82000000000002</v>
      </c>
      <c r="AJ38" s="118">
        <f>IF(AJ$1&lt;$AC38,0,IF(AJ$1&gt;$AC38,IF('Véhicules MAJ 20012022'!AJ$1-'Véhicules MAJ 20012022'!$AC38=1,$AD38*VLOOKUP(LEFT($A38,3),Feuil2!$A:$D,3,0),$AD38*VLOOKUP(LEFT($A38,3),Feuil2!$A:$D,4)),0))</f>
        <v>169.82000000000002</v>
      </c>
      <c r="AK38" s="118">
        <f>IF(AK$1&lt;$AC38,0,IF(AK$1&gt;$AC38,IF('Véhicules MAJ 20012022'!AK$1-'Véhicules MAJ 20012022'!$AC38=1,$AD38*VLOOKUP(LEFT($A38,3),Feuil2!$A:$D,3,0),$AD38*VLOOKUP(LEFT($A38,3),Feuil2!$A:$D,4)),0))</f>
        <v>169.82000000000002</v>
      </c>
      <c r="AL38" s="118">
        <f>IF(AL$1&lt;$AC38,0,IF(AL$1&gt;$AC38,IF('Véhicules MAJ 20012022'!AL$1-'Véhicules MAJ 20012022'!$AC38=1,$AD38*VLOOKUP(LEFT($A38,3),Feuil2!$A:$D,3,0),$AD38*VLOOKUP(LEFT($A38,3),Feuil2!$A:$D,4)),0))</f>
        <v>169.82000000000002</v>
      </c>
      <c r="AM38" s="118">
        <f>IF(AM$1&lt;$AC38,0,IF(AM$1&gt;$AC38,IF('Véhicules MAJ 20012022'!AM$1-'Véhicules MAJ 20012022'!$AC38=1,$AD38*VLOOKUP(LEFT($A38,3),Feuil2!$A:$D,3,0),$AD38*VLOOKUP(LEFT($A38,3),Feuil2!$A:$D,4)),0))</f>
        <v>169.82000000000002</v>
      </c>
      <c r="AN38" s="118">
        <f>IF(AN$1&lt;$AC38,0,IF(AN$1&gt;$AC38,IF('Véhicules MAJ 20012022'!AN$1-'Véhicules MAJ 20012022'!$AC38=1,$AD38*VLOOKUP(LEFT($A38,3),Feuil2!$A:$D,3,0),$AD38*VLOOKUP(LEFT($A38,3),Feuil2!$A:$D,4)),0))</f>
        <v>169.82000000000002</v>
      </c>
      <c r="AO38" s="118">
        <f>IF(AO$1&lt;$AC38,0,IF(AO$1&gt;$AC38,IF('Véhicules MAJ 20012022'!AO$1-'Véhicules MAJ 20012022'!$AC38=1,$AD38*VLOOKUP(LEFT($A38,3),Feuil2!$A:$D,3,0),$AD38*VLOOKUP(LEFT($A38,3),Feuil2!$A:$D,4)),0))</f>
        <v>169.82000000000002</v>
      </c>
      <c r="AP38" s="118">
        <f>IF(AP$1&lt;$AC38,0,IF(AP$1&gt;$AC38,IF('Véhicules MAJ 20012022'!AP$1-'Véhicules MAJ 20012022'!$AC38=1,$AD38*VLOOKUP(LEFT($A38,3),Feuil2!$A:$D,3,0),$AD38*VLOOKUP(LEFT($A38,3),Feuil2!$A:$D,4)),0))</f>
        <v>0</v>
      </c>
    </row>
    <row r="39" spans="1:42" x14ac:dyDescent="0.25">
      <c r="A39" s="7" t="s">
        <v>122</v>
      </c>
      <c r="D39" s="5" t="s">
        <v>110</v>
      </c>
      <c r="E39" s="5" t="s">
        <v>43</v>
      </c>
      <c r="F39" s="5" t="s">
        <v>40</v>
      </c>
      <c r="G39" s="5" t="s">
        <v>52</v>
      </c>
      <c r="J39" s="9">
        <v>2400</v>
      </c>
      <c r="K39" s="9"/>
      <c r="L39" s="5">
        <v>12</v>
      </c>
      <c r="N39" s="12"/>
      <c r="R39" s="9"/>
      <c r="S39" s="9"/>
      <c r="T39" s="9">
        <v>80</v>
      </c>
      <c r="V39" s="5" t="str">
        <f t="shared" si="0"/>
        <v>REM</v>
      </c>
      <c r="W39" s="5" cm="1">
        <f t="array" ref="W39">_xlfn.IFS(LEFT(A39)="B",1,LEFT(A39)="R",2,LEFT(A39)="T",2,LEFT(A39)="V",2,LEFT(A39)="","")</f>
        <v>2</v>
      </c>
      <c r="X39" s="5">
        <v>5</v>
      </c>
      <c r="Z39" s="5">
        <v>5</v>
      </c>
      <c r="AA39" s="5">
        <f t="shared" si="1"/>
        <v>60</v>
      </c>
      <c r="AB39" s="5">
        <f t="shared" si="2"/>
        <v>1900</v>
      </c>
      <c r="AC39" s="98">
        <f t="shared" si="4"/>
        <v>1905</v>
      </c>
      <c r="AD39" s="115">
        <v>2400</v>
      </c>
      <c r="AE39" s="118">
        <f>IF(AE$1&lt;$AC39,0,IF(AE$1&gt;$AC39,IF('Véhicules MAJ 20012022'!AE$1-'Véhicules MAJ 20012022'!$AC39=1,$AD39*VLOOKUP(LEFT($A39,3),Feuil2!$A:$D,3,0),$AD39*VLOOKUP(LEFT($A39,3),Feuil2!$A:$D,4)),0))</f>
        <v>168.00000000000003</v>
      </c>
      <c r="AF39" s="118">
        <f>IF(AF$1&lt;$AC39,0,IF(AF$1&gt;$AC39,IF('Véhicules MAJ 20012022'!AF$1-'Véhicules MAJ 20012022'!$AC39=1,$AD39*VLOOKUP(LEFT($A39,3),Feuil2!$A:$D,3,0),$AD39*VLOOKUP(LEFT($A39,3),Feuil2!$A:$D,4)),0))</f>
        <v>168.00000000000003</v>
      </c>
      <c r="AG39" s="118">
        <f>IF(AG$1&lt;$AC39,0,IF(AG$1&gt;$AC39,IF('Véhicules MAJ 20012022'!AG$1-'Véhicules MAJ 20012022'!$AC39=1,$AD39*VLOOKUP(LEFT($A39,3),Feuil2!$A:$D,3,0),$AD39*VLOOKUP(LEFT($A39,3),Feuil2!$A:$D,4)),0))</f>
        <v>168.00000000000003</v>
      </c>
      <c r="AH39" s="118">
        <f>IF(AH$1&lt;$AC39,0,IF(AH$1&gt;$AC39,IF('Véhicules MAJ 20012022'!AH$1-'Véhicules MAJ 20012022'!$AC39=1,$AD39*VLOOKUP(LEFT($A39,3),Feuil2!$A:$D,3,0),$AD39*VLOOKUP(LEFT($A39,3),Feuil2!$A:$D,4)),0))</f>
        <v>168.00000000000003</v>
      </c>
      <c r="AI39" s="118">
        <f>IF(AI$1&lt;$AC39,0,IF(AI$1&gt;$AC39,IF('Véhicules MAJ 20012022'!AI$1-'Véhicules MAJ 20012022'!$AC39=1,$AD39*VLOOKUP(LEFT($A39,3),Feuil2!$A:$D,3,0),$AD39*VLOOKUP(LEFT($A39,3),Feuil2!$A:$D,4)),0))</f>
        <v>168.00000000000003</v>
      </c>
      <c r="AJ39" s="118">
        <f>IF(AJ$1&lt;$AC39,0,IF(AJ$1&gt;$AC39,IF('Véhicules MAJ 20012022'!AJ$1-'Véhicules MAJ 20012022'!$AC39=1,$AD39*VLOOKUP(LEFT($A39,3),Feuil2!$A:$D,3,0),$AD39*VLOOKUP(LEFT($A39,3),Feuil2!$A:$D,4)),0))</f>
        <v>168.00000000000003</v>
      </c>
      <c r="AK39" s="118">
        <f>IF(AK$1&lt;$AC39,0,IF(AK$1&gt;$AC39,IF('Véhicules MAJ 20012022'!AK$1-'Véhicules MAJ 20012022'!$AC39=1,$AD39*VLOOKUP(LEFT($A39,3),Feuil2!$A:$D,3,0),$AD39*VLOOKUP(LEFT($A39,3),Feuil2!$A:$D,4)),0))</f>
        <v>168.00000000000003</v>
      </c>
      <c r="AL39" s="118">
        <f>IF(AL$1&lt;$AC39,0,IF(AL$1&gt;$AC39,IF('Véhicules MAJ 20012022'!AL$1-'Véhicules MAJ 20012022'!$AC39=1,$AD39*VLOOKUP(LEFT($A39,3),Feuil2!$A:$D,3,0),$AD39*VLOOKUP(LEFT($A39,3),Feuil2!$A:$D,4)),0))</f>
        <v>168.00000000000003</v>
      </c>
      <c r="AM39" s="118">
        <f>IF(AM$1&lt;$AC39,0,IF(AM$1&gt;$AC39,IF('Véhicules MAJ 20012022'!AM$1-'Véhicules MAJ 20012022'!$AC39=1,$AD39*VLOOKUP(LEFT($A39,3),Feuil2!$A:$D,3,0),$AD39*VLOOKUP(LEFT($A39,3),Feuil2!$A:$D,4)),0))</f>
        <v>168.00000000000003</v>
      </c>
      <c r="AN39" s="118">
        <f>IF(AN$1&lt;$AC39,0,IF(AN$1&gt;$AC39,IF('Véhicules MAJ 20012022'!AN$1-'Véhicules MAJ 20012022'!$AC39=1,$AD39*VLOOKUP(LEFT($A39,3),Feuil2!$A:$D,3,0),$AD39*VLOOKUP(LEFT($A39,3),Feuil2!$A:$D,4)),0))</f>
        <v>168.00000000000003</v>
      </c>
      <c r="AO39" s="118">
        <f>IF(AO$1&lt;$AC39,0,IF(AO$1&gt;$AC39,IF('Véhicules MAJ 20012022'!AO$1-'Véhicules MAJ 20012022'!$AC39=1,$AD39*VLOOKUP(LEFT($A39,3),Feuil2!$A:$D,3,0),$AD39*VLOOKUP(LEFT($A39,3),Feuil2!$A:$D,4)),0))</f>
        <v>168.00000000000003</v>
      </c>
      <c r="AP39" s="118">
        <f>IF(AP$1&lt;$AC39,0,IF(AP$1&gt;$AC39,IF('Véhicules MAJ 20012022'!AP$1-'Véhicules MAJ 20012022'!$AC39=1,$AD39*VLOOKUP(LEFT($A39,3),Feuil2!$A:$D,3,0),$AD39*VLOOKUP(LEFT($A39,3),Feuil2!$A:$D,4)),0))</f>
        <v>0</v>
      </c>
    </row>
    <row r="40" spans="1:42" x14ac:dyDescent="0.25">
      <c r="A40" s="7" t="s">
        <v>123</v>
      </c>
      <c r="D40" s="5" t="s">
        <v>110</v>
      </c>
      <c r="E40" s="5" t="s">
        <v>43</v>
      </c>
      <c r="F40" s="5" t="s">
        <v>37</v>
      </c>
      <c r="G40" s="5" t="s">
        <v>48</v>
      </c>
      <c r="J40" s="9">
        <v>875</v>
      </c>
      <c r="K40" s="9"/>
      <c r="L40" s="5">
        <v>12</v>
      </c>
      <c r="N40" s="12"/>
      <c r="R40" s="9"/>
      <c r="S40" s="9"/>
      <c r="T40" s="9">
        <v>80</v>
      </c>
      <c r="V40" s="5" t="str">
        <f t="shared" si="0"/>
        <v>REM</v>
      </c>
      <c r="W40" s="5" cm="1">
        <f t="array" ref="W40">_xlfn.IFS(LEFT(A40)="B",1,LEFT(A40)="R",2,LEFT(A40)="T",2,LEFT(A40)="V",2,LEFT(A40)="","")</f>
        <v>2</v>
      </c>
      <c r="X40" s="5">
        <v>5</v>
      </c>
      <c r="Z40" s="5">
        <v>3</v>
      </c>
      <c r="AA40" s="5">
        <f t="shared" si="1"/>
        <v>36</v>
      </c>
      <c r="AB40" s="5">
        <f t="shared" si="2"/>
        <v>1900</v>
      </c>
      <c r="AC40" s="98">
        <f t="shared" si="4"/>
        <v>1903</v>
      </c>
      <c r="AD40" s="115">
        <v>875</v>
      </c>
      <c r="AE40" s="118">
        <f>IF(AE$1&lt;$AC40,0,IF(AE$1&gt;$AC40,IF('Véhicules MAJ 20012022'!AE$1-'Véhicules MAJ 20012022'!$AC40=1,$AD40*VLOOKUP(LEFT($A40,3),Feuil2!$A:$D,3,0),$AD40*VLOOKUP(LEFT($A40,3),Feuil2!$A:$D,4)),0))</f>
        <v>61.250000000000007</v>
      </c>
      <c r="AF40" s="118">
        <f>IF(AF$1&lt;$AC40,0,IF(AF$1&gt;$AC40,IF('Véhicules MAJ 20012022'!AF$1-'Véhicules MAJ 20012022'!$AC40=1,$AD40*VLOOKUP(LEFT($A40,3),Feuil2!$A:$D,3,0),$AD40*VLOOKUP(LEFT($A40,3),Feuil2!$A:$D,4)),0))</f>
        <v>61.250000000000007</v>
      </c>
      <c r="AG40" s="118">
        <f>IF(AG$1&lt;$AC40,0,IF(AG$1&gt;$AC40,IF('Véhicules MAJ 20012022'!AG$1-'Véhicules MAJ 20012022'!$AC40=1,$AD40*VLOOKUP(LEFT($A40,3),Feuil2!$A:$D,3,0),$AD40*VLOOKUP(LEFT($A40,3),Feuil2!$A:$D,4)),0))</f>
        <v>61.250000000000007</v>
      </c>
      <c r="AH40" s="118">
        <f>IF(AH$1&lt;$AC40,0,IF(AH$1&gt;$AC40,IF('Véhicules MAJ 20012022'!AH$1-'Véhicules MAJ 20012022'!$AC40=1,$AD40*VLOOKUP(LEFT($A40,3),Feuil2!$A:$D,3,0),$AD40*VLOOKUP(LEFT($A40,3),Feuil2!$A:$D,4)),0))</f>
        <v>61.250000000000007</v>
      </c>
      <c r="AI40" s="118">
        <f>IF(AI$1&lt;$AC40,0,IF(AI$1&gt;$AC40,IF('Véhicules MAJ 20012022'!AI$1-'Véhicules MAJ 20012022'!$AC40=1,$AD40*VLOOKUP(LEFT($A40,3),Feuil2!$A:$D,3,0),$AD40*VLOOKUP(LEFT($A40,3),Feuil2!$A:$D,4)),0))</f>
        <v>61.250000000000007</v>
      </c>
      <c r="AJ40" s="118">
        <f>IF(AJ$1&lt;$AC40,0,IF(AJ$1&gt;$AC40,IF('Véhicules MAJ 20012022'!AJ$1-'Véhicules MAJ 20012022'!$AC40=1,$AD40*VLOOKUP(LEFT($A40,3),Feuil2!$A:$D,3,0),$AD40*VLOOKUP(LEFT($A40,3),Feuil2!$A:$D,4)),0))</f>
        <v>61.250000000000007</v>
      </c>
      <c r="AK40" s="118">
        <f>IF(AK$1&lt;$AC40,0,IF(AK$1&gt;$AC40,IF('Véhicules MAJ 20012022'!AK$1-'Véhicules MAJ 20012022'!$AC40=1,$AD40*VLOOKUP(LEFT($A40,3),Feuil2!$A:$D,3,0),$AD40*VLOOKUP(LEFT($A40,3),Feuil2!$A:$D,4)),0))</f>
        <v>61.250000000000007</v>
      </c>
      <c r="AL40" s="118">
        <f>IF(AL$1&lt;$AC40,0,IF(AL$1&gt;$AC40,IF('Véhicules MAJ 20012022'!AL$1-'Véhicules MAJ 20012022'!$AC40=1,$AD40*VLOOKUP(LEFT($A40,3),Feuil2!$A:$D,3,0),$AD40*VLOOKUP(LEFT($A40,3),Feuil2!$A:$D,4)),0))</f>
        <v>61.250000000000007</v>
      </c>
      <c r="AM40" s="118">
        <f>IF(AM$1&lt;$AC40,0,IF(AM$1&gt;$AC40,IF('Véhicules MAJ 20012022'!AM$1-'Véhicules MAJ 20012022'!$AC40=1,$AD40*VLOOKUP(LEFT($A40,3),Feuil2!$A:$D,3,0),$AD40*VLOOKUP(LEFT($A40,3),Feuil2!$A:$D,4)),0))</f>
        <v>61.250000000000007</v>
      </c>
      <c r="AN40" s="118">
        <f>IF(AN$1&lt;$AC40,0,IF(AN$1&gt;$AC40,IF('Véhicules MAJ 20012022'!AN$1-'Véhicules MAJ 20012022'!$AC40=1,$AD40*VLOOKUP(LEFT($A40,3),Feuil2!$A:$D,3,0),$AD40*VLOOKUP(LEFT($A40,3),Feuil2!$A:$D,4)),0))</f>
        <v>61.250000000000007</v>
      </c>
      <c r="AO40" s="118">
        <f>IF(AO$1&lt;$AC40,0,IF(AO$1&gt;$AC40,IF('Véhicules MAJ 20012022'!AO$1-'Véhicules MAJ 20012022'!$AC40=1,$AD40*VLOOKUP(LEFT($A40,3),Feuil2!$A:$D,3,0),$AD40*VLOOKUP(LEFT($A40,3),Feuil2!$A:$D,4)),0))</f>
        <v>61.250000000000007</v>
      </c>
      <c r="AP40" s="118">
        <f>IF(AP$1&lt;$AC40,0,IF(AP$1&gt;$AC40,IF('Véhicules MAJ 20012022'!AP$1-'Véhicules MAJ 20012022'!$AC40=1,$AD40*VLOOKUP(LEFT($A40,3),Feuil2!$A:$D,3,0),$AD40*VLOOKUP(LEFT($A40,3),Feuil2!$A:$D,4)),0))</f>
        <v>0</v>
      </c>
    </row>
    <row r="41" spans="1:42" x14ac:dyDescent="0.25">
      <c r="A41" s="7" t="s">
        <v>124</v>
      </c>
      <c r="D41" s="5" t="s">
        <v>110</v>
      </c>
      <c r="E41" s="15" t="s">
        <v>45</v>
      </c>
      <c r="F41" s="15" t="s">
        <v>41</v>
      </c>
      <c r="G41" s="15" t="s">
        <v>50</v>
      </c>
      <c r="H41" s="15"/>
      <c r="I41" s="15"/>
      <c r="J41" s="16"/>
      <c r="K41" s="16"/>
      <c r="L41" s="15"/>
      <c r="M41" s="15"/>
      <c r="N41" s="17"/>
      <c r="O41" s="18"/>
      <c r="P41" s="18"/>
      <c r="Q41" s="18"/>
      <c r="R41" s="19"/>
      <c r="S41" s="19"/>
      <c r="T41" s="19">
        <v>80</v>
      </c>
      <c r="V41" s="5" t="str">
        <f t="shared" si="0"/>
        <v>REM</v>
      </c>
      <c r="W41" s="5" cm="1">
        <f t="array" ref="W41">_xlfn.IFS(LEFT(A41)="B",1,LEFT(A41)="R",2,LEFT(A41)="T",2,LEFT(A41)="V",2,LEFT(A41)="","")</f>
        <v>2</v>
      </c>
      <c r="X41" s="5">
        <v>5</v>
      </c>
      <c r="AD41" s="116"/>
      <c r="AE41" s="118">
        <f>IF(AE$1&lt;$AC41,0,IF(AE$1&gt;$AC41,IF('Véhicules MAJ 20012022'!AE$1-'Véhicules MAJ 20012022'!$AC41=1,$AD41*VLOOKUP(LEFT($A41,3),Feuil2!$A:$D,3,0),$AD41*VLOOKUP(LEFT($A41,3),Feuil2!$A:$D,4)),0))</f>
        <v>0</v>
      </c>
      <c r="AF41" s="118">
        <f>IF(AF$1&lt;$AC41,0,IF(AF$1&gt;$AC41,IF('Véhicules MAJ 20012022'!AF$1-'Véhicules MAJ 20012022'!$AC41=1,$AD41*VLOOKUP(LEFT($A41,3),Feuil2!$A:$D,3,0),$AD41*VLOOKUP(LEFT($A41,3),Feuil2!$A:$D,4)),0))</f>
        <v>0</v>
      </c>
      <c r="AG41" s="118">
        <f>IF(AG$1&lt;$AC41,0,IF(AG$1&gt;$AC41,IF('Véhicules MAJ 20012022'!AG$1-'Véhicules MAJ 20012022'!$AC41=1,$AD41*VLOOKUP(LEFT($A41,3),Feuil2!$A:$D,3,0),$AD41*VLOOKUP(LEFT($A41,3),Feuil2!$A:$D,4)),0))</f>
        <v>0</v>
      </c>
      <c r="AH41" s="118">
        <f>IF(AH$1&lt;$AC41,0,IF(AH$1&gt;$AC41,IF('Véhicules MAJ 20012022'!AH$1-'Véhicules MAJ 20012022'!$AC41=1,$AD41*VLOOKUP(LEFT($A41,3),Feuil2!$A:$D,3,0),$AD41*VLOOKUP(LEFT($A41,3),Feuil2!$A:$D,4)),0))</f>
        <v>0</v>
      </c>
      <c r="AI41" s="118">
        <f>IF(AI$1&lt;$AC41,0,IF(AI$1&gt;$AC41,IF('Véhicules MAJ 20012022'!AI$1-'Véhicules MAJ 20012022'!$AC41=1,$AD41*VLOOKUP(LEFT($A41,3),Feuil2!$A:$D,3,0),$AD41*VLOOKUP(LEFT($A41,3),Feuil2!$A:$D,4)),0))</f>
        <v>0</v>
      </c>
      <c r="AJ41" s="118">
        <f>IF(AJ$1&lt;$AC41,0,IF(AJ$1&gt;$AC41,IF('Véhicules MAJ 20012022'!AJ$1-'Véhicules MAJ 20012022'!$AC41=1,$AD41*VLOOKUP(LEFT($A41,3),Feuil2!$A:$D,3,0),$AD41*VLOOKUP(LEFT($A41,3),Feuil2!$A:$D,4)),0))</f>
        <v>0</v>
      </c>
      <c r="AK41" s="118">
        <f>IF(AK$1&lt;$AC41,0,IF(AK$1&gt;$AC41,IF('Véhicules MAJ 20012022'!AK$1-'Véhicules MAJ 20012022'!$AC41=1,$AD41*VLOOKUP(LEFT($A41,3),Feuil2!$A:$D,3,0),$AD41*VLOOKUP(LEFT($A41,3),Feuil2!$A:$D,4)),0))</f>
        <v>0</v>
      </c>
      <c r="AL41" s="118">
        <f>IF(AL$1&lt;$AC41,0,IF(AL$1&gt;$AC41,IF('Véhicules MAJ 20012022'!AL$1-'Véhicules MAJ 20012022'!$AC41=1,$AD41*VLOOKUP(LEFT($A41,3),Feuil2!$A:$D,3,0),$AD41*VLOOKUP(LEFT($A41,3),Feuil2!$A:$D,4)),0))</f>
        <v>0</v>
      </c>
      <c r="AM41" s="118">
        <f>IF(AM$1&lt;$AC41,0,IF(AM$1&gt;$AC41,IF('Véhicules MAJ 20012022'!AM$1-'Véhicules MAJ 20012022'!$AC41=1,$AD41*VLOOKUP(LEFT($A41,3),Feuil2!$A:$D,3,0),$AD41*VLOOKUP(LEFT($A41,3),Feuil2!$A:$D,4)),0))</f>
        <v>0</v>
      </c>
      <c r="AN41" s="118">
        <f>IF(AN$1&lt;$AC41,0,IF(AN$1&gt;$AC41,IF('Véhicules MAJ 20012022'!AN$1-'Véhicules MAJ 20012022'!$AC41=1,$AD41*VLOOKUP(LEFT($A41,3),Feuil2!$A:$D,3,0),$AD41*VLOOKUP(LEFT($A41,3),Feuil2!$A:$D,4)),0))</f>
        <v>0</v>
      </c>
      <c r="AO41" s="118">
        <f>IF(AO$1&lt;$AC41,0,IF(AO$1&gt;$AC41,IF('Véhicules MAJ 20012022'!AO$1-'Véhicules MAJ 20012022'!$AC41=1,$AD41*VLOOKUP(LEFT($A41,3),Feuil2!$A:$D,3,0),$AD41*VLOOKUP(LEFT($A41,3),Feuil2!$A:$D,4)),0))</f>
        <v>0</v>
      </c>
      <c r="AP41" s="118">
        <f>IF(AP$1&lt;$AC41,0,IF(AP$1&gt;$AC41,IF('Véhicules MAJ 20012022'!AP$1-'Véhicules MAJ 20012022'!$AC41=1,$AD41*VLOOKUP(LEFT($A41,3),Feuil2!$A:$D,3,0),$AD41*VLOOKUP(LEFT($A41,3),Feuil2!$A:$D,4)),0))</f>
        <v>0</v>
      </c>
    </row>
    <row r="42" spans="1:42" x14ac:dyDescent="0.25">
      <c r="A42" s="7" t="s">
        <v>126</v>
      </c>
      <c r="D42" s="5" t="s">
        <v>110</v>
      </c>
      <c r="E42" s="5" t="s">
        <v>45</v>
      </c>
      <c r="F42" s="5" t="s">
        <v>41</v>
      </c>
      <c r="G42" s="5" t="s">
        <v>51</v>
      </c>
      <c r="J42" s="9">
        <v>1158.33</v>
      </c>
      <c r="K42" s="9"/>
      <c r="L42" s="5">
        <v>24</v>
      </c>
      <c r="N42" s="12"/>
      <c r="R42" s="9"/>
      <c r="S42" s="9"/>
      <c r="T42" s="9">
        <v>80</v>
      </c>
      <c r="U42" s="5" t="s">
        <v>72</v>
      </c>
      <c r="V42" s="5" t="str">
        <f t="shared" si="0"/>
        <v>REM</v>
      </c>
      <c r="W42" s="5" cm="1">
        <f t="array" ref="W42">_xlfn.IFS(LEFT(A42)="B",1,LEFT(A42)="R",2,LEFT(A42)="T",2,LEFT(A42)="V",2,LEFT(A42)="","")</f>
        <v>2</v>
      </c>
      <c r="X42" s="5">
        <v>5</v>
      </c>
      <c r="Z42" s="5">
        <v>5</v>
      </c>
      <c r="AA42" s="5">
        <f t="shared" si="1"/>
        <v>60</v>
      </c>
      <c r="AB42" s="5">
        <f t="shared" si="2"/>
        <v>1900</v>
      </c>
      <c r="AC42" s="98">
        <f t="shared" si="4"/>
        <v>1905</v>
      </c>
      <c r="AD42" s="115">
        <v>1158.33</v>
      </c>
      <c r="AE42" s="118">
        <f>IF(AE$1&lt;$AC42,0,IF(AE$1&gt;$AC42,IF('Véhicules MAJ 20012022'!AE$1-'Véhicules MAJ 20012022'!$AC42=1,$AD42*VLOOKUP(LEFT($A42,3),Feuil2!$A:$D,3,0),$AD42*VLOOKUP(LEFT($A42,3),Feuil2!$A:$D,4)),0))</f>
        <v>81.083100000000002</v>
      </c>
      <c r="AF42" s="118">
        <f>IF(AF$1&lt;$AC42,0,IF(AF$1&gt;$AC42,IF('Véhicules MAJ 20012022'!AF$1-'Véhicules MAJ 20012022'!$AC42=1,$AD42*VLOOKUP(LEFT($A42,3),Feuil2!$A:$D,3,0),$AD42*VLOOKUP(LEFT($A42,3),Feuil2!$A:$D,4)),0))</f>
        <v>81.083100000000002</v>
      </c>
      <c r="AG42" s="118">
        <f>IF(AG$1&lt;$AC42,0,IF(AG$1&gt;$AC42,IF('Véhicules MAJ 20012022'!AG$1-'Véhicules MAJ 20012022'!$AC42=1,$AD42*VLOOKUP(LEFT($A42,3),Feuil2!$A:$D,3,0),$AD42*VLOOKUP(LEFT($A42,3),Feuil2!$A:$D,4)),0))</f>
        <v>81.083100000000002</v>
      </c>
      <c r="AH42" s="118">
        <f>IF(AH$1&lt;$AC42,0,IF(AH$1&gt;$AC42,IF('Véhicules MAJ 20012022'!AH$1-'Véhicules MAJ 20012022'!$AC42=1,$AD42*VLOOKUP(LEFT($A42,3),Feuil2!$A:$D,3,0),$AD42*VLOOKUP(LEFT($A42,3),Feuil2!$A:$D,4)),0))</f>
        <v>81.083100000000002</v>
      </c>
      <c r="AI42" s="118">
        <f>IF(AI$1&lt;$AC42,0,IF(AI$1&gt;$AC42,IF('Véhicules MAJ 20012022'!AI$1-'Véhicules MAJ 20012022'!$AC42=1,$AD42*VLOOKUP(LEFT($A42,3),Feuil2!$A:$D,3,0),$AD42*VLOOKUP(LEFT($A42,3),Feuil2!$A:$D,4)),0))</f>
        <v>81.083100000000002</v>
      </c>
      <c r="AJ42" s="118">
        <f>IF(AJ$1&lt;$AC42,0,IF(AJ$1&gt;$AC42,IF('Véhicules MAJ 20012022'!AJ$1-'Véhicules MAJ 20012022'!$AC42=1,$AD42*VLOOKUP(LEFT($A42,3),Feuil2!$A:$D,3,0),$AD42*VLOOKUP(LEFT($A42,3),Feuil2!$A:$D,4)),0))</f>
        <v>81.083100000000002</v>
      </c>
      <c r="AK42" s="118">
        <f>IF(AK$1&lt;$AC42,0,IF(AK$1&gt;$AC42,IF('Véhicules MAJ 20012022'!AK$1-'Véhicules MAJ 20012022'!$AC42=1,$AD42*VLOOKUP(LEFT($A42,3),Feuil2!$A:$D,3,0),$AD42*VLOOKUP(LEFT($A42,3),Feuil2!$A:$D,4)),0))</f>
        <v>81.083100000000002</v>
      </c>
      <c r="AL42" s="118">
        <f>IF(AL$1&lt;$AC42,0,IF(AL$1&gt;$AC42,IF('Véhicules MAJ 20012022'!AL$1-'Véhicules MAJ 20012022'!$AC42=1,$AD42*VLOOKUP(LEFT($A42,3),Feuil2!$A:$D,3,0),$AD42*VLOOKUP(LEFT($A42,3),Feuil2!$A:$D,4)),0))</f>
        <v>81.083100000000002</v>
      </c>
      <c r="AM42" s="118">
        <f>IF(AM$1&lt;$AC42,0,IF(AM$1&gt;$AC42,IF('Véhicules MAJ 20012022'!AM$1-'Véhicules MAJ 20012022'!$AC42=1,$AD42*VLOOKUP(LEFT($A42,3),Feuil2!$A:$D,3,0),$AD42*VLOOKUP(LEFT($A42,3),Feuil2!$A:$D,4)),0))</f>
        <v>81.083100000000002</v>
      </c>
      <c r="AN42" s="118">
        <f>IF(AN$1&lt;$AC42,0,IF(AN$1&gt;$AC42,IF('Véhicules MAJ 20012022'!AN$1-'Véhicules MAJ 20012022'!$AC42=1,$AD42*VLOOKUP(LEFT($A42,3),Feuil2!$A:$D,3,0),$AD42*VLOOKUP(LEFT($A42,3),Feuil2!$A:$D,4)),0))</f>
        <v>81.083100000000002</v>
      </c>
      <c r="AO42" s="118">
        <f>IF(AO$1&lt;$AC42,0,IF(AO$1&gt;$AC42,IF('Véhicules MAJ 20012022'!AO$1-'Véhicules MAJ 20012022'!$AC42=1,$AD42*VLOOKUP(LEFT($A42,3),Feuil2!$A:$D,3,0),$AD42*VLOOKUP(LEFT($A42,3),Feuil2!$A:$D,4)),0))</f>
        <v>81.083100000000002</v>
      </c>
      <c r="AP42" s="118">
        <f>IF(AP$1&lt;$AC42,0,IF(AP$1&gt;$AC42,IF('Véhicules MAJ 20012022'!AP$1-'Véhicules MAJ 20012022'!$AC42=1,$AD42*VLOOKUP(LEFT($A42,3),Feuil2!$A:$D,3,0),$AD42*VLOOKUP(LEFT($A42,3),Feuil2!$A:$D,4)),0))</f>
        <v>0</v>
      </c>
    </row>
    <row r="43" spans="1:42" x14ac:dyDescent="0.25">
      <c r="A43" s="7" t="s">
        <v>125</v>
      </c>
      <c r="D43" s="5" t="s">
        <v>110</v>
      </c>
      <c r="E43" s="5" t="s">
        <v>45</v>
      </c>
      <c r="F43" s="5" t="s">
        <v>41</v>
      </c>
      <c r="G43" s="5" t="s">
        <v>65</v>
      </c>
      <c r="J43" s="9">
        <v>1158.33</v>
      </c>
      <c r="K43" s="9"/>
      <c r="L43" s="5">
        <v>24</v>
      </c>
      <c r="N43" s="12"/>
      <c r="R43" s="9"/>
      <c r="S43" s="9"/>
      <c r="T43" s="9">
        <v>80</v>
      </c>
      <c r="U43" s="5" t="s">
        <v>72</v>
      </c>
      <c r="V43" s="5" t="str">
        <f t="shared" si="0"/>
        <v>REM</v>
      </c>
      <c r="W43" s="5" cm="1">
        <f t="array" ref="W43">_xlfn.IFS(LEFT(A43)="B",1,LEFT(A43)="R",2,LEFT(A43)="T",2,LEFT(A43)="V",2,LEFT(A43)="","")</f>
        <v>2</v>
      </c>
      <c r="X43" s="5">
        <v>5</v>
      </c>
      <c r="Z43" s="5">
        <v>5</v>
      </c>
      <c r="AA43" s="5">
        <f t="shared" si="1"/>
        <v>60</v>
      </c>
      <c r="AB43" s="5">
        <f t="shared" si="2"/>
        <v>1900</v>
      </c>
      <c r="AC43" s="98">
        <f t="shared" si="4"/>
        <v>1905</v>
      </c>
      <c r="AD43" s="115">
        <v>1158.33</v>
      </c>
      <c r="AE43" s="118">
        <f>IF(AE$1&lt;$AC43,0,IF(AE$1&gt;$AC43,IF('Véhicules MAJ 20012022'!AE$1-'Véhicules MAJ 20012022'!$AC43=1,$AD43*VLOOKUP(LEFT($A43,3),Feuil2!$A:$D,3,0),$AD43*VLOOKUP(LEFT($A43,3),Feuil2!$A:$D,4)),0))</f>
        <v>81.083100000000002</v>
      </c>
      <c r="AF43" s="118">
        <f>IF(AF$1&lt;$AC43,0,IF(AF$1&gt;$AC43,IF('Véhicules MAJ 20012022'!AF$1-'Véhicules MAJ 20012022'!$AC43=1,$AD43*VLOOKUP(LEFT($A43,3),Feuil2!$A:$D,3,0),$AD43*VLOOKUP(LEFT($A43,3),Feuil2!$A:$D,4)),0))</f>
        <v>81.083100000000002</v>
      </c>
      <c r="AG43" s="118">
        <f>IF(AG$1&lt;$AC43,0,IF(AG$1&gt;$AC43,IF('Véhicules MAJ 20012022'!AG$1-'Véhicules MAJ 20012022'!$AC43=1,$AD43*VLOOKUP(LEFT($A43,3),Feuil2!$A:$D,3,0),$AD43*VLOOKUP(LEFT($A43,3),Feuil2!$A:$D,4)),0))</f>
        <v>81.083100000000002</v>
      </c>
      <c r="AH43" s="118">
        <f>IF(AH$1&lt;$AC43,0,IF(AH$1&gt;$AC43,IF('Véhicules MAJ 20012022'!AH$1-'Véhicules MAJ 20012022'!$AC43=1,$AD43*VLOOKUP(LEFT($A43,3),Feuil2!$A:$D,3,0),$AD43*VLOOKUP(LEFT($A43,3),Feuil2!$A:$D,4)),0))</f>
        <v>81.083100000000002</v>
      </c>
      <c r="AI43" s="118">
        <f>IF(AI$1&lt;$AC43,0,IF(AI$1&gt;$AC43,IF('Véhicules MAJ 20012022'!AI$1-'Véhicules MAJ 20012022'!$AC43=1,$AD43*VLOOKUP(LEFT($A43,3),Feuil2!$A:$D,3,0),$AD43*VLOOKUP(LEFT($A43,3),Feuil2!$A:$D,4)),0))</f>
        <v>81.083100000000002</v>
      </c>
      <c r="AJ43" s="118">
        <f>IF(AJ$1&lt;$AC43,0,IF(AJ$1&gt;$AC43,IF('Véhicules MAJ 20012022'!AJ$1-'Véhicules MAJ 20012022'!$AC43=1,$AD43*VLOOKUP(LEFT($A43,3),Feuil2!$A:$D,3,0),$AD43*VLOOKUP(LEFT($A43,3),Feuil2!$A:$D,4)),0))</f>
        <v>81.083100000000002</v>
      </c>
      <c r="AK43" s="118">
        <f>IF(AK$1&lt;$AC43,0,IF(AK$1&gt;$AC43,IF('Véhicules MAJ 20012022'!AK$1-'Véhicules MAJ 20012022'!$AC43=1,$AD43*VLOOKUP(LEFT($A43,3),Feuil2!$A:$D,3,0),$AD43*VLOOKUP(LEFT($A43,3),Feuil2!$A:$D,4)),0))</f>
        <v>81.083100000000002</v>
      </c>
      <c r="AL43" s="118">
        <f>IF(AL$1&lt;$AC43,0,IF(AL$1&gt;$AC43,IF('Véhicules MAJ 20012022'!AL$1-'Véhicules MAJ 20012022'!$AC43=1,$AD43*VLOOKUP(LEFT($A43,3),Feuil2!$A:$D,3,0),$AD43*VLOOKUP(LEFT($A43,3),Feuil2!$A:$D,4)),0))</f>
        <v>81.083100000000002</v>
      </c>
      <c r="AM43" s="118">
        <f>IF(AM$1&lt;$AC43,0,IF(AM$1&gt;$AC43,IF('Véhicules MAJ 20012022'!AM$1-'Véhicules MAJ 20012022'!$AC43=1,$AD43*VLOOKUP(LEFT($A43,3),Feuil2!$A:$D,3,0),$AD43*VLOOKUP(LEFT($A43,3),Feuil2!$A:$D,4)),0))</f>
        <v>81.083100000000002</v>
      </c>
      <c r="AN43" s="118">
        <f>IF(AN$1&lt;$AC43,0,IF(AN$1&gt;$AC43,IF('Véhicules MAJ 20012022'!AN$1-'Véhicules MAJ 20012022'!$AC43=1,$AD43*VLOOKUP(LEFT($A43,3),Feuil2!$A:$D,3,0),$AD43*VLOOKUP(LEFT($A43,3),Feuil2!$A:$D,4)),0))</f>
        <v>81.083100000000002</v>
      </c>
      <c r="AO43" s="118">
        <f>IF(AO$1&lt;$AC43,0,IF(AO$1&gt;$AC43,IF('Véhicules MAJ 20012022'!AO$1-'Véhicules MAJ 20012022'!$AC43=1,$AD43*VLOOKUP(LEFT($A43,3),Feuil2!$A:$D,3,0),$AD43*VLOOKUP(LEFT($A43,3),Feuil2!$A:$D,4)),0))</f>
        <v>81.083100000000002</v>
      </c>
      <c r="AP43" s="118">
        <f>IF(AP$1&lt;$AC43,0,IF(AP$1&gt;$AC43,IF('Véhicules MAJ 20012022'!AP$1-'Véhicules MAJ 20012022'!$AC43=1,$AD43*VLOOKUP(LEFT($A43,3),Feuil2!$A:$D,3,0),$AD43*VLOOKUP(LEFT($A43,3),Feuil2!$A:$D,4)),0))</f>
        <v>0</v>
      </c>
    </row>
    <row r="44" spans="1:42" x14ac:dyDescent="0.25">
      <c r="A44" s="7" t="s">
        <v>127</v>
      </c>
      <c r="D44" s="5" t="s">
        <v>110</v>
      </c>
      <c r="E44" s="5" t="s">
        <v>64</v>
      </c>
      <c r="F44" s="5" t="s">
        <v>41</v>
      </c>
      <c r="G44" s="5" t="s">
        <v>66</v>
      </c>
      <c r="J44" s="9">
        <v>1525.01</v>
      </c>
      <c r="K44" s="9"/>
      <c r="L44" s="5">
        <v>24</v>
      </c>
      <c r="N44" s="12"/>
      <c r="R44" s="9"/>
      <c r="S44" s="9"/>
      <c r="T44" s="9">
        <v>80</v>
      </c>
      <c r="U44" s="5" t="s">
        <v>72</v>
      </c>
      <c r="V44" s="5" t="str">
        <f t="shared" si="0"/>
        <v>REM</v>
      </c>
      <c r="W44" s="5" cm="1">
        <f t="array" ref="W44">_xlfn.IFS(LEFT(A44)="B",1,LEFT(A44)="R",2,LEFT(A44)="T",2,LEFT(A44)="V",2,LEFT(A44)="","")</f>
        <v>2</v>
      </c>
      <c r="X44" s="5">
        <v>5</v>
      </c>
      <c r="Z44" s="5">
        <v>5</v>
      </c>
      <c r="AA44" s="5">
        <f t="shared" si="1"/>
        <v>60</v>
      </c>
      <c r="AB44" s="5">
        <f t="shared" si="2"/>
        <v>1900</v>
      </c>
      <c r="AC44" s="98">
        <f t="shared" si="4"/>
        <v>1905</v>
      </c>
      <c r="AD44" s="115">
        <v>1525.01</v>
      </c>
      <c r="AE44" s="118">
        <f>IF(AE$1&lt;$AC44,0,IF(AE$1&gt;$AC44,IF('Véhicules MAJ 20012022'!AE$1-'Véhicules MAJ 20012022'!$AC44=1,$AD44*VLOOKUP(LEFT($A44,3),Feuil2!$A:$D,3,0),$AD44*VLOOKUP(LEFT($A44,3),Feuil2!$A:$D,4)),0))</f>
        <v>106.75070000000001</v>
      </c>
      <c r="AF44" s="118">
        <f>IF(AF$1&lt;$AC44,0,IF(AF$1&gt;$AC44,IF('Véhicules MAJ 20012022'!AF$1-'Véhicules MAJ 20012022'!$AC44=1,$AD44*VLOOKUP(LEFT($A44,3),Feuil2!$A:$D,3,0),$AD44*VLOOKUP(LEFT($A44,3),Feuil2!$A:$D,4)),0))</f>
        <v>106.75070000000001</v>
      </c>
      <c r="AG44" s="118">
        <f>IF(AG$1&lt;$AC44,0,IF(AG$1&gt;$AC44,IF('Véhicules MAJ 20012022'!AG$1-'Véhicules MAJ 20012022'!$AC44=1,$AD44*VLOOKUP(LEFT($A44,3),Feuil2!$A:$D,3,0),$AD44*VLOOKUP(LEFT($A44,3),Feuil2!$A:$D,4)),0))</f>
        <v>106.75070000000001</v>
      </c>
      <c r="AH44" s="118">
        <f>IF(AH$1&lt;$AC44,0,IF(AH$1&gt;$AC44,IF('Véhicules MAJ 20012022'!AH$1-'Véhicules MAJ 20012022'!$AC44=1,$AD44*VLOOKUP(LEFT($A44,3),Feuil2!$A:$D,3,0),$AD44*VLOOKUP(LEFT($A44,3),Feuil2!$A:$D,4)),0))</f>
        <v>106.75070000000001</v>
      </c>
      <c r="AI44" s="118">
        <f>IF(AI$1&lt;$AC44,0,IF(AI$1&gt;$AC44,IF('Véhicules MAJ 20012022'!AI$1-'Véhicules MAJ 20012022'!$AC44=1,$AD44*VLOOKUP(LEFT($A44,3),Feuil2!$A:$D,3,0),$AD44*VLOOKUP(LEFT($A44,3),Feuil2!$A:$D,4)),0))</f>
        <v>106.75070000000001</v>
      </c>
      <c r="AJ44" s="118">
        <f>IF(AJ$1&lt;$AC44,0,IF(AJ$1&gt;$AC44,IF('Véhicules MAJ 20012022'!AJ$1-'Véhicules MAJ 20012022'!$AC44=1,$AD44*VLOOKUP(LEFT($A44,3),Feuil2!$A:$D,3,0),$AD44*VLOOKUP(LEFT($A44,3),Feuil2!$A:$D,4)),0))</f>
        <v>106.75070000000001</v>
      </c>
      <c r="AK44" s="118">
        <f>IF(AK$1&lt;$AC44,0,IF(AK$1&gt;$AC44,IF('Véhicules MAJ 20012022'!AK$1-'Véhicules MAJ 20012022'!$AC44=1,$AD44*VLOOKUP(LEFT($A44,3),Feuil2!$A:$D,3,0),$AD44*VLOOKUP(LEFT($A44,3),Feuil2!$A:$D,4)),0))</f>
        <v>106.75070000000001</v>
      </c>
      <c r="AL44" s="118">
        <f>IF(AL$1&lt;$AC44,0,IF(AL$1&gt;$AC44,IF('Véhicules MAJ 20012022'!AL$1-'Véhicules MAJ 20012022'!$AC44=1,$AD44*VLOOKUP(LEFT($A44,3),Feuil2!$A:$D,3,0),$AD44*VLOOKUP(LEFT($A44,3),Feuil2!$A:$D,4)),0))</f>
        <v>106.75070000000001</v>
      </c>
      <c r="AM44" s="118">
        <f>IF(AM$1&lt;$AC44,0,IF(AM$1&gt;$AC44,IF('Véhicules MAJ 20012022'!AM$1-'Véhicules MAJ 20012022'!$AC44=1,$AD44*VLOOKUP(LEFT($A44,3),Feuil2!$A:$D,3,0),$AD44*VLOOKUP(LEFT($A44,3),Feuil2!$A:$D,4)),0))</f>
        <v>106.75070000000001</v>
      </c>
      <c r="AN44" s="118">
        <f>IF(AN$1&lt;$AC44,0,IF(AN$1&gt;$AC44,IF('Véhicules MAJ 20012022'!AN$1-'Véhicules MAJ 20012022'!$AC44=1,$AD44*VLOOKUP(LEFT($A44,3),Feuil2!$A:$D,3,0),$AD44*VLOOKUP(LEFT($A44,3),Feuil2!$A:$D,4)),0))</f>
        <v>106.75070000000001</v>
      </c>
      <c r="AO44" s="118">
        <f>IF(AO$1&lt;$AC44,0,IF(AO$1&gt;$AC44,IF('Véhicules MAJ 20012022'!AO$1-'Véhicules MAJ 20012022'!$AC44=1,$AD44*VLOOKUP(LEFT($A44,3),Feuil2!$A:$D,3,0),$AD44*VLOOKUP(LEFT($A44,3),Feuil2!$A:$D,4)),0))</f>
        <v>106.75070000000001</v>
      </c>
      <c r="AP44" s="118">
        <f>IF(AP$1&lt;$AC44,0,IF(AP$1&gt;$AC44,IF('Véhicules MAJ 20012022'!AP$1-'Véhicules MAJ 20012022'!$AC44=1,$AD44*VLOOKUP(LEFT($A44,3),Feuil2!$A:$D,3,0),$AD44*VLOOKUP(LEFT($A44,3),Feuil2!$A:$D,4)),0))</f>
        <v>0</v>
      </c>
    </row>
    <row r="45" spans="1:42" x14ac:dyDescent="0.25">
      <c r="A45" s="7" t="s">
        <v>128</v>
      </c>
      <c r="D45" s="5" t="s">
        <v>110</v>
      </c>
      <c r="E45" s="5" t="s">
        <v>45</v>
      </c>
      <c r="F45" s="5" t="s">
        <v>41</v>
      </c>
      <c r="G45" s="5" t="s">
        <v>69</v>
      </c>
      <c r="J45" s="9">
        <v>1158.33</v>
      </c>
      <c r="K45" s="9"/>
      <c r="L45" s="5">
        <v>24</v>
      </c>
      <c r="N45" s="12"/>
      <c r="R45" s="9"/>
      <c r="S45" s="9"/>
      <c r="T45" s="9">
        <v>80</v>
      </c>
      <c r="U45" s="5" t="s">
        <v>72</v>
      </c>
      <c r="V45" s="5" t="str">
        <f t="shared" si="0"/>
        <v>REM</v>
      </c>
      <c r="W45" s="5" cm="1">
        <f t="array" ref="W45">_xlfn.IFS(LEFT(A45)="B",1,LEFT(A45)="R",2,LEFT(A45)="T",2,LEFT(A45)="V",2,LEFT(A45)="","")</f>
        <v>2</v>
      </c>
      <c r="X45" s="5">
        <v>5</v>
      </c>
      <c r="Z45" s="5">
        <v>5</v>
      </c>
      <c r="AA45" s="5">
        <f t="shared" si="1"/>
        <v>60</v>
      </c>
      <c r="AB45" s="5">
        <f t="shared" si="2"/>
        <v>1900</v>
      </c>
      <c r="AC45" s="98">
        <f t="shared" si="4"/>
        <v>1905</v>
      </c>
      <c r="AD45" s="115">
        <v>1158.33</v>
      </c>
      <c r="AE45" s="118">
        <f>IF(AE$1&lt;$AC45,0,IF(AE$1&gt;$AC45,IF('Véhicules MAJ 20012022'!AE$1-'Véhicules MAJ 20012022'!$AC45=1,$AD45*VLOOKUP(LEFT($A45,3),Feuil2!$A:$D,3,0),$AD45*VLOOKUP(LEFT($A45,3),Feuil2!$A:$D,4)),0))</f>
        <v>81.083100000000002</v>
      </c>
      <c r="AF45" s="118">
        <f>IF(AF$1&lt;$AC45,0,IF(AF$1&gt;$AC45,IF('Véhicules MAJ 20012022'!AF$1-'Véhicules MAJ 20012022'!$AC45=1,$AD45*VLOOKUP(LEFT($A45,3),Feuil2!$A:$D,3,0),$AD45*VLOOKUP(LEFT($A45,3),Feuil2!$A:$D,4)),0))</f>
        <v>81.083100000000002</v>
      </c>
      <c r="AG45" s="118">
        <f>IF(AG$1&lt;$AC45,0,IF(AG$1&gt;$AC45,IF('Véhicules MAJ 20012022'!AG$1-'Véhicules MAJ 20012022'!$AC45=1,$AD45*VLOOKUP(LEFT($A45,3),Feuil2!$A:$D,3,0),$AD45*VLOOKUP(LEFT($A45,3),Feuil2!$A:$D,4)),0))</f>
        <v>81.083100000000002</v>
      </c>
      <c r="AH45" s="118">
        <f>IF(AH$1&lt;$AC45,0,IF(AH$1&gt;$AC45,IF('Véhicules MAJ 20012022'!AH$1-'Véhicules MAJ 20012022'!$AC45=1,$AD45*VLOOKUP(LEFT($A45,3),Feuil2!$A:$D,3,0),$AD45*VLOOKUP(LEFT($A45,3),Feuil2!$A:$D,4)),0))</f>
        <v>81.083100000000002</v>
      </c>
      <c r="AI45" s="118">
        <f>IF(AI$1&lt;$AC45,0,IF(AI$1&gt;$AC45,IF('Véhicules MAJ 20012022'!AI$1-'Véhicules MAJ 20012022'!$AC45=1,$AD45*VLOOKUP(LEFT($A45,3),Feuil2!$A:$D,3,0),$AD45*VLOOKUP(LEFT($A45,3),Feuil2!$A:$D,4)),0))</f>
        <v>81.083100000000002</v>
      </c>
      <c r="AJ45" s="118">
        <f>IF(AJ$1&lt;$AC45,0,IF(AJ$1&gt;$AC45,IF('Véhicules MAJ 20012022'!AJ$1-'Véhicules MAJ 20012022'!$AC45=1,$AD45*VLOOKUP(LEFT($A45,3),Feuil2!$A:$D,3,0),$AD45*VLOOKUP(LEFT($A45,3),Feuil2!$A:$D,4)),0))</f>
        <v>81.083100000000002</v>
      </c>
      <c r="AK45" s="118">
        <f>IF(AK$1&lt;$AC45,0,IF(AK$1&gt;$AC45,IF('Véhicules MAJ 20012022'!AK$1-'Véhicules MAJ 20012022'!$AC45=1,$AD45*VLOOKUP(LEFT($A45,3),Feuil2!$A:$D,3,0),$AD45*VLOOKUP(LEFT($A45,3),Feuil2!$A:$D,4)),0))</f>
        <v>81.083100000000002</v>
      </c>
      <c r="AL45" s="118">
        <f>IF(AL$1&lt;$AC45,0,IF(AL$1&gt;$AC45,IF('Véhicules MAJ 20012022'!AL$1-'Véhicules MAJ 20012022'!$AC45=1,$AD45*VLOOKUP(LEFT($A45,3),Feuil2!$A:$D,3,0),$AD45*VLOOKUP(LEFT($A45,3),Feuil2!$A:$D,4)),0))</f>
        <v>81.083100000000002</v>
      </c>
      <c r="AM45" s="118">
        <f>IF(AM$1&lt;$AC45,0,IF(AM$1&gt;$AC45,IF('Véhicules MAJ 20012022'!AM$1-'Véhicules MAJ 20012022'!$AC45=1,$AD45*VLOOKUP(LEFT($A45,3),Feuil2!$A:$D,3,0),$AD45*VLOOKUP(LEFT($A45,3),Feuil2!$A:$D,4)),0))</f>
        <v>81.083100000000002</v>
      </c>
      <c r="AN45" s="118">
        <f>IF(AN$1&lt;$AC45,0,IF(AN$1&gt;$AC45,IF('Véhicules MAJ 20012022'!AN$1-'Véhicules MAJ 20012022'!$AC45=1,$AD45*VLOOKUP(LEFT($A45,3),Feuil2!$A:$D,3,0),$AD45*VLOOKUP(LEFT($A45,3),Feuil2!$A:$D,4)),0))</f>
        <v>81.083100000000002</v>
      </c>
      <c r="AO45" s="118">
        <f>IF(AO$1&lt;$AC45,0,IF(AO$1&gt;$AC45,IF('Véhicules MAJ 20012022'!AO$1-'Véhicules MAJ 20012022'!$AC45=1,$AD45*VLOOKUP(LEFT($A45,3),Feuil2!$A:$D,3,0),$AD45*VLOOKUP(LEFT($A45,3),Feuil2!$A:$D,4)),0))</f>
        <v>81.083100000000002</v>
      </c>
      <c r="AP45" s="118">
        <f>IF(AP$1&lt;$AC45,0,IF(AP$1&gt;$AC45,IF('Véhicules MAJ 20012022'!AP$1-'Véhicules MAJ 20012022'!$AC45=1,$AD45*VLOOKUP(LEFT($A45,3),Feuil2!$A:$D,3,0),$AD45*VLOOKUP(LEFT($A45,3),Feuil2!$A:$D,4)),0))</f>
        <v>0</v>
      </c>
    </row>
    <row r="46" spans="1:42" x14ac:dyDescent="0.25">
      <c r="A46" s="7" t="s">
        <v>129</v>
      </c>
      <c r="D46" s="5" t="s">
        <v>110</v>
      </c>
      <c r="E46" s="5" t="s">
        <v>45</v>
      </c>
      <c r="F46" s="5" t="s">
        <v>41</v>
      </c>
      <c r="G46" s="5" t="s">
        <v>73</v>
      </c>
      <c r="J46" s="9">
        <v>1316.67</v>
      </c>
      <c r="K46" s="9"/>
      <c r="L46" s="5">
        <v>24</v>
      </c>
      <c r="N46" s="12"/>
      <c r="R46" s="9"/>
      <c r="S46" s="9"/>
      <c r="T46" s="9">
        <v>80</v>
      </c>
      <c r="U46" s="5" t="s">
        <v>72</v>
      </c>
      <c r="V46" s="5" t="str">
        <f t="shared" si="0"/>
        <v>REM</v>
      </c>
      <c r="W46" s="5" cm="1">
        <f t="array" ref="W46">_xlfn.IFS(LEFT(A46)="B",1,LEFT(A46)="R",2,LEFT(A46)="T",2,LEFT(A46)="V",2,LEFT(A46)="","")</f>
        <v>2</v>
      </c>
      <c r="X46" s="5">
        <v>5</v>
      </c>
      <c r="Z46" s="5">
        <v>5</v>
      </c>
      <c r="AA46" s="5">
        <f t="shared" si="1"/>
        <v>60</v>
      </c>
      <c r="AB46" s="5">
        <f t="shared" si="2"/>
        <v>1900</v>
      </c>
      <c r="AC46" s="98">
        <f t="shared" si="4"/>
        <v>1905</v>
      </c>
      <c r="AD46" s="115">
        <v>1316.67</v>
      </c>
      <c r="AE46" s="118">
        <f>IF(AE$1&lt;$AC46,0,IF(AE$1&gt;$AC46,IF('Véhicules MAJ 20012022'!AE$1-'Véhicules MAJ 20012022'!$AC46=1,$AD46*VLOOKUP(LEFT($A46,3),Feuil2!$A:$D,3,0),$AD46*VLOOKUP(LEFT($A46,3),Feuil2!$A:$D,4)),0))</f>
        <v>92.166900000000012</v>
      </c>
      <c r="AF46" s="118">
        <f>IF(AF$1&lt;$AC46,0,IF(AF$1&gt;$AC46,IF('Véhicules MAJ 20012022'!AF$1-'Véhicules MAJ 20012022'!$AC46=1,$AD46*VLOOKUP(LEFT($A46,3),Feuil2!$A:$D,3,0),$AD46*VLOOKUP(LEFT($A46,3),Feuil2!$A:$D,4)),0))</f>
        <v>92.166900000000012</v>
      </c>
      <c r="AG46" s="118">
        <f>IF(AG$1&lt;$AC46,0,IF(AG$1&gt;$AC46,IF('Véhicules MAJ 20012022'!AG$1-'Véhicules MAJ 20012022'!$AC46=1,$AD46*VLOOKUP(LEFT($A46,3),Feuil2!$A:$D,3,0),$AD46*VLOOKUP(LEFT($A46,3),Feuil2!$A:$D,4)),0))</f>
        <v>92.166900000000012</v>
      </c>
      <c r="AH46" s="118">
        <f>IF(AH$1&lt;$AC46,0,IF(AH$1&gt;$AC46,IF('Véhicules MAJ 20012022'!AH$1-'Véhicules MAJ 20012022'!$AC46=1,$AD46*VLOOKUP(LEFT($A46,3),Feuil2!$A:$D,3,0),$AD46*VLOOKUP(LEFT($A46,3),Feuil2!$A:$D,4)),0))</f>
        <v>92.166900000000012</v>
      </c>
      <c r="AI46" s="118">
        <f>IF(AI$1&lt;$AC46,0,IF(AI$1&gt;$AC46,IF('Véhicules MAJ 20012022'!AI$1-'Véhicules MAJ 20012022'!$AC46=1,$AD46*VLOOKUP(LEFT($A46,3),Feuil2!$A:$D,3,0),$AD46*VLOOKUP(LEFT($A46,3),Feuil2!$A:$D,4)),0))</f>
        <v>92.166900000000012</v>
      </c>
      <c r="AJ46" s="118">
        <f>IF(AJ$1&lt;$AC46,0,IF(AJ$1&gt;$AC46,IF('Véhicules MAJ 20012022'!AJ$1-'Véhicules MAJ 20012022'!$AC46=1,$AD46*VLOOKUP(LEFT($A46,3),Feuil2!$A:$D,3,0),$AD46*VLOOKUP(LEFT($A46,3),Feuil2!$A:$D,4)),0))</f>
        <v>92.166900000000012</v>
      </c>
      <c r="AK46" s="118">
        <f>IF(AK$1&lt;$AC46,0,IF(AK$1&gt;$AC46,IF('Véhicules MAJ 20012022'!AK$1-'Véhicules MAJ 20012022'!$AC46=1,$AD46*VLOOKUP(LEFT($A46,3),Feuil2!$A:$D,3,0),$AD46*VLOOKUP(LEFT($A46,3),Feuil2!$A:$D,4)),0))</f>
        <v>92.166900000000012</v>
      </c>
      <c r="AL46" s="118">
        <f>IF(AL$1&lt;$AC46,0,IF(AL$1&gt;$AC46,IF('Véhicules MAJ 20012022'!AL$1-'Véhicules MAJ 20012022'!$AC46=1,$AD46*VLOOKUP(LEFT($A46,3),Feuil2!$A:$D,3,0),$AD46*VLOOKUP(LEFT($A46,3),Feuil2!$A:$D,4)),0))</f>
        <v>92.166900000000012</v>
      </c>
      <c r="AM46" s="118">
        <f>IF(AM$1&lt;$AC46,0,IF(AM$1&gt;$AC46,IF('Véhicules MAJ 20012022'!AM$1-'Véhicules MAJ 20012022'!$AC46=1,$AD46*VLOOKUP(LEFT($A46,3),Feuil2!$A:$D,3,0),$AD46*VLOOKUP(LEFT($A46,3),Feuil2!$A:$D,4)),0))</f>
        <v>92.166900000000012</v>
      </c>
      <c r="AN46" s="118">
        <f>IF(AN$1&lt;$AC46,0,IF(AN$1&gt;$AC46,IF('Véhicules MAJ 20012022'!AN$1-'Véhicules MAJ 20012022'!$AC46=1,$AD46*VLOOKUP(LEFT($A46,3),Feuil2!$A:$D,3,0),$AD46*VLOOKUP(LEFT($A46,3),Feuil2!$A:$D,4)),0))</f>
        <v>92.166900000000012</v>
      </c>
      <c r="AO46" s="118">
        <f>IF(AO$1&lt;$AC46,0,IF(AO$1&gt;$AC46,IF('Véhicules MAJ 20012022'!AO$1-'Véhicules MAJ 20012022'!$AC46=1,$AD46*VLOOKUP(LEFT($A46,3),Feuil2!$A:$D,3,0),$AD46*VLOOKUP(LEFT($A46,3),Feuil2!$A:$D,4)),0))</f>
        <v>92.166900000000012</v>
      </c>
      <c r="AP46" s="118">
        <f>IF(AP$1&lt;$AC46,0,IF(AP$1&gt;$AC46,IF('Véhicules MAJ 20012022'!AP$1-'Véhicules MAJ 20012022'!$AC46=1,$AD46*VLOOKUP(LEFT($A46,3),Feuil2!$A:$D,3,0),$AD46*VLOOKUP(LEFT($A46,3),Feuil2!$A:$D,4)),0))</f>
        <v>0</v>
      </c>
    </row>
    <row r="47" spans="1:42" x14ac:dyDescent="0.25">
      <c r="A47" s="7" t="s">
        <v>131</v>
      </c>
      <c r="D47" s="5" t="s">
        <v>110</v>
      </c>
      <c r="E47" s="5" t="s">
        <v>45</v>
      </c>
      <c r="F47" s="5" t="s">
        <v>41</v>
      </c>
      <c r="G47" s="5" t="s">
        <v>74</v>
      </c>
      <c r="J47" s="9">
        <v>1316.67</v>
      </c>
      <c r="K47" s="9"/>
      <c r="L47" s="5">
        <v>24</v>
      </c>
      <c r="N47" s="12"/>
      <c r="R47" s="9"/>
      <c r="S47" s="9"/>
      <c r="T47" s="9">
        <v>80</v>
      </c>
      <c r="U47" s="5" t="s">
        <v>72</v>
      </c>
      <c r="V47" s="5" t="str">
        <f t="shared" si="0"/>
        <v>RBR</v>
      </c>
      <c r="W47" s="5" cm="1">
        <f t="array" ref="W47">_xlfn.IFS(LEFT(A47)="B",1,LEFT(A47)="R",2,LEFT(A47)="T",2,LEFT(A47)="V",2,LEFT(A47)="","")</f>
        <v>2</v>
      </c>
      <c r="X47" s="5">
        <v>5</v>
      </c>
      <c r="Z47" s="5">
        <v>5</v>
      </c>
      <c r="AA47" s="5">
        <f t="shared" si="1"/>
        <v>60</v>
      </c>
      <c r="AB47" s="5">
        <f t="shared" si="2"/>
        <v>1900</v>
      </c>
      <c r="AC47" s="98">
        <f t="shared" si="4"/>
        <v>1905</v>
      </c>
      <c r="AD47" s="115">
        <v>1316.67</v>
      </c>
      <c r="AE47" s="118">
        <f>IF(AE$1&lt;$AC47,0,IF(AE$1&gt;$AC47,IF('Véhicules MAJ 20012022'!AE$1-'Véhicules MAJ 20012022'!$AC47=1,$AD47*VLOOKUP(LEFT($A47,3),Feuil2!$A:$D,3,0),$AD47*VLOOKUP(LEFT($A47,3),Feuil2!$A:$D,4)),0))</f>
        <v>92.166900000000012</v>
      </c>
      <c r="AF47" s="118">
        <f>IF(AF$1&lt;$AC47,0,IF(AF$1&gt;$AC47,IF('Véhicules MAJ 20012022'!AF$1-'Véhicules MAJ 20012022'!$AC47=1,$AD47*VLOOKUP(LEFT($A47,3),Feuil2!$A:$D,3,0),$AD47*VLOOKUP(LEFT($A47,3),Feuil2!$A:$D,4)),0))</f>
        <v>92.166900000000012</v>
      </c>
      <c r="AG47" s="118">
        <f>IF(AG$1&lt;$AC47,0,IF(AG$1&gt;$AC47,IF('Véhicules MAJ 20012022'!AG$1-'Véhicules MAJ 20012022'!$AC47=1,$AD47*VLOOKUP(LEFT($A47,3),Feuil2!$A:$D,3,0),$AD47*VLOOKUP(LEFT($A47,3),Feuil2!$A:$D,4)),0))</f>
        <v>92.166900000000012</v>
      </c>
      <c r="AH47" s="118">
        <f>IF(AH$1&lt;$AC47,0,IF(AH$1&gt;$AC47,IF('Véhicules MAJ 20012022'!AH$1-'Véhicules MAJ 20012022'!$AC47=1,$AD47*VLOOKUP(LEFT($A47,3),Feuil2!$A:$D,3,0),$AD47*VLOOKUP(LEFT($A47,3),Feuil2!$A:$D,4)),0))</f>
        <v>92.166900000000012</v>
      </c>
      <c r="AI47" s="118">
        <f>IF(AI$1&lt;$AC47,0,IF(AI$1&gt;$AC47,IF('Véhicules MAJ 20012022'!AI$1-'Véhicules MAJ 20012022'!$AC47=1,$AD47*VLOOKUP(LEFT($A47,3),Feuil2!$A:$D,3,0),$AD47*VLOOKUP(LEFT($A47,3),Feuil2!$A:$D,4)),0))</f>
        <v>92.166900000000012</v>
      </c>
      <c r="AJ47" s="118">
        <f>IF(AJ$1&lt;$AC47,0,IF(AJ$1&gt;$AC47,IF('Véhicules MAJ 20012022'!AJ$1-'Véhicules MAJ 20012022'!$AC47=1,$AD47*VLOOKUP(LEFT($A47,3),Feuil2!$A:$D,3,0),$AD47*VLOOKUP(LEFT($A47,3),Feuil2!$A:$D,4)),0))</f>
        <v>92.166900000000012</v>
      </c>
      <c r="AK47" s="118">
        <f>IF(AK$1&lt;$AC47,0,IF(AK$1&gt;$AC47,IF('Véhicules MAJ 20012022'!AK$1-'Véhicules MAJ 20012022'!$AC47=1,$AD47*VLOOKUP(LEFT($A47,3),Feuil2!$A:$D,3,0),$AD47*VLOOKUP(LEFT($A47,3),Feuil2!$A:$D,4)),0))</f>
        <v>92.166900000000012</v>
      </c>
      <c r="AL47" s="118">
        <f>IF(AL$1&lt;$AC47,0,IF(AL$1&gt;$AC47,IF('Véhicules MAJ 20012022'!AL$1-'Véhicules MAJ 20012022'!$AC47=1,$AD47*VLOOKUP(LEFT($A47,3),Feuil2!$A:$D,3,0),$AD47*VLOOKUP(LEFT($A47,3),Feuil2!$A:$D,4)),0))</f>
        <v>92.166900000000012</v>
      </c>
      <c r="AM47" s="118">
        <f>IF(AM$1&lt;$AC47,0,IF(AM$1&gt;$AC47,IF('Véhicules MAJ 20012022'!AM$1-'Véhicules MAJ 20012022'!$AC47=1,$AD47*VLOOKUP(LEFT($A47,3),Feuil2!$A:$D,3,0),$AD47*VLOOKUP(LEFT($A47,3),Feuil2!$A:$D,4)),0))</f>
        <v>92.166900000000012</v>
      </c>
      <c r="AN47" s="118">
        <f>IF(AN$1&lt;$AC47,0,IF(AN$1&gt;$AC47,IF('Véhicules MAJ 20012022'!AN$1-'Véhicules MAJ 20012022'!$AC47=1,$AD47*VLOOKUP(LEFT($A47,3),Feuil2!$A:$D,3,0),$AD47*VLOOKUP(LEFT($A47,3),Feuil2!$A:$D,4)),0))</f>
        <v>92.166900000000012</v>
      </c>
      <c r="AO47" s="118">
        <f>IF(AO$1&lt;$AC47,0,IF(AO$1&gt;$AC47,IF('Véhicules MAJ 20012022'!AO$1-'Véhicules MAJ 20012022'!$AC47=1,$AD47*VLOOKUP(LEFT($A47,3),Feuil2!$A:$D,3,0),$AD47*VLOOKUP(LEFT($A47,3),Feuil2!$A:$D,4)),0))</f>
        <v>92.166900000000012</v>
      </c>
      <c r="AP47" s="118">
        <f>IF(AP$1&lt;$AC47,0,IF(AP$1&gt;$AC47,IF('Véhicules MAJ 20012022'!AP$1-'Véhicules MAJ 20012022'!$AC47=1,$AD47*VLOOKUP(LEFT($A47,3),Feuil2!$A:$D,3,0),$AD47*VLOOKUP(LEFT($A47,3),Feuil2!$A:$D,4)),0))</f>
        <v>0</v>
      </c>
    </row>
    <row r="48" spans="1:42" x14ac:dyDescent="0.25">
      <c r="A48" s="5" t="s">
        <v>250</v>
      </c>
      <c r="B48" s="5" t="s">
        <v>60</v>
      </c>
      <c r="D48" s="5" t="s">
        <v>110</v>
      </c>
      <c r="E48" s="5" t="s">
        <v>160</v>
      </c>
      <c r="F48" s="5" t="s">
        <v>161</v>
      </c>
      <c r="G48" s="5" t="s">
        <v>156</v>
      </c>
      <c r="I48" s="8">
        <v>42885</v>
      </c>
      <c r="J48" s="9">
        <v>23900</v>
      </c>
      <c r="K48" s="9"/>
      <c r="L48" s="5">
        <v>60</v>
      </c>
      <c r="N48" s="12"/>
      <c r="R48" s="9"/>
      <c r="S48" s="9"/>
      <c r="T48" s="9">
        <v>80</v>
      </c>
      <c r="U48" s="5" t="s">
        <v>72</v>
      </c>
      <c r="V48" s="5" t="str">
        <f t="shared" si="0"/>
        <v>RBR</v>
      </c>
      <c r="W48" s="5" cm="1">
        <f t="array" ref="W48">_xlfn.IFS(LEFT(A48)="B",1,LEFT(A48)="R",2,LEFT(A48)="T",2,LEFT(A48)="V",2,LEFT(A48)="","")</f>
        <v>2</v>
      </c>
      <c r="X48" s="5">
        <v>10</v>
      </c>
      <c r="AA48" s="5">
        <f t="shared" si="1"/>
        <v>0</v>
      </c>
      <c r="AB48" s="5">
        <f t="shared" si="2"/>
        <v>2017</v>
      </c>
      <c r="AC48" s="98">
        <f t="shared" si="4"/>
        <v>2017</v>
      </c>
      <c r="AD48" s="115">
        <v>23900</v>
      </c>
      <c r="AE48" s="118">
        <f>IF(AE$1&lt;$AC48,0,IF(AE$1&gt;$AC48,IF('Véhicules MAJ 20012022'!AE$1-'Véhicules MAJ 20012022'!$AC48=1,$AD48*VLOOKUP(LEFT($A48,3),Feuil2!$A:$D,3,0),$AD48*VLOOKUP(LEFT($A48,3),Feuil2!$A:$D,4)),0))</f>
        <v>1195</v>
      </c>
      <c r="AF48" s="118">
        <f>IF(AF$1&lt;$AC48,0,IF(AF$1&gt;$AC48,IF('Véhicules MAJ 20012022'!AF$1-'Véhicules MAJ 20012022'!$AC48=1,$AD48*VLOOKUP(LEFT($A48,3),Feuil2!$A:$D,3,0),$AD48*VLOOKUP(LEFT($A48,3),Feuil2!$A:$D,4)),0))</f>
        <v>1195</v>
      </c>
      <c r="AG48" s="118">
        <f>IF(AG$1&lt;$AC48,0,IF(AG$1&gt;$AC48,IF('Véhicules MAJ 20012022'!AG$1-'Véhicules MAJ 20012022'!$AC48=1,$AD48*VLOOKUP(LEFT($A48,3),Feuil2!$A:$D,3,0),$AD48*VLOOKUP(LEFT($A48,3),Feuil2!$A:$D,4)),0))</f>
        <v>1195</v>
      </c>
      <c r="AH48" s="118">
        <f>IF(AH$1&lt;$AC48,0,IF(AH$1&gt;$AC48,IF('Véhicules MAJ 20012022'!AH$1-'Véhicules MAJ 20012022'!$AC48=1,$AD48*VLOOKUP(LEFT($A48,3),Feuil2!$A:$D,3,0),$AD48*VLOOKUP(LEFT($A48,3),Feuil2!$A:$D,4)),0))</f>
        <v>1195</v>
      </c>
      <c r="AI48" s="118">
        <f>IF(AI$1&lt;$AC48,0,IF(AI$1&gt;$AC48,IF('Véhicules MAJ 20012022'!AI$1-'Véhicules MAJ 20012022'!$AC48=1,$AD48*VLOOKUP(LEFT($A48,3),Feuil2!$A:$D,3,0),$AD48*VLOOKUP(LEFT($A48,3),Feuil2!$A:$D,4)),0))</f>
        <v>1195</v>
      </c>
      <c r="AJ48" s="118">
        <f>IF(AJ$1&lt;$AC48,0,IF(AJ$1&gt;$AC48,IF('Véhicules MAJ 20012022'!AJ$1-'Véhicules MAJ 20012022'!$AC48=1,$AD48*VLOOKUP(LEFT($A48,3),Feuil2!$A:$D,3,0),$AD48*VLOOKUP(LEFT($A48,3),Feuil2!$A:$D,4)),0))</f>
        <v>1195</v>
      </c>
      <c r="AK48" s="118">
        <f>IF(AK$1&lt;$AC48,0,IF(AK$1&gt;$AC48,IF('Véhicules MAJ 20012022'!AK$1-'Véhicules MAJ 20012022'!$AC48=1,$AD48*VLOOKUP(LEFT($A48,3),Feuil2!$A:$D,3,0),$AD48*VLOOKUP(LEFT($A48,3),Feuil2!$A:$D,4)),0))</f>
        <v>1195</v>
      </c>
      <c r="AL48" s="118">
        <f>IF(AL$1&lt;$AC48,0,IF(AL$1&gt;$AC48,IF('Véhicules MAJ 20012022'!AL$1-'Véhicules MAJ 20012022'!$AC48=1,$AD48*VLOOKUP(LEFT($A48,3),Feuil2!$A:$D,3,0),$AD48*VLOOKUP(LEFT($A48,3),Feuil2!$A:$D,4)),0))</f>
        <v>1195</v>
      </c>
      <c r="AM48" s="118">
        <f>IF(AM$1&lt;$AC48,0,IF(AM$1&gt;$AC48,IF('Véhicules MAJ 20012022'!AM$1-'Véhicules MAJ 20012022'!$AC48=1,$AD48*VLOOKUP(LEFT($A48,3),Feuil2!$A:$D,3,0),$AD48*VLOOKUP(LEFT($A48,3),Feuil2!$A:$D,4)),0))</f>
        <v>1195</v>
      </c>
      <c r="AN48" s="118">
        <f>IF(AN$1&lt;$AC48,0,IF(AN$1&gt;$AC48,IF('Véhicules MAJ 20012022'!AN$1-'Véhicules MAJ 20012022'!$AC48=1,$AD48*VLOOKUP(LEFT($A48,3),Feuil2!$A:$D,3,0),$AD48*VLOOKUP(LEFT($A48,3),Feuil2!$A:$D,4)),0))</f>
        <v>1195</v>
      </c>
      <c r="AO48" s="118">
        <f>IF(AO$1&lt;$AC48,0,IF(AO$1&gt;$AC48,IF('Véhicules MAJ 20012022'!AO$1-'Véhicules MAJ 20012022'!$AC48=1,$AD48*VLOOKUP(LEFT($A48,3),Feuil2!$A:$D,3,0),$AD48*VLOOKUP(LEFT($A48,3),Feuil2!$A:$D,4)),0))</f>
        <v>1195</v>
      </c>
      <c r="AP48" s="118">
        <f>IF(AP$1&lt;$AC48,0,IF(AP$1&gt;$AC48,IF('Véhicules MAJ 20012022'!AP$1-'Véhicules MAJ 20012022'!$AC48=1,$AD48*VLOOKUP(LEFT($A48,3),Feuil2!$A:$D,3,0),$AD48*VLOOKUP(LEFT($A48,3),Feuil2!$A:$D,4)),0))</f>
        <v>0</v>
      </c>
    </row>
    <row r="49" spans="1:42" x14ac:dyDescent="0.25">
      <c r="A49" s="7" t="s">
        <v>251</v>
      </c>
      <c r="B49" s="5" t="s">
        <v>188</v>
      </c>
      <c r="D49" s="5" t="s">
        <v>110</v>
      </c>
      <c r="E49" s="5" t="s">
        <v>77</v>
      </c>
      <c r="F49" s="5" t="s">
        <v>78</v>
      </c>
      <c r="G49" s="5" t="s">
        <v>79</v>
      </c>
      <c r="I49" s="8">
        <v>44439</v>
      </c>
      <c r="J49" s="9">
        <v>28800</v>
      </c>
      <c r="K49" s="9"/>
      <c r="L49" s="5">
        <v>48</v>
      </c>
      <c r="N49" s="12"/>
      <c r="O49" s="13"/>
      <c r="P49" s="13"/>
      <c r="Q49" s="13"/>
      <c r="T49" s="9">
        <v>80</v>
      </c>
      <c r="V49" s="5" t="str">
        <f t="shared" si="0"/>
        <v/>
      </c>
      <c r="W49" s="5" cm="1">
        <f t="array" ref="W49">_xlfn.IFS(LEFT(A49)="B",1,LEFT(A49)="R",2,LEFT(A49)="T",2,LEFT(A49)="V",2,LEFT(A49)="","")</f>
        <v>2</v>
      </c>
      <c r="X49" s="5">
        <v>10</v>
      </c>
      <c r="AA49" s="5">
        <f t="shared" si="1"/>
        <v>0</v>
      </c>
      <c r="AB49" s="5">
        <f t="shared" si="2"/>
        <v>2021</v>
      </c>
      <c r="AC49" s="98">
        <f t="shared" si="4"/>
        <v>2021</v>
      </c>
      <c r="AD49" s="115">
        <v>28800</v>
      </c>
      <c r="AE49" s="118">
        <f>IF(AE$1&lt;$AC49,0,IF(AE$1&gt;$AC49,IF('Véhicules MAJ 20012022'!AE$1-'Véhicules MAJ 20012022'!$AC49=1,$AD49*VLOOKUP(LEFT($A49,3),Feuil2!$A:$D,3,0),$AD49*VLOOKUP(LEFT($A49,3),Feuil2!$A:$D,4)),0))</f>
        <v>1440</v>
      </c>
      <c r="AF49" s="118">
        <f>IF(AF$1&lt;$AC49,0,IF(AF$1&gt;$AC49,IF('Véhicules MAJ 20012022'!AF$1-'Véhicules MAJ 20012022'!$AC49=1,$AD49*VLOOKUP(LEFT($A49,3),Feuil2!$A:$D,3,0),$AD49*VLOOKUP(LEFT($A49,3),Feuil2!$A:$D,4)),0))</f>
        <v>1440</v>
      </c>
      <c r="AG49" s="118">
        <f>IF(AG$1&lt;$AC49,0,IF(AG$1&gt;$AC49,IF('Véhicules MAJ 20012022'!AG$1-'Véhicules MAJ 20012022'!$AC49=1,$AD49*VLOOKUP(LEFT($A49,3),Feuil2!$A:$D,3,0),$AD49*VLOOKUP(LEFT($A49,3),Feuil2!$A:$D,4)),0))</f>
        <v>1440</v>
      </c>
      <c r="AH49" s="118">
        <f>IF(AH$1&lt;$AC49,0,IF(AH$1&gt;$AC49,IF('Véhicules MAJ 20012022'!AH$1-'Véhicules MAJ 20012022'!$AC49=1,$AD49*VLOOKUP(LEFT($A49,3),Feuil2!$A:$D,3,0),$AD49*VLOOKUP(LEFT($A49,3),Feuil2!$A:$D,4)),0))</f>
        <v>1440</v>
      </c>
      <c r="AI49" s="118">
        <f>IF(AI$1&lt;$AC49,0,IF(AI$1&gt;$AC49,IF('Véhicules MAJ 20012022'!AI$1-'Véhicules MAJ 20012022'!$AC49=1,$AD49*VLOOKUP(LEFT($A49,3),Feuil2!$A:$D,3,0),$AD49*VLOOKUP(LEFT($A49,3),Feuil2!$A:$D,4)),0))</f>
        <v>1440</v>
      </c>
      <c r="AJ49" s="118">
        <f>IF(AJ$1&lt;$AC49,0,IF(AJ$1&gt;$AC49,IF('Véhicules MAJ 20012022'!AJ$1-'Véhicules MAJ 20012022'!$AC49=1,$AD49*VLOOKUP(LEFT($A49,3),Feuil2!$A:$D,3,0),$AD49*VLOOKUP(LEFT($A49,3),Feuil2!$A:$D,4)),0))</f>
        <v>1440</v>
      </c>
      <c r="AK49" s="118">
        <f>IF(AK$1&lt;$AC49,0,IF(AK$1&gt;$AC49,IF('Véhicules MAJ 20012022'!AK$1-'Véhicules MAJ 20012022'!$AC49=1,$AD49*VLOOKUP(LEFT($A49,3),Feuil2!$A:$D,3,0),$AD49*VLOOKUP(LEFT($A49,3),Feuil2!$A:$D,4)),0))</f>
        <v>1440</v>
      </c>
      <c r="AL49" s="118">
        <f>IF(AL$1&lt;$AC49,0,IF(AL$1&gt;$AC49,IF('Véhicules MAJ 20012022'!AL$1-'Véhicules MAJ 20012022'!$AC49=1,$AD49*VLOOKUP(LEFT($A49,3),Feuil2!$A:$D,3,0),$AD49*VLOOKUP(LEFT($A49,3),Feuil2!$A:$D,4)),0))</f>
        <v>1440</v>
      </c>
      <c r="AM49" s="118">
        <f>IF(AM$1&lt;$AC49,0,IF(AM$1&gt;$AC49,IF('Véhicules MAJ 20012022'!AM$1-'Véhicules MAJ 20012022'!$AC49=1,$AD49*VLOOKUP(LEFT($A49,3),Feuil2!$A:$D,3,0),$AD49*VLOOKUP(LEFT($A49,3),Feuil2!$A:$D,4)),0))</f>
        <v>1440</v>
      </c>
      <c r="AN49" s="118">
        <f>IF(AN$1&lt;$AC49,0,IF(AN$1&gt;$AC49,IF('Véhicules MAJ 20012022'!AN$1-'Véhicules MAJ 20012022'!$AC49=1,$AD49*VLOOKUP(LEFT($A49,3),Feuil2!$A:$D,3,0),$AD49*VLOOKUP(LEFT($A49,3),Feuil2!$A:$D,4)),0))</f>
        <v>1440</v>
      </c>
      <c r="AO49" s="118">
        <f>IF(AO$1&lt;$AC49,0,IF(AO$1&gt;$AC49,IF('Véhicules MAJ 20012022'!AO$1-'Véhicules MAJ 20012022'!$AC49=1,$AD49*VLOOKUP(LEFT($A49,3),Feuil2!$A:$D,3,0),$AD49*VLOOKUP(LEFT($A49,3),Feuil2!$A:$D,4)),0))</f>
        <v>1440</v>
      </c>
      <c r="AP49" s="118">
        <f>IF(AP$1&lt;$AC49,0,IF(AP$1&gt;$AC49,IF('Véhicules MAJ 20012022'!AP$1-'Véhicules MAJ 20012022'!$AC49=1,$AD49*VLOOKUP(LEFT($A49,3),Feuil2!$A:$D,3,0),$AD49*VLOOKUP(LEFT($A49,3),Feuil2!$A:$D,4)),0))</f>
        <v>0</v>
      </c>
    </row>
    <row r="50" spans="1:42" x14ac:dyDescent="0.25">
      <c r="J50" s="9"/>
      <c r="K50" s="9"/>
      <c r="N50" s="12"/>
      <c r="O50" s="13"/>
      <c r="P50" s="13"/>
      <c r="Q50" s="13"/>
      <c r="T50" s="9"/>
      <c r="V50" s="5" t="str">
        <f t="shared" si="0"/>
        <v>TRA</v>
      </c>
      <c r="W50" s="5" t="str" cm="1">
        <f t="array" ref="W50">_xlfn.IFS(LEFT(A50)="B",1,LEFT(A50)="R",2,LEFT(A50)="T",2,LEFT(A50)="V",2,LEFT(A50)="","")</f>
        <v/>
      </c>
      <c r="AD50" s="115"/>
    </row>
    <row r="51" spans="1:42" x14ac:dyDescent="0.25">
      <c r="A51" s="7" t="s">
        <v>187</v>
      </c>
      <c r="B51" s="5" t="s">
        <v>188</v>
      </c>
      <c r="D51" s="5" t="s">
        <v>111</v>
      </c>
      <c r="E51" s="5" t="s">
        <v>177</v>
      </c>
      <c r="F51" s="5" t="s">
        <v>178</v>
      </c>
      <c r="G51" s="27" t="s">
        <v>179</v>
      </c>
      <c r="I51" s="8">
        <v>44298</v>
      </c>
      <c r="J51" s="9">
        <v>32000</v>
      </c>
      <c r="K51" s="9"/>
      <c r="T51" s="9">
        <v>120</v>
      </c>
      <c r="U51" s="5" t="s">
        <v>72</v>
      </c>
      <c r="V51" s="5" t="str">
        <f t="shared" si="0"/>
        <v>TRA</v>
      </c>
      <c r="W51" s="5" cm="1">
        <f t="array" ref="W51">_xlfn.IFS(LEFT(A51)="B",1,LEFT(A51)="R",2,LEFT(A51)="T",2,LEFT(A51)="V",2,LEFT(A51)="","")</f>
        <v>2</v>
      </c>
      <c r="X51" s="5">
        <v>5</v>
      </c>
      <c r="Z51" s="5">
        <v>5</v>
      </c>
      <c r="AA51" s="5">
        <f t="shared" si="1"/>
        <v>60</v>
      </c>
      <c r="AB51" s="5">
        <f t="shared" si="2"/>
        <v>2021</v>
      </c>
      <c r="AC51" s="98">
        <f t="shared" si="4"/>
        <v>2026</v>
      </c>
      <c r="AD51" s="115">
        <v>32000</v>
      </c>
      <c r="AO51" s="118">
        <f>IF(AO$1&lt;$AC51,0,IF(AO$1&gt;$AC51,IF('Véhicules MAJ 20012022'!AO$1-'Véhicules MAJ 20012022'!$AC51=1,$AD51*VLOOKUP(LEFT($A51,3),Feuil2!$A:$D,3,0),$AD51*VLOOKUP(LEFT($A51,3),Feuil2!$A:$D,4)),0))</f>
        <v>0</v>
      </c>
      <c r="AP51" s="118">
        <f>IF(AP$1&lt;$AC51,0,IF(AP$1&gt;$AC51,IF('Véhicules MAJ 20012022'!AP$1-'Véhicules MAJ 20012022'!$AC51=1,$AD51*VLOOKUP(LEFT($A51,3),Feuil2!$A:$D,3,0),$AD51*VLOOKUP(LEFT($A51,3),Feuil2!$A:$D,4)),0))</f>
        <v>0</v>
      </c>
    </row>
    <row r="52" spans="1:42" x14ac:dyDescent="0.25">
      <c r="A52" s="5" t="s">
        <v>165</v>
      </c>
      <c r="B52" s="5" t="s">
        <v>60</v>
      </c>
      <c r="D52" s="5" t="s">
        <v>111</v>
      </c>
      <c r="F52" s="5" t="s">
        <v>168</v>
      </c>
      <c r="I52" s="8">
        <v>41061</v>
      </c>
      <c r="J52" s="9">
        <v>5500</v>
      </c>
      <c r="K52" s="9"/>
      <c r="N52" s="12"/>
      <c r="O52" s="13"/>
      <c r="P52" s="13"/>
      <c r="Q52" s="13"/>
      <c r="T52" s="9"/>
      <c r="V52" s="5" t="str">
        <f t="shared" si="0"/>
        <v>TRA</v>
      </c>
      <c r="W52" s="5" cm="1">
        <f t="array" ref="W52">_xlfn.IFS(LEFT(A52)="B",1,LEFT(A52)="R",2,LEFT(A52)="T",2,LEFT(A52)="V",2,LEFT(A52)="","")</f>
        <v>2</v>
      </c>
      <c r="X52" s="5">
        <v>5</v>
      </c>
      <c r="AA52" s="5">
        <f t="shared" si="1"/>
        <v>0</v>
      </c>
      <c r="AB52" s="5">
        <f t="shared" si="2"/>
        <v>2012</v>
      </c>
      <c r="AC52" s="98">
        <f t="shared" si="4"/>
        <v>2012</v>
      </c>
      <c r="AD52" s="115">
        <v>5500</v>
      </c>
      <c r="AO52" s="118">
        <f>IF(AO$1&lt;$AC52,0,IF(AO$1&gt;$AC52,IF('Véhicules MAJ 20012022'!AO$1-'Véhicules MAJ 20012022'!$AC52=1,$AD52*VLOOKUP(LEFT($A52,3),Feuil2!$A:$D,3,0),$AD52*VLOOKUP(LEFT($A52,3),Feuil2!$A:$D,4)),0))</f>
        <v>385.00000000000006</v>
      </c>
      <c r="AP52" s="118">
        <f>IF(AP$1&lt;$AC52,0,IF(AP$1&gt;$AC52,IF('Véhicules MAJ 20012022'!AP$1-'Véhicules MAJ 20012022'!$AC52=1,$AD52*VLOOKUP(LEFT($A52,3),Feuil2!$A:$D,3,0),$AD52*VLOOKUP(LEFT($A52,3),Feuil2!$A:$D,4)),0))</f>
        <v>0</v>
      </c>
    </row>
    <row r="53" spans="1:42" x14ac:dyDescent="0.25">
      <c r="A53" s="5" t="s">
        <v>166</v>
      </c>
      <c r="B53" s="5" t="s">
        <v>60</v>
      </c>
      <c r="D53" s="5" t="s">
        <v>111</v>
      </c>
      <c r="E53" s="5" t="s">
        <v>62</v>
      </c>
      <c r="F53" s="5" t="s">
        <v>185</v>
      </c>
      <c r="G53" s="5">
        <v>20058</v>
      </c>
      <c r="I53" s="8">
        <v>41275</v>
      </c>
      <c r="J53" s="9"/>
      <c r="K53" s="9"/>
      <c r="N53" s="12"/>
      <c r="O53" s="13"/>
      <c r="P53" s="13"/>
      <c r="Q53" s="13"/>
      <c r="T53" s="9"/>
      <c r="V53" s="5" t="str">
        <f t="shared" si="0"/>
        <v>TRA</v>
      </c>
      <c r="W53" s="5" cm="1">
        <f t="array" ref="W53">_xlfn.IFS(LEFT(A53)="B",1,LEFT(A53)="R",2,LEFT(A53)="T",2,LEFT(A53)="V",2,LEFT(A53)="","")</f>
        <v>2</v>
      </c>
      <c r="X53" s="5">
        <v>5</v>
      </c>
      <c r="AA53" s="5">
        <f t="shared" si="1"/>
        <v>0</v>
      </c>
      <c r="AB53" s="5">
        <f t="shared" si="2"/>
        <v>2013</v>
      </c>
      <c r="AC53" s="98">
        <f t="shared" si="4"/>
        <v>2013</v>
      </c>
      <c r="AD53" s="115"/>
      <c r="AO53" s="118">
        <f>IF(AO$1&lt;$AC53,0,IF(AO$1&gt;$AC53,IF('Véhicules MAJ 20012022'!AO$1-'Véhicules MAJ 20012022'!$AC53=1,$AD53*VLOOKUP(LEFT($A53,3),Feuil2!$A:$D,3,0),$AD53*VLOOKUP(LEFT($A53,3),Feuil2!$A:$D,4)),0))</f>
        <v>0</v>
      </c>
      <c r="AP53" s="118">
        <f>IF(AP$1&lt;$AC53,0,IF(AP$1&gt;$AC53,IF('Véhicules MAJ 20012022'!AP$1-'Véhicules MAJ 20012022'!$AC53=1,$AD53*VLOOKUP(LEFT($A53,3),Feuil2!$A:$D,3,0),$AD53*VLOOKUP(LEFT($A53,3),Feuil2!$A:$D,4)),0))</f>
        <v>0</v>
      </c>
    </row>
    <row r="54" spans="1:42" x14ac:dyDescent="0.25">
      <c r="A54" s="5" t="s">
        <v>167</v>
      </c>
      <c r="B54" s="5" t="s">
        <v>60</v>
      </c>
      <c r="D54" s="5" t="s">
        <v>111</v>
      </c>
      <c r="F54" s="5" t="s">
        <v>169</v>
      </c>
      <c r="J54" s="9">
        <v>20000</v>
      </c>
      <c r="K54" s="9"/>
      <c r="N54" s="12"/>
      <c r="O54" s="13"/>
      <c r="P54" s="13"/>
      <c r="Q54" s="13"/>
      <c r="T54" s="9"/>
      <c r="V54" s="5" t="str">
        <f t="shared" si="0"/>
        <v>TRA</v>
      </c>
      <c r="W54" s="5" cm="1">
        <f t="array" ref="W54">_xlfn.IFS(LEFT(A54)="B",1,LEFT(A54)="R",2,LEFT(A54)="T",2,LEFT(A54)="V",2,LEFT(A54)="","")</f>
        <v>2</v>
      </c>
      <c r="X54" s="5">
        <v>5</v>
      </c>
      <c r="AA54" s="5">
        <f t="shared" si="1"/>
        <v>0</v>
      </c>
      <c r="AB54" s="5">
        <f t="shared" si="2"/>
        <v>1900</v>
      </c>
      <c r="AC54" s="98">
        <f t="shared" si="4"/>
        <v>1900</v>
      </c>
      <c r="AD54" s="115">
        <v>20000</v>
      </c>
      <c r="AO54" s="118">
        <f>IF(AO$1&lt;$AC54,0,IF(AO$1&gt;$AC54,IF('Véhicules MAJ 20012022'!AO$1-'Véhicules MAJ 20012022'!$AC54=1,$AD54*VLOOKUP(LEFT($A54,3),Feuil2!$A:$D,3,0),$AD54*VLOOKUP(LEFT($A54,3),Feuil2!$A:$D,4)),0))</f>
        <v>1400.0000000000002</v>
      </c>
      <c r="AP54" s="118">
        <f>IF(AP$1&lt;$AC54,0,IF(AP$1&gt;$AC54,IF('Véhicules MAJ 20012022'!AP$1-'Véhicules MAJ 20012022'!$AC54=1,$AD54*VLOOKUP(LEFT($A54,3),Feuil2!$A:$D,3,0),$AD54*VLOOKUP(LEFT($A54,3),Feuil2!$A:$D,4)),0))</f>
        <v>0</v>
      </c>
    </row>
    <row r="55" spans="1:42" x14ac:dyDescent="0.25">
      <c r="A55" s="7" t="s">
        <v>112</v>
      </c>
      <c r="B55" s="5" t="s">
        <v>188</v>
      </c>
      <c r="D55" s="5" t="s">
        <v>111</v>
      </c>
      <c r="E55" s="5" t="s">
        <v>62</v>
      </c>
      <c r="F55" s="5" t="s">
        <v>53</v>
      </c>
      <c r="G55" s="5">
        <v>64891</v>
      </c>
      <c r="I55" s="8">
        <v>43101</v>
      </c>
      <c r="J55" s="9">
        <v>17100</v>
      </c>
      <c r="K55" s="9"/>
      <c r="L55" s="5">
        <v>48</v>
      </c>
      <c r="R55" s="9"/>
      <c r="S55" s="9"/>
      <c r="T55" s="9">
        <v>120</v>
      </c>
      <c r="V55" s="5" t="str">
        <f t="shared" si="0"/>
        <v>TRA</v>
      </c>
      <c r="W55" s="5" cm="1">
        <f t="array" ref="W55">_xlfn.IFS(LEFT(A55)="B",1,LEFT(A55)="R",2,LEFT(A55)="T",2,LEFT(A55)="V",2,LEFT(A55)="","")</f>
        <v>2</v>
      </c>
      <c r="X55" s="5">
        <v>5</v>
      </c>
      <c r="Z55" s="5">
        <v>3</v>
      </c>
      <c r="AA55" s="5">
        <f t="shared" si="1"/>
        <v>36</v>
      </c>
      <c r="AB55" s="5">
        <f t="shared" si="2"/>
        <v>2018</v>
      </c>
      <c r="AC55" s="98">
        <f t="shared" si="4"/>
        <v>2021</v>
      </c>
      <c r="AD55" s="115">
        <v>17100</v>
      </c>
      <c r="AO55" s="118">
        <f>IF(AO$1&lt;$AC55,0,IF(AO$1&gt;$AC55,IF('Véhicules MAJ 20012022'!AO$1-'Véhicules MAJ 20012022'!$AC55=1,$AD55*VLOOKUP(LEFT($A55,3),Feuil2!$A:$D,3,0),$AD55*VLOOKUP(LEFT($A55,3),Feuil2!$A:$D,4)),0))</f>
        <v>1197.0000000000002</v>
      </c>
      <c r="AP55" s="118">
        <f>IF(AP$1&lt;$AC55,0,IF(AP$1&gt;$AC55,IF('Véhicules MAJ 20012022'!AP$1-'Véhicules MAJ 20012022'!$AC55=1,$AD55*VLOOKUP(LEFT($A55,3),Feuil2!$A:$D,3,0),$AD55*VLOOKUP(LEFT($A55,3),Feuil2!$A:$D,4)),0))</f>
        <v>0</v>
      </c>
    </row>
    <row r="56" spans="1:42" x14ac:dyDescent="0.25">
      <c r="A56" s="5" t="s">
        <v>171</v>
      </c>
      <c r="D56" s="5" t="s">
        <v>111</v>
      </c>
      <c r="E56" s="5" t="s">
        <v>62</v>
      </c>
      <c r="F56" s="5" t="s">
        <v>186</v>
      </c>
      <c r="G56" s="5">
        <v>31370</v>
      </c>
      <c r="J56" s="9"/>
      <c r="K56" s="9"/>
      <c r="R56" s="9"/>
      <c r="S56" s="9"/>
      <c r="T56" s="9">
        <v>120</v>
      </c>
      <c r="V56" s="5" t="str">
        <f t="shared" si="0"/>
        <v>TRA</v>
      </c>
      <c r="W56" s="5" cm="1">
        <f t="array" ref="W56">_xlfn.IFS(LEFT(A56)="B",1,LEFT(A56)="R",2,LEFT(A56)="T",2,LEFT(A56)="V",2,LEFT(A56)="","")</f>
        <v>2</v>
      </c>
      <c r="X56" s="5">
        <v>5</v>
      </c>
      <c r="AA56" s="5">
        <f t="shared" si="1"/>
        <v>0</v>
      </c>
      <c r="AB56" s="5">
        <f t="shared" si="2"/>
        <v>1900</v>
      </c>
      <c r="AC56" s="98">
        <f t="shared" si="4"/>
        <v>1900</v>
      </c>
      <c r="AD56" s="115"/>
      <c r="AO56" s="118">
        <f>IF(AO$1&lt;$AC56,0,IF(AO$1&gt;$AC56,IF('Véhicules MAJ 20012022'!AO$1-'Véhicules MAJ 20012022'!$AC56=1,$AD56*VLOOKUP(LEFT($A56,3),Feuil2!$A:$D,3,0),$AD56*VLOOKUP(LEFT($A56,3),Feuil2!$A:$D,4)),0))</f>
        <v>0</v>
      </c>
      <c r="AP56" s="118">
        <f>IF(AP$1&lt;$AC56,0,IF(AP$1&gt;$AC56,IF('Véhicules MAJ 20012022'!AP$1-'Véhicules MAJ 20012022'!$AC56=1,$AD56*VLOOKUP(LEFT($A56,3),Feuil2!$A:$D,3,0),$AD56*VLOOKUP(LEFT($A56,3),Feuil2!$A:$D,4)),0))</f>
        <v>0</v>
      </c>
    </row>
    <row r="57" spans="1:42" x14ac:dyDescent="0.25">
      <c r="A57" s="7" t="s">
        <v>113</v>
      </c>
      <c r="B57" s="5" t="s">
        <v>188</v>
      </c>
      <c r="D57" s="5" t="s">
        <v>111</v>
      </c>
      <c r="E57" s="20" t="s">
        <v>62</v>
      </c>
      <c r="F57" s="20" t="s">
        <v>54</v>
      </c>
      <c r="G57" s="20">
        <v>66021</v>
      </c>
      <c r="H57" s="20"/>
      <c r="I57" s="28">
        <v>43101</v>
      </c>
      <c r="J57" s="21">
        <v>17100</v>
      </c>
      <c r="K57" s="21"/>
      <c r="L57" s="20">
        <v>36</v>
      </c>
      <c r="M57" s="20"/>
      <c r="N57" s="20"/>
      <c r="O57" s="22"/>
      <c r="P57" s="22"/>
      <c r="Q57" s="22"/>
      <c r="R57" s="21"/>
      <c r="S57" s="21"/>
      <c r="T57" s="99">
        <v>120</v>
      </c>
      <c r="V57" s="5" t="str">
        <f t="shared" si="0"/>
        <v>TRA</v>
      </c>
      <c r="W57" s="5" cm="1">
        <f t="array" ref="W57">_xlfn.IFS(LEFT(A57)="B",1,LEFT(A57)="R",2,LEFT(A57)="T",2,LEFT(A57)="V",2,LEFT(A57)="","")</f>
        <v>2</v>
      </c>
      <c r="X57" s="5">
        <v>5</v>
      </c>
      <c r="Z57" s="5">
        <v>5</v>
      </c>
      <c r="AA57" s="5">
        <f t="shared" si="1"/>
        <v>60</v>
      </c>
      <c r="AB57" s="5">
        <f t="shared" si="2"/>
        <v>2018</v>
      </c>
      <c r="AC57" s="98">
        <f t="shared" si="4"/>
        <v>2023</v>
      </c>
      <c r="AD57" s="115">
        <v>17100</v>
      </c>
      <c r="AO57" s="118">
        <f>IF(AO$1&lt;$AC57,0,IF(AO$1&gt;$AC57,IF('Véhicules MAJ 20012022'!AO$1-'Véhicules MAJ 20012022'!$AC57=1,$AD57*VLOOKUP(LEFT($A57,3),Feuil2!$A:$D,3,0),$AD57*VLOOKUP(LEFT($A57,3),Feuil2!$A:$D,4)),0))</f>
        <v>0</v>
      </c>
      <c r="AP57" s="118">
        <f>IF(AP$1&lt;$AC57,0,IF(AP$1&gt;$AC57,IF('Véhicules MAJ 20012022'!AP$1-'Véhicules MAJ 20012022'!$AC57=1,$AD57*VLOOKUP(LEFT($A57,3),Feuil2!$A:$D,3,0),$AD57*VLOOKUP(LEFT($A57,3),Feuil2!$A:$D,4)),0))</f>
        <v>0</v>
      </c>
    </row>
    <row r="58" spans="1:42" x14ac:dyDescent="0.25">
      <c r="A58" s="7" t="s">
        <v>172</v>
      </c>
      <c r="B58" s="5" t="s">
        <v>60</v>
      </c>
      <c r="D58" s="5" t="s">
        <v>182</v>
      </c>
      <c r="E58" s="5" t="s">
        <v>62</v>
      </c>
      <c r="F58" s="14" t="s">
        <v>173</v>
      </c>
      <c r="G58" s="14">
        <v>80259</v>
      </c>
      <c r="H58" s="14"/>
      <c r="I58" s="29">
        <v>43003</v>
      </c>
      <c r="J58" s="23">
        <v>12850</v>
      </c>
      <c r="K58" s="23"/>
      <c r="L58" s="14">
        <v>60</v>
      </c>
      <c r="M58" s="14"/>
      <c r="N58" s="24"/>
      <c r="O58" s="25"/>
      <c r="P58" s="25"/>
      <c r="Q58" s="25"/>
      <c r="R58" s="23"/>
      <c r="S58" s="23"/>
      <c r="T58" s="9">
        <v>120</v>
      </c>
      <c r="V58" s="5" t="str">
        <f t="shared" si="0"/>
        <v>TRA</v>
      </c>
      <c r="W58" s="5" cm="1">
        <f t="array" ref="W58">_xlfn.IFS(LEFT(A58)="B",1,LEFT(A58)="R",2,LEFT(A58)="T",2,LEFT(A58)="V",2,LEFT(A58)="","")</f>
        <v>2</v>
      </c>
      <c r="X58" s="5">
        <v>5</v>
      </c>
      <c r="Z58" s="5">
        <v>5</v>
      </c>
      <c r="AA58" s="5">
        <f t="shared" si="1"/>
        <v>60</v>
      </c>
      <c r="AB58" s="5">
        <f t="shared" si="2"/>
        <v>2017</v>
      </c>
      <c r="AC58" s="98">
        <f t="shared" si="4"/>
        <v>2022</v>
      </c>
      <c r="AD58" s="117">
        <v>12850</v>
      </c>
      <c r="AO58" s="118">
        <f>IF(AO$1&lt;$AC58,0,IF(AO$1&gt;$AC58,IF('Véhicules MAJ 20012022'!AO$1-'Véhicules MAJ 20012022'!$AC58=1,$AD58*VLOOKUP(LEFT($A58,3),Feuil2!$A:$D,3,0),$AD58*VLOOKUP(LEFT($A58,3),Feuil2!$A:$D,4)),0))</f>
        <v>6425</v>
      </c>
      <c r="AP58" s="118">
        <f>IF(AP$1&lt;$AC58,0,IF(AP$1&gt;$AC58,IF('Véhicules MAJ 20012022'!AP$1-'Véhicules MAJ 20012022'!$AC58=1,$AD58*VLOOKUP(LEFT($A58,3),Feuil2!$A:$D,3,0),$AD58*VLOOKUP(LEFT($A58,3),Feuil2!$A:$D,4)),0))</f>
        <v>0</v>
      </c>
    </row>
    <row r="59" spans="1:42" x14ac:dyDescent="0.25">
      <c r="A59" s="7" t="s">
        <v>114</v>
      </c>
      <c r="B59" s="5" t="s">
        <v>188</v>
      </c>
      <c r="D59" s="5" t="s">
        <v>111</v>
      </c>
      <c r="E59" s="5" t="s">
        <v>63</v>
      </c>
      <c r="F59" s="5" t="s">
        <v>55</v>
      </c>
      <c r="G59" s="5">
        <v>402208029</v>
      </c>
      <c r="J59" s="9">
        <v>2800</v>
      </c>
      <c r="K59" s="9"/>
      <c r="L59" s="5">
        <v>36</v>
      </c>
      <c r="N59" s="12"/>
      <c r="T59" s="9">
        <v>120</v>
      </c>
      <c r="V59" s="5" t="str">
        <f t="shared" si="0"/>
        <v>TRA</v>
      </c>
      <c r="W59" s="5" cm="1">
        <f t="array" ref="W59">_xlfn.IFS(LEFT(A59)="B",1,LEFT(A59)="R",2,LEFT(A59)="T",2,LEFT(A59)="V",2,LEFT(A59)="","")</f>
        <v>2</v>
      </c>
      <c r="X59" s="5">
        <v>5</v>
      </c>
      <c r="AA59" s="5">
        <f t="shared" si="1"/>
        <v>0</v>
      </c>
      <c r="AB59" s="5">
        <f t="shared" si="2"/>
        <v>1900</v>
      </c>
      <c r="AC59" s="98">
        <f t="shared" si="4"/>
        <v>1900</v>
      </c>
      <c r="AD59" s="115">
        <v>2800</v>
      </c>
      <c r="AO59" s="118">
        <f>IF(AO$1&lt;$AC59,0,IF(AO$1&gt;$AC59,IF('Véhicules MAJ 20012022'!AO$1-'Véhicules MAJ 20012022'!$AC59=1,$AD59*VLOOKUP(LEFT($A59,3),Feuil2!$A:$D,3,0),$AD59*VLOOKUP(LEFT($A59,3),Feuil2!$A:$D,4)),0))</f>
        <v>196.00000000000003</v>
      </c>
      <c r="AP59" s="118">
        <f>IF(AP$1&lt;$AC59,0,IF(AP$1&gt;$AC59,IF('Véhicules MAJ 20012022'!AP$1-'Véhicules MAJ 20012022'!$AC59=1,$AD59*VLOOKUP(LEFT($A59,3),Feuil2!$A:$D,3,0),$AD59*VLOOKUP(LEFT($A59,3),Feuil2!$A:$D,4)),0))</f>
        <v>0</v>
      </c>
    </row>
    <row r="60" spans="1:42" x14ac:dyDescent="0.25">
      <c r="A60" s="7" t="s">
        <v>115</v>
      </c>
      <c r="B60" s="5" t="s">
        <v>188</v>
      </c>
      <c r="D60" s="5" t="s">
        <v>111</v>
      </c>
      <c r="E60" s="5" t="s">
        <v>62</v>
      </c>
      <c r="F60" s="5" t="s">
        <v>56</v>
      </c>
      <c r="G60" s="5">
        <v>11454</v>
      </c>
      <c r="H60" s="7"/>
      <c r="I60" s="30">
        <v>44639</v>
      </c>
      <c r="J60" s="9">
        <v>6270.6</v>
      </c>
      <c r="K60" s="9"/>
      <c r="L60" s="5">
        <v>38</v>
      </c>
      <c r="N60" s="12"/>
      <c r="O60" s="13"/>
      <c r="P60" s="13"/>
      <c r="Q60" s="13"/>
      <c r="T60" s="9">
        <v>120</v>
      </c>
      <c r="V60" s="5" t="str">
        <f t="shared" si="0"/>
        <v>TRA</v>
      </c>
      <c r="W60" s="5" cm="1">
        <f t="array" ref="W60">_xlfn.IFS(LEFT(A60)="B",1,LEFT(A60)="R",2,LEFT(A60)="T",2,LEFT(A60)="V",2,LEFT(A60)="","")</f>
        <v>2</v>
      </c>
      <c r="X60" s="5">
        <v>5</v>
      </c>
      <c r="AA60" s="5">
        <f t="shared" si="1"/>
        <v>0</v>
      </c>
      <c r="AB60" s="5">
        <f t="shared" si="2"/>
        <v>2022</v>
      </c>
      <c r="AC60" s="98">
        <f t="shared" si="4"/>
        <v>2022</v>
      </c>
      <c r="AD60" s="115">
        <v>6270.6</v>
      </c>
      <c r="AN60" s="118">
        <f>IF(AN$1&lt;$AC60,0,IF(AN$1&gt;$AC60,IF('Véhicules MAJ 20012022'!AN$1-'Véhicules MAJ 20012022'!$AC60=1,$AD60*VLOOKUP(LEFT($A60,3),Feuil2!$A:$D,3,0),$AD60*VLOOKUP(LEFT($A60,3),Feuil2!$A:$D,4)),0))</f>
        <v>438.94200000000006</v>
      </c>
      <c r="AO60" s="118">
        <f>IF(AO$1&lt;$AC60,0,IF(AO$1&gt;$AC60,IF('Véhicules MAJ 20012022'!AO$1-'Véhicules MAJ 20012022'!$AC60=1,$AD60*VLOOKUP(LEFT($A60,3),Feuil2!$A:$D,3,0),$AD60*VLOOKUP(LEFT($A60,3),Feuil2!$A:$D,4)),0))</f>
        <v>3135.3</v>
      </c>
      <c r="AP60" s="118">
        <f>IF(AP$1&lt;$AC60,0,IF(AP$1&gt;$AC60,IF('Véhicules MAJ 20012022'!AP$1-'Véhicules MAJ 20012022'!$AC60=1,$AD60*VLOOKUP(LEFT($A60,3),Feuil2!$A:$D,3,0),$AD60*VLOOKUP(LEFT($A60,3),Feuil2!$A:$D,4)),0))</f>
        <v>0</v>
      </c>
    </row>
    <row r="61" spans="1:42" x14ac:dyDescent="0.25">
      <c r="A61" s="7" t="s">
        <v>116</v>
      </c>
      <c r="B61" s="5" t="s">
        <v>188</v>
      </c>
      <c r="D61" s="5" t="s">
        <v>111</v>
      </c>
      <c r="E61" s="5" t="s">
        <v>62</v>
      </c>
      <c r="F61" s="5" t="s">
        <v>57</v>
      </c>
      <c r="G61" s="5">
        <v>11444</v>
      </c>
      <c r="H61" s="7"/>
      <c r="I61" s="30">
        <v>44639</v>
      </c>
      <c r="J61" s="9">
        <v>6270.6</v>
      </c>
      <c r="K61" s="9"/>
      <c r="L61" s="5">
        <v>38</v>
      </c>
      <c r="N61" s="12"/>
      <c r="O61" s="13"/>
      <c r="P61" s="13"/>
      <c r="Q61" s="13"/>
      <c r="T61" s="9">
        <v>120</v>
      </c>
      <c r="V61" s="5" t="str">
        <f t="shared" si="0"/>
        <v>TRA</v>
      </c>
      <c r="W61" s="5" cm="1">
        <f t="array" ref="W61">_xlfn.IFS(LEFT(A61)="B",1,LEFT(A61)="R",2,LEFT(A61)="T",2,LEFT(A61)="V",2,LEFT(A61)="","")</f>
        <v>2</v>
      </c>
      <c r="X61" s="5">
        <v>5</v>
      </c>
      <c r="AA61" s="5">
        <f t="shared" si="1"/>
        <v>0</v>
      </c>
      <c r="AB61" s="5">
        <f t="shared" si="2"/>
        <v>2022</v>
      </c>
      <c r="AC61" s="98">
        <f t="shared" si="4"/>
        <v>2022</v>
      </c>
      <c r="AD61" s="115">
        <v>6270.6</v>
      </c>
      <c r="AO61" s="118">
        <f>IF(AO$1&lt;$AC61,0,IF(AO$1&gt;$AC61,IF('Véhicules MAJ 20012022'!AO$1-'Véhicules MAJ 20012022'!$AC61=1,$AD61*VLOOKUP(LEFT($A61,3),Feuil2!$A:$D,3,0),$AD61*VLOOKUP(LEFT($A61,3),Feuil2!$A:$D,4)),0))</f>
        <v>3135.3</v>
      </c>
      <c r="AP61" s="118">
        <f>IF(AP$1&lt;$AC61,0,IF(AP$1&gt;$AC61,IF('Véhicules MAJ 20012022'!AP$1-'Véhicules MAJ 20012022'!$AC61=1,$AD61*VLOOKUP(LEFT($A61,3),Feuil2!$A:$D,3,0),$AD61*VLOOKUP(LEFT($A61,3),Feuil2!$A:$D,4)),0))</f>
        <v>0</v>
      </c>
    </row>
    <row r="62" spans="1:42" x14ac:dyDescent="0.25">
      <c r="A62" s="7" t="s">
        <v>117</v>
      </c>
      <c r="B62" s="5" t="s">
        <v>188</v>
      </c>
      <c r="D62" s="5" t="s">
        <v>111</v>
      </c>
      <c r="E62" s="5" t="s">
        <v>62</v>
      </c>
      <c r="F62" s="5" t="s">
        <v>67</v>
      </c>
      <c r="G62" s="5">
        <v>70814</v>
      </c>
      <c r="H62" s="26"/>
      <c r="I62" s="31">
        <v>43833</v>
      </c>
      <c r="J62" s="9">
        <v>15190</v>
      </c>
      <c r="K62" s="9"/>
      <c r="L62" s="5">
        <v>36</v>
      </c>
      <c r="N62" s="12"/>
      <c r="O62" s="13"/>
      <c r="P62" s="13"/>
      <c r="Q62" s="13"/>
      <c r="T62" s="9">
        <v>120</v>
      </c>
      <c r="V62" s="5" t="str">
        <f t="shared" si="0"/>
        <v>TRA</v>
      </c>
      <c r="W62" s="5" cm="1">
        <f t="array" ref="W62">_xlfn.IFS(LEFT(A62)="B",1,LEFT(A62)="R",2,LEFT(A62)="T",2,LEFT(A62)="V",2,LEFT(A62)="","")</f>
        <v>2</v>
      </c>
      <c r="X62" s="5">
        <v>5</v>
      </c>
      <c r="AA62" s="5">
        <f t="shared" si="1"/>
        <v>0</v>
      </c>
      <c r="AB62" s="5">
        <f t="shared" si="2"/>
        <v>2020</v>
      </c>
      <c r="AC62" s="98">
        <f t="shared" si="4"/>
        <v>2020</v>
      </c>
      <c r="AD62" s="115">
        <v>15190</v>
      </c>
      <c r="AO62" s="118">
        <f>IF(AO$1&lt;$AC62,0,IF(AO$1&gt;$AC62,IF('Véhicules MAJ 20012022'!AO$1-'Véhicules MAJ 20012022'!$AC62=1,$AD62*VLOOKUP(LEFT($A62,3),Feuil2!$A:$D,3,0),$AD62*VLOOKUP(LEFT($A62,3),Feuil2!$A:$D,4)),0))</f>
        <v>1063.3000000000002</v>
      </c>
      <c r="AP62" s="118">
        <f>IF(AP$1&lt;$AC62,0,IF(AP$1&gt;$AC62,IF('Véhicules MAJ 20012022'!AP$1-'Véhicules MAJ 20012022'!$AC62=1,$AD62*VLOOKUP(LEFT($A62,3),Feuil2!$A:$D,3,0),$AD62*VLOOKUP(LEFT($A62,3),Feuil2!$A:$D,4)),0))</f>
        <v>0</v>
      </c>
    </row>
    <row r="63" spans="1:42" x14ac:dyDescent="0.25">
      <c r="A63" s="7" t="s">
        <v>118</v>
      </c>
      <c r="B63" s="5" t="s">
        <v>188</v>
      </c>
      <c r="D63" s="5" t="s">
        <v>111</v>
      </c>
      <c r="E63" s="5" t="s">
        <v>62</v>
      </c>
      <c r="F63" s="5" t="s">
        <v>68</v>
      </c>
      <c r="G63" s="5">
        <v>11553</v>
      </c>
      <c r="H63" s="26"/>
      <c r="I63" s="31">
        <v>43833</v>
      </c>
      <c r="J63" s="9">
        <v>4710</v>
      </c>
      <c r="K63" s="9"/>
      <c r="L63" s="5">
        <v>36</v>
      </c>
      <c r="N63" s="12"/>
      <c r="O63" s="13"/>
      <c r="P63" s="13"/>
      <c r="Q63" s="13"/>
      <c r="T63" s="9">
        <v>120</v>
      </c>
      <c r="V63" s="5" t="str">
        <f t="shared" si="0"/>
        <v>TRA</v>
      </c>
      <c r="W63" s="5" cm="1">
        <f t="array" ref="W63">_xlfn.IFS(LEFT(A63)="B",1,LEFT(A63)="R",2,LEFT(A63)="T",2,LEFT(A63)="V",2,LEFT(A63)="","")</f>
        <v>2</v>
      </c>
      <c r="X63" s="5">
        <v>5</v>
      </c>
      <c r="AA63" s="5">
        <f t="shared" si="1"/>
        <v>0</v>
      </c>
      <c r="AB63" s="5">
        <f t="shared" si="2"/>
        <v>2020</v>
      </c>
      <c r="AC63" s="98">
        <f t="shared" si="4"/>
        <v>2020</v>
      </c>
      <c r="AD63" s="115">
        <v>4710</v>
      </c>
      <c r="AO63" s="118">
        <f>IF(AO$1&lt;$AC63,0,IF(AO$1&gt;$AC63,IF('Véhicules MAJ 20012022'!AO$1-'Véhicules MAJ 20012022'!$AC63=1,$AD63*VLOOKUP(LEFT($A63,3),Feuil2!$A:$D,3,0),$AD63*VLOOKUP(LEFT($A63,3),Feuil2!$A:$D,4)),0))</f>
        <v>329.70000000000005</v>
      </c>
      <c r="AP63" s="118">
        <f>IF(AP$1&lt;$AC63,0,IF(AP$1&gt;$AC63,IF('Véhicules MAJ 20012022'!AP$1-'Véhicules MAJ 20012022'!$AC63=1,$AD63*VLOOKUP(LEFT($A63,3),Feuil2!$A:$D,3,0),$AD63*VLOOKUP(LEFT($A63,3),Feuil2!$A:$D,4)),0))</f>
        <v>0</v>
      </c>
    </row>
    <row r="64" spans="1:42" x14ac:dyDescent="0.25">
      <c r="A64" s="7" t="s">
        <v>119</v>
      </c>
      <c r="B64" s="5" t="s">
        <v>188</v>
      </c>
      <c r="D64" s="5" t="s">
        <v>111</v>
      </c>
      <c r="E64" s="5" t="s">
        <v>62</v>
      </c>
      <c r="F64" s="5" t="s">
        <v>76</v>
      </c>
      <c r="G64" s="5">
        <v>11978</v>
      </c>
      <c r="I64" s="8">
        <v>44368</v>
      </c>
      <c r="J64" s="9">
        <v>5089</v>
      </c>
      <c r="K64" s="9"/>
      <c r="L64" s="5">
        <v>36</v>
      </c>
      <c r="N64" s="12"/>
      <c r="O64" s="13"/>
      <c r="P64" s="13"/>
      <c r="Q64" s="13"/>
      <c r="T64" s="9">
        <v>120</v>
      </c>
      <c r="V64" s="5" t="str">
        <f t="shared" si="0"/>
        <v>TRA</v>
      </c>
      <c r="W64" s="5" cm="1">
        <f t="array" ref="W64">_xlfn.IFS(LEFT(A64)="B",1,LEFT(A64)="R",2,LEFT(A64)="T",2,LEFT(A64)="V",2,LEFT(A64)="","")</f>
        <v>2</v>
      </c>
      <c r="X64" s="5">
        <v>5</v>
      </c>
      <c r="AA64" s="5">
        <f t="shared" si="1"/>
        <v>0</v>
      </c>
      <c r="AB64" s="5">
        <f t="shared" si="2"/>
        <v>2021</v>
      </c>
      <c r="AC64" s="98">
        <f t="shared" si="4"/>
        <v>2021</v>
      </c>
      <c r="AD64" s="115">
        <v>5089</v>
      </c>
      <c r="AO64" s="118">
        <f>IF(AO$1&lt;$AC64,0,IF(AO$1&gt;$AC64,IF('Véhicules MAJ 20012022'!AO$1-'Véhicules MAJ 20012022'!$AC64=1,$AD64*VLOOKUP(LEFT($A64,3),Feuil2!$A:$D,3,0),$AD64*VLOOKUP(LEFT($A64,3),Feuil2!$A:$D,4)),0))</f>
        <v>356.23</v>
      </c>
      <c r="AP64" s="118">
        <f>IF(AP$1&lt;$AC64,0,IF(AP$1&gt;$AC64,IF('Véhicules MAJ 20012022'!AP$1-'Véhicules MAJ 20012022'!$AC64=1,$AD64*VLOOKUP(LEFT($A64,3),Feuil2!$A:$D,3,0),$AD64*VLOOKUP(LEFT($A64,3),Feuil2!$A:$D,4)),0))</f>
        <v>0</v>
      </c>
    </row>
    <row r="65" spans="1:42" x14ac:dyDescent="0.25">
      <c r="A65" s="7" t="s">
        <v>120</v>
      </c>
      <c r="B65" s="5" t="s">
        <v>188</v>
      </c>
      <c r="D65" s="5" t="s">
        <v>111</v>
      </c>
      <c r="E65" s="5" t="s">
        <v>62</v>
      </c>
      <c r="F65" s="5" t="s">
        <v>75</v>
      </c>
      <c r="G65" s="5">
        <v>12089</v>
      </c>
      <c r="I65" s="8">
        <v>44368</v>
      </c>
      <c r="J65" s="9">
        <v>5089</v>
      </c>
      <c r="K65" s="9"/>
      <c r="L65" s="5">
        <v>36</v>
      </c>
      <c r="N65" s="12"/>
      <c r="O65" s="13"/>
      <c r="P65" s="13"/>
      <c r="Q65" s="13"/>
      <c r="T65" s="9">
        <v>120</v>
      </c>
      <c r="V65" s="5" t="str">
        <f t="shared" si="0"/>
        <v/>
      </c>
      <c r="W65" s="5" cm="1">
        <f t="array" ref="W65">_xlfn.IFS(LEFT(A65)="B",1,LEFT(A65)="R",2,LEFT(A65)="T",2,LEFT(A65)="V",2,LEFT(A65)="","")</f>
        <v>2</v>
      </c>
      <c r="X65" s="5">
        <v>5</v>
      </c>
      <c r="AA65" s="5">
        <f t="shared" si="1"/>
        <v>0</v>
      </c>
      <c r="AB65" s="5">
        <f t="shared" si="2"/>
        <v>2021</v>
      </c>
      <c r="AC65" s="98">
        <f t="shared" si="4"/>
        <v>2021</v>
      </c>
      <c r="AD65" s="115">
        <v>5089</v>
      </c>
      <c r="AO65" s="118">
        <f>IF(AO$1&lt;$AC65,0,IF(AO$1&gt;$AC65,IF('Véhicules MAJ 20012022'!AO$1-'Véhicules MAJ 20012022'!$AC65=1,$AD65*VLOOKUP(LEFT($A65,3),Feuil2!$A:$D,3,0),$AD65*VLOOKUP(LEFT($A65,3),Feuil2!$A:$D,4)),0))</f>
        <v>356.23</v>
      </c>
      <c r="AP65" s="118">
        <f>IF(AP$1&lt;$AC65,0,IF(AP$1&gt;$AC65,IF('Véhicules MAJ 20012022'!AP$1-'Véhicules MAJ 20012022'!$AC65=1,$AD65*VLOOKUP(LEFT($A65,3),Feuil2!$A:$D,3,0),$AD65*VLOOKUP(LEFT($A65,3),Feuil2!$A:$D,4)),0))</f>
        <v>0</v>
      </c>
    </row>
    <row r="66" spans="1:42" x14ac:dyDescent="0.25">
      <c r="V66" s="5" t="str">
        <f t="shared" si="0"/>
        <v/>
      </c>
      <c r="AA66" s="5">
        <f t="shared" si="1"/>
        <v>0</v>
      </c>
      <c r="AB66" s="5">
        <f t="shared" si="2"/>
        <v>1900</v>
      </c>
      <c r="AC66" s="98">
        <f t="shared" si="4"/>
        <v>1900</v>
      </c>
    </row>
    <row r="120" spans="1:3" x14ac:dyDescent="0.25">
      <c r="A120" s="5" t="s">
        <v>0</v>
      </c>
      <c r="C120" s="5">
        <v>2020</v>
      </c>
    </row>
    <row r="121" spans="1:3" x14ac:dyDescent="0.25">
      <c r="A121" s="5" t="s">
        <v>1</v>
      </c>
      <c r="C121" s="5">
        <v>2021</v>
      </c>
    </row>
    <row r="122" spans="1:3" x14ac:dyDescent="0.25">
      <c r="A122" s="5" t="s">
        <v>2</v>
      </c>
      <c r="C122" s="5">
        <v>2022</v>
      </c>
    </row>
    <row r="123" spans="1:3" x14ac:dyDescent="0.25">
      <c r="A123" s="5" t="s">
        <v>3</v>
      </c>
      <c r="C123" s="5">
        <v>2023</v>
      </c>
    </row>
    <row r="124" spans="1:3" x14ac:dyDescent="0.25">
      <c r="A124" s="5" t="s">
        <v>4</v>
      </c>
      <c r="C124" s="5">
        <v>2024</v>
      </c>
    </row>
    <row r="125" spans="1:3" x14ac:dyDescent="0.25">
      <c r="A125" s="5" t="s">
        <v>5</v>
      </c>
      <c r="C125" s="5">
        <v>2025</v>
      </c>
    </row>
    <row r="126" spans="1:3" x14ac:dyDescent="0.25">
      <c r="A126" s="5" t="s">
        <v>6</v>
      </c>
      <c r="C126" s="5">
        <v>2026</v>
      </c>
    </row>
    <row r="127" spans="1:3" x14ac:dyDescent="0.25">
      <c r="A127" s="5" t="s">
        <v>7</v>
      </c>
      <c r="C127" s="5">
        <v>2027</v>
      </c>
    </row>
    <row r="128" spans="1:3" x14ac:dyDescent="0.25">
      <c r="A128" s="5" t="s">
        <v>8</v>
      </c>
      <c r="C128" s="5">
        <v>2028</v>
      </c>
    </row>
    <row r="129" spans="1:3" x14ac:dyDescent="0.25">
      <c r="A129" s="5" t="s">
        <v>9</v>
      </c>
      <c r="C129" s="5">
        <v>2029</v>
      </c>
    </row>
    <row r="130" spans="1:3" x14ac:dyDescent="0.25">
      <c r="A130" s="5" t="s">
        <v>10</v>
      </c>
      <c r="C130" s="5">
        <v>2030</v>
      </c>
    </row>
    <row r="131" spans="1:3" x14ac:dyDescent="0.25">
      <c r="A131" s="5" t="s">
        <v>11</v>
      </c>
      <c r="C131" s="5">
        <v>2031</v>
      </c>
    </row>
  </sheetData>
  <phoneticPr fontId="1" type="noConversion"/>
  <conditionalFormatting sqref="G51">
    <cfRule type="expression" dxfId="5" priority="6">
      <formula>MOD(ROW(),2)</formula>
    </cfRule>
  </conditionalFormatting>
  <pageMargins left="0.11811023622047245" right="0.11811023622047245" top="0.94488188976377963" bottom="0.15748031496062992" header="0.31496062992125984" footer="0.31496062992125984"/>
  <pageSetup paperSize="9" orientation="landscape" r:id="rId1"/>
  <headerFooter>
    <oddHeader>&amp;C&amp;"-,Gras"&amp;14 VEHICULES / ENGINS AGRICOLES / REMORQUES GPDG</oddHeader>
  </headerFooter>
  <customProperties>
    <customPr name="_pios_id" r:id="rId2"/>
  </customProperties>
  <drawing r:id="rId3"/>
  <legacy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15D144-47C4-4B97-976D-F4BC06388791}">
  <sheetPr codeName="Feuil5"/>
  <dimension ref="A1:V88"/>
  <sheetViews>
    <sheetView workbookViewId="0">
      <selection activeCell="G95" sqref="G95"/>
    </sheetView>
  </sheetViews>
  <sheetFormatPr baseColWidth="10" defaultColWidth="11.42578125" defaultRowHeight="12" x14ac:dyDescent="0.25"/>
  <cols>
    <col min="1" max="1" width="10.42578125" style="5" bestFit="1" customWidth="1"/>
    <col min="2" max="2" width="10.42578125" style="5" customWidth="1"/>
    <col min="3" max="3" width="10.42578125" style="5" bestFit="1" customWidth="1"/>
    <col min="4" max="4" width="12.140625" style="5" bestFit="1" customWidth="1"/>
    <col min="5" max="5" width="18.140625" style="5" bestFit="1" customWidth="1"/>
    <col min="6" max="6" width="20.85546875" style="5" bestFit="1" customWidth="1"/>
    <col min="7" max="7" width="20.140625" style="5" bestFit="1" customWidth="1"/>
    <col min="8" max="8" width="13" style="5" bestFit="1" customWidth="1"/>
    <col min="9" max="9" width="9" style="5" customWidth="1"/>
    <col min="10" max="10" width="6.7109375" style="5" customWidth="1"/>
    <col min="11" max="12" width="10.85546875" style="5" customWidth="1"/>
    <col min="13" max="22" width="10.85546875" style="88" customWidth="1"/>
    <col min="23" max="16384" width="11.42578125" style="5"/>
  </cols>
  <sheetData>
    <row r="1" spans="1:22" ht="12.95" customHeight="1" x14ac:dyDescent="0.25">
      <c r="A1" s="70" t="s">
        <v>97</v>
      </c>
      <c r="B1" s="70"/>
      <c r="C1" s="70"/>
      <c r="D1" s="70" t="s">
        <v>17</v>
      </c>
      <c r="E1" s="70" t="s">
        <v>18</v>
      </c>
      <c r="F1" s="70" t="s">
        <v>106</v>
      </c>
      <c r="G1" s="70"/>
      <c r="H1" s="70"/>
      <c r="I1" s="70"/>
      <c r="J1" s="70" t="s">
        <v>151</v>
      </c>
      <c r="K1" s="70" t="s">
        <v>159</v>
      </c>
      <c r="L1" s="70" t="s">
        <v>219</v>
      </c>
      <c r="M1" s="71" t="s">
        <v>220</v>
      </c>
      <c r="N1" s="71" t="s">
        <v>221</v>
      </c>
      <c r="O1" s="71" t="s">
        <v>222</v>
      </c>
      <c r="P1" s="71" t="s">
        <v>223</v>
      </c>
      <c r="Q1" s="71" t="s">
        <v>224</v>
      </c>
      <c r="R1" s="71" t="s">
        <v>225</v>
      </c>
      <c r="S1" s="71" t="s">
        <v>226</v>
      </c>
      <c r="T1" s="71" t="s">
        <v>227</v>
      </c>
      <c r="U1" s="71" t="s">
        <v>228</v>
      </c>
      <c r="V1" s="71" t="s">
        <v>229</v>
      </c>
    </row>
    <row r="2" spans="1:22" ht="12.95" customHeight="1" x14ac:dyDescent="0.25">
      <c r="A2" s="72" t="s">
        <v>133</v>
      </c>
      <c r="B2" s="72"/>
      <c r="C2" s="27"/>
      <c r="D2" s="27" t="s">
        <v>19</v>
      </c>
      <c r="E2" s="27" t="s">
        <v>20</v>
      </c>
      <c r="F2" s="27" t="s">
        <v>230</v>
      </c>
      <c r="G2" s="27"/>
      <c r="H2" s="27"/>
      <c r="I2" s="27"/>
      <c r="J2" s="27" t="s">
        <v>152</v>
      </c>
      <c r="K2" s="27" t="s">
        <v>153</v>
      </c>
      <c r="L2" s="27" t="s">
        <v>3</v>
      </c>
      <c r="M2" s="73">
        <v>1401.29</v>
      </c>
      <c r="N2" s="73">
        <v>1342.37</v>
      </c>
      <c r="O2" s="73">
        <v>1272.3800000000001</v>
      </c>
      <c r="P2" s="73">
        <v>1262.42</v>
      </c>
      <c r="Q2" s="73">
        <v>1249.93</v>
      </c>
      <c r="R2" s="73">
        <v>1214.32</v>
      </c>
      <c r="S2" s="73"/>
      <c r="T2" s="73"/>
      <c r="U2" s="73"/>
      <c r="V2" s="73"/>
    </row>
    <row r="3" spans="1:22" ht="12.95" customHeight="1" x14ac:dyDescent="0.25">
      <c r="A3" s="72" t="s">
        <v>134</v>
      </c>
      <c r="B3" s="72"/>
      <c r="C3" s="27"/>
      <c r="D3" s="27" t="s">
        <v>21</v>
      </c>
      <c r="E3" s="27" t="s">
        <v>22</v>
      </c>
      <c r="F3" s="27" t="s">
        <v>230</v>
      </c>
      <c r="G3" s="27"/>
      <c r="H3" s="27"/>
      <c r="I3" s="27"/>
      <c r="J3" s="27" t="s">
        <v>152</v>
      </c>
      <c r="K3" s="27" t="s">
        <v>153</v>
      </c>
      <c r="L3" s="27" t="s">
        <v>3</v>
      </c>
      <c r="M3" s="73">
        <v>1518.22</v>
      </c>
      <c r="N3" s="73">
        <v>1471.01</v>
      </c>
      <c r="O3" s="73">
        <v>1448.41</v>
      </c>
      <c r="P3" s="73">
        <v>1439.06</v>
      </c>
      <c r="Q3" s="73">
        <v>1427.02</v>
      </c>
      <c r="R3" s="73">
        <v>1374.59</v>
      </c>
      <c r="S3" s="73">
        <v>1337.27</v>
      </c>
      <c r="T3" s="73">
        <v>1181.3599999999999</v>
      </c>
      <c r="U3" s="73">
        <v>1100.99</v>
      </c>
      <c r="V3" s="73"/>
    </row>
    <row r="4" spans="1:22" ht="12.95" customHeight="1" x14ac:dyDescent="0.25">
      <c r="A4" s="27" t="s">
        <v>81</v>
      </c>
      <c r="B4" s="27"/>
      <c r="C4" s="27"/>
      <c r="D4" s="27" t="s">
        <v>21</v>
      </c>
      <c r="E4" s="27" t="s">
        <v>22</v>
      </c>
      <c r="F4" s="27" t="s">
        <v>107</v>
      </c>
      <c r="G4" s="27"/>
      <c r="H4" s="27"/>
      <c r="I4" s="27"/>
      <c r="J4" s="27" t="s">
        <v>152</v>
      </c>
      <c r="K4" s="27" t="s">
        <v>153</v>
      </c>
      <c r="L4" s="27" t="s">
        <v>6</v>
      </c>
      <c r="M4" s="73">
        <v>993.01</v>
      </c>
      <c r="N4" s="73"/>
      <c r="O4" s="73"/>
      <c r="P4" s="73"/>
      <c r="Q4" s="73"/>
      <c r="R4" s="73"/>
      <c r="S4" s="73"/>
      <c r="T4" s="73"/>
      <c r="U4" s="73"/>
      <c r="V4" s="73"/>
    </row>
    <row r="5" spans="1:22" ht="12.95" customHeight="1" x14ac:dyDescent="0.25">
      <c r="A5" s="27" t="s">
        <v>82</v>
      </c>
      <c r="B5" s="27"/>
      <c r="C5" s="27"/>
      <c r="D5" s="27" t="s">
        <v>23</v>
      </c>
      <c r="E5" s="27" t="s">
        <v>24</v>
      </c>
      <c r="F5" s="27" t="s">
        <v>107</v>
      </c>
      <c r="G5" s="27"/>
      <c r="H5" s="27"/>
      <c r="I5" s="27"/>
      <c r="J5" s="27" t="s">
        <v>152</v>
      </c>
      <c r="K5" s="27" t="s">
        <v>153</v>
      </c>
      <c r="L5" s="27" t="s">
        <v>231</v>
      </c>
      <c r="M5" s="73"/>
      <c r="N5" s="73"/>
      <c r="O5" s="73"/>
      <c r="P5" s="73"/>
      <c r="Q5" s="73"/>
      <c r="R5" s="73"/>
      <c r="S5" s="73"/>
      <c r="T5" s="73"/>
      <c r="U5" s="73"/>
      <c r="V5" s="73"/>
    </row>
    <row r="6" spans="1:22" ht="12.95" customHeight="1" x14ac:dyDescent="0.25">
      <c r="A6" s="74" t="s">
        <v>135</v>
      </c>
      <c r="B6" s="74"/>
      <c r="C6" s="27"/>
      <c r="D6" s="27" t="s">
        <v>19</v>
      </c>
      <c r="E6" s="27" t="s">
        <v>25</v>
      </c>
      <c r="F6" s="27" t="s">
        <v>107</v>
      </c>
      <c r="G6" s="27"/>
      <c r="H6" s="27"/>
      <c r="I6" s="27"/>
      <c r="J6" s="27" t="s">
        <v>152</v>
      </c>
      <c r="K6" s="27" t="s">
        <v>154</v>
      </c>
      <c r="L6" s="27" t="s">
        <v>2</v>
      </c>
      <c r="M6" s="73">
        <v>1412.55</v>
      </c>
      <c r="N6" s="73">
        <v>1365.12</v>
      </c>
      <c r="O6" s="73">
        <v>1311.53</v>
      </c>
      <c r="P6" s="73">
        <v>1258.67</v>
      </c>
      <c r="Q6" s="73">
        <v>1246.6600000000001</v>
      </c>
      <c r="R6" s="73">
        <v>1192.1400000000001</v>
      </c>
      <c r="S6" s="73"/>
      <c r="T6" s="73"/>
      <c r="U6" s="73"/>
      <c r="V6" s="73"/>
    </row>
    <row r="7" spans="1:22" ht="12.95" customHeight="1" x14ac:dyDescent="0.25">
      <c r="A7" s="74" t="s">
        <v>136</v>
      </c>
      <c r="B7" s="74"/>
      <c r="C7" s="27"/>
      <c r="D7" s="27" t="s">
        <v>26</v>
      </c>
      <c r="E7" s="27" t="s">
        <v>24</v>
      </c>
      <c r="F7" s="27" t="s">
        <v>107</v>
      </c>
      <c r="G7" s="27"/>
      <c r="H7" s="27"/>
      <c r="I7" s="27"/>
      <c r="J7" s="27" t="s">
        <v>152</v>
      </c>
      <c r="K7" s="27" t="s">
        <v>154</v>
      </c>
      <c r="L7" s="27" t="s">
        <v>5</v>
      </c>
      <c r="M7" s="73">
        <v>1511.94</v>
      </c>
      <c r="N7" s="73">
        <v>1163.02</v>
      </c>
      <c r="O7" s="73">
        <v>1145.3800000000001</v>
      </c>
      <c r="P7" s="73">
        <v>1115.82</v>
      </c>
      <c r="Q7" s="73">
        <v>882.09</v>
      </c>
      <c r="R7" s="73">
        <v>799.34</v>
      </c>
      <c r="S7" s="73"/>
      <c r="T7" s="73"/>
      <c r="U7" s="73"/>
      <c r="V7" s="73"/>
    </row>
    <row r="8" spans="1:22" ht="12.95" customHeight="1" x14ac:dyDescent="0.25">
      <c r="A8" s="74" t="s">
        <v>137</v>
      </c>
      <c r="B8" s="74"/>
      <c r="C8" s="27"/>
      <c r="D8" s="27" t="s">
        <v>26</v>
      </c>
      <c r="E8" s="27" t="s">
        <v>24</v>
      </c>
      <c r="F8" s="27" t="s">
        <v>107</v>
      </c>
      <c r="G8" s="27"/>
      <c r="H8" s="27"/>
      <c r="I8" s="27"/>
      <c r="J8" s="27" t="s">
        <v>152</v>
      </c>
      <c r="K8" s="27" t="s">
        <v>154</v>
      </c>
      <c r="L8" s="27" t="s">
        <v>5</v>
      </c>
      <c r="M8" s="73">
        <v>1063.6300000000001</v>
      </c>
      <c r="N8" s="73">
        <v>1020.06</v>
      </c>
      <c r="O8" s="73">
        <v>1002.11</v>
      </c>
      <c r="P8" s="73">
        <v>967.73</v>
      </c>
      <c r="Q8" s="73">
        <v>950.07</v>
      </c>
      <c r="R8" s="73">
        <v>716.68</v>
      </c>
      <c r="S8" s="73"/>
      <c r="T8" s="73"/>
      <c r="U8" s="73"/>
      <c r="V8" s="73"/>
    </row>
    <row r="9" spans="1:22" ht="12.95" customHeight="1" x14ac:dyDescent="0.25">
      <c r="A9" s="74" t="s">
        <v>138</v>
      </c>
      <c r="B9" s="74"/>
      <c r="C9" s="27"/>
      <c r="D9" s="27" t="s">
        <v>26</v>
      </c>
      <c r="E9" s="27" t="s">
        <v>24</v>
      </c>
      <c r="F9" s="27" t="s">
        <v>107</v>
      </c>
      <c r="G9" s="27"/>
      <c r="H9" s="27"/>
      <c r="I9" s="27"/>
      <c r="J9" s="27" t="s">
        <v>152</v>
      </c>
      <c r="K9" s="27" t="s">
        <v>154</v>
      </c>
      <c r="L9" s="27" t="s">
        <v>232</v>
      </c>
      <c r="M9" s="73">
        <v>1140.6099999999999</v>
      </c>
      <c r="N9" s="73">
        <v>1051.24</v>
      </c>
      <c r="O9" s="73">
        <v>1023.71</v>
      </c>
      <c r="P9" s="73">
        <v>994.27</v>
      </c>
      <c r="Q9" s="73">
        <v>915.09</v>
      </c>
      <c r="R9" s="73"/>
      <c r="S9" s="73"/>
      <c r="T9" s="73"/>
      <c r="U9" s="73"/>
      <c r="V9" s="73"/>
    </row>
    <row r="10" spans="1:22" ht="12.95" customHeight="1" x14ac:dyDescent="0.25">
      <c r="A10" s="74" t="s">
        <v>139</v>
      </c>
      <c r="B10" s="74"/>
      <c r="C10" s="27"/>
      <c r="D10" s="27" t="s">
        <v>26</v>
      </c>
      <c r="E10" s="27" t="s">
        <v>24</v>
      </c>
      <c r="F10" s="27" t="s">
        <v>107</v>
      </c>
      <c r="G10" s="27"/>
      <c r="H10" s="27"/>
      <c r="I10" s="27"/>
      <c r="J10" s="27" t="s">
        <v>152</v>
      </c>
      <c r="K10" s="27" t="s">
        <v>154</v>
      </c>
      <c r="L10" s="27" t="s">
        <v>232</v>
      </c>
      <c r="M10" s="73">
        <v>1096.03</v>
      </c>
      <c r="N10" s="73">
        <v>1046.03</v>
      </c>
      <c r="O10" s="73">
        <v>1012.14</v>
      </c>
      <c r="P10" s="73">
        <v>1004.42</v>
      </c>
      <c r="Q10" s="73">
        <v>915.09</v>
      </c>
      <c r="R10" s="73"/>
      <c r="S10" s="73"/>
      <c r="T10" s="73"/>
      <c r="U10" s="73"/>
      <c r="V10" s="73"/>
    </row>
    <row r="11" spans="1:22" ht="12.95" customHeight="1" x14ac:dyDescent="0.25">
      <c r="A11" s="74" t="s">
        <v>140</v>
      </c>
      <c r="B11" s="74"/>
      <c r="C11" s="27"/>
      <c r="D11" s="27" t="s">
        <v>26</v>
      </c>
      <c r="E11" s="27" t="s">
        <v>24</v>
      </c>
      <c r="F11" s="27" t="s">
        <v>107</v>
      </c>
      <c r="G11" s="27"/>
      <c r="H11" s="27"/>
      <c r="I11" s="27"/>
      <c r="J11" s="27" t="s">
        <v>152</v>
      </c>
      <c r="K11" s="27" t="s">
        <v>154</v>
      </c>
      <c r="L11" s="27" t="s">
        <v>2</v>
      </c>
      <c r="M11" s="73">
        <v>889.49</v>
      </c>
      <c r="N11" s="73">
        <v>850.88</v>
      </c>
      <c r="O11" s="73">
        <v>793.61</v>
      </c>
      <c r="P11" s="73"/>
      <c r="Q11" s="73"/>
      <c r="R11" s="73"/>
      <c r="S11" s="73"/>
      <c r="T11" s="73"/>
      <c r="U11" s="73"/>
      <c r="V11" s="73"/>
    </row>
    <row r="12" spans="1:22" ht="12.95" customHeight="1" x14ac:dyDescent="0.25">
      <c r="A12" s="74" t="s">
        <v>141</v>
      </c>
      <c r="B12" s="74"/>
      <c r="C12" s="27"/>
      <c r="D12" s="27" t="s">
        <v>26</v>
      </c>
      <c r="E12" s="27" t="s">
        <v>24</v>
      </c>
      <c r="F12" s="27" t="s">
        <v>107</v>
      </c>
      <c r="G12" s="27"/>
      <c r="H12" s="27"/>
      <c r="I12" s="27"/>
      <c r="J12" s="27" t="s">
        <v>152</v>
      </c>
      <c r="K12" s="27" t="s">
        <v>154</v>
      </c>
      <c r="L12" s="27" t="s">
        <v>2</v>
      </c>
      <c r="M12" s="73">
        <v>1109.8599999999999</v>
      </c>
      <c r="N12" s="73">
        <v>853.72</v>
      </c>
      <c r="O12" s="73">
        <v>793.91</v>
      </c>
      <c r="P12" s="73"/>
      <c r="Q12" s="73"/>
      <c r="R12" s="73"/>
      <c r="S12" s="73"/>
      <c r="T12" s="73"/>
      <c r="U12" s="73"/>
      <c r="V12" s="73"/>
    </row>
    <row r="13" spans="1:22" ht="12.95" customHeight="1" x14ac:dyDescent="0.25">
      <c r="A13" s="74" t="s">
        <v>189</v>
      </c>
      <c r="B13" s="74"/>
      <c r="C13" s="27"/>
      <c r="D13" s="27" t="s">
        <v>27</v>
      </c>
      <c r="E13" s="27" t="s">
        <v>34</v>
      </c>
      <c r="F13" s="27" t="s">
        <v>107</v>
      </c>
      <c r="G13" s="27"/>
      <c r="H13" s="27"/>
      <c r="I13" s="27"/>
      <c r="J13" s="27" t="s">
        <v>152</v>
      </c>
      <c r="K13" s="27" t="s">
        <v>154</v>
      </c>
      <c r="L13" s="27" t="s">
        <v>231</v>
      </c>
      <c r="M13" s="73"/>
      <c r="N13" s="73">
        <v>822.57</v>
      </c>
      <c r="O13" s="73"/>
      <c r="P13" s="73"/>
      <c r="Q13" s="73"/>
      <c r="R13" s="73"/>
      <c r="S13" s="73"/>
      <c r="T13" s="73"/>
      <c r="U13" s="73"/>
      <c r="V13" s="73"/>
    </row>
    <row r="14" spans="1:22" ht="12.95" customHeight="1" x14ac:dyDescent="0.25">
      <c r="A14" s="74" t="s">
        <v>190</v>
      </c>
      <c r="B14" s="74"/>
      <c r="C14" s="27"/>
      <c r="D14" s="27" t="s">
        <v>191</v>
      </c>
      <c r="E14" s="27" t="s">
        <v>192</v>
      </c>
      <c r="F14" s="27" t="s">
        <v>107</v>
      </c>
      <c r="H14" s="27"/>
      <c r="I14" s="27"/>
      <c r="J14" s="27" t="s">
        <v>152</v>
      </c>
      <c r="K14" s="27" t="s">
        <v>154</v>
      </c>
      <c r="L14" s="27" t="s">
        <v>231</v>
      </c>
      <c r="N14" s="73">
        <v>771.26</v>
      </c>
      <c r="O14" s="73"/>
      <c r="P14" s="73"/>
      <c r="Q14" s="73"/>
      <c r="R14" s="73"/>
      <c r="S14" s="73"/>
      <c r="T14" s="73"/>
      <c r="U14" s="73"/>
      <c r="V14" s="73"/>
    </row>
    <row r="15" spans="1:22" ht="12" customHeight="1" x14ac:dyDescent="0.25">
      <c r="A15" s="74" t="s">
        <v>216</v>
      </c>
      <c r="B15" s="74"/>
      <c r="C15" s="27"/>
      <c r="D15" s="27" t="s">
        <v>27</v>
      </c>
      <c r="E15" s="27" t="s">
        <v>34</v>
      </c>
      <c r="F15" s="27" t="s">
        <v>107</v>
      </c>
      <c r="G15" s="27"/>
      <c r="H15" s="27"/>
      <c r="I15" s="27"/>
      <c r="J15" s="27"/>
      <c r="K15" s="27"/>
      <c r="L15" s="27"/>
      <c r="M15" s="73"/>
      <c r="N15" s="73"/>
      <c r="O15" s="73"/>
      <c r="P15" s="73"/>
      <c r="Q15" s="73"/>
      <c r="R15" s="73"/>
      <c r="S15" s="73"/>
      <c r="T15" s="73"/>
      <c r="U15" s="73"/>
      <c r="V15" s="73"/>
    </row>
    <row r="16" spans="1:22" ht="12.95" customHeight="1" x14ac:dyDescent="0.25">
      <c r="A16" s="74" t="s">
        <v>217</v>
      </c>
      <c r="B16" s="74"/>
      <c r="C16" s="27"/>
      <c r="D16" s="27" t="s">
        <v>27</v>
      </c>
      <c r="E16" s="27" t="s">
        <v>34</v>
      </c>
      <c r="F16" s="27" t="s">
        <v>107</v>
      </c>
      <c r="H16" s="27"/>
      <c r="I16" s="27"/>
      <c r="J16" s="27"/>
      <c r="K16" s="27"/>
      <c r="L16" s="27"/>
      <c r="M16" s="73"/>
      <c r="N16" s="73"/>
      <c r="O16" s="73"/>
      <c r="P16" s="73"/>
      <c r="Q16" s="73"/>
      <c r="R16" s="73"/>
      <c r="S16" s="73"/>
      <c r="T16" s="73"/>
      <c r="U16" s="73"/>
      <c r="V16" s="73"/>
    </row>
    <row r="17" spans="1:22" ht="12.95" customHeight="1" x14ac:dyDescent="0.25">
      <c r="A17" s="74" t="s">
        <v>218</v>
      </c>
      <c r="B17" s="74"/>
      <c r="C17" s="27"/>
      <c r="D17" s="27" t="s">
        <v>191</v>
      </c>
      <c r="E17" s="27" t="s">
        <v>192</v>
      </c>
      <c r="F17" s="27" t="s">
        <v>107</v>
      </c>
      <c r="G17" s="27"/>
      <c r="H17" s="27"/>
      <c r="I17" s="27"/>
      <c r="J17" s="27"/>
      <c r="K17" s="27"/>
      <c r="L17" s="27"/>
      <c r="M17" s="73"/>
      <c r="N17" s="73"/>
      <c r="O17" s="73"/>
      <c r="P17" s="73"/>
      <c r="Q17" s="73"/>
      <c r="R17" s="73"/>
      <c r="S17" s="73"/>
      <c r="T17" s="73"/>
      <c r="U17" s="73"/>
      <c r="V17" s="73"/>
    </row>
    <row r="18" spans="1:22" s="77" customFormat="1" ht="12.95" customHeight="1" x14ac:dyDescent="0.25">
      <c r="A18" s="75"/>
      <c r="B18" s="75"/>
      <c r="C18" s="75"/>
      <c r="D18" s="75"/>
      <c r="E18" s="75"/>
      <c r="F18" s="75"/>
      <c r="G18" s="75"/>
      <c r="H18" s="75"/>
      <c r="I18" s="75"/>
      <c r="J18" s="75"/>
      <c r="K18" s="75"/>
      <c r="L18" s="75"/>
      <c r="M18" s="76"/>
      <c r="N18" s="76"/>
      <c r="O18" s="76"/>
      <c r="P18" s="76"/>
      <c r="Q18" s="76"/>
      <c r="R18" s="76"/>
      <c r="S18" s="76"/>
      <c r="T18" s="76"/>
      <c r="U18" s="76"/>
      <c r="V18" s="76"/>
    </row>
    <row r="19" spans="1:22" s="77" customFormat="1" ht="12.95" customHeight="1" x14ac:dyDescent="0.25">
      <c r="A19" s="78" t="s">
        <v>142</v>
      </c>
      <c r="B19" s="78"/>
      <c r="C19" s="75"/>
      <c r="D19" s="75" t="s">
        <v>27</v>
      </c>
      <c r="E19" s="75" t="s">
        <v>28</v>
      </c>
      <c r="F19" s="75" t="s">
        <v>108</v>
      </c>
      <c r="G19" s="75"/>
      <c r="H19" s="75"/>
      <c r="I19" s="75"/>
      <c r="J19" s="75"/>
      <c r="K19" s="75"/>
      <c r="L19" s="75"/>
      <c r="M19" s="76"/>
      <c r="N19" s="76"/>
      <c r="O19" s="76"/>
      <c r="P19" s="76"/>
      <c r="Q19" s="76"/>
      <c r="R19" s="76"/>
      <c r="S19" s="76"/>
      <c r="T19" s="76"/>
      <c r="U19" s="76"/>
      <c r="V19" s="76"/>
    </row>
    <row r="20" spans="1:22" s="77" customFormat="1" ht="12.95" customHeight="1" x14ac:dyDescent="0.25">
      <c r="A20" s="75"/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6"/>
      <c r="N20" s="76"/>
      <c r="O20" s="76"/>
      <c r="P20" s="76"/>
      <c r="Q20" s="76"/>
      <c r="R20" s="76"/>
      <c r="S20" s="76"/>
      <c r="T20" s="76"/>
      <c r="U20" s="76"/>
      <c r="V20" s="76"/>
    </row>
    <row r="21" spans="1:22" ht="12.95" customHeight="1" x14ac:dyDescent="0.25">
      <c r="A21" s="72" t="s">
        <v>83</v>
      </c>
      <c r="B21" s="72"/>
      <c r="C21" s="27"/>
      <c r="D21" s="27" t="s">
        <v>27</v>
      </c>
      <c r="E21" s="27" t="s">
        <v>29</v>
      </c>
      <c r="F21" s="27" t="s">
        <v>230</v>
      </c>
      <c r="G21" s="27"/>
      <c r="H21" s="27"/>
      <c r="I21" s="27"/>
      <c r="J21" s="27" t="s">
        <v>152</v>
      </c>
      <c r="K21" s="27" t="s">
        <v>153</v>
      </c>
      <c r="L21" s="27"/>
      <c r="M21" s="73"/>
      <c r="N21" s="73">
        <v>587.96</v>
      </c>
      <c r="O21" s="73">
        <v>576.59</v>
      </c>
      <c r="P21" s="73">
        <v>573.08000000000004</v>
      </c>
      <c r="Q21" s="73">
        <v>569.28</v>
      </c>
      <c r="R21" s="73"/>
      <c r="S21" s="73">
        <v>666.18</v>
      </c>
      <c r="T21" s="73">
        <v>610.53</v>
      </c>
      <c r="U21" s="73"/>
      <c r="V21" s="73"/>
    </row>
    <row r="22" spans="1:22" ht="12.95" customHeight="1" x14ac:dyDescent="0.25">
      <c r="A22" s="72" t="s">
        <v>143</v>
      </c>
      <c r="B22" s="72"/>
      <c r="C22" s="27"/>
      <c r="D22" s="27" t="s">
        <v>27</v>
      </c>
      <c r="E22" s="27" t="s">
        <v>30</v>
      </c>
      <c r="F22" s="27" t="s">
        <v>230</v>
      </c>
      <c r="G22" s="27"/>
      <c r="H22" s="27"/>
      <c r="I22" s="27"/>
      <c r="J22" s="27" t="s">
        <v>152</v>
      </c>
      <c r="K22" s="27" t="s">
        <v>153</v>
      </c>
      <c r="L22" s="27" t="s">
        <v>4</v>
      </c>
      <c r="M22" s="73"/>
      <c r="N22" s="73">
        <v>610.52</v>
      </c>
      <c r="O22" s="73">
        <v>602.38</v>
      </c>
      <c r="P22" s="73">
        <v>586.4</v>
      </c>
      <c r="Q22" s="73">
        <v>572.30999999999995</v>
      </c>
      <c r="R22" s="73">
        <v>611.52</v>
      </c>
      <c r="S22" s="73">
        <v>613.35</v>
      </c>
      <c r="T22" s="73"/>
      <c r="U22" s="73"/>
      <c r="V22" s="73"/>
    </row>
    <row r="23" spans="1:22" ht="12.95" customHeight="1" x14ac:dyDescent="0.25">
      <c r="A23" s="72" t="s">
        <v>84</v>
      </c>
      <c r="B23" s="72"/>
      <c r="C23" s="79"/>
      <c r="D23" s="79" t="s">
        <v>32</v>
      </c>
      <c r="E23" s="79" t="s">
        <v>31</v>
      </c>
      <c r="F23" s="79" t="s">
        <v>230</v>
      </c>
      <c r="G23" s="79"/>
      <c r="H23" s="79"/>
      <c r="I23" s="79"/>
      <c r="J23" s="27" t="s">
        <v>152</v>
      </c>
      <c r="K23" s="27" t="s">
        <v>153</v>
      </c>
      <c r="L23" s="27"/>
      <c r="M23" s="73"/>
      <c r="N23" s="73">
        <v>1130.1600000000001</v>
      </c>
      <c r="O23" s="73">
        <v>1099.33</v>
      </c>
      <c r="P23" s="73">
        <v>1090.73</v>
      </c>
      <c r="Q23" s="73">
        <v>871.14</v>
      </c>
      <c r="R23" s="73">
        <v>859.15</v>
      </c>
      <c r="S23" s="73">
        <v>763.89</v>
      </c>
      <c r="T23" s="73"/>
      <c r="U23" s="73"/>
      <c r="V23" s="73"/>
    </row>
    <row r="24" spans="1:22" ht="12.95" customHeight="1" x14ac:dyDescent="0.25">
      <c r="A24" s="72" t="s">
        <v>144</v>
      </c>
      <c r="B24" s="72"/>
      <c r="C24" s="27"/>
      <c r="D24" s="27" t="s">
        <v>27</v>
      </c>
      <c r="E24" s="27" t="s">
        <v>34</v>
      </c>
      <c r="F24" s="27" t="s">
        <v>230</v>
      </c>
      <c r="G24" s="27"/>
      <c r="H24" s="27"/>
      <c r="I24" s="27"/>
      <c r="J24" s="27" t="s">
        <v>152</v>
      </c>
      <c r="K24" s="27" t="s">
        <v>154</v>
      </c>
      <c r="L24" s="27" t="s">
        <v>2</v>
      </c>
      <c r="M24" s="73">
        <v>925.49</v>
      </c>
      <c r="N24" s="73">
        <v>883.94</v>
      </c>
      <c r="O24" s="73">
        <v>838.35</v>
      </c>
      <c r="P24" s="73">
        <v>808.1</v>
      </c>
      <c r="Q24" s="73">
        <v>736.18</v>
      </c>
      <c r="R24" s="73"/>
      <c r="S24" s="73"/>
      <c r="T24" s="73"/>
      <c r="U24" s="73"/>
      <c r="V24" s="73"/>
    </row>
    <row r="25" spans="1:22" ht="12.95" customHeight="1" x14ac:dyDescent="0.25">
      <c r="A25" s="72" t="s">
        <v>145</v>
      </c>
      <c r="B25" s="72"/>
      <c r="C25" s="27"/>
      <c r="D25" s="27" t="s">
        <v>19</v>
      </c>
      <c r="E25" s="27" t="s">
        <v>25</v>
      </c>
      <c r="F25" s="27" t="s">
        <v>230</v>
      </c>
      <c r="G25" s="27"/>
      <c r="H25" s="27"/>
      <c r="I25" s="27"/>
      <c r="J25" s="27" t="s">
        <v>152</v>
      </c>
      <c r="K25" s="27" t="s">
        <v>153</v>
      </c>
      <c r="L25" s="27" t="s">
        <v>232</v>
      </c>
      <c r="M25" s="73">
        <v>983.04</v>
      </c>
      <c r="N25" s="73">
        <v>939.28</v>
      </c>
      <c r="O25" s="73">
        <v>919.6</v>
      </c>
      <c r="P25" s="73">
        <v>907.81</v>
      </c>
      <c r="Q25" s="73">
        <v>837.09</v>
      </c>
      <c r="R25" s="73"/>
      <c r="S25" s="73"/>
      <c r="T25" s="73"/>
      <c r="U25" s="73"/>
      <c r="V25" s="73"/>
    </row>
    <row r="26" spans="1:22" ht="12.95" customHeight="1" x14ac:dyDescent="0.25">
      <c r="A26" s="72" t="s">
        <v>146</v>
      </c>
      <c r="B26" s="72"/>
      <c r="C26" s="27"/>
      <c r="D26" s="27" t="s">
        <v>27</v>
      </c>
      <c r="E26" s="27" t="s">
        <v>29</v>
      </c>
      <c r="F26" s="27" t="s">
        <v>230</v>
      </c>
      <c r="G26" s="27"/>
      <c r="H26" s="27"/>
      <c r="I26" s="27"/>
      <c r="J26" s="27" t="s">
        <v>152</v>
      </c>
      <c r="K26" s="27" t="s">
        <v>154</v>
      </c>
      <c r="L26" s="27" t="s">
        <v>3</v>
      </c>
      <c r="M26" s="73">
        <v>775.28</v>
      </c>
      <c r="N26" s="73">
        <v>741.3</v>
      </c>
      <c r="O26" s="73">
        <v>715.61</v>
      </c>
      <c r="P26" s="73">
        <v>669.93</v>
      </c>
      <c r="Q26" s="73"/>
      <c r="R26" s="73"/>
      <c r="S26" s="73"/>
      <c r="T26" s="73"/>
      <c r="U26" s="73"/>
      <c r="V26" s="73"/>
    </row>
    <row r="27" spans="1:22" ht="12.95" customHeight="1" x14ac:dyDescent="0.25">
      <c r="A27" s="72" t="s">
        <v>147</v>
      </c>
      <c r="B27" s="72"/>
      <c r="C27" s="27"/>
      <c r="D27" s="27" t="s">
        <v>26</v>
      </c>
      <c r="E27" s="27" t="s">
        <v>70</v>
      </c>
      <c r="F27" s="27" t="s">
        <v>230</v>
      </c>
      <c r="G27" s="27"/>
      <c r="H27" s="27"/>
      <c r="I27" s="27"/>
      <c r="J27" s="27" t="s">
        <v>152</v>
      </c>
      <c r="K27" s="27" t="s">
        <v>154</v>
      </c>
      <c r="L27" s="27" t="s">
        <v>2</v>
      </c>
      <c r="M27" s="73">
        <v>951.92</v>
      </c>
      <c r="N27" s="73">
        <v>908.41</v>
      </c>
      <c r="O27" s="73">
        <v>827.69</v>
      </c>
      <c r="P27" s="73"/>
      <c r="Q27" s="73"/>
      <c r="R27" s="73"/>
      <c r="S27" s="73"/>
      <c r="T27" s="73"/>
      <c r="U27" s="73"/>
      <c r="V27" s="73"/>
    </row>
    <row r="28" spans="1:22" ht="12.95" customHeight="1" x14ac:dyDescent="0.25">
      <c r="A28" s="72" t="s">
        <v>148</v>
      </c>
      <c r="B28" s="72"/>
      <c r="C28" s="27"/>
      <c r="D28" s="27" t="s">
        <v>33</v>
      </c>
      <c r="E28" s="27" t="s">
        <v>85</v>
      </c>
      <c r="F28" s="27" t="s">
        <v>230</v>
      </c>
      <c r="G28" s="27"/>
      <c r="H28" s="27"/>
      <c r="I28" s="27"/>
      <c r="J28" s="27" t="s">
        <v>152</v>
      </c>
      <c r="K28" s="27" t="s">
        <v>154</v>
      </c>
      <c r="L28" s="27" t="s">
        <v>231</v>
      </c>
      <c r="M28" s="73"/>
      <c r="N28" s="73">
        <v>1112.3399999999999</v>
      </c>
      <c r="O28" s="73">
        <v>986.46</v>
      </c>
      <c r="P28" s="73"/>
      <c r="Q28" s="73"/>
      <c r="R28" s="73"/>
      <c r="S28" s="73"/>
      <c r="T28" s="73"/>
      <c r="U28" s="73"/>
      <c r="V28" s="73"/>
    </row>
    <row r="29" spans="1:22" ht="12.95" customHeight="1" x14ac:dyDescent="0.25">
      <c r="A29" s="74" t="s">
        <v>196</v>
      </c>
      <c r="B29" s="72"/>
      <c r="C29" s="27"/>
      <c r="D29" s="27" t="s">
        <v>33</v>
      </c>
      <c r="E29" s="27" t="s">
        <v>80</v>
      </c>
      <c r="F29" s="27" t="s">
        <v>230</v>
      </c>
      <c r="G29" s="27"/>
      <c r="H29" s="27"/>
      <c r="I29" s="27"/>
      <c r="J29" s="27" t="s">
        <v>152</v>
      </c>
      <c r="K29" s="27" t="s">
        <v>154</v>
      </c>
      <c r="L29" s="27" t="s">
        <v>6</v>
      </c>
      <c r="M29" s="73">
        <v>1056.3399999999999</v>
      </c>
      <c r="N29" s="73">
        <v>1013.43</v>
      </c>
      <c r="O29" s="73">
        <v>975.76</v>
      </c>
      <c r="P29" s="73"/>
      <c r="Q29" s="73"/>
      <c r="R29" s="73"/>
      <c r="S29" s="73"/>
      <c r="T29" s="73"/>
      <c r="U29" s="73"/>
      <c r="V29" s="73"/>
    </row>
    <row r="30" spans="1:22" ht="12.95" customHeight="1" x14ac:dyDescent="0.25">
      <c r="A30" s="72" t="s">
        <v>197</v>
      </c>
      <c r="B30" s="72"/>
      <c r="C30" s="27"/>
      <c r="D30" s="27" t="s">
        <v>27</v>
      </c>
      <c r="E30" s="27" t="s">
        <v>198</v>
      </c>
      <c r="F30" s="27" t="s">
        <v>230</v>
      </c>
      <c r="G30" s="27"/>
      <c r="H30" s="27"/>
      <c r="I30" s="27"/>
      <c r="J30" s="27" t="s">
        <v>152</v>
      </c>
      <c r="K30" s="27" t="s">
        <v>154</v>
      </c>
      <c r="L30" s="27" t="s">
        <v>2</v>
      </c>
      <c r="M30" s="73">
        <v>604.42999999999995</v>
      </c>
      <c r="N30" s="73"/>
      <c r="O30" s="73"/>
      <c r="P30" s="73"/>
      <c r="Q30" s="73"/>
      <c r="R30" s="73"/>
      <c r="S30" s="73"/>
      <c r="T30" s="73"/>
      <c r="U30" s="73"/>
      <c r="V30" s="73"/>
    </row>
    <row r="31" spans="1:22" ht="12.95" customHeight="1" x14ac:dyDescent="0.25">
      <c r="A31" s="72" t="s">
        <v>132</v>
      </c>
      <c r="B31" s="72"/>
      <c r="C31" s="27"/>
      <c r="D31" s="27" t="s">
        <v>33</v>
      </c>
      <c r="E31" s="27" t="s">
        <v>35</v>
      </c>
      <c r="F31" s="27" t="s">
        <v>230</v>
      </c>
      <c r="G31" s="27"/>
      <c r="H31" s="27"/>
      <c r="I31" s="27"/>
      <c r="J31" s="27" t="s">
        <v>152</v>
      </c>
      <c r="K31" s="27" t="s">
        <v>153</v>
      </c>
      <c r="L31" s="27"/>
      <c r="M31" s="73"/>
      <c r="N31" s="73">
        <v>1071.3800000000001</v>
      </c>
      <c r="O31" s="73">
        <v>1063.23</v>
      </c>
      <c r="P31" s="73">
        <v>1007.79</v>
      </c>
      <c r="Q31" s="73">
        <v>1010.29</v>
      </c>
      <c r="R31" s="73">
        <v>996.45</v>
      </c>
      <c r="S31" s="73">
        <v>951.99</v>
      </c>
      <c r="T31" s="73"/>
      <c r="U31" s="73"/>
      <c r="V31" s="73"/>
    </row>
    <row r="32" spans="1:22" ht="12.95" customHeight="1" x14ac:dyDescent="0.25">
      <c r="A32" s="27"/>
      <c r="B32" s="27"/>
      <c r="C32" s="27"/>
      <c r="D32" s="27"/>
      <c r="E32" s="27"/>
      <c r="F32" s="27"/>
      <c r="G32" s="27"/>
      <c r="H32" s="27"/>
      <c r="I32" s="27"/>
      <c r="J32" s="27"/>
      <c r="K32" s="27"/>
      <c r="L32" s="27"/>
      <c r="M32" s="73"/>
      <c r="N32" s="73"/>
      <c r="O32" s="73"/>
      <c r="P32" s="73"/>
      <c r="Q32" s="73"/>
      <c r="R32" s="73"/>
      <c r="S32" s="73"/>
      <c r="T32" s="73"/>
      <c r="U32" s="73"/>
      <c r="V32" s="73"/>
    </row>
    <row r="33" spans="1:22" ht="12.95" customHeight="1" x14ac:dyDescent="0.25">
      <c r="A33" s="27" t="s">
        <v>13</v>
      </c>
      <c r="B33" s="27"/>
      <c r="C33" s="27"/>
      <c r="D33" s="27" t="s">
        <v>43</v>
      </c>
      <c r="E33" s="27" t="s">
        <v>36</v>
      </c>
      <c r="F33" s="27" t="s">
        <v>233</v>
      </c>
      <c r="G33" s="27"/>
      <c r="H33" s="27"/>
      <c r="I33" s="27"/>
      <c r="J33" s="27"/>
      <c r="K33" s="27"/>
      <c r="L33" s="27"/>
      <c r="M33" s="73"/>
      <c r="N33" s="73"/>
      <c r="O33" s="73"/>
      <c r="P33" s="73"/>
      <c r="Q33" s="73"/>
      <c r="R33" s="73"/>
      <c r="S33" s="73"/>
      <c r="T33" s="73"/>
      <c r="U33" s="73"/>
      <c r="V33" s="73"/>
    </row>
    <row r="34" spans="1:22" ht="12.95" customHeight="1" x14ac:dyDescent="0.25">
      <c r="A34" s="72" t="s">
        <v>12</v>
      </c>
      <c r="B34" s="72"/>
      <c r="C34" s="27"/>
      <c r="D34" s="27" t="s">
        <v>43</v>
      </c>
      <c r="E34" s="27" t="s">
        <v>37</v>
      </c>
      <c r="F34" s="27" t="s">
        <v>234</v>
      </c>
      <c r="G34" s="27"/>
      <c r="H34" s="27"/>
      <c r="I34" s="27"/>
      <c r="J34" s="27" t="s">
        <v>152</v>
      </c>
      <c r="K34" s="27" t="s">
        <v>175</v>
      </c>
      <c r="L34" s="27" t="s">
        <v>3</v>
      </c>
      <c r="M34" s="73" t="s">
        <v>72</v>
      </c>
      <c r="N34" s="73">
        <v>118.86</v>
      </c>
      <c r="O34" s="73">
        <v>114.94</v>
      </c>
      <c r="P34" s="73">
        <v>111.23</v>
      </c>
      <c r="Q34" s="73">
        <v>109.07</v>
      </c>
      <c r="R34" s="73">
        <v>106.96</v>
      </c>
      <c r="S34" s="73">
        <v>104.91</v>
      </c>
      <c r="T34" s="73">
        <v>101.27</v>
      </c>
      <c r="U34" s="73">
        <v>98.313999999999993</v>
      </c>
      <c r="V34" s="73"/>
    </row>
    <row r="35" spans="1:22" ht="12.95" customHeight="1" x14ac:dyDescent="0.25">
      <c r="A35" s="72" t="s">
        <v>14</v>
      </c>
      <c r="B35" s="72"/>
      <c r="C35" s="27"/>
      <c r="D35" s="27" t="s">
        <v>44</v>
      </c>
      <c r="E35" s="27" t="s">
        <v>162</v>
      </c>
      <c r="F35" s="27" t="s">
        <v>234</v>
      </c>
      <c r="G35" s="27"/>
      <c r="H35" s="27"/>
      <c r="I35" s="27"/>
      <c r="J35" s="27" t="s">
        <v>152</v>
      </c>
      <c r="K35" s="27" t="s">
        <v>153</v>
      </c>
      <c r="L35" s="27" t="s">
        <v>6</v>
      </c>
      <c r="M35" s="73">
        <v>216.66</v>
      </c>
      <c r="N35" s="73">
        <v>211.42</v>
      </c>
      <c r="O35" s="73">
        <v>206.33</v>
      </c>
      <c r="P35" s="73">
        <v>201.4</v>
      </c>
      <c r="Q35" s="73">
        <v>196.61</v>
      </c>
      <c r="R35" s="73">
        <v>191.93</v>
      </c>
      <c r="S35" s="73">
        <v>187.45</v>
      </c>
      <c r="T35" s="73">
        <v>181.38</v>
      </c>
      <c r="U35" s="73">
        <v>176.08</v>
      </c>
      <c r="V35" s="73">
        <v>171.76</v>
      </c>
    </row>
    <row r="36" spans="1:22" ht="12.95" customHeight="1" x14ac:dyDescent="0.25">
      <c r="A36" s="72" t="s">
        <v>15</v>
      </c>
      <c r="B36" s="72"/>
      <c r="C36" s="27"/>
      <c r="D36" s="27" t="s">
        <v>43</v>
      </c>
      <c r="E36" s="27" t="s">
        <v>163</v>
      </c>
      <c r="F36" s="27" t="s">
        <v>234</v>
      </c>
      <c r="G36" s="27"/>
      <c r="H36" s="27"/>
      <c r="I36" s="27"/>
      <c r="J36" s="27" t="s">
        <v>152</v>
      </c>
      <c r="K36" s="27" t="s">
        <v>153</v>
      </c>
      <c r="L36" s="27" t="s">
        <v>6</v>
      </c>
      <c r="M36" s="73">
        <v>230.4</v>
      </c>
      <c r="N36" s="73">
        <v>220.86</v>
      </c>
      <c r="O36" s="73">
        <v>212.11</v>
      </c>
      <c r="P36" s="73">
        <v>207</v>
      </c>
      <c r="Q36" s="73">
        <v>202.06</v>
      </c>
      <c r="R36" s="73">
        <v>197.25</v>
      </c>
      <c r="S36" s="73">
        <v>192.58</v>
      </c>
      <c r="T36" s="73">
        <v>183.48</v>
      </c>
      <c r="U36" s="73">
        <v>175.37</v>
      </c>
      <c r="V36" s="73">
        <v>165.31</v>
      </c>
    </row>
    <row r="37" spans="1:22" ht="12.95" customHeight="1" x14ac:dyDescent="0.25">
      <c r="A37" s="72" t="s">
        <v>16</v>
      </c>
      <c r="B37" s="72"/>
      <c r="C37" s="27"/>
      <c r="D37" s="27" t="s">
        <v>43</v>
      </c>
      <c r="E37" s="27" t="s">
        <v>155</v>
      </c>
      <c r="F37" s="27" t="s">
        <v>234</v>
      </c>
      <c r="G37" s="27"/>
      <c r="H37" s="27"/>
      <c r="I37" s="27"/>
      <c r="J37" s="27" t="s">
        <v>152</v>
      </c>
      <c r="K37" s="27" t="s">
        <v>153</v>
      </c>
      <c r="L37" s="27" t="s">
        <v>2</v>
      </c>
      <c r="M37" s="73">
        <v>144.9</v>
      </c>
      <c r="N37" s="73">
        <v>141.78</v>
      </c>
      <c r="O37" s="73">
        <v>136.76</v>
      </c>
      <c r="P37" s="73">
        <v>131.97</v>
      </c>
      <c r="Q37" s="73">
        <v>127.48</v>
      </c>
      <c r="R37" s="73">
        <v>124.82</v>
      </c>
      <c r="S37" s="73">
        <v>122.26</v>
      </c>
      <c r="T37" s="73">
        <v>114.28</v>
      </c>
      <c r="U37" s="73"/>
      <c r="V37" s="73"/>
    </row>
    <row r="38" spans="1:22" ht="12.95" customHeight="1" x14ac:dyDescent="0.25">
      <c r="A38" s="72" t="s">
        <v>121</v>
      </c>
      <c r="B38" s="72"/>
      <c r="C38" s="27"/>
      <c r="D38" s="27" t="s">
        <v>43</v>
      </c>
      <c r="E38" s="27" t="s">
        <v>40</v>
      </c>
      <c r="F38" s="27" t="s">
        <v>234</v>
      </c>
      <c r="G38" s="27"/>
      <c r="H38" s="27"/>
      <c r="I38" s="27"/>
      <c r="J38" s="27" t="s">
        <v>152</v>
      </c>
      <c r="K38" s="27" t="s">
        <v>154</v>
      </c>
      <c r="L38" s="27" t="s">
        <v>2</v>
      </c>
      <c r="M38" s="73">
        <v>217.36</v>
      </c>
      <c r="N38" s="73">
        <v>208.77</v>
      </c>
      <c r="O38" s="73">
        <v>200.57</v>
      </c>
      <c r="P38" s="73">
        <v>192.78</v>
      </c>
      <c r="Q38" s="73">
        <v>188.26</v>
      </c>
      <c r="R38" s="73">
        <v>171.71</v>
      </c>
      <c r="S38" s="73"/>
      <c r="T38" s="73"/>
      <c r="U38" s="73"/>
      <c r="V38" s="73"/>
    </row>
    <row r="39" spans="1:22" ht="12.95" customHeight="1" x14ac:dyDescent="0.25">
      <c r="A39" s="72" t="s">
        <v>122</v>
      </c>
      <c r="B39" s="72"/>
      <c r="C39" s="27"/>
      <c r="D39" s="27" t="s">
        <v>43</v>
      </c>
      <c r="E39" s="27" t="s">
        <v>40</v>
      </c>
      <c r="F39" s="27" t="s">
        <v>234</v>
      </c>
      <c r="G39" s="27"/>
      <c r="H39" s="27"/>
      <c r="I39" s="27"/>
      <c r="J39" s="27" t="s">
        <v>71</v>
      </c>
      <c r="K39" s="27" t="s">
        <v>154</v>
      </c>
      <c r="L39" s="27" t="s">
        <v>235</v>
      </c>
      <c r="M39" s="73"/>
      <c r="N39" s="73">
        <v>161.22999999999999</v>
      </c>
      <c r="O39" s="73">
        <v>157.62</v>
      </c>
      <c r="P39" s="73">
        <v>154.1</v>
      </c>
      <c r="Q39" s="73">
        <v>150.69999999999999</v>
      </c>
      <c r="R39" s="73">
        <v>139.72</v>
      </c>
      <c r="S39" s="73"/>
      <c r="T39" s="73"/>
      <c r="U39" s="73"/>
      <c r="V39" s="73"/>
    </row>
    <row r="40" spans="1:22" ht="12.95" customHeight="1" x14ac:dyDescent="0.25">
      <c r="A40" s="72" t="s">
        <v>123</v>
      </c>
      <c r="B40" s="72"/>
      <c r="C40" s="27"/>
      <c r="D40" s="27" t="s">
        <v>43</v>
      </c>
      <c r="E40" s="27" t="s">
        <v>37</v>
      </c>
      <c r="F40" s="27" t="s">
        <v>234</v>
      </c>
      <c r="G40" s="27"/>
      <c r="H40" s="27"/>
      <c r="I40" s="27"/>
      <c r="J40" s="27" t="s">
        <v>152</v>
      </c>
      <c r="K40" s="27" t="s">
        <v>154</v>
      </c>
      <c r="L40" s="27" t="s">
        <v>236</v>
      </c>
      <c r="M40" s="73"/>
      <c r="N40" s="73">
        <v>158.49</v>
      </c>
      <c r="O40" s="73">
        <v>154.94999999999999</v>
      </c>
      <c r="P40" s="73">
        <v>151.52000000000001</v>
      </c>
      <c r="Q40" s="73">
        <v>148.18</v>
      </c>
      <c r="R40" s="73">
        <v>138.06</v>
      </c>
      <c r="S40" s="73"/>
      <c r="T40" s="73"/>
      <c r="U40" s="73"/>
      <c r="V40" s="73"/>
    </row>
    <row r="41" spans="1:22" s="77" customFormat="1" ht="12.95" customHeight="1" x14ac:dyDescent="0.25">
      <c r="A41" s="80" t="s">
        <v>124</v>
      </c>
      <c r="B41" s="80"/>
      <c r="C41" s="81"/>
      <c r="D41" s="81" t="s">
        <v>45</v>
      </c>
      <c r="E41" s="81" t="s">
        <v>41</v>
      </c>
      <c r="F41" s="75" t="s">
        <v>234</v>
      </c>
      <c r="G41" s="81"/>
      <c r="H41" s="81"/>
      <c r="I41" s="81"/>
      <c r="J41" s="75" t="s">
        <v>152</v>
      </c>
      <c r="K41" s="75" t="s">
        <v>154</v>
      </c>
      <c r="L41" s="75"/>
      <c r="M41" s="76"/>
      <c r="N41" s="76"/>
      <c r="O41" s="76">
        <v>158.76</v>
      </c>
      <c r="P41" s="76">
        <v>148.61000000000001</v>
      </c>
      <c r="Q41" s="76"/>
      <c r="R41" s="76"/>
      <c r="S41" s="76"/>
      <c r="T41" s="76"/>
      <c r="U41" s="76"/>
      <c r="V41" s="76"/>
    </row>
    <row r="42" spans="1:22" ht="12.95" customHeight="1" x14ac:dyDescent="0.25">
      <c r="A42" s="72" t="s">
        <v>126</v>
      </c>
      <c r="B42" s="72"/>
      <c r="C42" s="27"/>
      <c r="D42" s="27" t="s">
        <v>45</v>
      </c>
      <c r="E42" s="27" t="s">
        <v>41</v>
      </c>
      <c r="F42" s="27" t="s">
        <v>234</v>
      </c>
      <c r="G42" s="27"/>
      <c r="H42" s="27"/>
      <c r="I42" s="27"/>
      <c r="J42" s="27" t="s">
        <v>152</v>
      </c>
      <c r="K42" s="27" t="s">
        <v>154</v>
      </c>
      <c r="L42" s="27" t="s">
        <v>2</v>
      </c>
      <c r="M42" s="73">
        <v>163.74</v>
      </c>
      <c r="N42" s="73">
        <v>160.03</v>
      </c>
      <c r="O42" s="73">
        <v>156.44999999999999</v>
      </c>
      <c r="P42" s="73">
        <v>148.61000000000001</v>
      </c>
      <c r="Q42" s="73"/>
      <c r="R42" s="73"/>
      <c r="S42" s="73"/>
      <c r="T42" s="73"/>
      <c r="U42" s="73"/>
      <c r="V42" s="73"/>
    </row>
    <row r="43" spans="1:22" ht="12.95" customHeight="1" x14ac:dyDescent="0.25">
      <c r="A43" s="72" t="s">
        <v>125</v>
      </c>
      <c r="B43" s="72"/>
      <c r="C43" s="27"/>
      <c r="D43" s="27" t="s">
        <v>45</v>
      </c>
      <c r="E43" s="27" t="s">
        <v>41</v>
      </c>
      <c r="F43" s="27" t="s">
        <v>234</v>
      </c>
      <c r="G43" s="27"/>
      <c r="H43" s="27"/>
      <c r="I43" s="27"/>
      <c r="J43" s="27" t="s">
        <v>152</v>
      </c>
      <c r="K43" s="27" t="s">
        <v>154</v>
      </c>
      <c r="L43" s="27" t="s">
        <v>236</v>
      </c>
      <c r="M43" s="73"/>
      <c r="N43" s="73">
        <v>162.44999999999999</v>
      </c>
      <c r="O43" s="73">
        <v>156.44999999999999</v>
      </c>
      <c r="P43" s="73">
        <v>147.93</v>
      </c>
      <c r="Q43" s="73"/>
      <c r="R43" s="73"/>
      <c r="S43" s="73"/>
      <c r="T43" s="73"/>
      <c r="U43" s="73"/>
      <c r="V43" s="73"/>
    </row>
    <row r="44" spans="1:22" ht="12.95" customHeight="1" x14ac:dyDescent="0.25">
      <c r="A44" s="72" t="s">
        <v>127</v>
      </c>
      <c r="B44" s="72"/>
      <c r="C44" s="27"/>
      <c r="D44" s="27" t="s">
        <v>64</v>
      </c>
      <c r="E44" s="27" t="s">
        <v>41</v>
      </c>
      <c r="F44" s="27" t="s">
        <v>234</v>
      </c>
      <c r="G44" s="27"/>
      <c r="H44" s="27"/>
      <c r="I44" s="27"/>
      <c r="J44" s="27" t="s">
        <v>152</v>
      </c>
      <c r="K44" s="27" t="s">
        <v>153</v>
      </c>
      <c r="L44" s="27" t="s">
        <v>231</v>
      </c>
      <c r="M44" s="73"/>
      <c r="N44" s="73">
        <v>157.31</v>
      </c>
      <c r="O44" s="73">
        <v>153.79</v>
      </c>
      <c r="P44" s="73">
        <v>149.75</v>
      </c>
      <c r="Q44" s="73"/>
      <c r="R44" s="73"/>
      <c r="S44" s="73"/>
      <c r="T44" s="73"/>
      <c r="U44" s="73"/>
      <c r="V44" s="73"/>
    </row>
    <row r="45" spans="1:22" ht="12.95" customHeight="1" x14ac:dyDescent="0.25">
      <c r="A45" s="72" t="s">
        <v>128</v>
      </c>
      <c r="B45" s="72"/>
      <c r="C45" s="27"/>
      <c r="D45" s="27" t="s">
        <v>45</v>
      </c>
      <c r="E45" s="27" t="s">
        <v>41</v>
      </c>
      <c r="F45" s="27" t="s">
        <v>234</v>
      </c>
      <c r="G45" s="27"/>
      <c r="H45" s="27"/>
      <c r="I45" s="27"/>
      <c r="J45" s="27" t="s">
        <v>152</v>
      </c>
      <c r="K45" s="27" t="s">
        <v>154</v>
      </c>
      <c r="L45" s="27" t="s">
        <v>231</v>
      </c>
      <c r="M45" s="73"/>
      <c r="N45" s="73">
        <v>157.31</v>
      </c>
      <c r="O45" s="73">
        <v>153.79</v>
      </c>
      <c r="P45" s="73">
        <v>142.53</v>
      </c>
      <c r="Q45" s="73"/>
      <c r="R45" s="73"/>
      <c r="S45" s="73"/>
      <c r="T45" s="73"/>
      <c r="U45" s="73"/>
      <c r="V45" s="73"/>
    </row>
    <row r="46" spans="1:22" ht="12.95" customHeight="1" x14ac:dyDescent="0.25">
      <c r="A46" s="72" t="s">
        <v>129</v>
      </c>
      <c r="B46" s="72"/>
      <c r="C46" s="27"/>
      <c r="D46" s="27" t="s">
        <v>45</v>
      </c>
      <c r="E46" s="27" t="s">
        <v>41</v>
      </c>
      <c r="F46" s="27" t="s">
        <v>234</v>
      </c>
      <c r="G46" s="27"/>
      <c r="H46" s="27"/>
      <c r="I46" s="27"/>
      <c r="J46" s="27" t="s">
        <v>152</v>
      </c>
      <c r="K46" s="27" t="s">
        <v>154</v>
      </c>
      <c r="L46" s="27" t="s">
        <v>5</v>
      </c>
      <c r="M46" s="73">
        <v>159.74</v>
      </c>
      <c r="N46" s="73">
        <v>156.15</v>
      </c>
      <c r="O46" s="73">
        <v>145.01</v>
      </c>
      <c r="P46" s="73"/>
      <c r="Q46" s="73"/>
      <c r="R46" s="73"/>
      <c r="S46" s="73"/>
      <c r="T46" s="73"/>
      <c r="U46" s="73"/>
      <c r="V46" s="73"/>
    </row>
    <row r="47" spans="1:22" ht="12.95" customHeight="1" x14ac:dyDescent="0.25">
      <c r="A47" s="72" t="s">
        <v>131</v>
      </c>
      <c r="B47" s="72"/>
      <c r="C47" s="27"/>
      <c r="D47" s="27" t="s">
        <v>45</v>
      </c>
      <c r="E47" s="27" t="s">
        <v>41</v>
      </c>
      <c r="F47" s="27" t="s">
        <v>234</v>
      </c>
      <c r="G47" s="27"/>
      <c r="H47" s="27"/>
      <c r="I47" s="27"/>
      <c r="J47" s="27" t="s">
        <v>152</v>
      </c>
      <c r="K47" s="27" t="s">
        <v>154</v>
      </c>
      <c r="L47" s="27" t="s">
        <v>5</v>
      </c>
      <c r="M47" s="73">
        <v>164.56</v>
      </c>
      <c r="N47" s="73">
        <v>158.46</v>
      </c>
      <c r="O47" s="73">
        <v>145.01</v>
      </c>
      <c r="P47" s="73"/>
      <c r="Q47" s="73"/>
      <c r="R47" s="73"/>
      <c r="S47" s="73"/>
      <c r="T47" s="73"/>
      <c r="U47" s="73"/>
      <c r="V47" s="73"/>
    </row>
    <row r="48" spans="1:22" ht="12.95" customHeight="1" x14ac:dyDescent="0.25">
      <c r="A48" s="72" t="s">
        <v>164</v>
      </c>
      <c r="B48" s="72"/>
      <c r="C48" s="82"/>
      <c r="D48" s="82" t="s">
        <v>160</v>
      </c>
      <c r="E48" s="82" t="s">
        <v>161</v>
      </c>
      <c r="F48" s="82" t="s">
        <v>110</v>
      </c>
      <c r="G48" s="82"/>
      <c r="H48" s="82"/>
      <c r="I48" s="82"/>
      <c r="J48" s="27" t="s">
        <v>152</v>
      </c>
      <c r="K48" s="82" t="s">
        <v>153</v>
      </c>
      <c r="L48" s="82" t="s">
        <v>231</v>
      </c>
      <c r="M48" s="83"/>
      <c r="N48" s="83">
        <v>623.04999999999995</v>
      </c>
      <c r="O48" s="83">
        <v>605.97</v>
      </c>
      <c r="P48" s="83">
        <v>589.39</v>
      </c>
      <c r="Q48" s="83">
        <v>573.32000000000005</v>
      </c>
      <c r="R48" s="83">
        <v>557.66</v>
      </c>
      <c r="S48" s="83">
        <v>542.5</v>
      </c>
      <c r="T48" s="83"/>
      <c r="U48" s="83"/>
      <c r="V48" s="83"/>
    </row>
    <row r="49" spans="1:22" ht="12.95" customHeight="1" x14ac:dyDescent="0.25">
      <c r="A49" s="84" t="s">
        <v>130</v>
      </c>
      <c r="B49" s="84"/>
      <c r="C49" s="27"/>
      <c r="D49" s="27" t="s">
        <v>77</v>
      </c>
      <c r="E49" s="27" t="s">
        <v>237</v>
      </c>
      <c r="F49" s="27" t="s">
        <v>110</v>
      </c>
      <c r="G49" s="27"/>
      <c r="H49" s="27"/>
      <c r="I49" s="27"/>
      <c r="J49" s="27" t="s">
        <v>152</v>
      </c>
      <c r="K49" s="27" t="s">
        <v>154</v>
      </c>
      <c r="L49" s="27" t="s">
        <v>232</v>
      </c>
      <c r="M49" s="73"/>
      <c r="N49" s="73">
        <v>482.25</v>
      </c>
      <c r="O49" s="73">
        <v>462.09</v>
      </c>
      <c r="P49" s="73"/>
      <c r="Q49" s="73"/>
      <c r="R49" s="73"/>
      <c r="S49" s="73"/>
      <c r="T49" s="73"/>
      <c r="U49" s="73"/>
      <c r="V49" s="73"/>
    </row>
    <row r="50" spans="1:22" ht="12.95" customHeight="1" x14ac:dyDescent="0.25">
      <c r="A50" s="85"/>
      <c r="B50" s="85"/>
      <c r="C50" s="27"/>
      <c r="D50" s="27"/>
      <c r="E50" s="27"/>
      <c r="F50" s="27"/>
      <c r="G50" s="27"/>
      <c r="H50" s="27"/>
      <c r="I50" s="27"/>
      <c r="J50" s="27"/>
      <c r="K50" s="27"/>
      <c r="L50" s="27"/>
      <c r="M50" s="73"/>
      <c r="N50" s="73"/>
      <c r="O50" s="73"/>
      <c r="P50" s="73"/>
      <c r="Q50" s="73"/>
      <c r="R50" s="73"/>
      <c r="S50" s="73"/>
      <c r="T50" s="73"/>
      <c r="U50" s="73"/>
      <c r="V50" s="73"/>
    </row>
    <row r="51" spans="1:22" ht="12.95" customHeight="1" x14ac:dyDescent="0.25">
      <c r="A51" s="86" t="s">
        <v>176</v>
      </c>
      <c r="B51" s="86"/>
      <c r="C51" s="27"/>
      <c r="D51" s="27" t="s">
        <v>177</v>
      </c>
      <c r="E51" s="27" t="s">
        <v>178</v>
      </c>
      <c r="F51" s="27" t="s">
        <v>111</v>
      </c>
      <c r="G51" s="27"/>
      <c r="H51" s="27"/>
      <c r="I51" s="27"/>
      <c r="J51" s="27" t="s">
        <v>152</v>
      </c>
      <c r="K51" s="27" t="s">
        <v>154</v>
      </c>
      <c r="L51" s="27" t="s">
        <v>3</v>
      </c>
      <c r="M51" s="73">
        <v>580.16999999999996</v>
      </c>
      <c r="N51" s="73">
        <v>517.69000000000005</v>
      </c>
      <c r="O51" s="73">
        <v>491.79</v>
      </c>
      <c r="P51" s="73"/>
      <c r="Q51" s="73"/>
      <c r="R51" s="73"/>
      <c r="S51" s="73"/>
      <c r="T51" s="73"/>
      <c r="U51" s="73"/>
      <c r="V51" s="73"/>
    </row>
    <row r="52" spans="1:22" ht="12.95" customHeight="1" x14ac:dyDescent="0.25">
      <c r="A52" s="74" t="s">
        <v>165</v>
      </c>
      <c r="B52" s="74"/>
      <c r="C52" s="27"/>
      <c r="D52" s="27" t="s">
        <v>62</v>
      </c>
      <c r="E52" s="27" t="s">
        <v>238</v>
      </c>
      <c r="F52" s="27" t="s">
        <v>111</v>
      </c>
      <c r="G52" s="27"/>
      <c r="H52" s="27"/>
      <c r="I52" s="27"/>
      <c r="J52" s="27" t="s">
        <v>152</v>
      </c>
      <c r="K52" s="27" t="s">
        <v>153</v>
      </c>
      <c r="L52" s="27" t="s">
        <v>5</v>
      </c>
      <c r="M52" s="73">
        <v>426.38</v>
      </c>
      <c r="N52" s="73">
        <v>397.78</v>
      </c>
      <c r="O52" s="73">
        <v>389.02</v>
      </c>
      <c r="P52" s="73">
        <v>375.56</v>
      </c>
      <c r="Q52" s="73">
        <v>375.6</v>
      </c>
      <c r="R52" s="73">
        <v>306.16000000000003</v>
      </c>
      <c r="S52" s="73">
        <v>293.44</v>
      </c>
      <c r="T52" s="73">
        <v>279.70999999999998</v>
      </c>
      <c r="U52" s="73">
        <v>270.97000000000003</v>
      </c>
      <c r="V52" s="73">
        <v>258.52999999999997</v>
      </c>
    </row>
    <row r="53" spans="1:22" ht="12.95" customHeight="1" x14ac:dyDescent="0.25">
      <c r="A53" s="74" t="s">
        <v>166</v>
      </c>
      <c r="B53" s="74"/>
      <c r="C53" s="27"/>
      <c r="D53" s="27" t="s">
        <v>62</v>
      </c>
      <c r="E53" s="27" t="s">
        <v>170</v>
      </c>
      <c r="F53" s="27" t="s">
        <v>111</v>
      </c>
      <c r="G53" s="27"/>
      <c r="H53" s="27"/>
      <c r="I53" s="27"/>
      <c r="J53" s="27" t="s">
        <v>152</v>
      </c>
      <c r="K53" s="27" t="s">
        <v>153</v>
      </c>
      <c r="L53" s="27" t="s">
        <v>6</v>
      </c>
      <c r="M53" s="73">
        <v>388.89</v>
      </c>
      <c r="N53" s="73">
        <v>363.08</v>
      </c>
      <c r="O53" s="73">
        <v>354.56</v>
      </c>
      <c r="P53" s="73">
        <v>336.41</v>
      </c>
      <c r="Q53" s="73">
        <v>336.47</v>
      </c>
      <c r="R53" s="73">
        <v>308.87</v>
      </c>
      <c r="S53" s="73">
        <v>291</v>
      </c>
      <c r="T53" s="73">
        <v>266.01</v>
      </c>
      <c r="U53" s="73">
        <v>257.70999999999998</v>
      </c>
      <c r="V53" s="73">
        <v>245.95</v>
      </c>
    </row>
    <row r="54" spans="1:22" ht="12.95" customHeight="1" x14ac:dyDescent="0.25">
      <c r="A54" s="74" t="s">
        <v>167</v>
      </c>
      <c r="B54" s="74"/>
      <c r="C54" s="27"/>
      <c r="D54" s="27" t="s">
        <v>62</v>
      </c>
      <c r="E54" s="27" t="s">
        <v>169</v>
      </c>
      <c r="F54" s="27" t="s">
        <v>111</v>
      </c>
      <c r="G54" s="27"/>
      <c r="H54" s="27"/>
      <c r="I54" s="27"/>
      <c r="J54" s="27" t="s">
        <v>152</v>
      </c>
      <c r="K54" s="27" t="s">
        <v>154</v>
      </c>
      <c r="L54" s="27" t="s">
        <v>239</v>
      </c>
      <c r="M54" s="73"/>
      <c r="N54" s="73">
        <v>419.77</v>
      </c>
      <c r="O54" s="73">
        <v>410.47</v>
      </c>
      <c r="P54" s="73">
        <v>396.17</v>
      </c>
      <c r="Q54" s="73">
        <v>396.06</v>
      </c>
      <c r="R54" s="73">
        <v>362.91</v>
      </c>
      <c r="S54" s="73">
        <v>347.47</v>
      </c>
      <c r="T54" s="73">
        <v>331.17</v>
      </c>
      <c r="U54" s="73">
        <v>312.2</v>
      </c>
      <c r="V54" s="73"/>
    </row>
    <row r="55" spans="1:22" ht="12.95" customHeight="1" x14ac:dyDescent="0.25">
      <c r="A55" s="74" t="s">
        <v>112</v>
      </c>
      <c r="B55" s="74"/>
      <c r="C55" s="27"/>
      <c r="D55" s="27" t="s">
        <v>62</v>
      </c>
      <c r="E55" s="27" t="s">
        <v>53</v>
      </c>
      <c r="F55" s="27" t="s">
        <v>111</v>
      </c>
      <c r="G55" s="27"/>
      <c r="H55" s="27"/>
      <c r="I55" s="27"/>
      <c r="J55" s="27" t="s">
        <v>152</v>
      </c>
      <c r="K55" s="27" t="s">
        <v>154</v>
      </c>
      <c r="L55" s="27" t="s">
        <v>2</v>
      </c>
      <c r="M55" s="73">
        <v>354.3</v>
      </c>
      <c r="N55" s="73">
        <v>325.35000000000002</v>
      </c>
      <c r="O55" s="73">
        <v>305.08</v>
      </c>
      <c r="P55" s="73">
        <v>297.33999999999997</v>
      </c>
      <c r="Q55" s="73">
        <v>293.61</v>
      </c>
      <c r="R55" s="73">
        <v>251.13</v>
      </c>
      <c r="S55" s="73"/>
      <c r="T55" s="73"/>
      <c r="U55" s="73"/>
      <c r="V55" s="73"/>
    </row>
    <row r="56" spans="1:22" ht="12.95" customHeight="1" x14ac:dyDescent="0.25">
      <c r="A56" s="74" t="s">
        <v>171</v>
      </c>
      <c r="B56" s="74"/>
      <c r="C56" s="27"/>
      <c r="D56" s="27" t="s">
        <v>62</v>
      </c>
      <c r="E56" s="27" t="s">
        <v>174</v>
      </c>
      <c r="F56" s="27" t="s">
        <v>111</v>
      </c>
      <c r="G56" s="27"/>
      <c r="H56" s="27"/>
      <c r="I56" s="27"/>
      <c r="J56" s="27" t="s">
        <v>152</v>
      </c>
      <c r="K56" s="27" t="s">
        <v>153</v>
      </c>
      <c r="L56" s="27" t="s">
        <v>232</v>
      </c>
      <c r="M56" s="73">
        <v>451.39</v>
      </c>
      <c r="N56" s="73">
        <v>420.53</v>
      </c>
      <c r="O56" s="73">
        <v>411.21</v>
      </c>
      <c r="P56" s="73">
        <v>396.87</v>
      </c>
      <c r="Q56" s="73">
        <v>397</v>
      </c>
      <c r="R56" s="73">
        <v>311.77</v>
      </c>
      <c r="S56" s="73">
        <v>267.64999999999998</v>
      </c>
      <c r="T56" s="73"/>
      <c r="U56" s="73"/>
      <c r="V56" s="73"/>
    </row>
    <row r="57" spans="1:22" ht="12.95" customHeight="1" x14ac:dyDescent="0.25">
      <c r="A57" s="74" t="s">
        <v>113</v>
      </c>
      <c r="B57" s="74"/>
      <c r="C57" s="27"/>
      <c r="D57" s="27" t="s">
        <v>62</v>
      </c>
      <c r="E57" s="27" t="s">
        <v>54</v>
      </c>
      <c r="F57" s="27" t="s">
        <v>111</v>
      </c>
      <c r="G57" s="27"/>
      <c r="H57" s="27"/>
      <c r="I57" s="27"/>
      <c r="J57" s="27" t="s">
        <v>152</v>
      </c>
      <c r="K57" s="27" t="s">
        <v>154</v>
      </c>
      <c r="L57" s="27" t="s">
        <v>2</v>
      </c>
      <c r="M57" s="73">
        <v>350.21</v>
      </c>
      <c r="N57" s="73">
        <v>325.01</v>
      </c>
      <c r="O57" s="73">
        <v>312.60000000000002</v>
      </c>
      <c r="P57" s="73">
        <v>270.02999999999997</v>
      </c>
      <c r="Q57" s="73">
        <v>247.33</v>
      </c>
      <c r="R57" s="73"/>
      <c r="S57" s="73"/>
      <c r="T57" s="73"/>
      <c r="U57" s="73"/>
      <c r="V57" s="73"/>
    </row>
    <row r="58" spans="1:22" ht="12.95" customHeight="1" x14ac:dyDescent="0.25">
      <c r="A58" s="74" t="s">
        <v>172</v>
      </c>
      <c r="B58" s="27"/>
      <c r="C58" s="27"/>
      <c r="D58" s="27" t="s">
        <v>62</v>
      </c>
      <c r="E58" s="27" t="s">
        <v>173</v>
      </c>
      <c r="F58" s="27" t="s">
        <v>111</v>
      </c>
      <c r="G58" s="27"/>
      <c r="H58" s="27"/>
      <c r="I58" s="27"/>
      <c r="J58" s="27" t="s">
        <v>152</v>
      </c>
      <c r="K58" s="27" t="s">
        <v>153</v>
      </c>
      <c r="L58" s="27" t="s">
        <v>235</v>
      </c>
      <c r="M58" s="73"/>
      <c r="N58" s="73">
        <v>304.62</v>
      </c>
      <c r="O58" s="73">
        <v>296.11</v>
      </c>
      <c r="P58" s="73">
        <v>286.25</v>
      </c>
      <c r="Q58" s="73">
        <v>286.33</v>
      </c>
      <c r="R58" s="73">
        <v>274.57</v>
      </c>
      <c r="S58" s="73">
        <v>248.19</v>
      </c>
      <c r="T58" s="73"/>
      <c r="U58" s="73"/>
      <c r="V58" s="73"/>
    </row>
    <row r="59" spans="1:22" ht="12.95" customHeight="1" x14ac:dyDescent="0.25">
      <c r="A59" s="74" t="s">
        <v>114</v>
      </c>
      <c r="B59" s="27"/>
      <c r="C59" s="27"/>
      <c r="D59" s="27" t="s">
        <v>63</v>
      </c>
      <c r="E59" s="27" t="s">
        <v>55</v>
      </c>
      <c r="F59" s="27" t="s">
        <v>111</v>
      </c>
      <c r="G59" s="27"/>
      <c r="H59" s="27"/>
      <c r="I59" s="27"/>
      <c r="J59" s="27" t="s">
        <v>152</v>
      </c>
      <c r="K59" s="27" t="s">
        <v>154</v>
      </c>
      <c r="L59" s="27" t="s">
        <v>6</v>
      </c>
      <c r="M59" s="73">
        <v>333.98</v>
      </c>
      <c r="N59" s="73">
        <v>312.19</v>
      </c>
      <c r="O59" s="73">
        <v>303.72000000000003</v>
      </c>
      <c r="P59" s="73">
        <v>293.52999999999997</v>
      </c>
      <c r="Q59" s="73">
        <v>293.61</v>
      </c>
      <c r="R59" s="73">
        <v>253.07</v>
      </c>
      <c r="S59" s="73"/>
      <c r="T59" s="73"/>
      <c r="U59" s="73"/>
      <c r="V59" s="73"/>
    </row>
    <row r="60" spans="1:22" ht="12.95" customHeight="1" x14ac:dyDescent="0.25">
      <c r="A60" s="74" t="s">
        <v>115</v>
      </c>
      <c r="B60" s="27"/>
      <c r="C60" s="27"/>
      <c r="D60" s="27" t="s">
        <v>62</v>
      </c>
      <c r="E60" s="27" t="s">
        <v>240</v>
      </c>
      <c r="F60" s="27" t="s">
        <v>111</v>
      </c>
      <c r="G60" s="27"/>
      <c r="H60" s="27"/>
      <c r="I60" s="27"/>
      <c r="J60" s="27" t="s">
        <v>152</v>
      </c>
      <c r="K60" s="27" t="s">
        <v>154</v>
      </c>
      <c r="L60" s="27" t="s">
        <v>2</v>
      </c>
      <c r="M60" s="73">
        <v>344.31</v>
      </c>
      <c r="N60" s="73">
        <v>315.98</v>
      </c>
      <c r="O60" s="73">
        <v>307.58</v>
      </c>
      <c r="P60" s="73">
        <v>290.25</v>
      </c>
      <c r="Q60" s="73"/>
      <c r="R60" s="73"/>
      <c r="S60" s="73"/>
      <c r="T60" s="73"/>
      <c r="U60" s="73"/>
      <c r="V60" s="73"/>
    </row>
    <row r="61" spans="1:22" ht="12.95" customHeight="1" x14ac:dyDescent="0.25">
      <c r="A61" s="74" t="s">
        <v>116</v>
      </c>
      <c r="B61" s="27"/>
      <c r="C61" s="27"/>
      <c r="D61" s="27" t="s">
        <v>62</v>
      </c>
      <c r="E61" s="27" t="s">
        <v>57</v>
      </c>
      <c r="F61" s="27" t="s">
        <v>111</v>
      </c>
      <c r="G61" s="27"/>
      <c r="H61" s="27"/>
      <c r="I61" s="27"/>
      <c r="J61" s="27" t="s">
        <v>152</v>
      </c>
      <c r="K61" s="27" t="s">
        <v>154</v>
      </c>
      <c r="L61" s="27" t="s">
        <v>2</v>
      </c>
      <c r="M61" s="73">
        <v>338.38</v>
      </c>
      <c r="N61" s="73">
        <v>315.98</v>
      </c>
      <c r="O61" s="73">
        <v>307.58</v>
      </c>
      <c r="P61" s="73">
        <v>290.25</v>
      </c>
      <c r="Q61" s="73"/>
      <c r="R61" s="73"/>
      <c r="S61" s="73"/>
      <c r="T61" s="73"/>
      <c r="U61" s="73"/>
      <c r="V61" s="73"/>
    </row>
    <row r="62" spans="1:22" ht="12.95" customHeight="1" x14ac:dyDescent="0.25">
      <c r="A62" s="74" t="s">
        <v>117</v>
      </c>
      <c r="B62" s="27"/>
      <c r="C62" s="27"/>
      <c r="D62" s="27" t="s">
        <v>62</v>
      </c>
      <c r="E62" s="27" t="s">
        <v>67</v>
      </c>
      <c r="F62" s="27" t="s">
        <v>111</v>
      </c>
      <c r="G62" s="27"/>
      <c r="H62" s="27"/>
      <c r="I62" s="27"/>
      <c r="J62" s="27" t="s">
        <v>152</v>
      </c>
      <c r="K62" s="27" t="s">
        <v>153</v>
      </c>
      <c r="L62" s="27" t="s">
        <v>231</v>
      </c>
      <c r="M62" s="73"/>
      <c r="N62" s="73">
        <v>317.69</v>
      </c>
      <c r="O62" s="73">
        <v>309.33</v>
      </c>
      <c r="P62" s="73">
        <v>292.64999999999998</v>
      </c>
      <c r="Q62" s="73"/>
      <c r="R62" s="73"/>
      <c r="S62" s="73"/>
      <c r="T62" s="73"/>
      <c r="U62" s="73"/>
      <c r="V62" s="73"/>
    </row>
    <row r="63" spans="1:22" ht="12.95" customHeight="1" x14ac:dyDescent="0.25">
      <c r="A63" s="74" t="s">
        <v>118</v>
      </c>
      <c r="B63" s="27"/>
      <c r="C63" s="27"/>
      <c r="D63" s="27" t="s">
        <v>62</v>
      </c>
      <c r="E63" s="27" t="s">
        <v>68</v>
      </c>
      <c r="F63" s="27" t="s">
        <v>111</v>
      </c>
      <c r="G63" s="27"/>
      <c r="H63" s="27"/>
      <c r="I63" s="27"/>
      <c r="J63" s="27" t="s">
        <v>152</v>
      </c>
      <c r="K63" s="27" t="s">
        <v>153</v>
      </c>
      <c r="L63" s="27" t="s">
        <v>231</v>
      </c>
      <c r="M63" s="73"/>
      <c r="N63" s="73">
        <v>266.19</v>
      </c>
      <c r="O63" s="73">
        <v>257.85000000000002</v>
      </c>
      <c r="P63" s="73">
        <v>243.71</v>
      </c>
      <c r="Q63" s="73"/>
      <c r="R63" s="73"/>
      <c r="S63" s="73"/>
      <c r="T63" s="73"/>
      <c r="U63" s="73"/>
      <c r="V63" s="73"/>
    </row>
    <row r="64" spans="1:22" ht="12.95" customHeight="1" x14ac:dyDescent="0.25">
      <c r="A64" s="74" t="s">
        <v>119</v>
      </c>
      <c r="B64" s="74"/>
      <c r="C64" s="27"/>
      <c r="D64" s="27" t="s">
        <v>62</v>
      </c>
      <c r="E64" s="27" t="s">
        <v>76</v>
      </c>
      <c r="F64" s="27" t="s">
        <v>111</v>
      </c>
      <c r="G64" s="27"/>
      <c r="H64" s="27"/>
      <c r="I64" s="27"/>
      <c r="J64" s="27" t="s">
        <v>152</v>
      </c>
      <c r="K64" s="27" t="s">
        <v>154</v>
      </c>
      <c r="L64" s="27" t="s">
        <v>5</v>
      </c>
      <c r="M64" s="73"/>
      <c r="N64" s="73">
        <v>317.77999999999997</v>
      </c>
      <c r="O64" s="73">
        <v>292.02</v>
      </c>
      <c r="P64" s="73"/>
      <c r="Q64" s="73"/>
      <c r="R64" s="73"/>
      <c r="S64" s="73"/>
      <c r="T64" s="73"/>
      <c r="U64" s="73"/>
      <c r="V64" s="73"/>
    </row>
    <row r="65" spans="1:22" ht="12.95" customHeight="1" x14ac:dyDescent="0.25">
      <c r="A65" s="74" t="s">
        <v>120</v>
      </c>
      <c r="B65" s="27"/>
      <c r="C65" s="27"/>
      <c r="D65" s="27" t="s">
        <v>62</v>
      </c>
      <c r="E65" s="27" t="s">
        <v>75</v>
      </c>
      <c r="F65" s="27" t="s">
        <v>111</v>
      </c>
      <c r="G65" s="27"/>
      <c r="H65" s="27"/>
      <c r="I65" s="27"/>
      <c r="J65" s="27" t="s">
        <v>152</v>
      </c>
      <c r="K65" s="27" t="s">
        <v>154</v>
      </c>
      <c r="L65" s="27" t="s">
        <v>5</v>
      </c>
      <c r="M65" s="73">
        <v>339.91</v>
      </c>
      <c r="N65" s="73">
        <v>317.77999999999997</v>
      </c>
      <c r="O65" s="73">
        <v>292.02</v>
      </c>
      <c r="P65" s="73"/>
      <c r="Q65" s="73"/>
      <c r="R65" s="73"/>
      <c r="S65" s="73"/>
      <c r="T65" s="73"/>
      <c r="U65" s="73"/>
      <c r="V65" s="73"/>
    </row>
    <row r="66" spans="1:22" ht="12.95" customHeight="1" x14ac:dyDescent="0.25">
      <c r="A66" s="74" t="s">
        <v>195</v>
      </c>
      <c r="B66" s="74"/>
      <c r="C66" s="27"/>
      <c r="D66" s="27" t="s">
        <v>194</v>
      </c>
      <c r="E66" s="27" t="s">
        <v>193</v>
      </c>
      <c r="F66" s="27" t="s">
        <v>111</v>
      </c>
      <c r="G66" s="27"/>
      <c r="H66" s="87"/>
      <c r="I66" s="87"/>
      <c r="J66" s="27" t="s">
        <v>152</v>
      </c>
      <c r="K66" s="27" t="s">
        <v>154</v>
      </c>
      <c r="L66" s="27" t="s">
        <v>6</v>
      </c>
      <c r="M66" s="73">
        <v>126.89</v>
      </c>
      <c r="N66" s="73">
        <v>271.83</v>
      </c>
      <c r="O66" s="73">
        <v>261.74</v>
      </c>
      <c r="P66" s="73">
        <v>242.96</v>
      </c>
      <c r="Q66" s="73">
        <v>242.89</v>
      </c>
      <c r="R66" s="73">
        <v>220.31</v>
      </c>
      <c r="S66" s="73"/>
      <c r="T66" s="73"/>
      <c r="U66" s="73"/>
      <c r="V66" s="73"/>
    </row>
    <row r="71" spans="1:22" ht="12.95" customHeight="1" x14ac:dyDescent="0.25"/>
    <row r="73" spans="1:22" ht="12.95" customHeight="1" x14ac:dyDescent="0.25"/>
    <row r="78" spans="1:22" ht="12.95" customHeight="1" x14ac:dyDescent="0.25"/>
    <row r="79" spans="1:22" ht="12.95" customHeight="1" x14ac:dyDescent="0.25"/>
    <row r="80" spans="1:22" ht="12.95" customHeight="1" x14ac:dyDescent="0.25"/>
    <row r="81" spans="1:1" ht="12.95" customHeight="1" x14ac:dyDescent="0.25"/>
    <row r="83" spans="1:1" ht="12.95" customHeight="1" x14ac:dyDescent="0.25"/>
    <row r="84" spans="1:1" ht="12.95" customHeight="1" x14ac:dyDescent="0.25"/>
    <row r="86" spans="1:1" ht="12.95" customHeight="1" x14ac:dyDescent="0.25"/>
    <row r="87" spans="1:1" ht="12.95" customHeight="1" x14ac:dyDescent="0.25">
      <c r="A87" s="89"/>
    </row>
    <row r="88" spans="1:1" ht="12.95" customHeight="1" x14ac:dyDescent="0.25">
      <c r="A88" s="89"/>
    </row>
  </sheetData>
  <phoneticPr fontId="1" type="noConversion"/>
  <conditionalFormatting sqref="G17">
    <cfRule type="expression" dxfId="4" priority="1">
      <formula>MOD(ROW(),2)</formula>
    </cfRule>
  </conditionalFormatting>
  <conditionalFormatting sqref="G2:V13 C2:F17 H14:L14 N14:V14">
    <cfRule type="expression" dxfId="3" priority="2">
      <formula>MOD(ROW(),2)</formula>
    </cfRule>
  </conditionalFormatting>
  <conditionalFormatting sqref="G15:V15">
    <cfRule type="expression" dxfId="2" priority="3">
      <formula>MOD(ROW(),2)</formula>
    </cfRule>
  </conditionalFormatting>
  <conditionalFormatting sqref="H16:V17">
    <cfRule type="expression" dxfId="1" priority="6">
      <formula>MOD(ROW(),2)</formula>
    </cfRule>
  </conditionalFormatting>
  <conditionalFormatting sqref="W1:XFD1048576 C18:V1048576 A32:B32">
    <cfRule type="expression" dxfId="0" priority="4">
      <formula>MOD(ROW(),2)</formula>
    </cfRule>
  </conditionalFormatting>
  <pageMargins left="0.7" right="0.7" top="0.75" bottom="0.75" header="0.3" footer="0.3"/>
  <pageSetup paperSize="9" orientation="portrait" r:id="rId1"/>
  <customProperties>
    <customPr name="_pios_id" r:id="rId2"/>
  </customPropertie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156344-C0E8-479A-910B-520B9040E5A5}">
  <sheetPr codeName="Feuil6"/>
  <dimension ref="A2:L88"/>
  <sheetViews>
    <sheetView tabSelected="1" view="pageLayout" zoomScaleNormal="100" workbookViewId="0">
      <selection activeCell="J77" sqref="J77"/>
    </sheetView>
  </sheetViews>
  <sheetFormatPr baseColWidth="10" defaultColWidth="11.42578125" defaultRowHeight="12.75" x14ac:dyDescent="0.2"/>
  <cols>
    <col min="1" max="1" width="1" style="1" customWidth="1"/>
    <col min="2" max="2" width="22.42578125" style="1" customWidth="1"/>
    <col min="3" max="3" width="1.5703125" style="1" customWidth="1"/>
    <col min="4" max="4" width="14.7109375" style="1" customWidth="1"/>
    <col min="5" max="5" width="1.5703125" style="1" customWidth="1"/>
    <col min="6" max="6" width="11.42578125" style="1"/>
    <col min="7" max="7" width="11.5703125" style="1" customWidth="1"/>
    <col min="8" max="8" width="1.42578125" style="1" customWidth="1"/>
    <col min="9" max="10" width="11" style="1" customWidth="1"/>
    <col min="11" max="11" width="10" style="1" customWidth="1"/>
    <col min="12" max="12" width="1" style="1" customWidth="1"/>
    <col min="13" max="16384" width="11.42578125" style="1"/>
  </cols>
  <sheetData>
    <row r="2" spans="6:10" x14ac:dyDescent="0.2">
      <c r="J2" s="35"/>
    </row>
    <row r="3" spans="6:10" x14ac:dyDescent="0.2">
      <c r="G3" s="123"/>
      <c r="H3" s="123"/>
      <c r="I3" s="123"/>
      <c r="J3" s="123"/>
    </row>
    <row r="8" spans="6:10" x14ac:dyDescent="0.2">
      <c r="G8" s="1" t="s">
        <v>210</v>
      </c>
      <c r="J8" s="37">
        <f ca="1">TODAY()</f>
        <v>45142</v>
      </c>
    </row>
    <row r="12" spans="6:10" x14ac:dyDescent="0.2">
      <c r="F12" s="36"/>
      <c r="H12" s="38"/>
      <c r="I12" s="3"/>
    </row>
    <row r="17" spans="1:12" x14ac:dyDescent="0.2">
      <c r="B17" s="39" t="s">
        <v>149</v>
      </c>
      <c r="C17" s="39" t="s">
        <v>98</v>
      </c>
      <c r="D17" s="1" t="s">
        <v>83</v>
      </c>
      <c r="G17" s="1" t="s">
        <v>106</v>
      </c>
      <c r="H17" s="1" t="s">
        <v>98</v>
      </c>
      <c r="I17" s="1" t="str">
        <f>VLOOKUP($D$17,'Véhicules MAJ 20012022'!$A$1:$T$118,4,FALSE)</f>
        <v>VEHICULE LEGER</v>
      </c>
    </row>
    <row r="18" spans="1:12" x14ac:dyDescent="0.2">
      <c r="B18" s="39" t="s">
        <v>17</v>
      </c>
      <c r="C18" s="39" t="s">
        <v>98</v>
      </c>
      <c r="D18" s="1" t="str">
        <f>VLOOKUP($D$17,'Véhicules MAJ 20012022'!A1:T98,5,FALSE)</f>
        <v>RENAULT</v>
      </c>
      <c r="G18" s="1" t="s">
        <v>18</v>
      </c>
      <c r="H18" s="1" t="s">
        <v>98</v>
      </c>
      <c r="I18" s="1" t="str">
        <f>VLOOKUP($D$17,'Véhicules MAJ 20012022'!$A$1:$T$118,6,FALSE)</f>
        <v>CLIO</v>
      </c>
    </row>
    <row r="19" spans="1:12" x14ac:dyDescent="0.2">
      <c r="B19" s="39" t="s">
        <v>150</v>
      </c>
      <c r="C19" s="39" t="s">
        <v>98</v>
      </c>
      <c r="D19" s="1">
        <f>VLOOKUP($D$17,'Véhicules MAJ 20012022'!$A$1:$T$118,3,FALSE)</f>
        <v>0</v>
      </c>
      <c r="G19" s="1" t="s">
        <v>211</v>
      </c>
      <c r="H19" s="1" t="s">
        <v>98</v>
      </c>
      <c r="I19" s="1">
        <f>VLOOKUP($D$17,'Véhicules MAJ 20012022'!$A$1:$T$118,7,FALSE)</f>
        <v>0</v>
      </c>
    </row>
    <row r="22" spans="1:12" ht="6.75" customHeight="1" x14ac:dyDescent="0.2">
      <c r="A22" s="40"/>
      <c r="B22" s="41"/>
      <c r="C22" s="41"/>
      <c r="D22" s="41"/>
      <c r="E22" s="41"/>
      <c r="F22" s="41"/>
      <c r="G22" s="41"/>
      <c r="H22" s="41"/>
      <c r="I22" s="41"/>
      <c r="J22" s="41"/>
      <c r="K22" s="41"/>
      <c r="L22" s="42"/>
    </row>
    <row r="23" spans="1:12" x14ac:dyDescent="0.2">
      <c r="A23" s="43"/>
      <c r="B23" s="40" t="s">
        <v>99</v>
      </c>
      <c r="C23" s="41" t="s">
        <v>98</v>
      </c>
      <c r="D23" s="44">
        <f>VLOOKUP($D$17,'Véhicules MAJ 20012022'!$A$1:$T$118,8,FALSE)</f>
        <v>0</v>
      </c>
      <c r="E23" s="45"/>
      <c r="F23" s="45"/>
      <c r="G23" s="46" t="s">
        <v>180</v>
      </c>
      <c r="H23" s="45" t="s">
        <v>98</v>
      </c>
      <c r="I23" s="47">
        <f>VLOOKUP($D$17,'Véhicules MAJ 20012022'!$A$1:$T$118,13,FALSE)</f>
        <v>0</v>
      </c>
      <c r="J23" s="45"/>
      <c r="K23" s="48"/>
      <c r="L23" s="49"/>
    </row>
    <row r="24" spans="1:12" x14ac:dyDescent="0.2">
      <c r="A24" s="43"/>
      <c r="B24" s="43" t="s">
        <v>247</v>
      </c>
      <c r="C24" s="1" t="s">
        <v>98</v>
      </c>
      <c r="D24" s="100">
        <f>VLOOKUP($D$17,'Véhicules MAJ 20012022'!$A$1:$T$118,11,FALSE)</f>
        <v>0</v>
      </c>
      <c r="E24" s="35"/>
      <c r="F24" s="35"/>
      <c r="G24" s="101"/>
      <c r="H24" s="35"/>
      <c r="I24" s="102"/>
      <c r="J24" s="35"/>
      <c r="K24" s="103"/>
      <c r="L24" s="49"/>
    </row>
    <row r="25" spans="1:12" x14ac:dyDescent="0.2">
      <c r="A25" s="43"/>
      <c r="B25" s="43" t="s">
        <v>100</v>
      </c>
      <c r="C25" s="131" t="s">
        <v>98</v>
      </c>
      <c r="D25" s="132">
        <f>VLOOKUP($D$17,'Véhicules MAJ 20012022'!$A$1:$T$118,10,FALSE)</f>
        <v>1900</v>
      </c>
      <c r="E25" s="133"/>
      <c r="F25" s="134" t="s">
        <v>181</v>
      </c>
      <c r="G25" s="134"/>
      <c r="H25" s="133" t="s">
        <v>98</v>
      </c>
      <c r="I25" s="133">
        <f>VLOOKUP($D$17,'Véhicules MAJ 20012022'!$A$1:$T$118,12,FALSE)</f>
        <v>36</v>
      </c>
      <c r="J25" s="133"/>
      <c r="K25" s="103"/>
      <c r="L25" s="49"/>
    </row>
    <row r="26" spans="1:12" ht="6" customHeight="1" x14ac:dyDescent="0.2">
      <c r="A26" s="43"/>
      <c r="B26" s="50"/>
      <c r="C26" s="51"/>
      <c r="D26" s="51"/>
      <c r="E26" s="51"/>
      <c r="F26" s="51"/>
      <c r="G26" s="51"/>
      <c r="H26" s="51"/>
      <c r="I26" s="51"/>
      <c r="J26" s="51"/>
      <c r="K26" s="60"/>
      <c r="L26" s="49"/>
    </row>
    <row r="27" spans="1:12" x14ac:dyDescent="0.2">
      <c r="A27" s="43"/>
      <c r="B27" s="53"/>
      <c r="C27" s="53"/>
      <c r="D27" s="53"/>
      <c r="E27" s="53"/>
      <c r="F27" s="53"/>
      <c r="G27" s="53"/>
      <c r="H27" s="53"/>
      <c r="I27" s="54" t="s">
        <v>86</v>
      </c>
      <c r="J27" s="54" t="s">
        <v>87</v>
      </c>
      <c r="K27" s="55" t="s">
        <v>88</v>
      </c>
      <c r="L27" s="49"/>
    </row>
    <row r="28" spans="1:12" x14ac:dyDescent="0.2">
      <c r="A28" s="43"/>
      <c r="B28" s="40" t="s">
        <v>268</v>
      </c>
      <c r="C28" s="41" t="s">
        <v>98</v>
      </c>
      <c r="D28" s="135"/>
      <c r="E28" s="41"/>
      <c r="F28" s="41"/>
      <c r="G28" s="41"/>
      <c r="H28" s="42"/>
      <c r="I28" s="56">
        <f>D25/12</f>
        <v>158.33333333333334</v>
      </c>
      <c r="J28" s="57">
        <v>0.2</v>
      </c>
      <c r="K28" s="56">
        <f t="shared" ref="K28:K34" si="0">I28*J28</f>
        <v>31.666666666666671</v>
      </c>
      <c r="L28" s="49"/>
    </row>
    <row r="29" spans="1:12" x14ac:dyDescent="0.2">
      <c r="A29" s="43"/>
      <c r="B29" s="43"/>
      <c r="D29" s="32"/>
      <c r="H29" s="49"/>
      <c r="I29" s="58"/>
      <c r="J29" s="59"/>
      <c r="K29" s="58"/>
      <c r="L29" s="49"/>
    </row>
    <row r="30" spans="1:12" x14ac:dyDescent="0.2">
      <c r="A30" s="43"/>
      <c r="B30" s="43" t="s">
        <v>101</v>
      </c>
      <c r="C30" s="1" t="s">
        <v>98</v>
      </c>
      <c r="D30" s="32">
        <f>VLOOKUP($D$17,'Véhicules MAJ 20012022'!$A$1:$T$118,19,FALSE)</f>
        <v>0</v>
      </c>
      <c r="H30" s="49"/>
      <c r="I30" s="58">
        <f>D30/I25</f>
        <v>0</v>
      </c>
      <c r="J30" s="59">
        <v>0.2</v>
      </c>
      <c r="K30" s="58">
        <f t="shared" si="0"/>
        <v>0</v>
      </c>
      <c r="L30" s="49"/>
    </row>
    <row r="31" spans="1:12" x14ac:dyDescent="0.2">
      <c r="A31" s="43"/>
      <c r="B31" s="43" t="s">
        <v>102</v>
      </c>
      <c r="C31" s="1" t="s">
        <v>98</v>
      </c>
      <c r="D31" s="32">
        <f>VLOOKUP($D$17,'Véhicules MAJ 20012022'!$A$1:$T$118,20,FALSE)</f>
        <v>120</v>
      </c>
      <c r="H31" s="49"/>
      <c r="I31" s="58">
        <f>D31</f>
        <v>120</v>
      </c>
      <c r="J31" s="59">
        <v>0.2</v>
      </c>
      <c r="K31" s="58">
        <f t="shared" si="0"/>
        <v>24</v>
      </c>
      <c r="L31" s="49"/>
    </row>
    <row r="32" spans="1:12" x14ac:dyDescent="0.2">
      <c r="A32" s="43"/>
      <c r="B32" s="43" t="s">
        <v>103</v>
      </c>
      <c r="C32" s="1" t="s">
        <v>98</v>
      </c>
      <c r="D32" s="32">
        <f>VLOOKUP($D$17,'Véhicules MAJ 20012022'!$A$1:$T$118,18,FALSE)</f>
        <v>0</v>
      </c>
      <c r="H32" s="49"/>
      <c r="I32" s="58">
        <f>D32/I25</f>
        <v>0</v>
      </c>
      <c r="J32" s="59">
        <v>0.2</v>
      </c>
      <c r="K32" s="58">
        <f t="shared" si="0"/>
        <v>0</v>
      </c>
      <c r="L32" s="49"/>
    </row>
    <row r="33" spans="1:12" x14ac:dyDescent="0.2">
      <c r="A33" s="43"/>
      <c r="B33" s="43" t="s">
        <v>104</v>
      </c>
      <c r="C33" s="1" t="s">
        <v>98</v>
      </c>
      <c r="D33" s="104">
        <f>VLOOKUP($D$17,'Assurances '!1:1048576,8,FALSE)</f>
        <v>0</v>
      </c>
      <c r="F33" s="1" t="s">
        <v>89</v>
      </c>
      <c r="G33" s="105">
        <f>IF(ISBLANK(VLOOKUP($D$17,'Assurances '!$A:$V,13,FALSE))=TRUE,VLOOKUP($D$17,'Assurances '!$A:$V,14,FALSE))</f>
        <v>587.96</v>
      </c>
      <c r="H33" s="49"/>
      <c r="I33" s="58">
        <f>G33/12</f>
        <v>48.99666666666667</v>
      </c>
      <c r="J33" s="106"/>
      <c r="K33" s="58">
        <f t="shared" ref="K33" si="1">I33*J33</f>
        <v>0</v>
      </c>
      <c r="L33" s="49"/>
    </row>
    <row r="34" spans="1:12" x14ac:dyDescent="0.2">
      <c r="A34" s="43"/>
      <c r="B34" s="50" t="s">
        <v>104</v>
      </c>
      <c r="C34" s="51" t="s">
        <v>98</v>
      </c>
      <c r="D34" s="33">
        <f>VLOOKUP($D$17,'Assurances '!1:1048576,8,FALSE)</f>
        <v>0</v>
      </c>
      <c r="E34" s="51"/>
      <c r="F34" s="51" t="s">
        <v>89</v>
      </c>
      <c r="G34" s="69">
        <v>0</v>
      </c>
      <c r="H34" s="60"/>
      <c r="I34" s="61">
        <f>G34/12</f>
        <v>0</v>
      </c>
      <c r="J34" s="34"/>
      <c r="K34" s="61">
        <f t="shared" si="0"/>
        <v>0</v>
      </c>
      <c r="L34" s="49"/>
    </row>
    <row r="35" spans="1:12" x14ac:dyDescent="0.2">
      <c r="A35" s="43"/>
      <c r="B35" s="62" t="s">
        <v>90</v>
      </c>
      <c r="C35" s="62"/>
      <c r="D35" s="62" t="s">
        <v>91</v>
      </c>
      <c r="G35" s="52" t="s">
        <v>92</v>
      </c>
      <c r="H35" s="63"/>
      <c r="I35" s="64">
        <f>SUM(I28:I34)</f>
        <v>327.33000000000004</v>
      </c>
      <c r="J35" s="64"/>
      <c r="K35" s="64">
        <f>SUM(K28:K34)</f>
        <v>55.666666666666671</v>
      </c>
      <c r="L35" s="49"/>
    </row>
    <row r="36" spans="1:12" x14ac:dyDescent="0.2">
      <c r="A36" s="43"/>
      <c r="B36" s="62"/>
      <c r="C36" s="62"/>
      <c r="D36" s="62"/>
      <c r="G36" s="124" t="s">
        <v>93</v>
      </c>
      <c r="H36" s="125"/>
      <c r="I36" s="125"/>
      <c r="J36" s="126"/>
      <c r="K36" s="64">
        <f>SUM(K35+I35)</f>
        <v>382.99666666666673</v>
      </c>
      <c r="L36" s="49"/>
    </row>
    <row r="37" spans="1:12" ht="6.75" customHeight="1" x14ac:dyDescent="0.2">
      <c r="A37" s="50"/>
      <c r="B37" s="51"/>
      <c r="C37" s="51"/>
      <c r="D37" s="51"/>
      <c r="E37" s="51"/>
      <c r="F37" s="51"/>
      <c r="G37" s="51"/>
      <c r="H37" s="51"/>
      <c r="I37" s="51"/>
      <c r="J37" s="51"/>
      <c r="K37" s="51"/>
      <c r="L37" s="60"/>
    </row>
    <row r="39" spans="1:12" x14ac:dyDescent="0.2">
      <c r="B39" s="107" t="s">
        <v>253</v>
      </c>
      <c r="F39" s="2">
        <v>11</v>
      </c>
    </row>
    <row r="40" spans="1:12" x14ac:dyDescent="0.2">
      <c r="B40" s="1" t="s">
        <v>94</v>
      </c>
      <c r="F40" s="65">
        <f>I35*(52/50)</f>
        <v>340.42320000000007</v>
      </c>
    </row>
    <row r="41" spans="1:12" x14ac:dyDescent="0.2">
      <c r="B41" s="1" t="s">
        <v>95</v>
      </c>
      <c r="F41" s="65">
        <f>F40/F39</f>
        <v>30.947563636363643</v>
      </c>
    </row>
    <row r="43" spans="1:12" x14ac:dyDescent="0.2">
      <c r="G43" s="127" t="s">
        <v>96</v>
      </c>
      <c r="H43" s="127"/>
      <c r="I43" s="127"/>
      <c r="J43" s="127"/>
      <c r="K43" s="129">
        <f>F41*(0.4+1)</f>
        <v>43.326589090909096</v>
      </c>
    </row>
    <row r="44" spans="1:12" x14ac:dyDescent="0.2">
      <c r="G44" s="128"/>
      <c r="H44" s="128"/>
      <c r="I44" s="128"/>
      <c r="J44" s="128"/>
      <c r="K44" s="130"/>
    </row>
    <row r="45" spans="1:12" x14ac:dyDescent="0.2">
      <c r="G45" s="62"/>
      <c r="H45" s="62"/>
    </row>
    <row r="47" spans="1:12" ht="12.75" customHeight="1" x14ac:dyDescent="0.2">
      <c r="B47" s="122" t="s">
        <v>257</v>
      </c>
      <c r="C47" s="122"/>
      <c r="D47" s="122"/>
      <c r="E47" s="122"/>
      <c r="F47" s="122"/>
      <c r="G47" s="122"/>
      <c r="H47" s="109"/>
      <c r="I47" s="109"/>
      <c r="J47" s="109"/>
      <c r="K47" s="109"/>
    </row>
    <row r="48" spans="1:12" x14ac:dyDescent="0.2">
      <c r="B48" s="122"/>
      <c r="C48" s="122"/>
      <c r="D48" s="122"/>
      <c r="E48" s="122"/>
      <c r="F48" s="122"/>
      <c r="G48" s="122"/>
      <c r="H48" s="109"/>
      <c r="I48" s="109"/>
      <c r="J48" s="109"/>
      <c r="K48" s="109"/>
    </row>
    <row r="49" spans="2:11" x14ac:dyDescent="0.2">
      <c r="B49" s="122"/>
      <c r="C49" s="122"/>
      <c r="D49" s="122"/>
      <c r="E49" s="122"/>
      <c r="F49" s="122"/>
      <c r="G49" s="122"/>
      <c r="H49" s="109"/>
      <c r="I49" s="109"/>
      <c r="J49" s="109"/>
      <c r="K49" s="109"/>
    </row>
    <row r="50" spans="2:11" x14ac:dyDescent="0.2">
      <c r="B50" s="122"/>
      <c r="C50" s="122"/>
      <c r="D50" s="122"/>
      <c r="E50" s="122"/>
      <c r="F50" s="122"/>
      <c r="G50" s="122"/>
      <c r="H50" s="109"/>
      <c r="I50" s="109"/>
      <c r="J50" s="109"/>
      <c r="K50" s="109"/>
    </row>
    <row r="51" spans="2:11" x14ac:dyDescent="0.2">
      <c r="B51" s="122"/>
      <c r="C51" s="122"/>
      <c r="D51" s="122"/>
      <c r="E51" s="122"/>
      <c r="F51" s="122"/>
      <c r="G51" s="122"/>
      <c r="H51" s="109"/>
      <c r="I51" s="109"/>
      <c r="J51" s="109"/>
      <c r="K51" s="109"/>
    </row>
    <row r="52" spans="2:11" x14ac:dyDescent="0.2">
      <c r="B52" s="122"/>
      <c r="C52" s="122"/>
      <c r="D52" s="122"/>
      <c r="E52" s="122"/>
      <c r="F52" s="122"/>
      <c r="G52" s="122"/>
      <c r="H52" s="109"/>
      <c r="I52" s="109"/>
      <c r="J52" s="109"/>
      <c r="K52" s="109"/>
    </row>
    <row r="53" spans="2:11" x14ac:dyDescent="0.2">
      <c r="B53" s="122"/>
      <c r="C53" s="122"/>
      <c r="D53" s="122"/>
      <c r="E53" s="122"/>
      <c r="F53" s="122"/>
      <c r="G53" s="122"/>
      <c r="H53" s="109"/>
      <c r="I53" s="109"/>
      <c r="J53" s="109"/>
      <c r="K53" s="109"/>
    </row>
    <row r="54" spans="2:11" x14ac:dyDescent="0.2">
      <c r="B54" s="122"/>
      <c r="C54" s="122"/>
      <c r="D54" s="122"/>
      <c r="E54" s="122"/>
      <c r="F54" s="122"/>
      <c r="G54" s="122"/>
      <c r="H54" s="109"/>
      <c r="I54" s="109"/>
      <c r="J54" s="109"/>
      <c r="K54" s="109"/>
    </row>
    <row r="55" spans="2:11" x14ac:dyDescent="0.2">
      <c r="B55" s="122"/>
      <c r="C55" s="122"/>
      <c r="D55" s="122"/>
      <c r="E55" s="122"/>
      <c r="F55" s="122"/>
      <c r="G55" s="122"/>
      <c r="H55" s="109"/>
      <c r="I55" s="109"/>
      <c r="J55" s="109"/>
      <c r="K55" s="109"/>
    </row>
    <row r="56" spans="2:11" x14ac:dyDescent="0.2">
      <c r="B56" s="109"/>
      <c r="C56" s="109"/>
      <c r="D56" s="109"/>
      <c r="E56" s="109"/>
      <c r="F56" s="109"/>
      <c r="G56" s="109"/>
      <c r="H56" s="109"/>
      <c r="I56" s="109"/>
      <c r="J56" s="109"/>
      <c r="K56" s="109"/>
    </row>
    <row r="57" spans="2:11" x14ac:dyDescent="0.2">
      <c r="B57" s="109"/>
      <c r="C57" s="109"/>
      <c r="D57" s="109"/>
      <c r="E57" s="109"/>
      <c r="F57" s="109"/>
      <c r="G57" s="109"/>
      <c r="H57" s="109"/>
      <c r="I57" s="109"/>
      <c r="J57" s="109"/>
      <c r="K57" s="109"/>
    </row>
    <row r="58" spans="2:11" x14ac:dyDescent="0.2">
      <c r="B58" s="109"/>
      <c r="C58" s="109"/>
      <c r="D58" s="109"/>
      <c r="E58" s="109"/>
      <c r="F58" s="109"/>
      <c r="G58" s="109"/>
      <c r="H58" s="109"/>
      <c r="I58" s="109"/>
      <c r="J58" s="109"/>
      <c r="K58" s="109"/>
    </row>
    <row r="59" spans="2:11" x14ac:dyDescent="0.2">
      <c r="B59" s="109"/>
      <c r="C59" s="109"/>
      <c r="D59" s="109"/>
      <c r="E59" s="109"/>
      <c r="F59" s="109"/>
      <c r="G59" s="109"/>
      <c r="H59" s="109"/>
      <c r="I59" s="109"/>
      <c r="J59" s="109"/>
      <c r="K59" s="109"/>
    </row>
    <row r="60" spans="2:11" x14ac:dyDescent="0.2">
      <c r="B60" s="109"/>
      <c r="C60" s="109"/>
      <c r="D60" s="109"/>
      <c r="E60" s="109"/>
      <c r="F60" s="109"/>
      <c r="G60" s="109"/>
      <c r="H60" s="109"/>
      <c r="I60" s="109"/>
      <c r="J60" s="109"/>
      <c r="K60" s="109"/>
    </row>
    <row r="61" spans="2:11" x14ac:dyDescent="0.2">
      <c r="B61" s="109"/>
      <c r="C61" s="109"/>
      <c r="D61" s="109"/>
      <c r="E61" s="109"/>
      <c r="F61" s="109"/>
      <c r="G61" s="109"/>
      <c r="H61" s="109"/>
      <c r="I61" s="109"/>
      <c r="J61" s="109"/>
      <c r="K61" s="109"/>
    </row>
    <row r="62" spans="2:11" x14ac:dyDescent="0.2">
      <c r="B62" s="109"/>
      <c r="C62" s="109"/>
      <c r="D62" s="109"/>
      <c r="E62" s="109"/>
      <c r="F62" s="109"/>
      <c r="G62" s="109"/>
      <c r="H62" s="109"/>
      <c r="I62" s="109"/>
      <c r="J62" s="109"/>
      <c r="K62" s="109"/>
    </row>
    <row r="66" spans="2:7" x14ac:dyDescent="0.2">
      <c r="B66" s="107" t="s">
        <v>252</v>
      </c>
    </row>
    <row r="68" spans="2:7" x14ac:dyDescent="0.2">
      <c r="B68" s="108"/>
      <c r="C68" s="108"/>
      <c r="D68" s="108" t="s">
        <v>60</v>
      </c>
      <c r="E68" s="108"/>
      <c r="F68" s="108" t="s">
        <v>58</v>
      </c>
      <c r="G68" s="108" t="s">
        <v>59</v>
      </c>
    </row>
    <row r="69" spans="2:7" x14ac:dyDescent="0.2">
      <c r="B69" s="108" t="s">
        <v>254</v>
      </c>
      <c r="C69" s="108"/>
      <c r="D69" s="108">
        <v>15.61</v>
      </c>
      <c r="E69" s="108"/>
      <c r="F69" s="108">
        <v>0.8</v>
      </c>
      <c r="G69" s="108">
        <v>1.18</v>
      </c>
    </row>
    <row r="70" spans="2:7" x14ac:dyDescent="0.2">
      <c r="B70" s="108" t="s">
        <v>255</v>
      </c>
      <c r="C70" s="108"/>
      <c r="D70" s="108">
        <v>11.42</v>
      </c>
      <c r="E70" s="108"/>
      <c r="F70" s="108">
        <v>2.52</v>
      </c>
      <c r="G70" s="108">
        <v>0.12</v>
      </c>
    </row>
    <row r="71" spans="2:7" x14ac:dyDescent="0.2">
      <c r="B71" s="108" t="s">
        <v>234</v>
      </c>
      <c r="C71" s="108"/>
      <c r="D71" s="108">
        <v>10.11</v>
      </c>
      <c r="E71" s="108"/>
      <c r="F71" s="108">
        <v>0.2</v>
      </c>
      <c r="G71" s="108">
        <v>1.17</v>
      </c>
    </row>
    <row r="72" spans="2:7" x14ac:dyDescent="0.2">
      <c r="B72" s="108" t="s">
        <v>256</v>
      </c>
      <c r="C72" s="108"/>
      <c r="D72" s="108">
        <v>7.26</v>
      </c>
      <c r="E72" s="108"/>
      <c r="F72" s="108">
        <v>0</v>
      </c>
      <c r="G72" s="108">
        <v>0.19</v>
      </c>
    </row>
    <row r="88" spans="2:2" x14ac:dyDescent="0.2">
      <c r="B88" s="1">
        <f ca="1">YEAR(J8)</f>
        <v>2023</v>
      </c>
    </row>
  </sheetData>
  <mergeCells count="6">
    <mergeCell ref="B47:G55"/>
    <mergeCell ref="G3:J3"/>
    <mergeCell ref="G36:J36"/>
    <mergeCell ref="G43:J44"/>
    <mergeCell ref="K43:K44"/>
    <mergeCell ref="F25:G25"/>
  </mergeCells>
  <dataValidations count="1">
    <dataValidation type="list" allowBlank="1" showInputMessage="1" showErrorMessage="1" sqref="G3:H3" xr:uid="{773BEA9A-0C34-418E-A8E4-451F6A744F68}">
      <formula1>"PAYSAGE DES GRAVES,PAYSAGE DES GRAVES AMENAGEMENT,NICOLAS LE JARDINIER"</formula1>
    </dataValidation>
  </dataValidations>
  <pageMargins left="0.19685039370078741" right="0.31496062992125984" top="0.19685039370078741" bottom="0.19685039370078741" header="0.31496062992125984" footer="0.31496062992125984"/>
  <pageSetup paperSize="9" orientation="portrait" r:id="rId1"/>
  <customProperties>
    <customPr name="_pios_id" r:id="rId2"/>
  </customProperties>
  <drawing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7B223CFB-66ED-4428-8FBC-DAD019964991}">
          <x14:formula1>
            <xm:f>'Véhicules MAJ 20012022'!$A$2:$A$83</xm:f>
          </x14:formula1>
          <xm:sqref>D17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F82879-AF8D-4860-867D-06DC015A6CBA}">
  <dimension ref="A1:D4"/>
  <sheetViews>
    <sheetView workbookViewId="0">
      <selection activeCell="A4" sqref="A4"/>
    </sheetView>
  </sheetViews>
  <sheetFormatPr baseColWidth="10" defaultColWidth="9.140625" defaultRowHeight="15" x14ac:dyDescent="0.25"/>
  <cols>
    <col min="1" max="1" width="9.85546875" customWidth="1"/>
    <col min="2" max="2" width="12" bestFit="1" customWidth="1"/>
    <col min="3" max="3" width="9.7109375" customWidth="1"/>
    <col min="4" max="4" width="10.42578125" style="110" customWidth="1"/>
  </cols>
  <sheetData>
    <row r="1" spans="1:4" x14ac:dyDescent="0.25">
      <c r="A1" t="s">
        <v>258</v>
      </c>
      <c r="B1" t="s">
        <v>259</v>
      </c>
      <c r="C1" t="s">
        <v>260</v>
      </c>
      <c r="D1" s="110" t="s">
        <v>261</v>
      </c>
    </row>
    <row r="2" spans="1:4" x14ac:dyDescent="0.25">
      <c r="A2" t="s">
        <v>262</v>
      </c>
      <c r="B2" s="94" t="s">
        <v>263</v>
      </c>
      <c r="C2" s="111">
        <v>0.35</v>
      </c>
      <c r="D2" s="112">
        <v>0.05</v>
      </c>
    </row>
    <row r="3" spans="1:4" x14ac:dyDescent="0.25">
      <c r="A3" t="s">
        <v>264</v>
      </c>
      <c r="B3" s="94" t="s">
        <v>266</v>
      </c>
      <c r="C3" s="111">
        <v>0.5</v>
      </c>
      <c r="D3" s="112">
        <v>7.0000000000000007E-2</v>
      </c>
    </row>
    <row r="4" spans="1:4" x14ac:dyDescent="0.25">
      <c r="A4" t="s">
        <v>265</v>
      </c>
      <c r="B4" s="94" t="s">
        <v>266</v>
      </c>
      <c r="C4" s="111">
        <v>0.5</v>
      </c>
      <c r="D4" s="112">
        <v>7.0000000000000007E-2</v>
      </c>
    </row>
  </sheetData>
  <pageMargins left="0.7" right="0.7" top="0.75" bottom="0.75" header="0.3" footer="0.3"/>
  <customProperties>
    <customPr name="_pios_id" r:id="rId1"/>
  </customProperties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Véhicules MAJ 20012022</vt:lpstr>
      <vt:lpstr>Assurances </vt:lpstr>
      <vt:lpstr>Feuil1</vt:lpstr>
      <vt:lpstr>Feuil2</vt:lpstr>
      <vt:lpstr>REFERENCE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William Talas</dc:creator>
  <cp:lastModifiedBy>William Talas</cp:lastModifiedBy>
  <cp:lastPrinted>2023-08-03T15:28:00Z</cp:lastPrinted>
  <dcterms:created xsi:type="dcterms:W3CDTF">2020-07-08T09:46:14Z</dcterms:created>
  <dcterms:modified xsi:type="dcterms:W3CDTF">2023-08-04T13:39:01Z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stomUiType">
    <vt:lpwstr>2</vt:lpwstr>
  </property>
</Properties>
</file>