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template.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deli\projects\Office_Online\technicians\ZivYang\20190902\Bug 3596307\fr-FR\target\"/>
    </mc:Choice>
  </mc:AlternateContent>
  <xr:revisionPtr revIDLastSave="0" documentId="13_ncr:1_{A1049EA3-B336-4E71-BC0E-BBB4C6DD9CAD}" xr6:coauthVersionLast="44" xr6:coauthVersionMax="44" xr10:uidLastSave="{00000000-0000-0000-0000-000000000000}"/>
  <bookViews>
    <workbookView xWindow="-120" yWindow="-120" windowWidth="29040" windowHeight="17640" tabRatio="686"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Janvier!$AH$4</definedName>
    <definedName name="CléCongé">Janvier!$C$2</definedName>
    <definedName name="CléMaladie">Janvier!$J$2</definedName>
    <definedName name="CléPersonnalisée1">Janvier!$M$2</definedName>
    <definedName name="CléPersonnalisée2">Janvier!$R$2</definedName>
    <definedName name="CléPersonnel">Janvier!$F$2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AH9" i="4" l="1"/>
  <c r="AH10" i="4"/>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15"/>
  <c r="B1" i="5"/>
  <c r="AH12" i="17" l="1"/>
  <c r="AH12" i="21"/>
  <c r="AH12" i="22"/>
  <c r="AH12" i="25"/>
  <c r="AH12" i="20"/>
  <c r="AH12" i="19"/>
  <c r="AH12" i="24"/>
  <c r="AH4" i="5" l="1"/>
  <c r="AH4" i="15" l="1"/>
  <c r="C12" i="4" l="1"/>
  <c r="D12" i="4"/>
  <c r="E12" i="4"/>
  <c r="F12" i="4"/>
  <c r="G12" i="4"/>
  <c r="H12" i="4"/>
  <c r="I12" i="4"/>
  <c r="J12" i="4"/>
  <c r="K12" i="4"/>
  <c r="L12" i="4"/>
  <c r="M12" i="4"/>
  <c r="N12" i="4"/>
  <c r="O12" i="4"/>
  <c r="P12" i="4"/>
  <c r="Q12" i="4"/>
  <c r="R12" i="4"/>
  <c r="S12" i="4"/>
  <c r="T12" i="4"/>
  <c r="U12" i="4"/>
  <c r="V12" i="4"/>
  <c r="W12" i="4"/>
  <c r="X12" i="4"/>
  <c r="Y12" i="4"/>
  <c r="Z12" i="4"/>
  <c r="AA12" i="4"/>
  <c r="AB12" i="4"/>
  <c r="AC12" i="4"/>
  <c r="AD12" i="4"/>
  <c r="AE12" i="4"/>
  <c r="AF12" i="4"/>
  <c r="AG12" i="4"/>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B12" i="4"/>
  <c r="AH11" i="5" l="1"/>
  <c r="AH10" i="5"/>
  <c r="AH9" i="5"/>
  <c r="AH11" i="4"/>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H7" i="4"/>
  <c r="AH8" i="4"/>
  <c r="AH12" i="4" l="1"/>
</calcChain>
</file>

<file path=xl/sharedStrings.xml><?xml version="1.0" encoding="utf-8"?>
<sst xmlns="http://schemas.openxmlformats.org/spreadsheetml/2006/main" count="643" uniqueCount="65">
  <si>
    <t>Calendrier des absences des employés</t>
  </si>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</sst>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1" formatCode="_(* #,##0_);_(* \(#,##0\);_(* &quot;-&quot;_);_(@_)"/>
    <numFmt numFmtId="43" formatCode="_(* #,##0.00_);_(* \(#,##0.00\);_(* &quot;-&quot;??_);_(@_)"/>
    <numFmt numFmtId="164" formatCode="_-* #,##0\ &quot;€&quot;_-;\-* #,##0\ &quot;€&quot;_-;_-* &quot;-&quot;\ &quot;€&quot;_-;_-@_-"/>
    <numFmt numFmtId="165" formatCode="_-* #,##0.00\ &quot;€&quot;_-;\-* #,##0.00\ &quot;€&quot;_-;_-* &quot;-&quot;??\ &quot;€&quot;_-;_-@_-"/>
    <numFmt numFmtId="166" formatCode="0;0;"/>
  </numFmts>
  <fonts count="1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43" fontId="1" fillId="0" borderId="0" applyFont="0" applyFill="0" applyBorder="0" applyAlignment="0" applyProtection="0"/>
    <xf numFmtId="41"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26">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cellXfs>
  <cellStyles count="49">
    <cellStyle name="20% - Accent1" xfId="15" builtinId="30" customBuiltin="1"/>
    <cellStyle name="20% - Accent2" xfId="44" builtinId="34" customBuiltin="1"/>
    <cellStyle name="20% - Accent3" xfId="21" builtinId="38" customBuiltin="1"/>
    <cellStyle name="20% - Accent4" xfId="7" builtinId="42" customBuiltin="1"/>
    <cellStyle name="20% - Accent5" xfId="47" builtinId="46" customBuiltin="1"/>
    <cellStyle name="20% - Accent6" xfId="11" builtinId="50" customBuiltin="1"/>
    <cellStyle name="40% - Accent1" xfId="16" builtinId="31" customBuiltin="1"/>
    <cellStyle name="40% - Accent2" xfId="19" builtinId="35" customBuiltin="1"/>
    <cellStyle name="40% - Accent3" xfId="22" builtinId="39" customBuiltin="1"/>
    <cellStyle name="40% - Accent4" xfId="8" builtinId="43" customBuiltin="1"/>
    <cellStyle name="40% - Accent5" xfId="24" builtinId="47" customBuiltin="1"/>
    <cellStyle name="40% - Accent6" xfId="12" builtinId="51" customBuiltin="1"/>
    <cellStyle name="60% - Accent1" xfId="17" builtinId="32" customBuiltin="1"/>
    <cellStyle name="60% - Accent2" xfId="45" builtinId="36" customBuiltin="1"/>
    <cellStyle name="60% - Accent3" xfId="23" builtinId="40" customBuiltin="1"/>
    <cellStyle name="60% - Accent4" xfId="9" builtinId="44" customBuiltin="1"/>
    <cellStyle name="60% - Accent5" xfId="48" builtinId="48" customBuiltin="1"/>
    <cellStyle name="60%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Bad" xfId="34" builtinId="27" customBuiltin="1"/>
    <cellStyle name="Calculation" xfId="38" builtinId="22" customBuiltin="1"/>
    <cellStyle name="Check Cell" xfId="40" builtinId="23" customBuiltin="1"/>
    <cellStyle name="Comma" xfId="28" builtinId="3" customBuiltin="1"/>
    <cellStyle name="Comma [0]" xfId="29" builtinId="6" customBuiltin="1"/>
    <cellStyle name="Currency" xfId="30" builtinId="4" customBuiltin="1"/>
    <cellStyle name="Currency [0]" xfId="31" builtinId="7" customBuiltin="1"/>
    <cellStyle name="Employé" xfId="26" xr:uid="{00000000-0005-0000-0000-000013000000}"/>
    <cellStyle name="Étiquette" xfId="27" xr:uid="{00000000-0005-0000-0000-000018000000}"/>
    <cellStyle name="Explanatory Text" xfId="43" builtinId="53" customBuiltin="1"/>
    <cellStyle name="Good" xfId="33" builtinId="26" customBuiltin="1"/>
    <cellStyle name="Heading 1" xfId="2" builtinId="16" customBuiltin="1"/>
    <cellStyle name="Heading 2" xfId="3" builtinId="17" customBuiltin="1"/>
    <cellStyle name="Heading 3" xfId="4" builtinId="18" customBuiltin="1"/>
    <cellStyle name="Heading 4" xfId="5" builtinId="19" customBuiltin="1"/>
    <cellStyle name="Input" xfId="36" builtinId="20" customBuiltin="1"/>
    <cellStyle name="Linked Cell" xfId="39" builtinId="24" customBuiltin="1"/>
    <cellStyle name="Neutral" xfId="35" builtinId="28" customBuiltin="1"/>
    <cellStyle name="Normal" xfId="0" builtinId="0" customBuiltin="1"/>
    <cellStyle name="Note" xfId="42" builtinId="10" customBuiltin="1"/>
    <cellStyle name="Output" xfId="37" builtinId="21" customBuiltin="1"/>
    <cellStyle name="Percent" xfId="32" builtinId="5" customBuiltin="1"/>
    <cellStyle name="Title" xfId="1" builtinId="15" customBuiltin="1"/>
    <cellStyle name="Total" xfId="25" builtinId="25" customBuiltin="1"/>
    <cellStyle name="Warning Text" xfId="41" builtinId="11" customBuiltin="1"/>
  </cellStyles>
  <dxfs count="903">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02"/>
      <tableStyleElement type="headerRow" dxfId="901"/>
      <tableStyleElement type="totalRow" dxfId="900"/>
      <tableStyleElement type="firstColumn" dxfId="899"/>
      <tableStyleElement type="lastColumn" dxfId="898"/>
      <tableStyleElement type="firstRowStripe" dxfId="897"/>
      <tableStyleElement type="secondRowStripe" dxfId="896"/>
      <tableStyleElement type="firstColumnStripe" dxfId="895"/>
      <tableStyleElement type="secondColumnStripe" dxfId="894"/>
      <tableStyleElement type="firstHeaderCell" dxfId="893"/>
      <tableStyleElement type="lastHeaderCell" dxfId="892"/>
      <tableStyleElement type="firstTotalCell" dxfId="891"/>
      <tableStyleElement type="lastTotalCell" dxfId="89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2" totalsRowCount="1" headerRowDxfId="884" dataDxfId="883" totalsRowDxfId="882">
  <autoFilter ref="B6:AH1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881" totalsRowDxfId="880" dataCellStyle="Employé">
      <totalsRowFormula>NomMois&amp;" Total"</totalsRowFormula>
    </tableColumn>
    <tableColumn id="2" xr3:uid="{00000000-0010-0000-0000-000002000000}" name="1" totalsRowFunction="custom" dataDxfId="879" totalsRowDxfId="878">
      <totalsRowFormula>SUBTOTAL(103,Janvier!$C$7:$C$11)</totalsRowFormula>
    </tableColumn>
    <tableColumn id="3" xr3:uid="{00000000-0010-0000-0000-000003000000}" name="2" totalsRowFunction="custom" dataDxfId="877" totalsRowDxfId="876">
      <totalsRowFormula>SUBTOTAL(103,Janvier!$D$7:$D$11)</totalsRowFormula>
    </tableColumn>
    <tableColumn id="4" xr3:uid="{00000000-0010-0000-0000-000004000000}" name="3" totalsRowFunction="custom" dataDxfId="875" totalsRowDxfId="874">
      <totalsRowFormula>SUBTOTAL(103,Janvier!$E$7:$E$11)</totalsRowFormula>
    </tableColumn>
    <tableColumn id="5" xr3:uid="{00000000-0010-0000-0000-000005000000}" name="4" totalsRowFunction="custom" dataDxfId="873" totalsRowDxfId="872">
      <totalsRowFormula>SUBTOTAL(103,Janvier!$F$7:$F$11)</totalsRowFormula>
    </tableColumn>
    <tableColumn id="6" xr3:uid="{00000000-0010-0000-0000-000006000000}" name="5" totalsRowFunction="custom" totalsRowDxfId="871">
      <totalsRowFormula>SUBTOTAL(103,Janvier!$G$7:$G$11)</totalsRowFormula>
    </tableColumn>
    <tableColumn id="7" xr3:uid="{00000000-0010-0000-0000-000007000000}" name="6" totalsRowFunction="custom" dataDxfId="870" totalsRowDxfId="869">
      <totalsRowFormula>SUBTOTAL(103,Janvier!$H$7:$H$11)</totalsRowFormula>
    </tableColumn>
    <tableColumn id="8" xr3:uid="{00000000-0010-0000-0000-000008000000}" name="7" totalsRowFunction="custom" dataDxfId="868" totalsRowDxfId="867">
      <totalsRowFormula>SUBTOTAL(103,Janvier!$I$7:$I$11)</totalsRowFormula>
    </tableColumn>
    <tableColumn id="9" xr3:uid="{00000000-0010-0000-0000-000009000000}" name="8" totalsRowFunction="custom" dataDxfId="866" totalsRowDxfId="865">
      <totalsRowFormula>SUBTOTAL(103,Janvier!$J$7:$J$11)</totalsRowFormula>
    </tableColumn>
    <tableColumn id="10" xr3:uid="{00000000-0010-0000-0000-00000A000000}" name="9" totalsRowFunction="custom" dataDxfId="864" totalsRowDxfId="863">
      <totalsRowFormula>SUBTOTAL(103,Janvier!$K$7:$K$11)</totalsRowFormula>
    </tableColumn>
    <tableColumn id="11" xr3:uid="{00000000-0010-0000-0000-00000B000000}" name="10" totalsRowFunction="custom" dataDxfId="862" totalsRowDxfId="861">
      <totalsRowFormula>SUBTOTAL(103,Janvier!$L$7:$L$11)</totalsRowFormula>
    </tableColumn>
    <tableColumn id="12" xr3:uid="{00000000-0010-0000-0000-00000C000000}" name="11" totalsRowFunction="custom" dataDxfId="860" totalsRowDxfId="859">
      <totalsRowFormula>SUBTOTAL(103,Janvier!$M$7:$M$11)</totalsRowFormula>
    </tableColumn>
    <tableColumn id="13" xr3:uid="{00000000-0010-0000-0000-00000D000000}" name="12" totalsRowFunction="custom" dataDxfId="858" totalsRowDxfId="857">
      <totalsRowFormula>SUBTOTAL(103,Janvier!$N$7:$N$11)</totalsRowFormula>
    </tableColumn>
    <tableColumn id="14" xr3:uid="{00000000-0010-0000-0000-00000E000000}" name="13" totalsRowFunction="custom" dataDxfId="856" totalsRowDxfId="855">
      <totalsRowFormula>SUBTOTAL(103,Janvier!$O$7:$O$11)</totalsRowFormula>
    </tableColumn>
    <tableColumn id="15" xr3:uid="{00000000-0010-0000-0000-00000F000000}" name="14" totalsRowFunction="custom" dataDxfId="854" totalsRowDxfId="853">
      <totalsRowFormula>SUBTOTAL(103,Janvier!$P$7:$P$11)</totalsRowFormula>
    </tableColumn>
    <tableColumn id="16" xr3:uid="{00000000-0010-0000-0000-000010000000}" name="15" totalsRowFunction="custom" dataDxfId="852" totalsRowDxfId="851">
      <totalsRowFormula>SUBTOTAL(103,Janvier!$Q$7:$Q$11)</totalsRowFormula>
    </tableColumn>
    <tableColumn id="17" xr3:uid="{00000000-0010-0000-0000-000011000000}" name="16" totalsRowFunction="custom" dataDxfId="850" totalsRowDxfId="849">
      <totalsRowFormula>SUBTOTAL(103,Janvier!$R$7:$R$11)</totalsRowFormula>
    </tableColumn>
    <tableColumn id="18" xr3:uid="{00000000-0010-0000-0000-000012000000}" name="17" totalsRowFunction="custom" dataDxfId="848" totalsRowDxfId="847">
      <totalsRowFormula>SUBTOTAL(103,Janvier!$S$7:$S$11)</totalsRowFormula>
    </tableColumn>
    <tableColumn id="19" xr3:uid="{00000000-0010-0000-0000-000013000000}" name="18" totalsRowFunction="custom" dataDxfId="846" totalsRowDxfId="845">
      <totalsRowFormula>SUBTOTAL(103,Janvier!$T$7:$T$11)</totalsRowFormula>
    </tableColumn>
    <tableColumn id="20" xr3:uid="{00000000-0010-0000-0000-000014000000}" name="19" totalsRowFunction="custom" dataDxfId="844" totalsRowDxfId="843">
      <totalsRowFormula>SUBTOTAL(103,Janvier!$U$7:$U$11)</totalsRowFormula>
    </tableColumn>
    <tableColumn id="21" xr3:uid="{00000000-0010-0000-0000-000015000000}" name="20" totalsRowFunction="custom" dataDxfId="842" totalsRowDxfId="841">
      <totalsRowFormula>SUBTOTAL(103,Janvier!$V$7:$V$11)</totalsRowFormula>
    </tableColumn>
    <tableColumn id="22" xr3:uid="{00000000-0010-0000-0000-000016000000}" name="21" totalsRowFunction="custom" dataDxfId="840" totalsRowDxfId="839">
      <totalsRowFormula>SUBTOTAL(103,Janvier!$W$7:$W$11)</totalsRowFormula>
    </tableColumn>
    <tableColumn id="23" xr3:uid="{00000000-0010-0000-0000-000017000000}" name="22" totalsRowFunction="custom" dataDxfId="838" totalsRowDxfId="837">
      <totalsRowFormula>SUBTOTAL(103,Janvier!$X$7:$X$11)</totalsRowFormula>
    </tableColumn>
    <tableColumn id="24" xr3:uid="{00000000-0010-0000-0000-000018000000}" name="23" totalsRowFunction="custom" dataDxfId="836" totalsRowDxfId="835">
      <totalsRowFormula>SUBTOTAL(103,Janvier!$Y$7:$Y$11)</totalsRowFormula>
    </tableColumn>
    <tableColumn id="25" xr3:uid="{00000000-0010-0000-0000-000019000000}" name="24" totalsRowFunction="custom" dataDxfId="834" totalsRowDxfId="833">
      <totalsRowFormula>SUBTOTAL(103,Janvier!$Z$7:$Z$11)</totalsRowFormula>
    </tableColumn>
    <tableColumn id="26" xr3:uid="{00000000-0010-0000-0000-00001A000000}" name="25" totalsRowFunction="custom" dataDxfId="832" totalsRowDxfId="831">
      <totalsRowFormula>SUBTOTAL(103,Janvier!$AA$7:$AA$11)</totalsRowFormula>
    </tableColumn>
    <tableColumn id="27" xr3:uid="{00000000-0010-0000-0000-00001B000000}" name="26" totalsRowFunction="custom" dataDxfId="830" totalsRowDxfId="829">
      <totalsRowFormula>SUBTOTAL(103,Janvier!$AB$7:$AB$11)</totalsRowFormula>
    </tableColumn>
    <tableColumn id="28" xr3:uid="{00000000-0010-0000-0000-00001C000000}" name="27" totalsRowFunction="custom" dataDxfId="828" totalsRowDxfId="827">
      <totalsRowFormula>SUBTOTAL(103,Janvier!$AC$7:$AC$11)</totalsRowFormula>
    </tableColumn>
    <tableColumn id="29" xr3:uid="{00000000-0010-0000-0000-00001D000000}" name="28" totalsRowFunction="custom" dataDxfId="826" totalsRowDxfId="825">
      <totalsRowFormula>SUBTOTAL(103,Janvier!$AD$7:$AD$11)</totalsRowFormula>
    </tableColumn>
    <tableColumn id="30" xr3:uid="{00000000-0010-0000-0000-00001E000000}" name="29" totalsRowFunction="custom" dataDxfId="824" totalsRowDxfId="823">
      <totalsRowFormula>SUBTOTAL(103,Janvier!$AE$7:$AE$11)</totalsRowFormula>
    </tableColumn>
    <tableColumn id="31" xr3:uid="{00000000-0010-0000-0000-00001F000000}" name="30" totalsRowFunction="custom" dataDxfId="822" totalsRowDxfId="821">
      <totalsRowFormula>SUBTOTAL(103,Janvier!$AF$7:$AF$11)</totalsRowFormula>
    </tableColumn>
    <tableColumn id="32" xr3:uid="{00000000-0010-0000-0000-000020000000}" name="31" totalsRowFunction="custom" dataDxfId="820" totalsRowDxfId="819">
      <totalsRowFormula>SUBTOTAL(103,Janvier!$AG$7:$AG$11)</totalsRowFormula>
    </tableColumn>
    <tableColumn id="33" xr3:uid="{00000000-0010-0000-0000-000021000000}" name="Total des jours" totalsRowFunction="sum" dataDxfId="818" totalsRowDxfId="817">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09" dataDxfId="808" totalsRowDxfId="807">
  <tableColumns count="33">
    <tableColumn id="1" xr3:uid="{00000000-0010-0000-0100-000001000000}" name="Nom de l’employé" totalsRowFunction="custom" dataDxfId="806" totalsRowDxfId="805" dataCellStyle="Employé">
      <totalsRowFormula>NomMois&amp;" Total"</totalsRowFormula>
    </tableColumn>
    <tableColumn id="2" xr3:uid="{00000000-0010-0000-0100-000002000000}" name="1" totalsRowFunction="count" dataDxfId="804" totalsRowDxfId="803"/>
    <tableColumn id="3" xr3:uid="{00000000-0010-0000-0100-000003000000}" name="2" totalsRowFunction="count" dataDxfId="802" totalsRowDxfId="801"/>
    <tableColumn id="4" xr3:uid="{00000000-0010-0000-0100-000004000000}" name="3" totalsRowFunction="count" dataDxfId="800" totalsRowDxfId="799"/>
    <tableColumn id="5" xr3:uid="{00000000-0010-0000-0100-000005000000}" name="4" totalsRowFunction="count" dataDxfId="798" totalsRowDxfId="797"/>
    <tableColumn id="6" xr3:uid="{00000000-0010-0000-0100-000006000000}" name="5" totalsRowFunction="count" dataDxfId="796" totalsRowDxfId="795"/>
    <tableColumn id="7" xr3:uid="{00000000-0010-0000-0100-000007000000}" name="6" totalsRowFunction="count" dataDxfId="794" totalsRowDxfId="793"/>
    <tableColumn id="8" xr3:uid="{00000000-0010-0000-0100-000008000000}" name="7" totalsRowFunction="count" dataDxfId="792" totalsRowDxfId="791"/>
    <tableColumn id="9" xr3:uid="{00000000-0010-0000-0100-000009000000}" name="8" totalsRowFunction="count" dataDxfId="790" totalsRowDxfId="789"/>
    <tableColumn id="10" xr3:uid="{00000000-0010-0000-0100-00000A000000}" name="9" totalsRowFunction="count" dataDxfId="788" totalsRowDxfId="787"/>
    <tableColumn id="11" xr3:uid="{00000000-0010-0000-0100-00000B000000}" name="10" totalsRowFunction="count" dataDxfId="786" totalsRowDxfId="785"/>
    <tableColumn id="12" xr3:uid="{00000000-0010-0000-0100-00000C000000}" name="11" totalsRowFunction="count" dataDxfId="784" totalsRowDxfId="783"/>
    <tableColumn id="13" xr3:uid="{00000000-0010-0000-0100-00000D000000}" name="12" totalsRowFunction="count" dataDxfId="782" totalsRowDxfId="781"/>
    <tableColumn id="14" xr3:uid="{00000000-0010-0000-0100-00000E000000}" name="13" totalsRowFunction="count" dataDxfId="780" totalsRowDxfId="779"/>
    <tableColumn id="15" xr3:uid="{00000000-0010-0000-0100-00000F000000}" name="14" totalsRowFunction="count" dataDxfId="778" totalsRowDxfId="777"/>
    <tableColumn id="16" xr3:uid="{00000000-0010-0000-0100-000010000000}" name="15" totalsRowFunction="count" dataDxfId="776" totalsRowDxfId="775"/>
    <tableColumn id="17" xr3:uid="{00000000-0010-0000-0100-000011000000}" name="16" totalsRowFunction="count" dataDxfId="774" totalsRowDxfId="773"/>
    <tableColumn id="18" xr3:uid="{00000000-0010-0000-0100-000012000000}" name="17" totalsRowFunction="count" dataDxfId="772" totalsRowDxfId="771"/>
    <tableColumn id="19" xr3:uid="{00000000-0010-0000-0100-000013000000}" name="18" totalsRowFunction="count" dataDxfId="770" totalsRowDxfId="769"/>
    <tableColumn id="20" xr3:uid="{00000000-0010-0000-0100-000014000000}" name="19" totalsRowFunction="count" dataDxfId="768" totalsRowDxfId="767"/>
    <tableColumn id="21" xr3:uid="{00000000-0010-0000-0100-000015000000}" name="20" totalsRowFunction="count" dataDxfId="766" totalsRowDxfId="765"/>
    <tableColumn id="22" xr3:uid="{00000000-0010-0000-0100-000016000000}" name="21" totalsRowFunction="count" dataDxfId="764" totalsRowDxfId="763"/>
    <tableColumn id="23" xr3:uid="{00000000-0010-0000-0100-000017000000}" name="22" totalsRowFunction="count" dataDxfId="762" totalsRowDxfId="761"/>
    <tableColumn id="24" xr3:uid="{00000000-0010-0000-0100-000018000000}" name="23" totalsRowFunction="count" dataDxfId="760" totalsRowDxfId="759"/>
    <tableColumn id="25" xr3:uid="{00000000-0010-0000-0100-000019000000}" name="24" totalsRowFunction="count" dataDxfId="758" totalsRowDxfId="757"/>
    <tableColumn id="26" xr3:uid="{00000000-0010-0000-0100-00001A000000}" name="25" totalsRowFunction="count" dataDxfId="756" totalsRowDxfId="755"/>
    <tableColumn id="27" xr3:uid="{00000000-0010-0000-0100-00001B000000}" name="26" totalsRowFunction="count" dataDxfId="754" totalsRowDxfId="753"/>
    <tableColumn id="28" xr3:uid="{00000000-0010-0000-0100-00001C000000}" name="27" totalsRowFunction="count" dataDxfId="752" totalsRowDxfId="751"/>
    <tableColumn id="29" xr3:uid="{00000000-0010-0000-0100-00001D000000}" name="28" totalsRowFunction="count" dataDxfId="750" totalsRowDxfId="749"/>
    <tableColumn id="30" xr3:uid="{00000000-0010-0000-0100-00001E000000}" name="29" totalsRowFunction="count" dataDxfId="748" totalsRowDxfId="747"/>
    <tableColumn id="31" xr3:uid="{00000000-0010-0000-0100-00001F000000}" name=" " dataDxfId="746" totalsRowDxfId="745"/>
    <tableColumn id="32" xr3:uid="{00000000-0010-0000-0100-000020000000}" name="  " dataDxfId="744" totalsRowDxfId="743"/>
    <tableColumn id="33" xr3:uid="{00000000-0010-0000-0100-000021000000}" name="Total des jours" totalsRowFunction="sum" dataDxfId="742" totalsRowDxfId="741">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735" dataDxfId="734" totalsRowDxfId="733">
  <tableColumns count="33">
    <tableColumn id="1" xr3:uid="{00000000-0010-0000-0200-000001000000}" name="Nom de l’employé" totalsRowFunction="custom" dataDxfId="732" totalsRowDxfId="731" dataCellStyle="Employé">
      <totalsRowFormula>NomMois&amp;" Total"</totalsRowFormula>
    </tableColumn>
    <tableColumn id="2" xr3:uid="{00000000-0010-0000-0200-000002000000}" name="1" totalsRowFunction="count" dataDxfId="730" totalsRowDxfId="729"/>
    <tableColumn id="3" xr3:uid="{00000000-0010-0000-0200-000003000000}" name="2" totalsRowFunction="count" dataDxfId="728" totalsRowDxfId="727"/>
    <tableColumn id="4" xr3:uid="{00000000-0010-0000-0200-000004000000}" name="3" totalsRowFunction="count" dataDxfId="726" totalsRowDxfId="725"/>
    <tableColumn id="5" xr3:uid="{00000000-0010-0000-0200-000005000000}" name="4" totalsRowFunction="count" dataDxfId="724" totalsRowDxfId="723"/>
    <tableColumn id="6" xr3:uid="{00000000-0010-0000-0200-000006000000}" name="5" totalsRowFunction="count" dataDxfId="722" totalsRowDxfId="721"/>
    <tableColumn id="7" xr3:uid="{00000000-0010-0000-0200-000007000000}" name="6" totalsRowFunction="count" dataDxfId="720" totalsRowDxfId="719"/>
    <tableColumn id="8" xr3:uid="{00000000-0010-0000-0200-000008000000}" name="7" totalsRowFunction="count" dataDxfId="718" totalsRowDxfId="717"/>
    <tableColumn id="9" xr3:uid="{00000000-0010-0000-0200-000009000000}" name="8" totalsRowFunction="count" dataDxfId="716" totalsRowDxfId="715"/>
    <tableColumn id="10" xr3:uid="{00000000-0010-0000-0200-00000A000000}" name="9" totalsRowFunction="count" dataDxfId="714" totalsRowDxfId="713"/>
    <tableColumn id="11" xr3:uid="{00000000-0010-0000-0200-00000B000000}" name="10" totalsRowFunction="count" dataDxfId="712" totalsRowDxfId="711"/>
    <tableColumn id="12" xr3:uid="{00000000-0010-0000-0200-00000C000000}" name="11" totalsRowFunction="count" dataDxfId="710" totalsRowDxfId="709"/>
    <tableColumn id="13" xr3:uid="{00000000-0010-0000-0200-00000D000000}" name="12" totalsRowFunction="count" dataDxfId="708" totalsRowDxfId="707"/>
    <tableColumn id="14" xr3:uid="{00000000-0010-0000-0200-00000E000000}" name="13" totalsRowFunction="count" dataDxfId="706" totalsRowDxfId="705"/>
    <tableColumn id="15" xr3:uid="{00000000-0010-0000-0200-00000F000000}" name="14" totalsRowFunction="count" dataDxfId="704" totalsRowDxfId="703"/>
    <tableColumn id="16" xr3:uid="{00000000-0010-0000-0200-000010000000}" name="15" totalsRowFunction="count" dataDxfId="702" totalsRowDxfId="701"/>
    <tableColumn id="17" xr3:uid="{00000000-0010-0000-0200-000011000000}" name="16" totalsRowFunction="count" dataDxfId="700" totalsRowDxfId="699"/>
    <tableColumn id="18" xr3:uid="{00000000-0010-0000-0200-000012000000}" name="17" totalsRowFunction="count" dataDxfId="698" totalsRowDxfId="697"/>
    <tableColumn id="19" xr3:uid="{00000000-0010-0000-0200-000013000000}" name="18" totalsRowFunction="count" dataDxfId="696" totalsRowDxfId="695"/>
    <tableColumn id="20" xr3:uid="{00000000-0010-0000-0200-000014000000}" name="19" totalsRowFunction="count" dataDxfId="694" totalsRowDxfId="693"/>
    <tableColumn id="21" xr3:uid="{00000000-0010-0000-0200-000015000000}" name="20" totalsRowFunction="count" dataDxfId="692" totalsRowDxfId="691"/>
    <tableColumn id="22" xr3:uid="{00000000-0010-0000-0200-000016000000}" name="21" totalsRowFunction="count" dataDxfId="690" totalsRowDxfId="689"/>
    <tableColumn id="23" xr3:uid="{00000000-0010-0000-0200-000017000000}" name="22" totalsRowFunction="count" dataDxfId="688" totalsRowDxfId="687"/>
    <tableColumn id="24" xr3:uid="{00000000-0010-0000-0200-000018000000}" name="23" totalsRowFunction="count" dataDxfId="686" totalsRowDxfId="685"/>
    <tableColumn id="25" xr3:uid="{00000000-0010-0000-0200-000019000000}" name="24" totalsRowFunction="count" dataDxfId="684" totalsRowDxfId="683"/>
    <tableColumn id="26" xr3:uid="{00000000-0010-0000-0200-00001A000000}" name="25" totalsRowFunction="count" dataDxfId="682" totalsRowDxfId="681"/>
    <tableColumn id="27" xr3:uid="{00000000-0010-0000-0200-00001B000000}" name="26" totalsRowFunction="count" dataDxfId="680" totalsRowDxfId="679"/>
    <tableColumn id="28" xr3:uid="{00000000-0010-0000-0200-00001C000000}" name="27" totalsRowFunction="count" dataDxfId="678" totalsRowDxfId="677"/>
    <tableColumn id="29" xr3:uid="{00000000-0010-0000-0200-00001D000000}" name="28" totalsRowFunction="count" dataDxfId="676" totalsRowDxfId="675"/>
    <tableColumn id="30" xr3:uid="{00000000-0010-0000-0200-00001E000000}" name="29" totalsRowFunction="count" dataDxfId="674" totalsRowDxfId="673"/>
    <tableColumn id="31" xr3:uid="{00000000-0010-0000-0200-00001F000000}" name="30" totalsRowFunction="count" dataDxfId="672" totalsRowDxfId="671"/>
    <tableColumn id="32" xr3:uid="{00000000-0010-0000-0200-000020000000}" name="31" totalsRowFunction="count" dataDxfId="670" totalsRowDxfId="669"/>
    <tableColumn id="33" xr3:uid="{00000000-0010-0000-0200-000021000000}" name="Total des jours" totalsRowFunction="sum" dataDxfId="668" totalsRowDxfId="667">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661" dataDxfId="660" totalsRowDxfId="659">
  <tableColumns count="33">
    <tableColumn id="1" xr3:uid="{00000000-0010-0000-0300-000001000000}" name="Nom de l’employé" totalsRowFunction="custom" dataDxfId="658" totalsRowDxfId="657" dataCellStyle="Employé">
      <totalsRowFormula>NomMois&amp;" Total"</totalsRowFormula>
    </tableColumn>
    <tableColumn id="2" xr3:uid="{00000000-0010-0000-0300-000002000000}" name="1" totalsRowFunction="count" dataDxfId="656" totalsRowDxfId="655"/>
    <tableColumn id="3" xr3:uid="{00000000-0010-0000-0300-000003000000}" name="2" totalsRowFunction="count" dataDxfId="654" totalsRowDxfId="653"/>
    <tableColumn id="4" xr3:uid="{00000000-0010-0000-0300-000004000000}" name="3" totalsRowFunction="count" dataDxfId="652" totalsRowDxfId="651"/>
    <tableColumn id="5" xr3:uid="{00000000-0010-0000-0300-000005000000}" name="4" totalsRowFunction="count" dataDxfId="650" totalsRowDxfId="649"/>
    <tableColumn id="6" xr3:uid="{00000000-0010-0000-0300-000006000000}" name="5" totalsRowFunction="count" dataDxfId="648" totalsRowDxfId="647"/>
    <tableColumn id="7" xr3:uid="{00000000-0010-0000-0300-000007000000}" name="6" totalsRowFunction="count" dataDxfId="646" totalsRowDxfId="645"/>
    <tableColumn id="8" xr3:uid="{00000000-0010-0000-0300-000008000000}" name="7" totalsRowFunction="count" dataDxfId="644" totalsRowDxfId="643"/>
    <tableColumn id="9" xr3:uid="{00000000-0010-0000-0300-000009000000}" name="8" totalsRowFunction="count" dataDxfId="642" totalsRowDxfId="641"/>
    <tableColumn id="10" xr3:uid="{00000000-0010-0000-0300-00000A000000}" name="9" totalsRowFunction="count" dataDxfId="640" totalsRowDxfId="639"/>
    <tableColumn id="11" xr3:uid="{00000000-0010-0000-0300-00000B000000}" name="10" totalsRowFunction="count" dataDxfId="638" totalsRowDxfId="637"/>
    <tableColumn id="12" xr3:uid="{00000000-0010-0000-0300-00000C000000}" name="11" totalsRowFunction="count" dataDxfId="636" totalsRowDxfId="635"/>
    <tableColumn id="13" xr3:uid="{00000000-0010-0000-0300-00000D000000}" name="12" totalsRowFunction="count" dataDxfId="634" totalsRowDxfId="633"/>
    <tableColumn id="14" xr3:uid="{00000000-0010-0000-0300-00000E000000}" name="13" totalsRowFunction="count" dataDxfId="632" totalsRowDxfId="631"/>
    <tableColumn id="15" xr3:uid="{00000000-0010-0000-0300-00000F000000}" name="14" totalsRowFunction="count" dataDxfId="630" totalsRowDxfId="629"/>
    <tableColumn id="16" xr3:uid="{00000000-0010-0000-0300-000010000000}" name="15" totalsRowFunction="count" dataDxfId="628" totalsRowDxfId="627"/>
    <tableColumn id="17" xr3:uid="{00000000-0010-0000-0300-000011000000}" name="16" totalsRowFunction="count" dataDxfId="626" totalsRowDxfId="625"/>
    <tableColumn id="18" xr3:uid="{00000000-0010-0000-0300-000012000000}" name="17" totalsRowFunction="count" dataDxfId="624" totalsRowDxfId="623"/>
    <tableColumn id="19" xr3:uid="{00000000-0010-0000-0300-000013000000}" name="18" totalsRowFunction="count" dataDxfId="622" totalsRowDxfId="621"/>
    <tableColumn id="20" xr3:uid="{00000000-0010-0000-0300-000014000000}" name="19" totalsRowFunction="count" dataDxfId="620" totalsRowDxfId="619"/>
    <tableColumn id="21" xr3:uid="{00000000-0010-0000-0300-000015000000}" name="20" totalsRowFunction="count" dataDxfId="618" totalsRowDxfId="617"/>
    <tableColumn id="22" xr3:uid="{00000000-0010-0000-0300-000016000000}" name="21" totalsRowFunction="count" dataDxfId="616" totalsRowDxfId="615"/>
    <tableColumn id="23" xr3:uid="{00000000-0010-0000-0300-000017000000}" name="22" totalsRowFunction="count" dataDxfId="614" totalsRowDxfId="613"/>
    <tableColumn id="24" xr3:uid="{00000000-0010-0000-0300-000018000000}" name="23" totalsRowFunction="count" dataDxfId="612" totalsRowDxfId="611"/>
    <tableColumn id="25" xr3:uid="{00000000-0010-0000-0300-000019000000}" name="24" totalsRowFunction="count" dataDxfId="610" totalsRowDxfId="609"/>
    <tableColumn id="26" xr3:uid="{00000000-0010-0000-0300-00001A000000}" name="25" totalsRowFunction="count" dataDxfId="608" totalsRowDxfId="607"/>
    <tableColumn id="27" xr3:uid="{00000000-0010-0000-0300-00001B000000}" name="26" totalsRowFunction="count" dataDxfId="606" totalsRowDxfId="605"/>
    <tableColumn id="28" xr3:uid="{00000000-0010-0000-0300-00001C000000}" name="27" totalsRowFunction="count" dataDxfId="604" totalsRowDxfId="603"/>
    <tableColumn id="29" xr3:uid="{00000000-0010-0000-0300-00001D000000}" name="28" totalsRowFunction="count" dataDxfId="602" totalsRowDxfId="601"/>
    <tableColumn id="30" xr3:uid="{00000000-0010-0000-0300-00001E000000}" name="29" totalsRowFunction="count" dataDxfId="600" totalsRowDxfId="599"/>
    <tableColumn id="31" xr3:uid="{00000000-0010-0000-0300-00001F000000}" name="30" totalsRowFunction="count" dataDxfId="598" totalsRowDxfId="597"/>
    <tableColumn id="32" xr3:uid="{00000000-0010-0000-0300-000020000000}" name=" " totalsRowFunction="custom" dataDxfId="596" totalsRowDxfId="595">
      <totalsRowFormula>SUBTOTAL(103,Avril[30])</totalsRowFormula>
    </tableColumn>
    <tableColumn id="33" xr3:uid="{00000000-0010-0000-0300-000021000000}" name="Total des jours" totalsRowFunction="sum" dataDxfId="594" totalsRowDxfId="593">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587" dataDxfId="586" totalsRowDxfId="585">
  <tableColumns count="33">
    <tableColumn id="1" xr3:uid="{00000000-0010-0000-0400-000001000000}" name="Nom de l’employé" totalsRowFunction="custom" dataDxfId="584" totalsRowDxfId="583" dataCellStyle="Employé">
      <totalsRowFormula>NomMois&amp;" Total"</totalsRowFormula>
    </tableColumn>
    <tableColumn id="2" xr3:uid="{00000000-0010-0000-0400-000002000000}" name="1" totalsRowFunction="count" dataDxfId="582" totalsRowDxfId="581"/>
    <tableColumn id="3" xr3:uid="{00000000-0010-0000-0400-000003000000}" name="2" totalsRowFunction="count" dataDxfId="580" totalsRowDxfId="579"/>
    <tableColumn id="4" xr3:uid="{00000000-0010-0000-0400-000004000000}" name="3" totalsRowFunction="count" dataDxfId="578" totalsRowDxfId="577"/>
    <tableColumn id="5" xr3:uid="{00000000-0010-0000-0400-000005000000}" name="4" totalsRowFunction="count" dataDxfId="576" totalsRowDxfId="575"/>
    <tableColumn id="6" xr3:uid="{00000000-0010-0000-0400-000006000000}" name="5" totalsRowFunction="count" dataDxfId="574" totalsRowDxfId="573"/>
    <tableColumn id="7" xr3:uid="{00000000-0010-0000-0400-000007000000}" name="6" totalsRowFunction="count" dataDxfId="572" totalsRowDxfId="571"/>
    <tableColumn id="8" xr3:uid="{00000000-0010-0000-0400-000008000000}" name="7" totalsRowFunction="count" dataDxfId="570" totalsRowDxfId="569"/>
    <tableColumn id="9" xr3:uid="{00000000-0010-0000-0400-000009000000}" name="8" totalsRowFunction="count" dataDxfId="568" totalsRowDxfId="567"/>
    <tableColumn id="10" xr3:uid="{00000000-0010-0000-0400-00000A000000}" name="9" totalsRowFunction="count" dataDxfId="566" totalsRowDxfId="565"/>
    <tableColumn id="11" xr3:uid="{00000000-0010-0000-0400-00000B000000}" name="10" totalsRowFunction="count" dataDxfId="564" totalsRowDxfId="563"/>
    <tableColumn id="12" xr3:uid="{00000000-0010-0000-0400-00000C000000}" name="11" totalsRowFunction="count" dataDxfId="562" totalsRowDxfId="561"/>
    <tableColumn id="13" xr3:uid="{00000000-0010-0000-0400-00000D000000}" name="12" totalsRowFunction="count" dataDxfId="560" totalsRowDxfId="559"/>
    <tableColumn id="14" xr3:uid="{00000000-0010-0000-0400-00000E000000}" name="13" totalsRowFunction="count" dataDxfId="558" totalsRowDxfId="557"/>
    <tableColumn id="15" xr3:uid="{00000000-0010-0000-0400-00000F000000}" name="14" totalsRowFunction="count" dataDxfId="556" totalsRowDxfId="555"/>
    <tableColumn id="16" xr3:uid="{00000000-0010-0000-0400-000010000000}" name="15" totalsRowFunction="count" dataDxfId="554" totalsRowDxfId="553"/>
    <tableColumn id="17" xr3:uid="{00000000-0010-0000-0400-000011000000}" name="16" totalsRowFunction="count" dataDxfId="552" totalsRowDxfId="551"/>
    <tableColumn id="18" xr3:uid="{00000000-0010-0000-0400-000012000000}" name="17" totalsRowFunction="count" dataDxfId="550" totalsRowDxfId="549"/>
    <tableColumn id="19" xr3:uid="{00000000-0010-0000-0400-000013000000}" name="18" totalsRowFunction="count" dataDxfId="548" totalsRowDxfId="547"/>
    <tableColumn id="20" xr3:uid="{00000000-0010-0000-0400-000014000000}" name="19" totalsRowFunction="count" dataDxfId="546" totalsRowDxfId="545"/>
    <tableColumn id="21" xr3:uid="{00000000-0010-0000-0400-000015000000}" name="20" totalsRowFunction="count" dataDxfId="544" totalsRowDxfId="543"/>
    <tableColumn id="22" xr3:uid="{00000000-0010-0000-0400-000016000000}" name="21" totalsRowFunction="count" dataDxfId="542" totalsRowDxfId="541"/>
    <tableColumn id="23" xr3:uid="{00000000-0010-0000-0400-000017000000}" name="22" totalsRowFunction="count" dataDxfId="540" totalsRowDxfId="539"/>
    <tableColumn id="24" xr3:uid="{00000000-0010-0000-0400-000018000000}" name="23" totalsRowFunction="count" dataDxfId="538" totalsRowDxfId="537"/>
    <tableColumn id="25" xr3:uid="{00000000-0010-0000-0400-000019000000}" name="24" totalsRowFunction="count" dataDxfId="536" totalsRowDxfId="535"/>
    <tableColumn id="26" xr3:uid="{00000000-0010-0000-0400-00001A000000}" name="25" totalsRowFunction="count" dataDxfId="534" totalsRowDxfId="533"/>
    <tableColumn id="27" xr3:uid="{00000000-0010-0000-0400-00001B000000}" name="26" totalsRowFunction="count" dataDxfId="532" totalsRowDxfId="531"/>
    <tableColumn id="28" xr3:uid="{00000000-0010-0000-0400-00001C000000}" name="27" totalsRowFunction="count" dataDxfId="530" totalsRowDxfId="529"/>
    <tableColumn id="29" xr3:uid="{00000000-0010-0000-0400-00001D000000}" name="28" totalsRowFunction="count" dataDxfId="528" totalsRowDxfId="527"/>
    <tableColumn id="30" xr3:uid="{00000000-0010-0000-0400-00001E000000}" name="29" totalsRowFunction="count" dataDxfId="526" totalsRowDxfId="525"/>
    <tableColumn id="31" xr3:uid="{00000000-0010-0000-0400-00001F000000}" name="30" totalsRowFunction="count" dataDxfId="524" totalsRowDxfId="523"/>
    <tableColumn id="32" xr3:uid="{00000000-0010-0000-0400-000020000000}" name="31" totalsRowFunction="count" dataDxfId="522" totalsRowDxfId="521"/>
    <tableColumn id="33" xr3:uid="{00000000-0010-0000-0400-000021000000}" name="Total des jours" totalsRowFunction="sum" dataDxfId="520" totalsRowDxfId="519">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513" dataDxfId="512" totalsRowDxfId="511">
  <tableColumns count="33">
    <tableColumn id="1" xr3:uid="{00000000-0010-0000-0500-000001000000}" name="Nom de l’employé" totalsRowFunction="custom" dataDxfId="510" totalsRowDxfId="509" dataCellStyle="Employé">
      <totalsRowFormula>NomMois&amp;" Total"</totalsRowFormula>
    </tableColumn>
    <tableColumn id="2" xr3:uid="{00000000-0010-0000-0500-000002000000}" name="1" totalsRowFunction="count" dataDxfId="508" totalsRowDxfId="507"/>
    <tableColumn id="3" xr3:uid="{00000000-0010-0000-0500-000003000000}" name="2" totalsRowFunction="count" dataDxfId="506" totalsRowDxfId="505"/>
    <tableColumn id="4" xr3:uid="{00000000-0010-0000-0500-000004000000}" name="3" totalsRowFunction="count" dataDxfId="504" totalsRowDxfId="503"/>
    <tableColumn id="5" xr3:uid="{00000000-0010-0000-0500-000005000000}" name="4" totalsRowFunction="count" dataDxfId="502" totalsRowDxfId="501"/>
    <tableColumn id="6" xr3:uid="{00000000-0010-0000-0500-000006000000}" name="5" totalsRowFunction="count" dataDxfId="500" totalsRowDxfId="499"/>
    <tableColumn id="7" xr3:uid="{00000000-0010-0000-0500-000007000000}" name="6" totalsRowFunction="count" dataDxfId="498" totalsRowDxfId="497"/>
    <tableColumn id="8" xr3:uid="{00000000-0010-0000-0500-000008000000}" name="7" totalsRowFunction="count" dataDxfId="496" totalsRowDxfId="495"/>
    <tableColumn id="9" xr3:uid="{00000000-0010-0000-0500-000009000000}" name="8" totalsRowFunction="count" dataDxfId="494" totalsRowDxfId="493"/>
    <tableColumn id="10" xr3:uid="{00000000-0010-0000-0500-00000A000000}" name="9" totalsRowFunction="count" dataDxfId="492" totalsRowDxfId="491"/>
    <tableColumn id="11" xr3:uid="{00000000-0010-0000-0500-00000B000000}" name="10" totalsRowFunction="count" dataDxfId="490" totalsRowDxfId="489"/>
    <tableColumn id="12" xr3:uid="{00000000-0010-0000-0500-00000C000000}" name="11" totalsRowFunction="count" dataDxfId="488" totalsRowDxfId="487"/>
    <tableColumn id="13" xr3:uid="{00000000-0010-0000-0500-00000D000000}" name="12" totalsRowFunction="count" dataDxfId="486" totalsRowDxfId="485"/>
    <tableColumn id="14" xr3:uid="{00000000-0010-0000-0500-00000E000000}" name="13" totalsRowFunction="count" dataDxfId="484" totalsRowDxfId="483"/>
    <tableColumn id="15" xr3:uid="{00000000-0010-0000-0500-00000F000000}" name="14" totalsRowFunction="count" dataDxfId="482" totalsRowDxfId="481"/>
    <tableColumn id="16" xr3:uid="{00000000-0010-0000-0500-000010000000}" name="15" totalsRowFunction="count" dataDxfId="480" totalsRowDxfId="479"/>
    <tableColumn id="17" xr3:uid="{00000000-0010-0000-0500-000011000000}" name="16" totalsRowFunction="count" dataDxfId="478" totalsRowDxfId="477"/>
    <tableColumn id="18" xr3:uid="{00000000-0010-0000-0500-000012000000}" name="17" totalsRowFunction="count" dataDxfId="476" totalsRowDxfId="475"/>
    <tableColumn id="19" xr3:uid="{00000000-0010-0000-0500-000013000000}" name="18" totalsRowFunction="count" dataDxfId="474" totalsRowDxfId="473"/>
    <tableColumn id="20" xr3:uid="{00000000-0010-0000-0500-000014000000}" name="19" totalsRowFunction="count" dataDxfId="472" totalsRowDxfId="471"/>
    <tableColumn id="21" xr3:uid="{00000000-0010-0000-0500-000015000000}" name="20" totalsRowFunction="count" dataDxfId="470" totalsRowDxfId="469"/>
    <tableColumn id="22" xr3:uid="{00000000-0010-0000-0500-000016000000}" name="21" totalsRowFunction="count" dataDxfId="468" totalsRowDxfId="467"/>
    <tableColumn id="23" xr3:uid="{00000000-0010-0000-0500-000017000000}" name="22" totalsRowFunction="count" dataDxfId="466" totalsRowDxfId="465"/>
    <tableColumn id="24" xr3:uid="{00000000-0010-0000-0500-000018000000}" name="23" totalsRowFunction="count" dataDxfId="464" totalsRowDxfId="463"/>
    <tableColumn id="25" xr3:uid="{00000000-0010-0000-0500-000019000000}" name="24" totalsRowFunction="count" dataDxfId="462" totalsRowDxfId="461"/>
    <tableColumn id="26" xr3:uid="{00000000-0010-0000-0500-00001A000000}" name="25" totalsRowFunction="count" dataDxfId="460" totalsRowDxfId="459"/>
    <tableColumn id="27" xr3:uid="{00000000-0010-0000-0500-00001B000000}" name="26" totalsRowFunction="count" dataDxfId="458" totalsRowDxfId="457"/>
    <tableColumn id="28" xr3:uid="{00000000-0010-0000-0500-00001C000000}" name="27" totalsRowFunction="count" dataDxfId="456" totalsRowDxfId="455"/>
    <tableColumn id="29" xr3:uid="{00000000-0010-0000-0500-00001D000000}" name="28" totalsRowFunction="count" dataDxfId="454" totalsRowDxfId="453"/>
    <tableColumn id="30" xr3:uid="{00000000-0010-0000-0500-00001E000000}" name="29" totalsRowFunction="count" dataDxfId="452" totalsRowDxfId="451"/>
    <tableColumn id="31" xr3:uid="{00000000-0010-0000-0500-00001F000000}" name="30" totalsRowFunction="count" dataDxfId="450" totalsRowDxfId="449"/>
    <tableColumn id="32" xr3:uid="{00000000-0010-0000-0500-000020000000}" name=" " totalsRowFunction="count" dataDxfId="448" totalsRowDxfId="447"/>
    <tableColumn id="33" xr3:uid="{00000000-0010-0000-0500-000021000000}" name="Total des jours" totalsRowFunction="sum" dataDxfId="446" totalsRowDxfId="445">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2" totalsRowCount="1" headerRowDxfId="439" dataDxfId="438" totalsRowDxfId="437">
  <tableColumns count="33">
    <tableColumn id="1" xr3:uid="{00000000-0010-0000-0600-000001000000}" name="Nom de l’employé" totalsRowFunction="custom" dataDxfId="436" totalsRowDxfId="435" dataCellStyle="Employé">
      <totalsRowFormula>NomMois&amp;" Total"</totalsRowFormula>
    </tableColumn>
    <tableColumn id="2" xr3:uid="{00000000-0010-0000-0600-000002000000}" name="1" totalsRowFunction="count" dataDxfId="434" totalsRowDxfId="433"/>
    <tableColumn id="3" xr3:uid="{00000000-0010-0000-0600-000003000000}" name="2" totalsRowFunction="count" dataDxfId="432" totalsRowDxfId="431"/>
    <tableColumn id="4" xr3:uid="{00000000-0010-0000-0600-000004000000}" name="3" totalsRowFunction="count" dataDxfId="430" totalsRowDxfId="429"/>
    <tableColumn id="5" xr3:uid="{00000000-0010-0000-0600-000005000000}" name="4" totalsRowFunction="count" dataDxfId="428" totalsRowDxfId="427"/>
    <tableColumn id="6" xr3:uid="{00000000-0010-0000-0600-000006000000}" name="5" totalsRowFunction="count" dataDxfId="426" totalsRowDxfId="425"/>
    <tableColumn id="7" xr3:uid="{00000000-0010-0000-0600-000007000000}" name="6" totalsRowFunction="count" dataDxfId="424" totalsRowDxfId="423"/>
    <tableColumn id="8" xr3:uid="{00000000-0010-0000-0600-000008000000}" name="7" totalsRowFunction="count" dataDxfId="422" totalsRowDxfId="421"/>
    <tableColumn id="9" xr3:uid="{00000000-0010-0000-0600-000009000000}" name="8" totalsRowFunction="count" dataDxfId="420" totalsRowDxfId="419"/>
    <tableColumn id="10" xr3:uid="{00000000-0010-0000-0600-00000A000000}" name="9" totalsRowFunction="count" dataDxfId="418" totalsRowDxfId="417"/>
    <tableColumn id="11" xr3:uid="{00000000-0010-0000-0600-00000B000000}" name="10" totalsRowFunction="count" dataDxfId="416" totalsRowDxfId="415"/>
    <tableColumn id="12" xr3:uid="{00000000-0010-0000-0600-00000C000000}" name="11" totalsRowFunction="count" dataDxfId="414" totalsRowDxfId="413"/>
    <tableColumn id="13" xr3:uid="{00000000-0010-0000-0600-00000D000000}" name="12" totalsRowFunction="count" dataDxfId="412" totalsRowDxfId="411"/>
    <tableColumn id="14" xr3:uid="{00000000-0010-0000-0600-00000E000000}" name="13" totalsRowFunction="count" dataDxfId="410" totalsRowDxfId="409"/>
    <tableColumn id="15" xr3:uid="{00000000-0010-0000-0600-00000F000000}" name="14" totalsRowFunction="count" dataDxfId="408" totalsRowDxfId="407"/>
    <tableColumn id="16" xr3:uid="{00000000-0010-0000-0600-000010000000}" name="15" totalsRowFunction="count" dataDxfId="406" totalsRowDxfId="405"/>
    <tableColumn id="17" xr3:uid="{00000000-0010-0000-0600-000011000000}" name="16" totalsRowFunction="count" dataDxfId="404" totalsRowDxfId="403"/>
    <tableColumn id="18" xr3:uid="{00000000-0010-0000-0600-000012000000}" name="17" totalsRowFunction="count" dataDxfId="402" totalsRowDxfId="401"/>
    <tableColumn id="19" xr3:uid="{00000000-0010-0000-0600-000013000000}" name="18" totalsRowFunction="count" dataDxfId="400" totalsRowDxfId="399"/>
    <tableColumn id="20" xr3:uid="{00000000-0010-0000-0600-000014000000}" name="19" totalsRowFunction="count" dataDxfId="398" totalsRowDxfId="397"/>
    <tableColumn id="21" xr3:uid="{00000000-0010-0000-0600-000015000000}" name="20" totalsRowFunction="count" dataDxfId="396" totalsRowDxfId="395"/>
    <tableColumn id="22" xr3:uid="{00000000-0010-0000-0600-000016000000}" name="21" totalsRowFunction="count" dataDxfId="394" totalsRowDxfId="393"/>
    <tableColumn id="23" xr3:uid="{00000000-0010-0000-0600-000017000000}" name="22" totalsRowFunction="count" dataDxfId="392" totalsRowDxfId="391"/>
    <tableColumn id="24" xr3:uid="{00000000-0010-0000-0600-000018000000}" name="23" totalsRowFunction="count" dataDxfId="390" totalsRowDxfId="389"/>
    <tableColumn id="25" xr3:uid="{00000000-0010-0000-0600-000019000000}" name="24" totalsRowFunction="count" dataDxfId="388" totalsRowDxfId="387"/>
    <tableColumn id="26" xr3:uid="{00000000-0010-0000-0600-00001A000000}" name="25" totalsRowFunction="count" dataDxfId="386" totalsRowDxfId="385"/>
    <tableColumn id="27" xr3:uid="{00000000-0010-0000-0600-00001B000000}" name="26" totalsRowFunction="count" dataDxfId="384" totalsRowDxfId="383"/>
    <tableColumn id="28" xr3:uid="{00000000-0010-0000-0600-00001C000000}" name="27" totalsRowFunction="count" dataDxfId="382" totalsRowDxfId="381"/>
    <tableColumn id="29" xr3:uid="{00000000-0010-0000-0600-00001D000000}" name="28" totalsRowFunction="count" dataDxfId="380" totalsRowDxfId="379"/>
    <tableColumn id="30" xr3:uid="{00000000-0010-0000-0600-00001E000000}" name="29" totalsRowFunction="count" dataDxfId="378" totalsRowDxfId="377"/>
    <tableColumn id="31" xr3:uid="{00000000-0010-0000-0600-00001F000000}" name="30" totalsRowFunction="count" dataDxfId="376" totalsRowDxfId="375"/>
    <tableColumn id="32" xr3:uid="{00000000-0010-0000-0600-000020000000}" name="31" totalsRowFunction="count" dataDxfId="374" totalsRowDxfId="373"/>
    <tableColumn id="33" xr3:uid="{00000000-0010-0000-0600-000021000000}" name="Total des jours" totalsRowFunction="sum" dataDxfId="372" totalsRowDxfId="371">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365" dataDxfId="364" totalsRowDxfId="363">
  <tableColumns count="33">
    <tableColumn id="1" xr3:uid="{00000000-0010-0000-0700-000001000000}" name="Nom de l’employé" totalsRowFunction="custom" dataDxfId="362" totalsRowDxfId="361" dataCellStyle="Employé">
      <totalsRowFormula>NomMois&amp;" Total"</totalsRowFormula>
    </tableColumn>
    <tableColumn id="2" xr3:uid="{00000000-0010-0000-0700-000002000000}" name="1" totalsRowFunction="count" dataDxfId="360" totalsRowDxfId="359"/>
    <tableColumn id="3" xr3:uid="{00000000-0010-0000-0700-000003000000}" name="2" totalsRowFunction="count" dataDxfId="358" totalsRowDxfId="357"/>
    <tableColumn id="4" xr3:uid="{00000000-0010-0000-0700-000004000000}" name="3" totalsRowFunction="count" dataDxfId="356" totalsRowDxfId="355"/>
    <tableColumn id="5" xr3:uid="{00000000-0010-0000-0700-000005000000}" name="4" totalsRowFunction="count" dataDxfId="354" totalsRowDxfId="353"/>
    <tableColumn id="6" xr3:uid="{00000000-0010-0000-0700-000006000000}" name="5" totalsRowFunction="count" dataDxfId="352" totalsRowDxfId="351"/>
    <tableColumn id="7" xr3:uid="{00000000-0010-0000-0700-000007000000}" name="6" totalsRowFunction="count" dataDxfId="350" totalsRowDxfId="349"/>
    <tableColumn id="8" xr3:uid="{00000000-0010-0000-0700-000008000000}" name="7" totalsRowFunction="count" dataDxfId="348" totalsRowDxfId="347"/>
    <tableColumn id="9" xr3:uid="{00000000-0010-0000-0700-000009000000}" name="8" totalsRowFunction="count" dataDxfId="346" totalsRowDxfId="345"/>
    <tableColumn id="10" xr3:uid="{00000000-0010-0000-0700-00000A000000}" name="9" totalsRowFunction="count" dataDxfId="344" totalsRowDxfId="343"/>
    <tableColumn id="11" xr3:uid="{00000000-0010-0000-0700-00000B000000}" name="10" totalsRowFunction="count" dataDxfId="342" totalsRowDxfId="341"/>
    <tableColumn id="12" xr3:uid="{00000000-0010-0000-0700-00000C000000}" name="11" totalsRowFunction="count" dataDxfId="340" totalsRowDxfId="339"/>
    <tableColumn id="13" xr3:uid="{00000000-0010-0000-0700-00000D000000}" name="12" totalsRowFunction="count" dataDxfId="338" totalsRowDxfId="337"/>
    <tableColumn id="14" xr3:uid="{00000000-0010-0000-0700-00000E000000}" name="13" totalsRowFunction="count" dataDxfId="336" totalsRowDxfId="335"/>
    <tableColumn id="15" xr3:uid="{00000000-0010-0000-0700-00000F000000}" name="14" totalsRowFunction="count" dataDxfId="334" totalsRowDxfId="333"/>
    <tableColumn id="16" xr3:uid="{00000000-0010-0000-0700-000010000000}" name="15" totalsRowFunction="count" dataDxfId="332" totalsRowDxfId="331"/>
    <tableColumn id="17" xr3:uid="{00000000-0010-0000-0700-000011000000}" name="16" totalsRowFunction="count" dataDxfId="330" totalsRowDxfId="329"/>
    <tableColumn id="18" xr3:uid="{00000000-0010-0000-0700-000012000000}" name="17" totalsRowFunction="count" dataDxfId="328" totalsRowDxfId="327"/>
    <tableColumn id="19" xr3:uid="{00000000-0010-0000-0700-000013000000}" name="18" totalsRowFunction="count" dataDxfId="326" totalsRowDxfId="325"/>
    <tableColumn id="20" xr3:uid="{00000000-0010-0000-0700-000014000000}" name="19" totalsRowFunction="count" dataDxfId="324" totalsRowDxfId="323"/>
    <tableColumn id="21" xr3:uid="{00000000-0010-0000-0700-000015000000}" name="20" totalsRowFunction="count" dataDxfId="322" totalsRowDxfId="321"/>
    <tableColumn id="22" xr3:uid="{00000000-0010-0000-0700-000016000000}" name="21" totalsRowFunction="count" dataDxfId="320" totalsRowDxfId="319"/>
    <tableColumn id="23" xr3:uid="{00000000-0010-0000-0700-000017000000}" name="22" totalsRowFunction="count" dataDxfId="318" totalsRowDxfId="317"/>
    <tableColumn id="24" xr3:uid="{00000000-0010-0000-0700-000018000000}" name="23" totalsRowFunction="count" dataDxfId="316" totalsRowDxfId="315"/>
    <tableColumn id="25" xr3:uid="{00000000-0010-0000-0700-000019000000}" name="24" totalsRowFunction="count" dataDxfId="314" totalsRowDxfId="313"/>
    <tableColumn id="26" xr3:uid="{00000000-0010-0000-0700-00001A000000}" name="25" totalsRowFunction="count" dataDxfId="312" totalsRowDxfId="311"/>
    <tableColumn id="27" xr3:uid="{00000000-0010-0000-0700-00001B000000}" name="26" totalsRowFunction="count" dataDxfId="310" totalsRowDxfId="309"/>
    <tableColumn id="28" xr3:uid="{00000000-0010-0000-0700-00001C000000}" name="27" totalsRowFunction="count" dataDxfId="308" totalsRowDxfId="307"/>
    <tableColumn id="29" xr3:uid="{00000000-0010-0000-0700-00001D000000}" name="28" totalsRowFunction="count" dataDxfId="306" totalsRowDxfId="305"/>
    <tableColumn id="30" xr3:uid="{00000000-0010-0000-0700-00001E000000}" name="29" totalsRowFunction="count" dataDxfId="304" totalsRowDxfId="303"/>
    <tableColumn id="31" xr3:uid="{00000000-0010-0000-0700-00001F000000}" name="30" totalsRowFunction="count" dataDxfId="302" totalsRowDxfId="301"/>
    <tableColumn id="32" xr3:uid="{00000000-0010-0000-0700-000020000000}" name="31" totalsRowFunction="count" dataDxfId="300" totalsRowDxfId="299"/>
    <tableColumn id="33" xr3:uid="{00000000-0010-0000-0700-000021000000}" name="Total des jours" totalsRowFunction="sum" dataDxfId="298" totalsRowDxfId="297">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291" dataDxfId="290" totalsRowDxfId="289">
  <tableColumns count="33">
    <tableColumn id="1" xr3:uid="{00000000-0010-0000-0800-000001000000}" name="Nom de l’employé" totalsRowFunction="custom" dataDxfId="288" totalsRowDxfId="287" dataCellStyle="Employé">
      <totalsRowFormula>NomMois&amp;" Total"</totalsRowFormula>
    </tableColumn>
    <tableColumn id="2" xr3:uid="{00000000-0010-0000-0800-000002000000}" name="1" totalsRowFunction="count" dataDxfId="286" totalsRowDxfId="285"/>
    <tableColumn id="3" xr3:uid="{00000000-0010-0000-0800-000003000000}" name="2" totalsRowFunction="count" dataDxfId="284" totalsRowDxfId="283"/>
    <tableColumn id="4" xr3:uid="{00000000-0010-0000-0800-000004000000}" name="3" totalsRowFunction="count" dataDxfId="282" totalsRowDxfId="281"/>
    <tableColumn id="5" xr3:uid="{00000000-0010-0000-0800-000005000000}" name="4" totalsRowFunction="count" dataDxfId="280" totalsRowDxfId="279"/>
    <tableColumn id="6" xr3:uid="{00000000-0010-0000-0800-000006000000}" name="5" totalsRowFunction="count" dataDxfId="278" totalsRowDxfId="277"/>
    <tableColumn id="7" xr3:uid="{00000000-0010-0000-0800-000007000000}" name="6" totalsRowFunction="count" dataDxfId="276" totalsRowDxfId="275"/>
    <tableColumn id="8" xr3:uid="{00000000-0010-0000-0800-000008000000}" name="7" totalsRowFunction="count" dataDxfId="274" totalsRowDxfId="273"/>
    <tableColumn id="9" xr3:uid="{00000000-0010-0000-0800-000009000000}" name="8" totalsRowFunction="count" dataDxfId="272" totalsRowDxfId="271"/>
    <tableColumn id="10" xr3:uid="{00000000-0010-0000-0800-00000A000000}" name="9" totalsRowFunction="count" dataDxfId="270" totalsRowDxfId="269"/>
    <tableColumn id="11" xr3:uid="{00000000-0010-0000-0800-00000B000000}" name="10" totalsRowFunction="count" dataDxfId="268" totalsRowDxfId="267"/>
    <tableColumn id="12" xr3:uid="{00000000-0010-0000-0800-00000C000000}" name="11" totalsRowFunction="count" dataDxfId="266" totalsRowDxfId="265"/>
    <tableColumn id="13" xr3:uid="{00000000-0010-0000-0800-00000D000000}" name="12" totalsRowFunction="count" dataDxfId="264" totalsRowDxfId="263"/>
    <tableColumn id="14" xr3:uid="{00000000-0010-0000-0800-00000E000000}" name="13" totalsRowFunction="count" dataDxfId="262" totalsRowDxfId="261"/>
    <tableColumn id="15" xr3:uid="{00000000-0010-0000-0800-00000F000000}" name="14" totalsRowFunction="count" dataDxfId="260" totalsRowDxfId="259"/>
    <tableColumn id="16" xr3:uid="{00000000-0010-0000-0800-000010000000}" name="15" totalsRowFunction="count" dataDxfId="258" totalsRowDxfId="257"/>
    <tableColumn id="17" xr3:uid="{00000000-0010-0000-0800-000011000000}" name="16" totalsRowFunction="count" dataDxfId="256" totalsRowDxfId="255"/>
    <tableColumn id="18" xr3:uid="{00000000-0010-0000-0800-000012000000}" name="17" totalsRowFunction="count" dataDxfId="254" totalsRowDxfId="253"/>
    <tableColumn id="19" xr3:uid="{00000000-0010-0000-0800-000013000000}" name="18" totalsRowFunction="count" dataDxfId="252" totalsRowDxfId="251"/>
    <tableColumn id="20" xr3:uid="{00000000-0010-0000-0800-000014000000}" name="19" totalsRowFunction="count" dataDxfId="250" totalsRowDxfId="249"/>
    <tableColumn id="21" xr3:uid="{00000000-0010-0000-0800-000015000000}" name="20" totalsRowFunction="count" dataDxfId="248" totalsRowDxfId="247"/>
    <tableColumn id="22" xr3:uid="{00000000-0010-0000-0800-000016000000}" name="21" totalsRowFunction="count" dataDxfId="246" totalsRowDxfId="245"/>
    <tableColumn id="23" xr3:uid="{00000000-0010-0000-0800-000017000000}" name="22" totalsRowFunction="count" dataDxfId="244" totalsRowDxfId="243"/>
    <tableColumn id="24" xr3:uid="{00000000-0010-0000-0800-000018000000}" name="23" totalsRowFunction="count" dataDxfId="242" totalsRowDxfId="241"/>
    <tableColumn id="25" xr3:uid="{00000000-0010-0000-0800-000019000000}" name="24" totalsRowFunction="count" dataDxfId="240" totalsRowDxfId="239"/>
    <tableColumn id="26" xr3:uid="{00000000-0010-0000-0800-00001A000000}" name="25" totalsRowFunction="count" dataDxfId="238" totalsRowDxfId="237"/>
    <tableColumn id="27" xr3:uid="{00000000-0010-0000-0800-00001B000000}" name="26" totalsRowFunction="count" dataDxfId="236" totalsRowDxfId="235"/>
    <tableColumn id="28" xr3:uid="{00000000-0010-0000-0800-00001C000000}" name="27" totalsRowFunction="count" dataDxfId="234" totalsRowDxfId="233"/>
    <tableColumn id="29" xr3:uid="{00000000-0010-0000-0800-00001D000000}" name="28" totalsRowFunction="count" dataDxfId="232" totalsRowDxfId="231"/>
    <tableColumn id="30" xr3:uid="{00000000-0010-0000-0800-00001E000000}" name="29" totalsRowFunction="count" dataDxfId="230" totalsRowDxfId="229"/>
    <tableColumn id="31" xr3:uid="{00000000-0010-0000-0800-00001F000000}" name="30" totalsRowFunction="count" dataDxfId="228" totalsRowDxfId="227"/>
    <tableColumn id="32" xr3:uid="{00000000-0010-0000-0800-000020000000}" name=" " totalsRowFunction="count" dataDxfId="226" totalsRowDxfId="225"/>
    <tableColumn id="33" xr3:uid="{00000000-0010-0000-0800-000021000000}" name="Total des jours" totalsRowFunction="sum" dataDxfId="224" totalsRowDxfId="223">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217" dataDxfId="216" totalsRowDxfId="215">
  <tableColumns count="33">
    <tableColumn id="1" xr3:uid="{00000000-0010-0000-0900-000001000000}" name="Nom de l’employé" totalsRowFunction="custom" dataDxfId="214" totalsRowDxfId="213" dataCellStyle="Employé">
      <totalsRowFormula>NomMois&amp;" Total"</totalsRowFormula>
    </tableColumn>
    <tableColumn id="2" xr3:uid="{00000000-0010-0000-0900-000002000000}" name="1" totalsRowFunction="count" dataDxfId="212" totalsRowDxfId="211"/>
    <tableColumn id="3" xr3:uid="{00000000-0010-0000-0900-000003000000}" name="2" totalsRowFunction="count" dataDxfId="210" totalsRowDxfId="209"/>
    <tableColumn id="4" xr3:uid="{00000000-0010-0000-0900-000004000000}" name="3" totalsRowFunction="count" dataDxfId="208" totalsRowDxfId="207"/>
    <tableColumn id="5" xr3:uid="{00000000-0010-0000-0900-000005000000}" name="4" totalsRowFunction="count" dataDxfId="206" totalsRowDxfId="205"/>
    <tableColumn id="6" xr3:uid="{00000000-0010-0000-0900-000006000000}" name="5" totalsRowFunction="count" dataDxfId="204" totalsRowDxfId="203"/>
    <tableColumn id="7" xr3:uid="{00000000-0010-0000-0900-000007000000}" name="6" totalsRowFunction="count" dataDxfId="202" totalsRowDxfId="201"/>
    <tableColumn id="8" xr3:uid="{00000000-0010-0000-0900-000008000000}" name="7" totalsRowFunction="count" dataDxfId="200" totalsRowDxfId="199"/>
    <tableColumn id="9" xr3:uid="{00000000-0010-0000-0900-000009000000}" name="8" totalsRowFunction="count" dataDxfId="198" totalsRowDxfId="197"/>
    <tableColumn id="10" xr3:uid="{00000000-0010-0000-0900-00000A000000}" name="9" totalsRowFunction="count" dataDxfId="196" totalsRowDxfId="195"/>
    <tableColumn id="11" xr3:uid="{00000000-0010-0000-0900-00000B000000}" name="10" totalsRowFunction="count" dataDxfId="194" totalsRowDxfId="193"/>
    <tableColumn id="12" xr3:uid="{00000000-0010-0000-0900-00000C000000}" name="11" totalsRowFunction="count" dataDxfId="192" totalsRowDxfId="191"/>
    <tableColumn id="13" xr3:uid="{00000000-0010-0000-0900-00000D000000}" name="12" totalsRowFunction="count" dataDxfId="190" totalsRowDxfId="189"/>
    <tableColumn id="14" xr3:uid="{00000000-0010-0000-0900-00000E000000}" name="13" totalsRowFunction="count" dataDxfId="188" totalsRowDxfId="187"/>
    <tableColumn id="15" xr3:uid="{00000000-0010-0000-0900-00000F000000}" name="14" totalsRowFunction="count" dataDxfId="186" totalsRowDxfId="185"/>
    <tableColumn id="16" xr3:uid="{00000000-0010-0000-0900-000010000000}" name="15" totalsRowFunction="count" dataDxfId="184" totalsRowDxfId="183"/>
    <tableColumn id="17" xr3:uid="{00000000-0010-0000-0900-000011000000}" name="16" totalsRowFunction="count" dataDxfId="182" totalsRowDxfId="181"/>
    <tableColumn id="18" xr3:uid="{00000000-0010-0000-0900-000012000000}" name="17" totalsRowFunction="count" dataDxfId="180" totalsRowDxfId="179"/>
    <tableColumn id="19" xr3:uid="{00000000-0010-0000-0900-000013000000}" name="18" totalsRowFunction="count" dataDxfId="178" totalsRowDxfId="177"/>
    <tableColumn id="20" xr3:uid="{00000000-0010-0000-0900-000014000000}" name="19" totalsRowFunction="count" dataDxfId="176" totalsRowDxfId="175"/>
    <tableColumn id="21" xr3:uid="{00000000-0010-0000-0900-000015000000}" name="20" totalsRowFunction="count" dataDxfId="174" totalsRowDxfId="173"/>
    <tableColumn id="22" xr3:uid="{00000000-0010-0000-0900-000016000000}" name="21" totalsRowFunction="count" dataDxfId="172" totalsRowDxfId="171"/>
    <tableColumn id="23" xr3:uid="{00000000-0010-0000-0900-000017000000}" name="22" totalsRowFunction="count" dataDxfId="170" totalsRowDxfId="169"/>
    <tableColumn id="24" xr3:uid="{00000000-0010-0000-0900-000018000000}" name="23" totalsRowFunction="count" dataDxfId="168" totalsRowDxfId="167"/>
    <tableColumn id="25" xr3:uid="{00000000-0010-0000-0900-000019000000}" name="24" totalsRowFunction="count" dataDxfId="166" totalsRowDxfId="165"/>
    <tableColumn id="26" xr3:uid="{00000000-0010-0000-0900-00001A000000}" name="25" totalsRowFunction="count" dataDxfId="164" totalsRowDxfId="163"/>
    <tableColumn id="27" xr3:uid="{00000000-0010-0000-0900-00001B000000}" name="26" totalsRowFunction="count" dataDxfId="162" totalsRowDxfId="161"/>
    <tableColumn id="28" xr3:uid="{00000000-0010-0000-0900-00001C000000}" name="27" totalsRowFunction="count" dataDxfId="160" totalsRowDxfId="159"/>
    <tableColumn id="29" xr3:uid="{00000000-0010-0000-0900-00001D000000}" name="28" totalsRowFunction="count" dataDxfId="158" totalsRowDxfId="157"/>
    <tableColumn id="30" xr3:uid="{00000000-0010-0000-0900-00001E000000}" name="29" totalsRowFunction="count" dataDxfId="156" totalsRowDxfId="155"/>
    <tableColumn id="31" xr3:uid="{00000000-0010-0000-0900-00001F000000}" name="30" totalsRowFunction="count" dataDxfId="154" totalsRowDxfId="153"/>
    <tableColumn id="32" xr3:uid="{00000000-0010-0000-0900-000020000000}" name="31" totalsRowFunction="count" dataDxfId="152" totalsRowDxfId="151"/>
    <tableColumn id="33" xr3:uid="{00000000-0010-0000-0900-000021000000}" name="Total des jours" totalsRowFunction="sum" dataDxfId="150" totalsRowDxfId="149">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143" dataDxfId="142" totalsRowDxfId="141">
  <tableColumns count="33">
    <tableColumn id="1" xr3:uid="{00000000-0010-0000-0A00-000001000000}" name="Nom de l’employé" totalsRowFunction="custom" dataDxfId="140" totalsRowDxfId="139" dataCellStyle="Employé">
      <totalsRowFormula>NomMois&amp;" Total"</totalsRowFormula>
    </tableColumn>
    <tableColumn id="2" xr3:uid="{00000000-0010-0000-0A00-000002000000}" name="1" totalsRowFunction="count" dataDxfId="138" totalsRowDxfId="137"/>
    <tableColumn id="3" xr3:uid="{00000000-0010-0000-0A00-000003000000}" name="2" totalsRowFunction="count" dataDxfId="136" totalsRowDxfId="135"/>
    <tableColumn id="4" xr3:uid="{00000000-0010-0000-0A00-000004000000}" name="3" totalsRowFunction="count" dataDxfId="134" totalsRowDxfId="133"/>
    <tableColumn id="5" xr3:uid="{00000000-0010-0000-0A00-000005000000}" name="4" totalsRowFunction="count" dataDxfId="132" totalsRowDxfId="131"/>
    <tableColumn id="6" xr3:uid="{00000000-0010-0000-0A00-000006000000}" name="5" totalsRowFunction="count" dataDxfId="130" totalsRowDxfId="129"/>
    <tableColumn id="7" xr3:uid="{00000000-0010-0000-0A00-000007000000}" name="6" totalsRowFunction="count" dataDxfId="128" totalsRowDxfId="127"/>
    <tableColumn id="8" xr3:uid="{00000000-0010-0000-0A00-000008000000}" name="7" totalsRowFunction="count" dataDxfId="126" totalsRowDxfId="125"/>
    <tableColumn id="9" xr3:uid="{00000000-0010-0000-0A00-000009000000}" name="8" totalsRowFunction="count" dataDxfId="124" totalsRowDxfId="123"/>
    <tableColumn id="10" xr3:uid="{00000000-0010-0000-0A00-00000A000000}" name="9" totalsRowFunction="count" dataDxfId="122" totalsRowDxfId="121"/>
    <tableColumn id="11" xr3:uid="{00000000-0010-0000-0A00-00000B000000}" name="10" totalsRowFunction="count" dataDxfId="120" totalsRowDxfId="119"/>
    <tableColumn id="12" xr3:uid="{00000000-0010-0000-0A00-00000C000000}" name="11" totalsRowFunction="count" dataDxfId="118" totalsRowDxfId="117"/>
    <tableColumn id="13" xr3:uid="{00000000-0010-0000-0A00-00000D000000}" name="12" totalsRowFunction="count" dataDxfId="116" totalsRowDxfId="115"/>
    <tableColumn id="14" xr3:uid="{00000000-0010-0000-0A00-00000E000000}" name="13" totalsRowFunction="count" dataDxfId="114" totalsRowDxfId="113"/>
    <tableColumn id="15" xr3:uid="{00000000-0010-0000-0A00-00000F000000}" name="14" totalsRowFunction="count" dataDxfId="112" totalsRowDxfId="111"/>
    <tableColumn id="16" xr3:uid="{00000000-0010-0000-0A00-000010000000}" name="15" totalsRowFunction="count" dataDxfId="110" totalsRowDxfId="109"/>
    <tableColumn id="17" xr3:uid="{00000000-0010-0000-0A00-000011000000}" name="16" totalsRowFunction="count" dataDxfId="108" totalsRowDxfId="107"/>
    <tableColumn id="18" xr3:uid="{00000000-0010-0000-0A00-000012000000}" name="17" totalsRowFunction="count" dataDxfId="106" totalsRowDxfId="105"/>
    <tableColumn id="19" xr3:uid="{00000000-0010-0000-0A00-000013000000}" name="18" totalsRowFunction="count" dataDxfId="104" totalsRowDxfId="103"/>
    <tableColumn id="20" xr3:uid="{00000000-0010-0000-0A00-000014000000}" name="19" totalsRowFunction="count" dataDxfId="102" totalsRowDxfId="101"/>
    <tableColumn id="21" xr3:uid="{00000000-0010-0000-0A00-000015000000}" name="20" totalsRowFunction="count" dataDxfId="100" totalsRowDxfId="99"/>
    <tableColumn id="22" xr3:uid="{00000000-0010-0000-0A00-000016000000}" name="21" totalsRowFunction="count" dataDxfId="98" totalsRowDxfId="97"/>
    <tableColumn id="23" xr3:uid="{00000000-0010-0000-0A00-000017000000}" name="22" totalsRowFunction="count" dataDxfId="96" totalsRowDxfId="95"/>
    <tableColumn id="24" xr3:uid="{00000000-0010-0000-0A00-000018000000}" name="23" totalsRowFunction="count" dataDxfId="94" totalsRowDxfId="93"/>
    <tableColumn id="25" xr3:uid="{00000000-0010-0000-0A00-000019000000}" name="24" totalsRowFunction="count" dataDxfId="92" totalsRowDxfId="91"/>
    <tableColumn id="26" xr3:uid="{00000000-0010-0000-0A00-00001A000000}" name="25" totalsRowFunction="count" dataDxfId="90" totalsRowDxfId="89"/>
    <tableColumn id="27" xr3:uid="{00000000-0010-0000-0A00-00001B000000}" name="26" totalsRowFunction="count" dataDxfId="88" totalsRowDxfId="87"/>
    <tableColumn id="28" xr3:uid="{00000000-0010-0000-0A00-00001C000000}" name="27" totalsRowFunction="count" dataDxfId="86" totalsRowDxfId="85"/>
    <tableColumn id="29" xr3:uid="{00000000-0010-0000-0A00-00001D000000}" name="28" totalsRowFunction="count" dataDxfId="84" totalsRowDxfId="83"/>
    <tableColumn id="30" xr3:uid="{00000000-0010-0000-0A00-00001E000000}" name="29" totalsRowFunction="count" dataDxfId="82" totalsRowDxfId="81"/>
    <tableColumn id="31" xr3:uid="{00000000-0010-0000-0A00-00001F000000}" name="30" totalsRowFunction="count" dataDxfId="80" totalsRowDxfId="79"/>
    <tableColumn id="32" xr3:uid="{00000000-0010-0000-0A00-000020000000}" name=" " totalsRowFunction="count" dataDxfId="78" totalsRowDxfId="77"/>
    <tableColumn id="33" xr3:uid="{00000000-0010-0000-0A00-000021000000}" name="Total des jours" totalsRowFunction="sum" dataDxfId="76" totalsRowDxfId="75">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69" dataDxfId="68" totalsRowDxfId="67">
  <tableColumns count="33">
    <tableColumn id="1" xr3:uid="{00000000-0010-0000-0B00-000001000000}" name="Nom de l’employé" totalsRowFunction="custom" dataDxfId="66" totalsRowDxfId="65" dataCellStyle="Employé">
      <totalsRowFormula>NomMois&amp;" Total"</totalsRowFormula>
    </tableColumn>
    <tableColumn id="2" xr3:uid="{00000000-0010-0000-0B00-000002000000}" name="1" totalsRowFunction="count" dataDxfId="64" totalsRowDxfId="63"/>
    <tableColumn id="3" xr3:uid="{00000000-0010-0000-0B00-000003000000}" name="2" totalsRowFunction="count" dataDxfId="62" totalsRowDxfId="61"/>
    <tableColumn id="4" xr3:uid="{00000000-0010-0000-0B00-000004000000}" name="3" totalsRowFunction="count" dataDxfId="60" totalsRowDxfId="59"/>
    <tableColumn id="5" xr3:uid="{00000000-0010-0000-0B00-000005000000}" name="4" totalsRowFunction="count" dataDxfId="58" totalsRowDxfId="57"/>
    <tableColumn id="6" xr3:uid="{00000000-0010-0000-0B00-000006000000}" name="5" totalsRowFunction="count" dataDxfId="56" totalsRowDxfId="55"/>
    <tableColumn id="7" xr3:uid="{00000000-0010-0000-0B00-000007000000}" name="6" totalsRowFunction="count" dataDxfId="54" totalsRowDxfId="53"/>
    <tableColumn id="8" xr3:uid="{00000000-0010-0000-0B00-000008000000}" name="7" totalsRowFunction="count" dataDxfId="52" totalsRowDxfId="51"/>
    <tableColumn id="9" xr3:uid="{00000000-0010-0000-0B00-000009000000}" name="8" totalsRowFunction="count" dataDxfId="50" totalsRowDxfId="49"/>
    <tableColumn id="10" xr3:uid="{00000000-0010-0000-0B00-00000A000000}" name="9" totalsRowFunction="count" dataDxfId="48" totalsRowDxfId="47"/>
    <tableColumn id="11" xr3:uid="{00000000-0010-0000-0B00-00000B000000}" name="10" totalsRowFunction="count" dataDxfId="46" totalsRowDxfId="45"/>
    <tableColumn id="12" xr3:uid="{00000000-0010-0000-0B00-00000C000000}" name="11" totalsRowFunction="count" dataDxfId="44" totalsRowDxfId="43"/>
    <tableColumn id="13" xr3:uid="{00000000-0010-0000-0B00-00000D000000}" name="12" totalsRowFunction="count" dataDxfId="42" totalsRowDxfId="41"/>
    <tableColumn id="14" xr3:uid="{00000000-0010-0000-0B00-00000E000000}" name="13" totalsRowFunction="count" dataDxfId="40" totalsRowDxfId="39"/>
    <tableColumn id="15" xr3:uid="{00000000-0010-0000-0B00-00000F000000}" name="14" totalsRowFunction="count" dataDxfId="38" totalsRowDxfId="37"/>
    <tableColumn id="16" xr3:uid="{00000000-0010-0000-0B00-000010000000}" name="15" totalsRowFunction="count" dataDxfId="36" totalsRowDxfId="35"/>
    <tableColumn id="17" xr3:uid="{00000000-0010-0000-0B00-000011000000}" name="16" totalsRowFunction="count" dataDxfId="34" totalsRowDxfId="33"/>
    <tableColumn id="18" xr3:uid="{00000000-0010-0000-0B00-000012000000}" name="17" totalsRowFunction="count" dataDxfId="32" totalsRowDxfId="31"/>
    <tableColumn id="19" xr3:uid="{00000000-0010-0000-0B00-000013000000}" name="18" totalsRowFunction="count" dataDxfId="30" totalsRowDxfId="29"/>
    <tableColumn id="20" xr3:uid="{00000000-0010-0000-0B00-000014000000}" name="19" totalsRowFunction="count" dataDxfId="28" totalsRowDxfId="27"/>
    <tableColumn id="21" xr3:uid="{00000000-0010-0000-0B00-000015000000}" name="20" totalsRowFunction="count" dataDxfId="26" totalsRowDxfId="25"/>
    <tableColumn id="22" xr3:uid="{00000000-0010-0000-0B00-000016000000}" name="21" totalsRowFunction="count" dataDxfId="24" totalsRowDxfId="23"/>
    <tableColumn id="23" xr3:uid="{00000000-0010-0000-0B00-000017000000}" name="22" totalsRowFunction="count" dataDxfId="22" totalsRowDxfId="21"/>
    <tableColumn id="24" xr3:uid="{00000000-0010-0000-0B00-000018000000}" name="23" totalsRowFunction="count" dataDxfId="20" totalsRowDxfId="19"/>
    <tableColumn id="25" xr3:uid="{00000000-0010-0000-0B00-000019000000}" name="24" totalsRowFunction="count" dataDxfId="18" totalsRowDxfId="17"/>
    <tableColumn id="26" xr3:uid="{00000000-0010-0000-0B00-00001A000000}" name="25" totalsRowFunction="count" dataDxfId="16" totalsRowDxfId="15"/>
    <tableColumn id="27" xr3:uid="{00000000-0010-0000-0B00-00001B000000}" name="26" totalsRowFunction="count" dataDxfId="14" totalsRowDxfId="13"/>
    <tableColumn id="28" xr3:uid="{00000000-0010-0000-0B00-00001C000000}" name="27" totalsRowFunction="count" dataDxfId="12" totalsRowDxfId="11"/>
    <tableColumn id="29" xr3:uid="{00000000-0010-0000-0B00-00001D000000}" name="28" totalsRowFunction="count" dataDxfId="10" totalsRowDxfId="9"/>
    <tableColumn id="30" xr3:uid="{00000000-0010-0000-0B00-00001E000000}" name="29" totalsRowFunction="count" dataDxfId="8" totalsRowDxfId="7"/>
    <tableColumn id="31" xr3:uid="{00000000-0010-0000-0B00-00001F000000}" name="30" totalsRowFunction="count" dataDxfId="6" totalsRowDxfId="5"/>
    <tableColumn id="32" xr3:uid="{00000000-0010-0000-0B00-000020000000}" name="31" totalsRowFunction="count" dataDxfId="4" totalsRowDxfId="3"/>
    <tableColumn id="33" xr3:uid="{00000000-0010-0000-0B00-000021000000}" name="Total des jours" totalsRowFunction="sum" dataDxfId="2" totalsRowDxfId="1">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8">
  <autoFilter ref="B3:B8" xr:uid="{00000000-0009-0000-0100-00000D000000}"/>
  <tableColumns count="1">
    <tableColumn id="1" xr3:uid="{00000000-0010-0000-0C00-000001000000}" name="Noms des employés" totalsRowFunction="count" totalsRowDxfId="0"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H12"/>
  <sheetViews>
    <sheetView showGridLines="0" tabSelected="1"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1:34" ht="50.1" customHeight="1" x14ac:dyDescent="0.25">
      <c r="A1" s="18"/>
      <c r="B1" s="14" t="s">
        <v>0</v>
      </c>
    </row>
    <row r="2" spans="1: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1:34" ht="15" customHeight="1" x14ac:dyDescent="0.25">
      <c r="AH3" s="20" t="s">
        <v>49</v>
      </c>
    </row>
    <row r="4" spans="1:34" ht="30" customHeight="1" x14ac:dyDescent="0.25">
      <c r="B4" s="12" t="s">
        <v>2</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v>2019</v>
      </c>
    </row>
    <row r="5" spans="1:34" ht="15" customHeight="1" x14ac:dyDescent="0.25">
      <c r="B5" s="12"/>
      <c r="C5" s="2" t="str">
        <f>TEXT(WEEKDAY(DATE(AnnéeCalendrier,1,1),1),"jjj")</f>
        <v>mar</v>
      </c>
      <c r="D5" s="2" t="str">
        <f>TEXT(WEEKDAY(DATE(AnnéeCalendrier,1,2),1),"jjj")</f>
        <v>mer</v>
      </c>
      <c r="E5" s="2" t="str">
        <f>TEXT(WEEKDAY(DATE(AnnéeCalendrier,1,3),1),"jjj")</f>
        <v>jeu</v>
      </c>
      <c r="F5" s="2" t="str">
        <f>TEXT(WEEKDAY(DATE(AnnéeCalendrier,1,4),1),"jjj")</f>
        <v>ven</v>
      </c>
      <c r="G5" s="2" t="str">
        <f>TEXT(WEEKDAY(DATE(AnnéeCalendrier,1,5),1),"jjj")</f>
        <v>sam</v>
      </c>
      <c r="H5" s="2" t="str">
        <f>TEXT(WEEKDAY(DATE(AnnéeCalendrier,1,6),1),"jjj")</f>
        <v>dim</v>
      </c>
      <c r="I5" s="2" t="str">
        <f>TEXT(WEEKDAY(DATE(AnnéeCalendrier,1,7),1),"jjj")</f>
        <v>lun</v>
      </c>
      <c r="J5" s="2" t="str">
        <f>TEXT(WEEKDAY(DATE(AnnéeCalendrier,1,8),1),"jjj")</f>
        <v>mar</v>
      </c>
      <c r="K5" s="2" t="str">
        <f>TEXT(WEEKDAY(DATE(AnnéeCalendrier,1,9),1),"jjj")</f>
        <v>mer</v>
      </c>
      <c r="L5" s="2" t="str">
        <f>TEXT(WEEKDAY(DATE(AnnéeCalendrier,1,10),1),"jjj")</f>
        <v>jeu</v>
      </c>
      <c r="M5" s="2" t="str">
        <f>TEXT(WEEKDAY(DATE(AnnéeCalendrier,1,11),1),"jjj")</f>
        <v>ven</v>
      </c>
      <c r="N5" s="2" t="str">
        <f>TEXT(WEEKDAY(DATE(AnnéeCalendrier,1,12),1),"jjj")</f>
        <v>sam</v>
      </c>
      <c r="O5" s="2" t="str">
        <f>TEXT(WEEKDAY(DATE(AnnéeCalendrier,1,13),1),"jjj")</f>
        <v>dim</v>
      </c>
      <c r="P5" s="2" t="str">
        <f>TEXT(WEEKDAY(DATE(AnnéeCalendrier,1,14),1),"jjj")</f>
        <v>lun</v>
      </c>
      <c r="Q5" s="2" t="str">
        <f>TEXT(WEEKDAY(DATE(AnnéeCalendrier,1,15),1),"jjj")</f>
        <v>mar</v>
      </c>
      <c r="R5" s="2" t="str">
        <f>TEXT(WEEKDAY(DATE(AnnéeCalendrier,1,16),1),"jjj")</f>
        <v>mer</v>
      </c>
      <c r="S5" s="2" t="str">
        <f>TEXT(WEEKDAY(DATE(AnnéeCalendrier,1,17),1),"jjj")</f>
        <v>jeu</v>
      </c>
      <c r="T5" s="2" t="str">
        <f>TEXT(WEEKDAY(DATE(AnnéeCalendrier,1,18),1),"jjj")</f>
        <v>ven</v>
      </c>
      <c r="U5" s="2" t="str">
        <f>TEXT(WEEKDAY(DATE(AnnéeCalendrier,1,19),1),"jjj")</f>
        <v>sam</v>
      </c>
      <c r="V5" s="2" t="str">
        <f>TEXT(WEEKDAY(DATE(AnnéeCalendrier,1,20),1),"jjj")</f>
        <v>dim</v>
      </c>
      <c r="W5" s="2" t="str">
        <f>TEXT(WEEKDAY(DATE(AnnéeCalendrier,1,21),1),"jjj")</f>
        <v>lun</v>
      </c>
      <c r="X5" s="2" t="str">
        <f>TEXT(WEEKDAY(DATE(AnnéeCalendrier,1,22),1),"jjj")</f>
        <v>mar</v>
      </c>
      <c r="Y5" s="2" t="str">
        <f>TEXT(WEEKDAY(DATE(AnnéeCalendrier,1,23),1),"jjj")</f>
        <v>mer</v>
      </c>
      <c r="Z5" s="2" t="str">
        <f>TEXT(WEEKDAY(DATE(AnnéeCalendrier,1,24),1),"jjj")</f>
        <v>jeu</v>
      </c>
      <c r="AA5" s="2" t="str">
        <f>TEXT(WEEKDAY(DATE(AnnéeCalendrier,1,25),1),"jjj")</f>
        <v>ven</v>
      </c>
      <c r="AB5" s="2" t="str">
        <f>TEXT(WEEKDAY(DATE(AnnéeCalendrier,1,26),1),"jjj")</f>
        <v>sam</v>
      </c>
      <c r="AC5" s="2" t="str">
        <f>TEXT(WEEKDAY(DATE(AnnéeCalendrier,1,27),1),"jjj")</f>
        <v>dim</v>
      </c>
      <c r="AD5" s="2" t="str">
        <f>TEXT(WEEKDAY(DATE(AnnéeCalendrier,1,28),1),"jjj")</f>
        <v>lun</v>
      </c>
      <c r="AE5" s="2" t="str">
        <f>TEXT(WEEKDAY(DATE(AnnéeCalendrier,1,29),1),"jjj")</f>
        <v>mar</v>
      </c>
      <c r="AF5" s="2" t="str">
        <f>TEXT(WEEKDAY(DATE(AnnéeCalendrier,1,30),1),"jjj")</f>
        <v>mer</v>
      </c>
      <c r="AG5" s="2" t="str">
        <f>TEXT(WEEKDAY(DATE(AnnéeCalendrier,1,31),1),"jjj")</f>
        <v>jeu</v>
      </c>
      <c r="AH5" s="12"/>
    </row>
    <row r="6" spans="1: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1:34" ht="30" customHeight="1" x14ac:dyDescent="0.25">
      <c r="B7" s="9" t="s">
        <v>4</v>
      </c>
      <c r="C7" s="3"/>
      <c r="D7" s="3"/>
      <c r="E7" s="3" t="s">
        <v>9</v>
      </c>
      <c r="F7" s="3" t="s">
        <v>9</v>
      </c>
      <c r="G7" s="3" t="s">
        <v>9</v>
      </c>
      <c r="H7" s="3" t="s">
        <v>9</v>
      </c>
      <c r="I7" s="3"/>
      <c r="J7" s="3"/>
      <c r="K7" s="3"/>
      <c r="L7" s="3"/>
      <c r="M7" s="3"/>
      <c r="N7" s="3"/>
      <c r="O7" s="3" t="s">
        <v>9</v>
      </c>
      <c r="P7" s="3"/>
      <c r="Q7" s="3"/>
      <c r="R7" s="3"/>
      <c r="S7" s="3"/>
      <c r="T7" s="3"/>
      <c r="U7" s="3"/>
      <c r="V7" s="3"/>
      <c r="W7" s="3"/>
      <c r="X7" s="3"/>
      <c r="Y7" s="3"/>
      <c r="Z7" s="3"/>
      <c r="AA7" s="3"/>
      <c r="AB7" s="3"/>
      <c r="AC7" s="3"/>
      <c r="AD7" s="3"/>
      <c r="AE7" s="3"/>
      <c r="AF7" s="3"/>
      <c r="AG7" s="3"/>
      <c r="AH7" s="10">
        <f>COUNTA(Janvier!$C7:$AG7)</f>
        <v>5</v>
      </c>
    </row>
    <row r="8" spans="1:34" ht="30" customHeight="1" x14ac:dyDescent="0.25">
      <c r="B8" s="9" t="s">
        <v>5</v>
      </c>
      <c r="C8" s="3"/>
      <c r="D8" s="3"/>
      <c r="E8" s="3"/>
      <c r="F8" s="3"/>
      <c r="G8" s="3" t="s">
        <v>17</v>
      </c>
      <c r="H8" s="3" t="s">
        <v>17</v>
      </c>
      <c r="I8" s="3"/>
      <c r="J8" s="3"/>
      <c r="K8" s="3"/>
      <c r="L8" s="3"/>
      <c r="M8" s="3" t="s">
        <v>15</v>
      </c>
      <c r="N8" s="3"/>
      <c r="O8" s="3"/>
      <c r="P8" s="3"/>
      <c r="Q8" s="3"/>
      <c r="R8" s="3"/>
      <c r="S8" s="3"/>
      <c r="T8" s="3"/>
      <c r="U8" s="3"/>
      <c r="V8" s="3" t="s">
        <v>17</v>
      </c>
      <c r="W8" s="3"/>
      <c r="X8" s="3"/>
      <c r="Y8" s="3"/>
      <c r="Z8" s="3"/>
      <c r="AA8" s="3" t="s">
        <v>9</v>
      </c>
      <c r="AB8" s="3" t="s">
        <v>9</v>
      </c>
      <c r="AC8" s="3" t="s">
        <v>9</v>
      </c>
      <c r="AD8" s="3"/>
      <c r="AE8" s="3"/>
      <c r="AF8" s="3"/>
      <c r="AG8" s="3"/>
      <c r="AH8" s="10">
        <f>COUNTA(Janvier!$C8:$AG8)</f>
        <v>7</v>
      </c>
    </row>
    <row r="9" spans="1:34" ht="30" customHeight="1" x14ac:dyDescent="0.25">
      <c r="B9" s="9" t="s">
        <v>6</v>
      </c>
      <c r="C9" s="3"/>
      <c r="D9" s="3"/>
      <c r="E9" s="3" t="s">
        <v>15</v>
      </c>
      <c r="F9" s="3"/>
      <c r="G9" s="3"/>
      <c r="H9" s="3"/>
      <c r="I9" s="3"/>
      <c r="J9" s="3"/>
      <c r="K9" s="3"/>
      <c r="L9" s="3"/>
      <c r="M9" s="3"/>
      <c r="N9" s="3"/>
      <c r="O9" s="3"/>
      <c r="P9" s="3" t="s">
        <v>17</v>
      </c>
      <c r="Q9" s="3"/>
      <c r="R9" s="3"/>
      <c r="S9" s="3"/>
      <c r="T9" s="3"/>
      <c r="U9" s="3"/>
      <c r="V9" s="3"/>
      <c r="W9" s="3"/>
      <c r="X9" s="3"/>
      <c r="Y9" s="3"/>
      <c r="Z9" s="3"/>
      <c r="AA9" s="3"/>
      <c r="AB9" s="3"/>
      <c r="AC9" s="3"/>
      <c r="AD9" s="3"/>
      <c r="AE9" s="3" t="s">
        <v>17</v>
      </c>
      <c r="AF9" s="3"/>
      <c r="AG9" s="3"/>
      <c r="AH9" s="10">
        <f>COUNTA(Janvier!$C9:$AG9)</f>
        <v>3</v>
      </c>
    </row>
    <row r="10" spans="1:34" ht="30" customHeight="1" x14ac:dyDescent="0.25">
      <c r="B10" s="9" t="s">
        <v>7</v>
      </c>
      <c r="C10" s="3"/>
      <c r="D10" s="3"/>
      <c r="E10" s="3"/>
      <c r="F10" s="3"/>
      <c r="G10" s="3"/>
      <c r="H10" s="3"/>
      <c r="I10" s="3" t="s">
        <v>15</v>
      </c>
      <c r="J10" s="3"/>
      <c r="K10" s="3"/>
      <c r="L10" s="3"/>
      <c r="M10" s="3"/>
      <c r="N10" s="3"/>
      <c r="O10" s="3"/>
      <c r="P10" s="3"/>
      <c r="Q10" s="3"/>
      <c r="R10" s="3"/>
      <c r="S10" s="3"/>
      <c r="T10" s="3"/>
      <c r="U10" s="3" t="s">
        <v>9</v>
      </c>
      <c r="V10" s="3" t="s">
        <v>9</v>
      </c>
      <c r="W10" s="3" t="s">
        <v>9</v>
      </c>
      <c r="X10" s="3"/>
      <c r="Y10" s="3"/>
      <c r="Z10" s="3"/>
      <c r="AA10" s="3"/>
      <c r="AB10" s="3"/>
      <c r="AC10" s="3"/>
      <c r="AD10" s="3"/>
      <c r="AE10" s="3"/>
      <c r="AF10" s="3"/>
      <c r="AG10" s="3"/>
      <c r="AH10" s="10">
        <f>COUNTA(Janvier!$C10:$AG10)</f>
        <v>4</v>
      </c>
    </row>
    <row r="11" spans="1:34" ht="30" customHeight="1" x14ac:dyDescent="0.25">
      <c r="B11" s="9" t="s">
        <v>8</v>
      </c>
      <c r="C11" s="3"/>
      <c r="D11" s="3"/>
      <c r="E11" s="3"/>
      <c r="F11" s="3" t="s">
        <v>17</v>
      </c>
      <c r="G11" s="3" t="s">
        <v>9</v>
      </c>
      <c r="H11" s="3" t="s">
        <v>9</v>
      </c>
      <c r="I11" s="3"/>
      <c r="J11" s="3"/>
      <c r="K11" s="3"/>
      <c r="L11" s="3"/>
      <c r="M11" s="3"/>
      <c r="N11" s="3"/>
      <c r="O11" s="3"/>
      <c r="P11" s="3"/>
      <c r="Q11" s="3"/>
      <c r="R11" s="3"/>
      <c r="S11" s="3" t="s">
        <v>17</v>
      </c>
      <c r="T11" s="3"/>
      <c r="U11" s="3"/>
      <c r="V11" s="3"/>
      <c r="W11" s="3"/>
      <c r="X11" s="3"/>
      <c r="Y11" s="3"/>
      <c r="Z11" s="3" t="s">
        <v>17</v>
      </c>
      <c r="AA11" s="3"/>
      <c r="AB11" s="3"/>
      <c r="AC11" s="3"/>
      <c r="AD11" s="3"/>
      <c r="AE11" s="3"/>
      <c r="AF11" s="3"/>
      <c r="AG11" s="3" t="s">
        <v>9</v>
      </c>
      <c r="AH11" s="10">
        <f>COUNTA(Janvier!$C11:$AG11)</f>
        <v>6</v>
      </c>
    </row>
    <row r="12" spans="1:34" ht="30" customHeight="1" x14ac:dyDescent="0.25">
      <c r="B12" s="21" t="str">
        <f>NomMois&amp;" Total"</f>
        <v>Janvier Total</v>
      </c>
      <c r="C12" s="13">
        <f>SUBTOTAL(103,Janvier!$C$7:$C$11)</f>
        <v>0</v>
      </c>
      <c r="D12" s="13">
        <f>SUBTOTAL(103,Janvier!$D$7:$D$11)</f>
        <v>0</v>
      </c>
      <c r="E12" s="13">
        <f>SUBTOTAL(103,Janvier!$E$7:$E$11)</f>
        <v>2</v>
      </c>
      <c r="F12" s="13">
        <f>SUBTOTAL(103,Janvier!$F$7:$F$11)</f>
        <v>2</v>
      </c>
      <c r="G12" s="13">
        <f>SUBTOTAL(103,Janvier!$G$7:$G$11)</f>
        <v>3</v>
      </c>
      <c r="H12" s="13">
        <f>SUBTOTAL(103,Janvier!$H$7:$H$11)</f>
        <v>3</v>
      </c>
      <c r="I12" s="13">
        <f>SUBTOTAL(103,Janvier!$I$7:$I$11)</f>
        <v>1</v>
      </c>
      <c r="J12" s="13">
        <f>SUBTOTAL(103,Janvier!$J$7:$J$11)</f>
        <v>0</v>
      </c>
      <c r="K12" s="13">
        <f>SUBTOTAL(103,Janvier!$K$7:$K$11)</f>
        <v>0</v>
      </c>
      <c r="L12" s="13">
        <f>SUBTOTAL(103,Janvier!$L$7:$L$11)</f>
        <v>0</v>
      </c>
      <c r="M12" s="13">
        <f>SUBTOTAL(103,Janvier!$M$7:$M$11)</f>
        <v>1</v>
      </c>
      <c r="N12" s="13">
        <f>SUBTOTAL(103,Janvier!$N$7:$N$11)</f>
        <v>0</v>
      </c>
      <c r="O12" s="13">
        <f>SUBTOTAL(103,Janvier!$O$7:$O$11)</f>
        <v>1</v>
      </c>
      <c r="P12" s="13">
        <f>SUBTOTAL(103,Janvier!$P$7:$P$11)</f>
        <v>1</v>
      </c>
      <c r="Q12" s="13">
        <f>SUBTOTAL(103,Janvier!$Q$7:$Q$11)</f>
        <v>0</v>
      </c>
      <c r="R12" s="13">
        <f>SUBTOTAL(103,Janvier!$R$7:$R$11)</f>
        <v>0</v>
      </c>
      <c r="S12" s="13">
        <f>SUBTOTAL(103,Janvier!$S$7:$S$11)</f>
        <v>1</v>
      </c>
      <c r="T12" s="13">
        <f>SUBTOTAL(103,Janvier!$T$7:$T$11)</f>
        <v>0</v>
      </c>
      <c r="U12" s="13">
        <f>SUBTOTAL(103,Janvier!$U$7:$U$11)</f>
        <v>1</v>
      </c>
      <c r="V12" s="13">
        <f>SUBTOTAL(103,Janvier!$V$7:$V$11)</f>
        <v>2</v>
      </c>
      <c r="W12" s="13">
        <f>SUBTOTAL(103,Janvier!$W$7:$W$11)</f>
        <v>1</v>
      </c>
      <c r="X12" s="13">
        <f>SUBTOTAL(103,Janvier!$X$7:$X$11)</f>
        <v>0</v>
      </c>
      <c r="Y12" s="13">
        <f>SUBTOTAL(103,Janvier!$Y$7:$Y$11)</f>
        <v>0</v>
      </c>
      <c r="Z12" s="13">
        <f>SUBTOTAL(103,Janvier!$Z$7:$Z$11)</f>
        <v>1</v>
      </c>
      <c r="AA12" s="13">
        <f>SUBTOTAL(103,Janvier!$AA$7:$AA$11)</f>
        <v>1</v>
      </c>
      <c r="AB12" s="13">
        <f>SUBTOTAL(103,Janvier!$AB$7:$AB$11)</f>
        <v>1</v>
      </c>
      <c r="AC12" s="13">
        <f>SUBTOTAL(103,Janvier!$AC$7:$AC$11)</f>
        <v>1</v>
      </c>
      <c r="AD12" s="13">
        <f>SUBTOTAL(103,Janvier!$AD$7:$AD$11)</f>
        <v>0</v>
      </c>
      <c r="AE12" s="13">
        <f>SUBTOTAL(103,Janvier!$AE$7:$AE$11)</f>
        <v>1</v>
      </c>
      <c r="AF12" s="13">
        <f>SUBTOTAL(103,Janvier!$AF$7:$AF$11)</f>
        <v>0</v>
      </c>
      <c r="AG12" s="13">
        <f>SUBTOTAL(103,Janvier!$AG$7:$AG$11)</f>
        <v>1</v>
      </c>
      <c r="AH12" s="13">
        <f>SUBTOTAL(109,Janvier[Total des jours])</f>
        <v>25</v>
      </c>
    </row>
  </sheetData>
  <mergeCells count="6">
    <mergeCell ref="C4:AG4"/>
    <mergeCell ref="D2:E2"/>
    <mergeCell ref="G2:I2"/>
    <mergeCell ref="K2:L2"/>
    <mergeCell ref="N2:Q2"/>
    <mergeCell ref="S2:V2"/>
  </mergeCells>
  <conditionalFormatting sqref="C7:AG11">
    <cfRule type="expression" priority="1" stopIfTrue="1">
      <formula>C7=""</formula>
    </cfRule>
    <cfRule type="expression" dxfId="889" priority="6" stopIfTrue="1">
      <formula>C7=CléPersonnalisée2</formula>
    </cfRule>
    <cfRule type="expression" dxfId="888" priority="7" stopIfTrue="1">
      <formula>C7=CléPersonnalisée1</formula>
    </cfRule>
    <cfRule type="expression" dxfId="887" priority="8" stopIfTrue="1">
      <formula>C7=CléMaladie</formula>
    </cfRule>
    <cfRule type="expression" dxfId="886" priority="9" stopIfTrue="1">
      <formula>C7=CléPersonnel</formula>
    </cfRule>
    <cfRule type="expression" dxfId="885" priority="10" stopIfTrue="1">
      <formula>C7=CléCongé</formula>
    </cfRule>
  </conditionalFormatting>
  <conditionalFormatting sqref="AH7:AH11">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M2 R2" xr:uid="{00000000-0002-0000-0000-00000B000000}"/>
    <dataValidation allowBlank="1" showInputMessage="1" showErrorMessage="1" prompt="Entrez une étiquette pour décrire la clé personnalisée à gauche" sqref="N2 S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2" tint="-0.749992370372631"/>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row>
    <row r="4" spans="2:34" ht="30" customHeight="1" x14ac:dyDescent="0.25">
      <c r="B4" s="12" t="s">
        <v>51</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TEXT(WEEKDAY(DATE(AnnéeCalendrier,2,1),1),"jjj")</f>
        <v>ven</v>
      </c>
      <c r="D5" s="2" t="str">
        <f>TEXT(WEEKDAY(DATE(AnnéeCalendrier,2,2),1),"jjj")</f>
        <v>sam</v>
      </c>
      <c r="E5" s="2" t="str">
        <f>TEXT(WEEKDAY(DATE(AnnéeCalendrier,2,3),1),"jjj")</f>
        <v>dim</v>
      </c>
      <c r="F5" s="2" t="str">
        <f>TEXT(WEEKDAY(DATE(AnnéeCalendrier,2,4),1),"jjj")</f>
        <v>lun</v>
      </c>
      <c r="G5" s="2" t="str">
        <f>TEXT(WEEKDAY(DATE(AnnéeCalendrier,2,5),1),"jjj")</f>
        <v>mar</v>
      </c>
      <c r="H5" s="2" t="str">
        <f>TEXT(WEEKDAY(DATE(AnnéeCalendrier,2,6),1),"jjj")</f>
        <v>mer</v>
      </c>
      <c r="I5" s="2" t="str">
        <f>TEXT(WEEKDAY(DATE(AnnéeCalendrier,2,7),1),"jjj")</f>
        <v>jeu</v>
      </c>
      <c r="J5" s="2" t="str">
        <f>TEXT(WEEKDAY(DATE(AnnéeCalendrier,2,8),1),"jjj")</f>
        <v>ven</v>
      </c>
      <c r="K5" s="2" t="str">
        <f>TEXT(WEEKDAY(DATE(AnnéeCalendrier,2,9),1),"jjj")</f>
        <v>sam</v>
      </c>
      <c r="L5" s="2" t="str">
        <f>TEXT(WEEKDAY(DATE(AnnéeCalendrier,2,10),1),"jjj")</f>
        <v>dim</v>
      </c>
      <c r="M5" s="2" t="str">
        <f>TEXT(WEEKDAY(DATE(AnnéeCalendrier,2,11),1),"jjj")</f>
        <v>lun</v>
      </c>
      <c r="N5" s="2" t="str">
        <f>TEXT(WEEKDAY(DATE(AnnéeCalendrier,2,12),1),"jjj")</f>
        <v>mar</v>
      </c>
      <c r="O5" s="2" t="str">
        <f>TEXT(WEEKDAY(DATE(AnnéeCalendrier,2,13),1),"jjj")</f>
        <v>mer</v>
      </c>
      <c r="P5" s="2" t="str">
        <f>TEXT(WEEKDAY(DATE(AnnéeCalendrier,2,14),1),"jjj")</f>
        <v>jeu</v>
      </c>
      <c r="Q5" s="2" t="str">
        <f>TEXT(WEEKDAY(DATE(AnnéeCalendrier,2,15),1),"jjj")</f>
        <v>ven</v>
      </c>
      <c r="R5" s="2" t="str">
        <f>TEXT(WEEKDAY(DATE(AnnéeCalendrier,2,16),1),"jjj")</f>
        <v>sam</v>
      </c>
      <c r="S5" s="2" t="str">
        <f>TEXT(WEEKDAY(DATE(AnnéeCalendrier,2,17),1),"jjj")</f>
        <v>dim</v>
      </c>
      <c r="T5" s="2" t="str">
        <f>TEXT(WEEKDAY(DATE(AnnéeCalendrier,2,18),1),"jjj")</f>
        <v>lun</v>
      </c>
      <c r="U5" s="2" t="str">
        <f>TEXT(WEEKDAY(DATE(AnnéeCalendrier,2,19),1),"jjj")</f>
        <v>mar</v>
      </c>
      <c r="V5" s="2" t="str">
        <f>TEXT(WEEKDAY(DATE(AnnéeCalendrier,2,20),1),"jjj")</f>
        <v>mer</v>
      </c>
      <c r="W5" s="2" t="str">
        <f>TEXT(WEEKDAY(DATE(AnnéeCalendrier,2,21),1),"jjj")</f>
        <v>jeu</v>
      </c>
      <c r="X5" s="2" t="str">
        <f>TEXT(WEEKDAY(DATE(AnnéeCalendrier,2,22),1),"jjj")</f>
        <v>ven</v>
      </c>
      <c r="Y5" s="2" t="str">
        <f>TEXT(WEEKDAY(DATE(AnnéeCalendrier,2,23),1),"jjj")</f>
        <v>sam</v>
      </c>
      <c r="Z5" s="2" t="str">
        <f>TEXT(WEEKDAY(DATE(AnnéeCalendrier,2,24),1),"jjj")</f>
        <v>dim</v>
      </c>
      <c r="AA5" s="2" t="str">
        <f>TEXT(WEEKDAY(DATE(AnnéeCalendrier,2,25),1),"jjj")</f>
        <v>lun</v>
      </c>
      <c r="AB5" s="2" t="str">
        <f>TEXT(WEEKDAY(DATE(AnnéeCalendrier,2,26),1),"jjj")</f>
        <v>mar</v>
      </c>
      <c r="AC5" s="2" t="str">
        <f>TEXT(WEEKDAY(DATE(AnnéeCalendrier,2,27),1),"jjj")</f>
        <v>mer</v>
      </c>
      <c r="AD5" s="2" t="str">
        <f>TEXT(WEEKDAY(DATE(AnnéeCalendrier,2,28),1),"jjj")</f>
        <v>jeu</v>
      </c>
      <c r="AE5" s="2" t="str">
        <f>TEXT(WEEKDAY(DATE(AnnéeCalendrier,2,29),1),"jjj")</f>
        <v>ven</v>
      </c>
      <c r="AF5" s="2"/>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52</v>
      </c>
      <c r="AG6" s="3" t="s">
        <v>53</v>
      </c>
      <c r="AH6" s="16" t="s">
        <v>50</v>
      </c>
    </row>
    <row r="7" spans="2:34" ht="30" customHeight="1" x14ac:dyDescent="0.25">
      <c r="B7" s="17" t="s">
        <v>4</v>
      </c>
      <c r="C7" s="3"/>
      <c r="D7" s="3"/>
      <c r="E7" s="3" t="s">
        <v>9</v>
      </c>
      <c r="F7" s="3" t="s">
        <v>9</v>
      </c>
      <c r="G7" s="3" t="s">
        <v>9</v>
      </c>
      <c r="H7" s="3" t="s">
        <v>9</v>
      </c>
      <c r="I7" s="3"/>
      <c r="J7" s="3"/>
      <c r="K7" s="3"/>
      <c r="L7" s="3"/>
      <c r="M7" s="3"/>
      <c r="N7" s="3"/>
      <c r="O7" s="3" t="s">
        <v>9</v>
      </c>
      <c r="P7" s="3"/>
      <c r="Q7" s="3"/>
      <c r="R7" s="3"/>
      <c r="S7" s="3"/>
      <c r="T7" s="3"/>
      <c r="U7" s="3"/>
      <c r="V7" s="3"/>
      <c r="W7" s="3"/>
      <c r="X7" s="3"/>
      <c r="Y7" s="3"/>
      <c r="Z7" s="3"/>
      <c r="AA7" s="3"/>
      <c r="AB7" s="3"/>
      <c r="AC7" s="3"/>
      <c r="AD7" s="3"/>
      <c r="AE7" s="3"/>
      <c r="AF7" s="3"/>
      <c r="AG7" s="3"/>
      <c r="AH7" s="10">
        <f>COUNTA(Février[[#This Row],[1]:[29]])</f>
        <v>5</v>
      </c>
    </row>
    <row r="8" spans="2:34" ht="30" customHeight="1" x14ac:dyDescent="0.25">
      <c r="B8" s="17" t="s">
        <v>5</v>
      </c>
      <c r="C8" s="3"/>
      <c r="D8" s="3"/>
      <c r="E8" s="3"/>
      <c r="F8" s="3"/>
      <c r="G8" s="3" t="s">
        <v>17</v>
      </c>
      <c r="H8" s="3" t="s">
        <v>17</v>
      </c>
      <c r="I8" s="3"/>
      <c r="J8" s="3"/>
      <c r="K8" s="3"/>
      <c r="L8" s="3"/>
      <c r="M8" s="3" t="s">
        <v>15</v>
      </c>
      <c r="N8" s="3"/>
      <c r="O8" s="3"/>
      <c r="P8" s="3"/>
      <c r="Q8" s="3"/>
      <c r="R8" s="3"/>
      <c r="S8" s="3"/>
      <c r="T8" s="3"/>
      <c r="U8" s="3"/>
      <c r="V8" s="3" t="s">
        <v>17</v>
      </c>
      <c r="W8" s="3"/>
      <c r="X8" s="3"/>
      <c r="Y8" s="3"/>
      <c r="Z8" s="3"/>
      <c r="AA8" s="3" t="s">
        <v>9</v>
      </c>
      <c r="AB8" s="3" t="s">
        <v>9</v>
      </c>
      <c r="AC8" s="3" t="s">
        <v>9</v>
      </c>
      <c r="AD8" s="3"/>
      <c r="AE8" s="3"/>
      <c r="AF8" s="3"/>
      <c r="AG8" s="3"/>
      <c r="AH8" s="10">
        <f>COUNTA(Février[[#This Row],[1]:[29]])</f>
        <v>7</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COUNTA(Février[[#This Row],[1]:[29]])</f>
        <v>0</v>
      </c>
    </row>
    <row r="10" spans="2:34" ht="30" customHeight="1" x14ac:dyDescent="0.25">
      <c r="B10" s="17" t="s">
        <v>7</v>
      </c>
      <c r="C10" s="3"/>
      <c r="D10" s="3"/>
      <c r="E10" s="3" t="s">
        <v>17</v>
      </c>
      <c r="F10" s="3"/>
      <c r="G10" s="3"/>
      <c r="H10" s="3"/>
      <c r="I10" s="3"/>
      <c r="J10" s="3"/>
      <c r="K10" s="3"/>
      <c r="L10" s="3"/>
      <c r="M10" s="3"/>
      <c r="N10" s="3"/>
      <c r="O10" s="3"/>
      <c r="P10" s="3" t="s">
        <v>17</v>
      </c>
      <c r="Q10" s="3"/>
      <c r="R10" s="3"/>
      <c r="S10" s="3"/>
      <c r="T10" s="3" t="s">
        <v>15</v>
      </c>
      <c r="U10" s="3"/>
      <c r="V10" s="3"/>
      <c r="W10" s="3"/>
      <c r="X10" s="3"/>
      <c r="Y10" s="3"/>
      <c r="Z10" s="3"/>
      <c r="AA10" s="3"/>
      <c r="AB10" s="3"/>
      <c r="AC10" s="3"/>
      <c r="AD10" s="3" t="s">
        <v>17</v>
      </c>
      <c r="AE10" s="3"/>
      <c r="AF10" s="3"/>
      <c r="AG10" s="3"/>
      <c r="AH10" s="10">
        <f>COUNTA(Février[[#This Row],[1]:[29]])</f>
        <v>4</v>
      </c>
    </row>
    <row r="11" spans="2:34" ht="30" customHeight="1" x14ac:dyDescent="0.25">
      <c r="B11" s="17" t="s">
        <v>8</v>
      </c>
      <c r="C11" s="3"/>
      <c r="D11" s="3"/>
      <c r="E11" s="3"/>
      <c r="F11" s="3"/>
      <c r="G11" s="3"/>
      <c r="H11" s="3"/>
      <c r="I11" s="3"/>
      <c r="J11" s="3" t="s">
        <v>9</v>
      </c>
      <c r="K11" s="3" t="s">
        <v>9</v>
      </c>
      <c r="L11" s="3" t="s">
        <v>9</v>
      </c>
      <c r="M11" s="3" t="s">
        <v>9</v>
      </c>
      <c r="N11" s="3"/>
      <c r="O11" s="3"/>
      <c r="P11" s="3"/>
      <c r="Q11" s="3"/>
      <c r="R11" s="3"/>
      <c r="S11" s="3"/>
      <c r="T11" s="3"/>
      <c r="U11" s="3"/>
      <c r="V11" s="3"/>
      <c r="W11" s="3"/>
      <c r="X11" s="3"/>
      <c r="Y11" s="3"/>
      <c r="Z11" s="3" t="s">
        <v>17</v>
      </c>
      <c r="AA11" s="3"/>
      <c r="AB11" s="3"/>
      <c r="AC11" s="3"/>
      <c r="AD11" s="3"/>
      <c r="AE11" s="3"/>
      <c r="AF11" s="3"/>
      <c r="AG11" s="3"/>
      <c r="AH11" s="10">
        <f>COUNTA(Février[[#This Row],[1]:[29]])</f>
        <v>5</v>
      </c>
    </row>
    <row r="12" spans="2:34" ht="30" customHeight="1" x14ac:dyDescent="0.25">
      <c r="B12" s="21" t="str">
        <f>NomMois&amp;" Total"</f>
        <v>Février Total</v>
      </c>
      <c r="C12" s="13">
        <f>SUBTOTAL(103,Février[1])</f>
        <v>0</v>
      </c>
      <c r="D12" s="13">
        <f>SUBTOTAL(103,Février[2])</f>
        <v>0</v>
      </c>
      <c r="E12" s="13">
        <f>SUBTOTAL(103,Février[3])</f>
        <v>2</v>
      </c>
      <c r="F12" s="13">
        <f>SUBTOTAL(103,Février[4])</f>
        <v>1</v>
      </c>
      <c r="G12" s="13">
        <f>SUBTOTAL(103,Février[5])</f>
        <v>2</v>
      </c>
      <c r="H12" s="13">
        <f>SUBTOTAL(103,Février[6])</f>
        <v>2</v>
      </c>
      <c r="I12" s="13">
        <f>SUBTOTAL(103,Février[7])</f>
        <v>0</v>
      </c>
      <c r="J12" s="13">
        <f>SUBTOTAL(103,Février[8])</f>
        <v>1</v>
      </c>
      <c r="K12" s="13">
        <f>SUBTOTAL(103,Février[9])</f>
        <v>1</v>
      </c>
      <c r="L12" s="13">
        <f>SUBTOTAL(103,Février[10])</f>
        <v>1</v>
      </c>
      <c r="M12" s="13">
        <f>SUBTOTAL(103,Février[11])</f>
        <v>2</v>
      </c>
      <c r="N12" s="13">
        <f>SUBTOTAL(103,Février[12])</f>
        <v>0</v>
      </c>
      <c r="O12" s="13">
        <f>SUBTOTAL(103,Février[13])</f>
        <v>1</v>
      </c>
      <c r="P12" s="13">
        <f>SUBTOTAL(103,Février[14])</f>
        <v>1</v>
      </c>
      <c r="Q12" s="13">
        <f>SUBTOTAL(103,Février[15])</f>
        <v>0</v>
      </c>
      <c r="R12" s="13">
        <f>SUBTOTAL(103,Février[16])</f>
        <v>0</v>
      </c>
      <c r="S12" s="13">
        <f>SUBTOTAL(103,Février[17])</f>
        <v>0</v>
      </c>
      <c r="T12" s="13">
        <f>SUBTOTAL(103,Février[18])</f>
        <v>1</v>
      </c>
      <c r="U12" s="13">
        <f>SUBTOTAL(103,Février[19])</f>
        <v>0</v>
      </c>
      <c r="V12" s="13">
        <f>SUBTOTAL(103,Février[20])</f>
        <v>1</v>
      </c>
      <c r="W12" s="13">
        <f>SUBTOTAL(103,Février[21])</f>
        <v>0</v>
      </c>
      <c r="X12" s="13">
        <f>SUBTOTAL(103,Février[22])</f>
        <v>0</v>
      </c>
      <c r="Y12" s="13">
        <f>SUBTOTAL(103,Février[23])</f>
        <v>0</v>
      </c>
      <c r="Z12" s="13">
        <f>SUBTOTAL(103,Février[24])</f>
        <v>1</v>
      </c>
      <c r="AA12" s="13">
        <f>SUBTOTAL(103,Février[25])</f>
        <v>1</v>
      </c>
      <c r="AB12" s="13">
        <f>SUBTOTAL(103,Février[26])</f>
        <v>1</v>
      </c>
      <c r="AC12" s="13">
        <f>SUBTOTAL(103,Février[27])</f>
        <v>1</v>
      </c>
      <c r="AD12" s="13">
        <f>SUBTOTAL(103,Février[28])</f>
        <v>1</v>
      </c>
      <c r="AE12" s="13">
        <f>SUBTOTAL(103,Février[29])</f>
        <v>0</v>
      </c>
      <c r="AF12" s="13"/>
      <c r="AG12" s="13"/>
      <c r="AH12" s="13">
        <f>SUBTOTAL(109,Février[Total des jours])</f>
        <v>21</v>
      </c>
    </row>
  </sheetData>
  <mergeCells count="6">
    <mergeCell ref="C4:AG4"/>
    <mergeCell ref="D2:E2"/>
    <mergeCell ref="G2:I2"/>
    <mergeCell ref="K2:L2"/>
    <mergeCell ref="N2:Q2"/>
    <mergeCell ref="S2:V2"/>
  </mergeCells>
  <conditionalFormatting sqref="AE6">
    <cfRule type="expression" dxfId="816" priority="16">
      <formula>MONTH(DATE(AnnéeCalendrier,2,29))&lt;&gt;2</formula>
    </cfRule>
  </conditionalFormatting>
  <conditionalFormatting sqref="AE5">
    <cfRule type="expression" dxfId="815" priority="15">
      <formula>MONTH(DATE(AnnéeCalendrier,2,29))&lt;&gt;2</formula>
    </cfRule>
  </conditionalFormatting>
  <conditionalFormatting sqref="C7:AG11">
    <cfRule type="expression" priority="2" stopIfTrue="1">
      <formula>C7=""</formula>
    </cfRule>
    <cfRule type="expression" dxfId="814" priority="3" stopIfTrue="1">
      <formula>C7=CléPersonnalisée2</formula>
    </cfRule>
  </conditionalFormatting>
  <conditionalFormatting sqref="C7:AG11">
    <cfRule type="expression" dxfId="813" priority="5" stopIfTrue="1">
      <formula>C7=CléPersonnalisée1</formula>
    </cfRule>
    <cfRule type="expression" dxfId="812" priority="6" stopIfTrue="1">
      <formula>C7=CléMaladie</formula>
    </cfRule>
    <cfRule type="expression" dxfId="811" priority="7" stopIfTrue="1">
      <formula>C7=CléPersonnel</formula>
    </cfRule>
    <cfRule type="expression" dxfId="810" priority="8" stopIfTrue="1">
      <formula>C7=CléCongé</formula>
    </cfRule>
  </conditionalFormatting>
  <conditionalFormatting sqref="AH7:AH11">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employés'!$B$4:$B$8</xm:f>
          </x14:formula1>
          <xm:sqref>B7:B11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2" tint="-0.499984740745262"/>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54</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TEXT(WEEKDAY(DATE(AnnéeCalendrier,3,1),1),"jjj")</f>
        <v>ven</v>
      </c>
      <c r="D5" s="2" t="str">
        <f>TEXT(WEEKDAY(DATE(AnnéeCalendrier,3,2),1),"jjj")</f>
        <v>sam</v>
      </c>
      <c r="E5" s="2" t="str">
        <f>TEXT(WEEKDAY(DATE(AnnéeCalendrier,3,3),1),"jjj")</f>
        <v>dim</v>
      </c>
      <c r="F5" s="2" t="str">
        <f>TEXT(WEEKDAY(DATE(AnnéeCalendrier,3,4),1),"jjj")</f>
        <v>lun</v>
      </c>
      <c r="G5" s="2" t="str">
        <f>TEXT(WEEKDAY(DATE(AnnéeCalendrier,3,5),1),"jjj")</f>
        <v>mar</v>
      </c>
      <c r="H5" s="2" t="str">
        <f>TEXT(WEEKDAY(DATE(AnnéeCalendrier,3,6),1),"jjj")</f>
        <v>mer</v>
      </c>
      <c r="I5" s="2" t="str">
        <f>TEXT(WEEKDAY(DATE(AnnéeCalendrier,3,7),1),"jjj")</f>
        <v>jeu</v>
      </c>
      <c r="J5" s="2" t="str">
        <f>TEXT(WEEKDAY(DATE(AnnéeCalendrier,3,8),1),"jjj")</f>
        <v>ven</v>
      </c>
      <c r="K5" s="2" t="str">
        <f>TEXT(WEEKDAY(DATE(AnnéeCalendrier,3,9),1),"jjj")</f>
        <v>sam</v>
      </c>
      <c r="L5" s="2" t="str">
        <f>TEXT(WEEKDAY(DATE(AnnéeCalendrier,3,10),1),"jjj")</f>
        <v>dim</v>
      </c>
      <c r="M5" s="2" t="str">
        <f>TEXT(WEEKDAY(DATE(AnnéeCalendrier,3,11),1),"jjj")</f>
        <v>lun</v>
      </c>
      <c r="N5" s="2" t="str">
        <f>TEXT(WEEKDAY(DATE(AnnéeCalendrier,3,12),1),"jjj")</f>
        <v>mar</v>
      </c>
      <c r="O5" s="2" t="str">
        <f>TEXT(WEEKDAY(DATE(AnnéeCalendrier,3,13),1),"jjj")</f>
        <v>mer</v>
      </c>
      <c r="P5" s="2" t="str">
        <f>TEXT(WEEKDAY(DATE(AnnéeCalendrier,3,14),1),"jjj")</f>
        <v>jeu</v>
      </c>
      <c r="Q5" s="2" t="str">
        <f>TEXT(WEEKDAY(DATE(AnnéeCalendrier,3,15),1),"jjj")</f>
        <v>ven</v>
      </c>
      <c r="R5" s="2" t="str">
        <f>TEXT(WEEKDAY(DATE(AnnéeCalendrier,3,16),1),"jjj")</f>
        <v>sam</v>
      </c>
      <c r="S5" s="2" t="str">
        <f>TEXT(WEEKDAY(DATE(AnnéeCalendrier,3,17),1),"jjj")</f>
        <v>dim</v>
      </c>
      <c r="T5" s="2" t="str">
        <f>TEXT(WEEKDAY(DATE(AnnéeCalendrier,3,18),1),"jjj")</f>
        <v>lun</v>
      </c>
      <c r="U5" s="2" t="str">
        <f>TEXT(WEEKDAY(DATE(AnnéeCalendrier,3,19),1),"jjj")</f>
        <v>mar</v>
      </c>
      <c r="V5" s="2" t="str">
        <f>TEXT(WEEKDAY(DATE(AnnéeCalendrier,3,20),1),"jjj")</f>
        <v>mer</v>
      </c>
      <c r="W5" s="2" t="str">
        <f>TEXT(WEEKDAY(DATE(AnnéeCalendrier,3,21),1),"jjj")</f>
        <v>jeu</v>
      </c>
      <c r="X5" s="2" t="str">
        <f>TEXT(WEEKDAY(DATE(AnnéeCalendrier,3,22),1),"jjj")</f>
        <v>ven</v>
      </c>
      <c r="Y5" s="2" t="str">
        <f>TEXT(WEEKDAY(DATE(AnnéeCalendrier,3,23),1),"jjj")</f>
        <v>sam</v>
      </c>
      <c r="Z5" s="2" t="str">
        <f>TEXT(WEEKDAY(DATE(AnnéeCalendrier,3,24),1),"jjj")</f>
        <v>dim</v>
      </c>
      <c r="AA5" s="2" t="str">
        <f>TEXT(WEEKDAY(DATE(AnnéeCalendrier,3,25),1),"jjj")</f>
        <v>lun</v>
      </c>
      <c r="AB5" s="2" t="str">
        <f>TEXT(WEEKDAY(DATE(AnnéeCalendrier,3,26),1),"jjj")</f>
        <v>mar</v>
      </c>
      <c r="AC5" s="2" t="str">
        <f>TEXT(WEEKDAY(DATE(AnnéeCalendrier,3,27),1),"jjj")</f>
        <v>mer</v>
      </c>
      <c r="AD5" s="2" t="str">
        <f>TEXT(WEEKDAY(DATE(AnnéeCalendrier,3,28),1),"jjj")</f>
        <v>jeu</v>
      </c>
      <c r="AE5" s="2" t="str">
        <f>TEXT(WEEKDAY(DATE(AnnéeCalendrier,3,29),1),"jjj")</f>
        <v>ven</v>
      </c>
      <c r="AF5" s="2" t="str">
        <f>TEXT(WEEKDAY(DATE(AnnéeCalendrier,3,30),1),"jjj")</f>
        <v>sam</v>
      </c>
      <c r="AG5" s="2" t="str">
        <f>TEXT(WEEKDAY(DATE(AnnéeCalendrier,3,31),1),"jjj")</f>
        <v>dim</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COUNTA(Mars[[#This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COUNTA(Mars[[#This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COUNTA(Mars[[#This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COUNTA(Mars[[#This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COUNTA(Mars[[#This Row],[1]:[31]])</f>
        <v>0</v>
      </c>
    </row>
    <row r="12" spans="2:34" ht="30" customHeight="1" x14ac:dyDescent="0.25">
      <c r="B12" s="21" t="str">
        <f>NomMois&amp;" Total"</f>
        <v>Mars Total</v>
      </c>
      <c r="C12" s="13">
        <f>SUBTOTAL(103,Mars[1])</f>
        <v>0</v>
      </c>
      <c r="D12" s="13">
        <f>SUBTOTAL(103,Mars[2])</f>
        <v>0</v>
      </c>
      <c r="E12" s="13">
        <f>SUBTOTAL(103,Mars[3])</f>
        <v>0</v>
      </c>
      <c r="F12" s="13">
        <f>SUBTOTAL(103,Mars[4])</f>
        <v>0</v>
      </c>
      <c r="G12" s="13">
        <f>SUBTOTAL(103,Mars[5])</f>
        <v>0</v>
      </c>
      <c r="H12" s="13">
        <f>SUBTOTAL(103,Mars[6])</f>
        <v>0</v>
      </c>
      <c r="I12" s="13">
        <f>SUBTOTAL(103,Mars[7])</f>
        <v>0</v>
      </c>
      <c r="J12" s="13">
        <f>SUBTOTAL(103,Mars[8])</f>
        <v>0</v>
      </c>
      <c r="K12" s="13">
        <f>SUBTOTAL(103,Mars[9])</f>
        <v>0</v>
      </c>
      <c r="L12" s="13">
        <f>SUBTOTAL(103,Mars[10])</f>
        <v>0</v>
      </c>
      <c r="M12" s="13">
        <f>SUBTOTAL(103,Mars[11])</f>
        <v>0</v>
      </c>
      <c r="N12" s="13">
        <f>SUBTOTAL(103,Mars[12])</f>
        <v>0</v>
      </c>
      <c r="O12" s="13">
        <f>SUBTOTAL(103,Mars[13])</f>
        <v>0</v>
      </c>
      <c r="P12" s="13">
        <f>SUBTOTAL(103,Mars[14])</f>
        <v>0</v>
      </c>
      <c r="Q12" s="13">
        <f>SUBTOTAL(103,Mars[15])</f>
        <v>0</v>
      </c>
      <c r="R12" s="13">
        <f>SUBTOTAL(103,Mars[16])</f>
        <v>0</v>
      </c>
      <c r="S12" s="13">
        <f>SUBTOTAL(103,Mars[17])</f>
        <v>0</v>
      </c>
      <c r="T12" s="13">
        <f>SUBTOTAL(103,Mars[18])</f>
        <v>0</v>
      </c>
      <c r="U12" s="13">
        <f>SUBTOTAL(103,Mars[19])</f>
        <v>0</v>
      </c>
      <c r="V12" s="13">
        <f>SUBTOTAL(103,Mars[20])</f>
        <v>0</v>
      </c>
      <c r="W12" s="13">
        <f>SUBTOTAL(103,Mars[21])</f>
        <v>0</v>
      </c>
      <c r="X12" s="13">
        <f>SUBTOTAL(103,Mars[22])</f>
        <v>0</v>
      </c>
      <c r="Y12" s="13">
        <f>SUBTOTAL(103,Mars[23])</f>
        <v>0</v>
      </c>
      <c r="Z12" s="13">
        <f>SUBTOTAL(103,Mars[24])</f>
        <v>0</v>
      </c>
      <c r="AA12" s="13">
        <f>SUBTOTAL(103,Mars[25])</f>
        <v>0</v>
      </c>
      <c r="AB12" s="13">
        <f>SUBTOTAL(103,Mars[26])</f>
        <v>0</v>
      </c>
      <c r="AC12" s="13">
        <f>SUBTOTAL(103,Mars[27])</f>
        <v>0</v>
      </c>
      <c r="AD12" s="13">
        <f>SUBTOTAL(103,Mars[28])</f>
        <v>0</v>
      </c>
      <c r="AE12" s="13">
        <f>SUBTOTAL(103,Mars[29])</f>
        <v>0</v>
      </c>
      <c r="AF12" s="13">
        <f>SUBTOTAL(103,Mars[30])</f>
        <v>0</v>
      </c>
      <c r="AG12" s="13">
        <f>SUBTOTAL(103,Mars[31])</f>
        <v>0</v>
      </c>
      <c r="AH12" s="13">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40" priority="2" stopIfTrue="1">
      <formula>C7=CléPersonnalisée2</formula>
    </cfRule>
    <cfRule type="expression" dxfId="739" priority="3" stopIfTrue="1">
      <formula>C7=CléPersonnalisée1</formula>
    </cfRule>
    <cfRule type="expression" dxfId="738" priority="4" stopIfTrue="1">
      <formula>C7=CléMaladie</formula>
    </cfRule>
    <cfRule type="expression" dxfId="737" priority="5" stopIfTrue="1">
      <formula>C7=CléPersonnel</formula>
    </cfRule>
    <cfRule type="expression" dxfId="736"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employés'!$B$4:$B$8</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2" tint="-0.249977111117893"/>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55</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TEXT(WEEKDAY(DATE(AnnéeCalendrier,4,1),1),"jjj")</f>
        <v>lun</v>
      </c>
      <c r="D5" s="2" t="str">
        <f>TEXT(WEEKDAY(DATE(AnnéeCalendrier,4,2),1),"jjj")</f>
        <v>mar</v>
      </c>
      <c r="E5" s="2" t="str">
        <f>TEXT(WEEKDAY(DATE(AnnéeCalendrier,4,3),1),"jjj")</f>
        <v>mer</v>
      </c>
      <c r="F5" s="2" t="str">
        <f>TEXT(WEEKDAY(DATE(AnnéeCalendrier,4,4),1),"jjj")</f>
        <v>jeu</v>
      </c>
      <c r="G5" s="2" t="str">
        <f>TEXT(WEEKDAY(DATE(AnnéeCalendrier,4,5),1),"jjj")</f>
        <v>ven</v>
      </c>
      <c r="H5" s="2" t="str">
        <f>TEXT(WEEKDAY(DATE(AnnéeCalendrier,4,6),1),"jjj")</f>
        <v>sam</v>
      </c>
      <c r="I5" s="2" t="str">
        <f>TEXT(WEEKDAY(DATE(AnnéeCalendrier,4,7),1),"jjj")</f>
        <v>dim</v>
      </c>
      <c r="J5" s="2" t="str">
        <f>TEXT(WEEKDAY(DATE(AnnéeCalendrier,4,8),1),"jjj")</f>
        <v>lun</v>
      </c>
      <c r="K5" s="2" t="str">
        <f>TEXT(WEEKDAY(DATE(AnnéeCalendrier,4,9),1),"jjj")</f>
        <v>mar</v>
      </c>
      <c r="L5" s="2" t="str">
        <f>TEXT(WEEKDAY(DATE(AnnéeCalendrier,4,10),1),"jjj")</f>
        <v>mer</v>
      </c>
      <c r="M5" s="2" t="str">
        <f>TEXT(WEEKDAY(DATE(AnnéeCalendrier,4,11),1),"jjj")</f>
        <v>jeu</v>
      </c>
      <c r="N5" s="2" t="str">
        <f>TEXT(WEEKDAY(DATE(AnnéeCalendrier,4,12),1),"jjj")</f>
        <v>ven</v>
      </c>
      <c r="O5" s="2" t="str">
        <f>TEXT(WEEKDAY(DATE(AnnéeCalendrier,4,13),1),"jjj")</f>
        <v>sam</v>
      </c>
      <c r="P5" s="2" t="str">
        <f>TEXT(WEEKDAY(DATE(AnnéeCalendrier,4,14),1),"jjj")</f>
        <v>dim</v>
      </c>
      <c r="Q5" s="2" t="str">
        <f>TEXT(WEEKDAY(DATE(AnnéeCalendrier,4,15),1),"jjj")</f>
        <v>lun</v>
      </c>
      <c r="R5" s="2" t="str">
        <f>TEXT(WEEKDAY(DATE(AnnéeCalendrier,4,16),1),"jjj")</f>
        <v>mar</v>
      </c>
      <c r="S5" s="2" t="str">
        <f>TEXT(WEEKDAY(DATE(AnnéeCalendrier,4,17),1),"jjj")</f>
        <v>mer</v>
      </c>
      <c r="T5" s="2" t="str">
        <f>TEXT(WEEKDAY(DATE(AnnéeCalendrier,4,18),1),"jjj")</f>
        <v>jeu</v>
      </c>
      <c r="U5" s="2" t="str">
        <f>TEXT(WEEKDAY(DATE(AnnéeCalendrier,4,19),1),"jjj")</f>
        <v>ven</v>
      </c>
      <c r="V5" s="2" t="str">
        <f>TEXT(WEEKDAY(DATE(AnnéeCalendrier,4,20),1),"jjj")</f>
        <v>sam</v>
      </c>
      <c r="W5" s="2" t="str">
        <f>TEXT(WEEKDAY(DATE(AnnéeCalendrier,4,21),1),"jjj")</f>
        <v>dim</v>
      </c>
      <c r="X5" s="2" t="str">
        <f>TEXT(WEEKDAY(DATE(AnnéeCalendrier,4,22),1),"jjj")</f>
        <v>lun</v>
      </c>
      <c r="Y5" s="2" t="str">
        <f>TEXT(WEEKDAY(DATE(AnnéeCalendrier,4,23),1),"jjj")</f>
        <v>mar</v>
      </c>
      <c r="Z5" s="2" t="str">
        <f>TEXT(WEEKDAY(DATE(AnnéeCalendrier,4,24),1),"jjj")</f>
        <v>mer</v>
      </c>
      <c r="AA5" s="2" t="str">
        <f>TEXT(WEEKDAY(DATE(AnnéeCalendrier,4,25),1),"jjj")</f>
        <v>jeu</v>
      </c>
      <c r="AB5" s="2" t="str">
        <f>TEXT(WEEKDAY(DATE(AnnéeCalendrier,4,26),1),"jjj")</f>
        <v>ven</v>
      </c>
      <c r="AC5" s="2" t="str">
        <f>TEXT(WEEKDAY(DATE(AnnéeCalendrier,4,27),1),"jjj")</f>
        <v>sam</v>
      </c>
      <c r="AD5" s="2" t="str">
        <f>TEXT(WEEKDAY(DATE(AnnéeCalendrier,4,28),1),"jjj")</f>
        <v>dim</v>
      </c>
      <c r="AE5" s="2" t="str">
        <f>TEXT(WEEKDAY(DATE(AnnéeCalendrier,4,29),1),"jjj")</f>
        <v>lun</v>
      </c>
      <c r="AF5" s="2" t="str">
        <f>TEXT(WEEKDAY(DATE(AnnéeCalendrier,4,30),1),"jjj")</f>
        <v>mar</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2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COUNTA(Avril[[#This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COUNTA(Avril[[#This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COUNTA(Avril[[#This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COUNTA(Avril[[#This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COUNTA(Avril[[#This Row],[1]:[30]])</f>
        <v>0</v>
      </c>
    </row>
    <row r="12" spans="2:34" ht="30" customHeight="1" x14ac:dyDescent="0.25">
      <c r="B12" s="21" t="str">
        <f>NomMois&amp;" Total"</f>
        <v>Avril Total</v>
      </c>
      <c r="C12" s="13">
        <f>SUBTOTAL(103,Avril[1])</f>
        <v>0</v>
      </c>
      <c r="D12" s="13">
        <f>SUBTOTAL(103,Avril[2])</f>
        <v>0</v>
      </c>
      <c r="E12" s="13">
        <f>SUBTOTAL(103,Avril[3])</f>
        <v>0</v>
      </c>
      <c r="F12" s="13">
        <f>SUBTOTAL(103,Avril[4])</f>
        <v>0</v>
      </c>
      <c r="G12" s="13">
        <f>SUBTOTAL(103,Avril[5])</f>
        <v>0</v>
      </c>
      <c r="H12" s="13">
        <f>SUBTOTAL(103,Avril[6])</f>
        <v>0</v>
      </c>
      <c r="I12" s="13">
        <f>SUBTOTAL(103,Avril[7])</f>
        <v>0</v>
      </c>
      <c r="J12" s="13">
        <f>SUBTOTAL(103,Avril[8])</f>
        <v>0</v>
      </c>
      <c r="K12" s="13">
        <f>SUBTOTAL(103,Avril[9])</f>
        <v>0</v>
      </c>
      <c r="L12" s="13">
        <f>SUBTOTAL(103,Avril[10])</f>
        <v>0</v>
      </c>
      <c r="M12" s="13">
        <f>SUBTOTAL(103,Avril[11])</f>
        <v>0</v>
      </c>
      <c r="N12" s="13">
        <f>SUBTOTAL(103,Avril[12])</f>
        <v>0</v>
      </c>
      <c r="O12" s="13">
        <f>SUBTOTAL(103,Avril[13])</f>
        <v>0</v>
      </c>
      <c r="P12" s="13">
        <f>SUBTOTAL(103,Avril[14])</f>
        <v>0</v>
      </c>
      <c r="Q12" s="13">
        <f>SUBTOTAL(103,Avril[15])</f>
        <v>0</v>
      </c>
      <c r="R12" s="13">
        <f>SUBTOTAL(103,Avril[16])</f>
        <v>0</v>
      </c>
      <c r="S12" s="13">
        <f>SUBTOTAL(103,Avril[17])</f>
        <v>0</v>
      </c>
      <c r="T12" s="13">
        <f>SUBTOTAL(103,Avril[18])</f>
        <v>0</v>
      </c>
      <c r="U12" s="13">
        <f>SUBTOTAL(103,Avril[19])</f>
        <v>0</v>
      </c>
      <c r="V12" s="13">
        <f>SUBTOTAL(103,Avril[20])</f>
        <v>0</v>
      </c>
      <c r="W12" s="13">
        <f>SUBTOTAL(103,Avril[21])</f>
        <v>0</v>
      </c>
      <c r="X12" s="13">
        <f>SUBTOTAL(103,Avril[22])</f>
        <v>0</v>
      </c>
      <c r="Y12" s="13">
        <f>SUBTOTAL(103,Avril[23])</f>
        <v>0</v>
      </c>
      <c r="Z12" s="13">
        <f>SUBTOTAL(103,Avril[24])</f>
        <v>0</v>
      </c>
      <c r="AA12" s="13">
        <f>SUBTOTAL(103,Avril[25])</f>
        <v>0</v>
      </c>
      <c r="AB12" s="13">
        <f>SUBTOTAL(103,Avril[26])</f>
        <v>0</v>
      </c>
      <c r="AC12" s="13">
        <f>SUBTOTAL(103,Avril[27])</f>
        <v>0</v>
      </c>
      <c r="AD12" s="13">
        <f>SUBTOTAL(103,Avril[28])</f>
        <v>0</v>
      </c>
      <c r="AE12" s="13">
        <f>SUBTOTAL(103,Avril[29])</f>
        <v>0</v>
      </c>
      <c r="AF12" s="13">
        <f>SUBTOTAL(103,Avril[30])</f>
        <v>0</v>
      </c>
      <c r="AG12" s="13">
        <f>SUBTOTAL(103,Avril[30])</f>
        <v>0</v>
      </c>
      <c r="AH12" s="13">
        <f>SUBTOTAL(109,Avril[Total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666" priority="2" stopIfTrue="1">
      <formula>C7=CléPersonnalisée2</formula>
    </cfRule>
    <cfRule type="expression" dxfId="665" priority="3" stopIfTrue="1">
      <formula>C7=CléPersonnalisée1</formula>
    </cfRule>
    <cfRule type="expression" dxfId="664" priority="4" stopIfTrue="1">
      <formula>C7=CléMaladie</formula>
    </cfRule>
    <cfRule type="expression" dxfId="663" priority="5" stopIfTrue="1">
      <formula>C7=CléPersonnel</formula>
    </cfRule>
    <cfRule type="expression" dxfId="662"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xr:uid="{00000000-0002-0000-0300-000008000000}"/>
    <dataValidation allowBlank="1" showInputMessage="1" showErrorMessage="1" prompt="Entrez une étiquette pour décrire la clé personnalisée à gauche" sqref="N2 S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employés'!$B$4:$B$8</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2" tint="-9.9978637043366805E-2"/>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56</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TEXT(WEEKDAY(DATE(AnnéeCalendrier,5,1),1),"jjj")</f>
        <v>mer</v>
      </c>
      <c r="D5" s="2" t="str">
        <f>TEXT(WEEKDAY(DATE(AnnéeCalendrier,5,2),1),"jjj")</f>
        <v>jeu</v>
      </c>
      <c r="E5" s="2" t="str">
        <f>TEXT(WEEKDAY(DATE(AnnéeCalendrier,5,3),1),"jjj")</f>
        <v>ven</v>
      </c>
      <c r="F5" s="2" t="str">
        <f>TEXT(WEEKDAY(DATE(AnnéeCalendrier,5,4),1),"jjj")</f>
        <v>sam</v>
      </c>
      <c r="G5" s="2" t="str">
        <f>TEXT(WEEKDAY(DATE(AnnéeCalendrier,5,5),1),"jjj")</f>
        <v>dim</v>
      </c>
      <c r="H5" s="2" t="str">
        <f>TEXT(WEEKDAY(DATE(AnnéeCalendrier,5,6),1),"jjj")</f>
        <v>lun</v>
      </c>
      <c r="I5" s="2" t="str">
        <f>TEXT(WEEKDAY(DATE(AnnéeCalendrier,5,7),1),"jjj")</f>
        <v>mar</v>
      </c>
      <c r="J5" s="2" t="str">
        <f>TEXT(WEEKDAY(DATE(AnnéeCalendrier,5,8),1),"jjj")</f>
        <v>mer</v>
      </c>
      <c r="K5" s="2" t="str">
        <f>TEXT(WEEKDAY(DATE(AnnéeCalendrier,5,9),1),"jjj")</f>
        <v>jeu</v>
      </c>
      <c r="L5" s="2" t="str">
        <f>TEXT(WEEKDAY(DATE(AnnéeCalendrier,5,10),1),"jjj")</f>
        <v>ven</v>
      </c>
      <c r="M5" s="2" t="str">
        <f>TEXT(WEEKDAY(DATE(AnnéeCalendrier,5,11),1),"jjj")</f>
        <v>sam</v>
      </c>
      <c r="N5" s="2" t="str">
        <f>TEXT(WEEKDAY(DATE(AnnéeCalendrier,5,12),1),"jjj")</f>
        <v>dim</v>
      </c>
      <c r="O5" s="2" t="str">
        <f>TEXT(WEEKDAY(DATE(AnnéeCalendrier,5,13),1),"jjj")</f>
        <v>lun</v>
      </c>
      <c r="P5" s="2" t="str">
        <f>TEXT(WEEKDAY(DATE(AnnéeCalendrier,5,14),1),"jjj")</f>
        <v>mar</v>
      </c>
      <c r="Q5" s="2" t="str">
        <f>TEXT(WEEKDAY(DATE(AnnéeCalendrier,5,15),1),"jjj")</f>
        <v>mer</v>
      </c>
      <c r="R5" s="2" t="str">
        <f>TEXT(WEEKDAY(DATE(AnnéeCalendrier,5,16),1),"jjj")</f>
        <v>jeu</v>
      </c>
      <c r="S5" s="2" t="str">
        <f>TEXT(WEEKDAY(DATE(AnnéeCalendrier,5,17),1),"jjj")</f>
        <v>ven</v>
      </c>
      <c r="T5" s="2" t="str">
        <f>TEXT(WEEKDAY(DATE(AnnéeCalendrier,5,18),1),"jjj")</f>
        <v>sam</v>
      </c>
      <c r="U5" s="2" t="str">
        <f>TEXT(WEEKDAY(DATE(AnnéeCalendrier,5,19),1),"jjj")</f>
        <v>dim</v>
      </c>
      <c r="V5" s="2" t="str">
        <f>TEXT(WEEKDAY(DATE(AnnéeCalendrier,5,20),1),"jjj")</f>
        <v>lun</v>
      </c>
      <c r="W5" s="2" t="str">
        <f>TEXT(WEEKDAY(DATE(AnnéeCalendrier,5,21),1),"jjj")</f>
        <v>mar</v>
      </c>
      <c r="X5" s="2" t="str">
        <f>TEXT(WEEKDAY(DATE(AnnéeCalendrier,5,22),1),"jjj")</f>
        <v>mer</v>
      </c>
      <c r="Y5" s="2" t="str">
        <f>TEXT(WEEKDAY(DATE(AnnéeCalendrier,5,23),1),"jjj")</f>
        <v>jeu</v>
      </c>
      <c r="Z5" s="2" t="str">
        <f>TEXT(WEEKDAY(DATE(AnnéeCalendrier,5,24),1),"jjj")</f>
        <v>ven</v>
      </c>
      <c r="AA5" s="2" t="str">
        <f>TEXT(WEEKDAY(DATE(AnnéeCalendrier,5,25),1),"jjj")</f>
        <v>sam</v>
      </c>
      <c r="AB5" s="2" t="str">
        <f>TEXT(WEEKDAY(DATE(AnnéeCalendrier,5,26),1),"jjj")</f>
        <v>dim</v>
      </c>
      <c r="AC5" s="2" t="str">
        <f>TEXT(WEEKDAY(DATE(AnnéeCalendrier,5,27),1),"jjj")</f>
        <v>lun</v>
      </c>
      <c r="AD5" s="2" t="str">
        <f>TEXT(WEEKDAY(DATE(AnnéeCalendrier,5,28),1),"jjj")</f>
        <v>mar</v>
      </c>
      <c r="AE5" s="2" t="str">
        <f>TEXT(WEEKDAY(DATE(AnnéeCalendrier,5,29),1),"jjj")</f>
        <v>mer</v>
      </c>
      <c r="AF5" s="2" t="str">
        <f>TEXT(WEEKDAY(DATE(AnnéeCalendrier,5,30),1),"jjj")</f>
        <v>jeu</v>
      </c>
      <c r="AG5" s="2" t="str">
        <f>TEXT(WEEKDAY(DATE(AnnéeCalendrier,5,31),1),"jjj")</f>
        <v>ven</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COUNTA(Mai[[#This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COUNTA(Mai[[#This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COUNTA(Mai[[#This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COUNTA(Mai[[#This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COUNTA(Mai[[#This Row],[1]:[31]])</f>
        <v>0</v>
      </c>
    </row>
    <row r="12" spans="2:34" ht="30" customHeight="1" x14ac:dyDescent="0.25">
      <c r="B12" s="21" t="str">
        <f>NomMois&amp;" Total"</f>
        <v>Mai Total</v>
      </c>
      <c r="C12" s="13">
        <f>SUBTOTAL(103,Mai[1])</f>
        <v>0</v>
      </c>
      <c r="D12" s="13">
        <f>SUBTOTAL(103,Mai[2])</f>
        <v>0</v>
      </c>
      <c r="E12" s="13">
        <f>SUBTOTAL(103,Mai[3])</f>
        <v>0</v>
      </c>
      <c r="F12" s="13">
        <f>SUBTOTAL(103,Mai[4])</f>
        <v>0</v>
      </c>
      <c r="G12" s="13">
        <f>SUBTOTAL(103,Mai[5])</f>
        <v>0</v>
      </c>
      <c r="H12" s="13">
        <f>SUBTOTAL(103,Mai[6])</f>
        <v>0</v>
      </c>
      <c r="I12" s="13">
        <f>SUBTOTAL(103,Mai[7])</f>
        <v>0</v>
      </c>
      <c r="J12" s="13">
        <f>SUBTOTAL(103,Mai[8])</f>
        <v>0</v>
      </c>
      <c r="K12" s="13">
        <f>SUBTOTAL(103,Mai[9])</f>
        <v>0</v>
      </c>
      <c r="L12" s="13">
        <f>SUBTOTAL(103,Mai[10])</f>
        <v>0</v>
      </c>
      <c r="M12" s="13">
        <f>SUBTOTAL(103,Mai[11])</f>
        <v>0</v>
      </c>
      <c r="N12" s="13">
        <f>SUBTOTAL(103,Mai[12])</f>
        <v>0</v>
      </c>
      <c r="O12" s="13">
        <f>SUBTOTAL(103,Mai[13])</f>
        <v>0</v>
      </c>
      <c r="P12" s="13">
        <f>SUBTOTAL(103,Mai[14])</f>
        <v>0</v>
      </c>
      <c r="Q12" s="13">
        <f>SUBTOTAL(103,Mai[15])</f>
        <v>0</v>
      </c>
      <c r="R12" s="13">
        <f>SUBTOTAL(103,Mai[16])</f>
        <v>0</v>
      </c>
      <c r="S12" s="13">
        <f>SUBTOTAL(103,Mai[17])</f>
        <v>0</v>
      </c>
      <c r="T12" s="13">
        <f>SUBTOTAL(103,Mai[18])</f>
        <v>0</v>
      </c>
      <c r="U12" s="13">
        <f>SUBTOTAL(103,Mai[19])</f>
        <v>0</v>
      </c>
      <c r="V12" s="13">
        <f>SUBTOTAL(103,Mai[20])</f>
        <v>0</v>
      </c>
      <c r="W12" s="13">
        <f>SUBTOTAL(103,Mai[21])</f>
        <v>0</v>
      </c>
      <c r="X12" s="13">
        <f>SUBTOTAL(103,Mai[22])</f>
        <v>0</v>
      </c>
      <c r="Y12" s="13">
        <f>SUBTOTAL(103,Mai[23])</f>
        <v>0</v>
      </c>
      <c r="Z12" s="13">
        <f>SUBTOTAL(103,Mai[24])</f>
        <v>0</v>
      </c>
      <c r="AA12" s="13">
        <f>SUBTOTAL(103,Mai[25])</f>
        <v>0</v>
      </c>
      <c r="AB12" s="13">
        <f>SUBTOTAL(103,Mai[26])</f>
        <v>0</v>
      </c>
      <c r="AC12" s="13">
        <f>SUBTOTAL(103,Mai[27])</f>
        <v>0</v>
      </c>
      <c r="AD12" s="13">
        <f>SUBTOTAL(103,Mai[28])</f>
        <v>0</v>
      </c>
      <c r="AE12" s="13">
        <f>SUBTOTAL(103,Mai[29])</f>
        <v>0</v>
      </c>
      <c r="AF12" s="13">
        <f>SUBTOTAL(103,Mai[30])</f>
        <v>0</v>
      </c>
      <c r="AG12" s="13">
        <f>SUBTOTAL(103,Mai[31])</f>
        <v>0</v>
      </c>
      <c r="AH12" s="13">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92" priority="2" stopIfTrue="1">
      <formula>C7=CléPersonnalisée2</formula>
    </cfRule>
    <cfRule type="expression" dxfId="591" priority="3" stopIfTrue="1">
      <formula>C7=CléPersonnalisée1</formula>
    </cfRule>
    <cfRule type="expression" dxfId="590" priority="4" stopIfTrue="1">
      <formula>C7=CléMaladie</formula>
    </cfRule>
    <cfRule type="expression" dxfId="589" priority="5" stopIfTrue="1">
      <formula>C7=CléPersonnel</formula>
    </cfRule>
    <cfRule type="expression" dxfId="588"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employés'!$B$4:$B$8</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2"/>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57</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TEXT(WEEKDAY(DATE(AnnéeCalendrier,6,1),1),"jjj")</f>
        <v>sam</v>
      </c>
      <c r="D5" s="2" t="str">
        <f>TEXT(WEEKDAY(DATE(AnnéeCalendrier,6,2),1),"jjj")</f>
        <v>dim</v>
      </c>
      <c r="E5" s="2" t="str">
        <f>TEXT(WEEKDAY(DATE(AnnéeCalendrier,6,3),1),"jjj")</f>
        <v>lun</v>
      </c>
      <c r="F5" s="2" t="str">
        <f>TEXT(WEEKDAY(DATE(AnnéeCalendrier,6,4),1),"jjj")</f>
        <v>mar</v>
      </c>
      <c r="G5" s="2" t="str">
        <f>TEXT(WEEKDAY(DATE(AnnéeCalendrier,6,5),1),"jjj")</f>
        <v>mer</v>
      </c>
      <c r="H5" s="2" t="str">
        <f>TEXT(WEEKDAY(DATE(AnnéeCalendrier,6,6),1),"jjj")</f>
        <v>jeu</v>
      </c>
      <c r="I5" s="2" t="str">
        <f>TEXT(WEEKDAY(DATE(AnnéeCalendrier,6,7),1),"jjj")</f>
        <v>ven</v>
      </c>
      <c r="J5" s="2" t="str">
        <f>TEXT(WEEKDAY(DATE(AnnéeCalendrier,6,8),1),"jjj")</f>
        <v>sam</v>
      </c>
      <c r="K5" s="2" t="str">
        <f>TEXT(WEEKDAY(DATE(AnnéeCalendrier,6,9),1),"jjj")</f>
        <v>dim</v>
      </c>
      <c r="L5" s="2" t="str">
        <f>TEXT(WEEKDAY(DATE(AnnéeCalendrier,6,10),1),"jjj")</f>
        <v>lun</v>
      </c>
      <c r="M5" s="2" t="str">
        <f>TEXT(WEEKDAY(DATE(AnnéeCalendrier,6,11),1),"jjj")</f>
        <v>mar</v>
      </c>
      <c r="N5" s="2" t="str">
        <f>TEXT(WEEKDAY(DATE(AnnéeCalendrier,6,12),1),"jjj")</f>
        <v>mer</v>
      </c>
      <c r="O5" s="2" t="str">
        <f>TEXT(WEEKDAY(DATE(AnnéeCalendrier,6,13),1),"jjj")</f>
        <v>jeu</v>
      </c>
      <c r="P5" s="2" t="str">
        <f>TEXT(WEEKDAY(DATE(AnnéeCalendrier,6,14),1),"jjj")</f>
        <v>ven</v>
      </c>
      <c r="Q5" s="2" t="str">
        <f>TEXT(WEEKDAY(DATE(AnnéeCalendrier,6,15),1),"jjj")</f>
        <v>sam</v>
      </c>
      <c r="R5" s="2" t="str">
        <f>TEXT(WEEKDAY(DATE(AnnéeCalendrier,6,16),1),"jjj")</f>
        <v>dim</v>
      </c>
      <c r="S5" s="2" t="str">
        <f>TEXT(WEEKDAY(DATE(AnnéeCalendrier,6,17),1),"jjj")</f>
        <v>lun</v>
      </c>
      <c r="T5" s="2" t="str">
        <f>TEXT(WEEKDAY(DATE(AnnéeCalendrier,6,18),1),"jjj")</f>
        <v>mar</v>
      </c>
      <c r="U5" s="2" t="str">
        <f>TEXT(WEEKDAY(DATE(AnnéeCalendrier,6,19),1),"jjj")</f>
        <v>mer</v>
      </c>
      <c r="V5" s="2" t="str">
        <f>TEXT(WEEKDAY(DATE(AnnéeCalendrier,6,20),1),"jjj")</f>
        <v>jeu</v>
      </c>
      <c r="W5" s="2" t="str">
        <f>TEXT(WEEKDAY(DATE(AnnéeCalendrier,6,21),1),"jjj")</f>
        <v>ven</v>
      </c>
      <c r="X5" s="2" t="str">
        <f>TEXT(WEEKDAY(DATE(AnnéeCalendrier,6,22),1),"jjj")</f>
        <v>sam</v>
      </c>
      <c r="Y5" s="2" t="str">
        <f>TEXT(WEEKDAY(DATE(AnnéeCalendrier,6,23),1),"jjj")</f>
        <v>dim</v>
      </c>
      <c r="Z5" s="2" t="str">
        <f>TEXT(WEEKDAY(DATE(AnnéeCalendrier,6,24),1),"jjj")</f>
        <v>lun</v>
      </c>
      <c r="AA5" s="2" t="str">
        <f>TEXT(WEEKDAY(DATE(AnnéeCalendrier,6,25),1),"jjj")</f>
        <v>mar</v>
      </c>
      <c r="AB5" s="2" t="str">
        <f>TEXT(WEEKDAY(DATE(AnnéeCalendrier,6,26),1),"jjj")</f>
        <v>mer</v>
      </c>
      <c r="AC5" s="2" t="str">
        <f>TEXT(WEEKDAY(DATE(AnnéeCalendrier,6,27),1),"jjj")</f>
        <v>jeu</v>
      </c>
      <c r="AD5" s="2" t="str">
        <f>TEXT(WEEKDAY(DATE(AnnéeCalendrier,6,28),1),"jjj")</f>
        <v>ven</v>
      </c>
      <c r="AE5" s="2" t="str">
        <f>TEXT(WEEKDAY(DATE(AnnéeCalendrier,6,29),1),"jjj")</f>
        <v>sam</v>
      </c>
      <c r="AF5" s="2" t="str">
        <f>TEXT(WEEKDAY(DATE(AnnéeCalendrier,6,30),1),"jjj")</f>
        <v>dim</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COUNTA(Juin[[#This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COUNTA(Juin[[#This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COUNTA(Juin[[#This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COUNTA(Juin[[#This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COUNTA(Juin[[#This Row],[1]:[30]])</f>
        <v>0</v>
      </c>
    </row>
    <row r="12" spans="2:34" ht="30" customHeight="1" x14ac:dyDescent="0.25">
      <c r="B12" s="21" t="str">
        <f>NomMois&amp;" Total"</f>
        <v>Juin Total</v>
      </c>
      <c r="C12" s="13">
        <f>SUBTOTAL(103,Juin[1])</f>
        <v>0</v>
      </c>
      <c r="D12" s="13">
        <f>SUBTOTAL(103,Juin[2])</f>
        <v>0</v>
      </c>
      <c r="E12" s="13">
        <f>SUBTOTAL(103,Juin[3])</f>
        <v>0</v>
      </c>
      <c r="F12" s="13">
        <f>SUBTOTAL(103,Juin[4])</f>
        <v>0</v>
      </c>
      <c r="G12" s="13">
        <f>SUBTOTAL(103,Juin[5])</f>
        <v>0</v>
      </c>
      <c r="H12" s="13">
        <f>SUBTOTAL(103,Juin[6])</f>
        <v>0</v>
      </c>
      <c r="I12" s="13">
        <f>SUBTOTAL(103,Juin[7])</f>
        <v>0</v>
      </c>
      <c r="J12" s="13">
        <f>SUBTOTAL(103,Juin[8])</f>
        <v>0</v>
      </c>
      <c r="K12" s="13">
        <f>SUBTOTAL(103,Juin[9])</f>
        <v>0</v>
      </c>
      <c r="L12" s="13">
        <f>SUBTOTAL(103,Juin[10])</f>
        <v>0</v>
      </c>
      <c r="M12" s="13">
        <f>SUBTOTAL(103,Juin[11])</f>
        <v>0</v>
      </c>
      <c r="N12" s="13">
        <f>SUBTOTAL(103,Juin[12])</f>
        <v>0</v>
      </c>
      <c r="O12" s="13">
        <f>SUBTOTAL(103,Juin[13])</f>
        <v>0</v>
      </c>
      <c r="P12" s="13">
        <f>SUBTOTAL(103,Juin[14])</f>
        <v>0</v>
      </c>
      <c r="Q12" s="13">
        <f>SUBTOTAL(103,Juin[15])</f>
        <v>0</v>
      </c>
      <c r="R12" s="13">
        <f>SUBTOTAL(103,Juin[16])</f>
        <v>0</v>
      </c>
      <c r="S12" s="13">
        <f>SUBTOTAL(103,Juin[17])</f>
        <v>0</v>
      </c>
      <c r="T12" s="13">
        <f>SUBTOTAL(103,Juin[18])</f>
        <v>0</v>
      </c>
      <c r="U12" s="13">
        <f>SUBTOTAL(103,Juin[19])</f>
        <v>0</v>
      </c>
      <c r="V12" s="13">
        <f>SUBTOTAL(103,Juin[20])</f>
        <v>0</v>
      </c>
      <c r="W12" s="13">
        <f>SUBTOTAL(103,Juin[21])</f>
        <v>0</v>
      </c>
      <c r="X12" s="13">
        <f>SUBTOTAL(103,Juin[22])</f>
        <v>0</v>
      </c>
      <c r="Y12" s="13">
        <f>SUBTOTAL(103,Juin[23])</f>
        <v>0</v>
      </c>
      <c r="Z12" s="13">
        <f>SUBTOTAL(103,Juin[24])</f>
        <v>0</v>
      </c>
      <c r="AA12" s="13">
        <f>SUBTOTAL(103,Juin[25])</f>
        <v>0</v>
      </c>
      <c r="AB12" s="13">
        <f>SUBTOTAL(103,Juin[26])</f>
        <v>0</v>
      </c>
      <c r="AC12" s="13">
        <f>SUBTOTAL(103,Juin[27])</f>
        <v>0</v>
      </c>
      <c r="AD12" s="13">
        <f>SUBTOTAL(103,Juin[28])</f>
        <v>0</v>
      </c>
      <c r="AE12" s="13">
        <f>SUBTOTAL(103,Juin[29])</f>
        <v>0</v>
      </c>
      <c r="AF12" s="13">
        <f>SUBTOTAL(103,Juin[30])</f>
        <v>0</v>
      </c>
      <c r="AG12" s="13">
        <f>SUBTOTAL(103,Juin[[ ]])</f>
        <v>0</v>
      </c>
      <c r="AH12" s="13">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18" priority="2" stopIfTrue="1">
      <formula>C7=CléPersonnalisée2</formula>
    </cfRule>
    <cfRule type="expression" dxfId="517" priority="3" stopIfTrue="1">
      <formula>C7=CléPersonnalisée1</formula>
    </cfRule>
    <cfRule type="expression" dxfId="516" priority="4" stopIfTrue="1">
      <formula>C7=CléMaladie</formula>
    </cfRule>
    <cfRule type="expression" dxfId="515" priority="5" stopIfTrue="1">
      <formula>C7=CléPersonnel</formula>
    </cfRule>
    <cfRule type="expression" dxfId="51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employés'!$B$4:$B$8</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1"/>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58</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TEXT(WEEKDAY(DATE(AnnéeCalendrier,7,1),1),"jjj")</f>
        <v>lun</v>
      </c>
      <c r="D5" s="2" t="str">
        <f>TEXT(WEEKDAY(DATE(AnnéeCalendrier,7,2),1),"jjj")</f>
        <v>mar</v>
      </c>
      <c r="E5" s="2" t="str">
        <f>TEXT(WEEKDAY(DATE(AnnéeCalendrier,7,3),1),"jjj")</f>
        <v>mer</v>
      </c>
      <c r="F5" s="2" t="str">
        <f>TEXT(WEEKDAY(DATE(AnnéeCalendrier,7,4),1),"jjj")</f>
        <v>jeu</v>
      </c>
      <c r="G5" s="2" t="str">
        <f>TEXT(WEEKDAY(DATE(AnnéeCalendrier,7,5),1),"jjj")</f>
        <v>ven</v>
      </c>
      <c r="H5" s="2" t="str">
        <f>TEXT(WEEKDAY(DATE(AnnéeCalendrier,7,6),1),"jjj")</f>
        <v>sam</v>
      </c>
      <c r="I5" s="2" t="str">
        <f>TEXT(WEEKDAY(DATE(AnnéeCalendrier,7,7),1),"jjj")</f>
        <v>dim</v>
      </c>
      <c r="J5" s="2" t="str">
        <f>TEXT(WEEKDAY(DATE(AnnéeCalendrier,7,8),1),"jjj")</f>
        <v>lun</v>
      </c>
      <c r="K5" s="2" t="str">
        <f>TEXT(WEEKDAY(DATE(AnnéeCalendrier,7,9),1),"jjj")</f>
        <v>mar</v>
      </c>
      <c r="L5" s="2" t="str">
        <f>TEXT(WEEKDAY(DATE(AnnéeCalendrier,7,10),1),"jjj")</f>
        <v>mer</v>
      </c>
      <c r="M5" s="2" t="str">
        <f>TEXT(WEEKDAY(DATE(AnnéeCalendrier,7,11),1),"jjj")</f>
        <v>jeu</v>
      </c>
      <c r="N5" s="2" t="str">
        <f>TEXT(WEEKDAY(DATE(AnnéeCalendrier,7,12),1),"jjj")</f>
        <v>ven</v>
      </c>
      <c r="O5" s="2" t="str">
        <f>TEXT(WEEKDAY(DATE(AnnéeCalendrier,7,13),1),"jjj")</f>
        <v>sam</v>
      </c>
      <c r="P5" s="2" t="str">
        <f>TEXT(WEEKDAY(DATE(AnnéeCalendrier,7,14),1),"jjj")</f>
        <v>dim</v>
      </c>
      <c r="Q5" s="2" t="str">
        <f>TEXT(WEEKDAY(DATE(AnnéeCalendrier,7,15),1),"jjj")</f>
        <v>lun</v>
      </c>
      <c r="R5" s="2" t="str">
        <f>TEXT(WEEKDAY(DATE(AnnéeCalendrier,7,16),1),"jjj")</f>
        <v>mar</v>
      </c>
      <c r="S5" s="2" t="str">
        <f>TEXT(WEEKDAY(DATE(AnnéeCalendrier,7,17),1),"jjj")</f>
        <v>mer</v>
      </c>
      <c r="T5" s="2" t="str">
        <f>TEXT(WEEKDAY(DATE(AnnéeCalendrier,7,18),1),"jjj")</f>
        <v>jeu</v>
      </c>
      <c r="U5" s="2" t="str">
        <f>TEXT(WEEKDAY(DATE(AnnéeCalendrier,7,19),1),"jjj")</f>
        <v>ven</v>
      </c>
      <c r="V5" s="2" t="str">
        <f>TEXT(WEEKDAY(DATE(AnnéeCalendrier,7,20),1),"jjj")</f>
        <v>sam</v>
      </c>
      <c r="W5" s="2" t="str">
        <f>TEXT(WEEKDAY(DATE(AnnéeCalendrier,7,21),1),"jjj")</f>
        <v>dim</v>
      </c>
      <c r="X5" s="2" t="str">
        <f>TEXT(WEEKDAY(DATE(AnnéeCalendrier,7,22),1),"jjj")</f>
        <v>lun</v>
      </c>
      <c r="Y5" s="2" t="str">
        <f>TEXT(WEEKDAY(DATE(AnnéeCalendrier,7,23),1),"jjj")</f>
        <v>mar</v>
      </c>
      <c r="Z5" s="2" t="str">
        <f>TEXT(WEEKDAY(DATE(AnnéeCalendrier,7,24),1),"jjj")</f>
        <v>mer</v>
      </c>
      <c r="AA5" s="2" t="str">
        <f>TEXT(WEEKDAY(DATE(AnnéeCalendrier,7,25),1),"jjj")</f>
        <v>jeu</v>
      </c>
      <c r="AB5" s="2" t="str">
        <f>TEXT(WEEKDAY(DATE(AnnéeCalendrier,7,26),1),"jjj")</f>
        <v>ven</v>
      </c>
      <c r="AC5" s="2" t="str">
        <f>TEXT(WEEKDAY(DATE(AnnéeCalendrier,7,27),1),"jjj")</f>
        <v>sam</v>
      </c>
      <c r="AD5" s="2" t="str">
        <f>TEXT(WEEKDAY(DATE(AnnéeCalendrier,7,28),1),"jjj")</f>
        <v>dim</v>
      </c>
      <c r="AE5" s="2" t="str">
        <f>TEXT(WEEKDAY(DATE(AnnéeCalendrier,7,29),1),"jjj")</f>
        <v>lun</v>
      </c>
      <c r="AF5" s="2" t="str">
        <f>TEXT(WEEKDAY(DATE(AnnéeCalendrier,7,30),1),"jjj")</f>
        <v>mar</v>
      </c>
      <c r="AG5" s="2" t="str">
        <f>TEXT(WEEKDAY(DATE(AnnéeCalendrier,7,31),1),"jjj")</f>
        <v>mer</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COUNTA(Juillet[[#This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COUNTA(Juillet[[#This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COUNTA(Juillet[[#This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COUNTA(Juillet[[#This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COUNTA(Juillet[[#This Row],[1]:[31]])</f>
        <v>0</v>
      </c>
    </row>
    <row r="12" spans="2:34" ht="30" customHeight="1" x14ac:dyDescent="0.25">
      <c r="B12" s="21" t="str">
        <f>NomMois&amp;" Total"</f>
        <v>Juillet Total</v>
      </c>
      <c r="C12" s="13">
        <f>SUBTOTAL(103,Juillet[1])</f>
        <v>0</v>
      </c>
      <c r="D12" s="13">
        <f>SUBTOTAL(103,Juillet[2])</f>
        <v>0</v>
      </c>
      <c r="E12" s="13">
        <f>SUBTOTAL(103,Juillet[3])</f>
        <v>0</v>
      </c>
      <c r="F12" s="13">
        <f>SUBTOTAL(103,Juillet[4])</f>
        <v>0</v>
      </c>
      <c r="G12" s="13">
        <f>SUBTOTAL(103,Juillet[5])</f>
        <v>0</v>
      </c>
      <c r="H12" s="13">
        <f>SUBTOTAL(103,Juillet[6])</f>
        <v>0</v>
      </c>
      <c r="I12" s="13">
        <f>SUBTOTAL(103,Juillet[7])</f>
        <v>0</v>
      </c>
      <c r="J12" s="13">
        <f>SUBTOTAL(103,Juillet[8])</f>
        <v>0</v>
      </c>
      <c r="K12" s="13">
        <f>SUBTOTAL(103,Juillet[9])</f>
        <v>0</v>
      </c>
      <c r="L12" s="13">
        <f>SUBTOTAL(103,Juillet[10])</f>
        <v>0</v>
      </c>
      <c r="M12" s="13">
        <f>SUBTOTAL(103,Juillet[11])</f>
        <v>0</v>
      </c>
      <c r="N12" s="13">
        <f>SUBTOTAL(103,Juillet[12])</f>
        <v>0</v>
      </c>
      <c r="O12" s="13">
        <f>SUBTOTAL(103,Juillet[13])</f>
        <v>0</v>
      </c>
      <c r="P12" s="13">
        <f>SUBTOTAL(103,Juillet[14])</f>
        <v>0</v>
      </c>
      <c r="Q12" s="13">
        <f>SUBTOTAL(103,Juillet[15])</f>
        <v>0</v>
      </c>
      <c r="R12" s="13">
        <f>SUBTOTAL(103,Juillet[16])</f>
        <v>0</v>
      </c>
      <c r="S12" s="13">
        <f>SUBTOTAL(103,Juillet[17])</f>
        <v>0</v>
      </c>
      <c r="T12" s="13">
        <f>SUBTOTAL(103,Juillet[18])</f>
        <v>0</v>
      </c>
      <c r="U12" s="13">
        <f>SUBTOTAL(103,Juillet[19])</f>
        <v>0</v>
      </c>
      <c r="V12" s="13">
        <f>SUBTOTAL(103,Juillet[20])</f>
        <v>0</v>
      </c>
      <c r="W12" s="13">
        <f>SUBTOTAL(103,Juillet[21])</f>
        <v>0</v>
      </c>
      <c r="X12" s="13">
        <f>SUBTOTAL(103,Juillet[22])</f>
        <v>0</v>
      </c>
      <c r="Y12" s="13">
        <f>SUBTOTAL(103,Juillet[23])</f>
        <v>0</v>
      </c>
      <c r="Z12" s="13">
        <f>SUBTOTAL(103,Juillet[24])</f>
        <v>0</v>
      </c>
      <c r="AA12" s="13">
        <f>SUBTOTAL(103,Juillet[25])</f>
        <v>0</v>
      </c>
      <c r="AB12" s="13">
        <f>SUBTOTAL(103,Juillet[26])</f>
        <v>0</v>
      </c>
      <c r="AC12" s="13">
        <f>SUBTOTAL(103,Juillet[27])</f>
        <v>0</v>
      </c>
      <c r="AD12" s="13">
        <f>SUBTOTAL(103,Juillet[28])</f>
        <v>0</v>
      </c>
      <c r="AE12" s="13">
        <f>SUBTOTAL(103,Juillet[29])</f>
        <v>0</v>
      </c>
      <c r="AF12" s="13">
        <f>SUBTOTAL(103,Juillet[30])</f>
        <v>0</v>
      </c>
      <c r="AG12" s="13">
        <f>SUBTOTAL(103,Juillet[31])</f>
        <v>0</v>
      </c>
      <c r="AH12" s="13">
        <f>SUBTOTAL(109,Juillet[Total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44" priority="2" stopIfTrue="1">
      <formula>C7=CléPersonnalisée2</formula>
    </cfRule>
    <cfRule type="expression" dxfId="443" priority="3" stopIfTrue="1">
      <formula>C7=CléPersonnalisée1</formula>
    </cfRule>
    <cfRule type="expression" dxfId="442" priority="4" stopIfTrue="1">
      <formula>C7=CléMaladie</formula>
    </cfRule>
    <cfRule type="expression" dxfId="441" priority="5" stopIfTrue="1">
      <formula>C7=CléPersonnel</formula>
    </cfRule>
    <cfRule type="expression" dxfId="44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employés'!$B$4:$B$8</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2" tint="-0.749992370372631"/>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59</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TEXT(WEEKDAY(DATE(AnnéeCalendrier,8,1),1),"jjj")</f>
        <v>jeu</v>
      </c>
      <c r="D5" s="2" t="str">
        <f>TEXT(WEEKDAY(DATE(AnnéeCalendrier,8,2),1),"jjj")</f>
        <v>ven</v>
      </c>
      <c r="E5" s="2" t="str">
        <f>TEXT(WEEKDAY(DATE(AnnéeCalendrier,8,3),1),"jjj")</f>
        <v>sam</v>
      </c>
      <c r="F5" s="2" t="str">
        <f>TEXT(WEEKDAY(DATE(AnnéeCalendrier,8,4),1),"jjj")</f>
        <v>dim</v>
      </c>
      <c r="G5" s="2" t="str">
        <f>TEXT(WEEKDAY(DATE(AnnéeCalendrier,8,5),1),"jjj")</f>
        <v>lun</v>
      </c>
      <c r="H5" s="2" t="str">
        <f>TEXT(WEEKDAY(DATE(AnnéeCalendrier,8,6),1),"jjj")</f>
        <v>mar</v>
      </c>
      <c r="I5" s="2" t="str">
        <f>TEXT(WEEKDAY(DATE(AnnéeCalendrier,8,7),1),"jjj")</f>
        <v>mer</v>
      </c>
      <c r="J5" s="2" t="str">
        <f>TEXT(WEEKDAY(DATE(AnnéeCalendrier,8,8),1),"jjj")</f>
        <v>jeu</v>
      </c>
      <c r="K5" s="2" t="str">
        <f>TEXT(WEEKDAY(DATE(AnnéeCalendrier,8,9),1),"jjj")</f>
        <v>ven</v>
      </c>
      <c r="L5" s="2" t="str">
        <f>TEXT(WEEKDAY(DATE(AnnéeCalendrier,8,10),1),"jjj")</f>
        <v>sam</v>
      </c>
      <c r="M5" s="2" t="str">
        <f>TEXT(WEEKDAY(DATE(AnnéeCalendrier,8,11),1),"jjj")</f>
        <v>dim</v>
      </c>
      <c r="N5" s="2" t="str">
        <f>TEXT(WEEKDAY(DATE(AnnéeCalendrier,8,12),1),"jjj")</f>
        <v>lun</v>
      </c>
      <c r="O5" s="2" t="str">
        <f>TEXT(WEEKDAY(DATE(AnnéeCalendrier,8,13),1),"jjj")</f>
        <v>mar</v>
      </c>
      <c r="P5" s="2" t="str">
        <f>TEXT(WEEKDAY(DATE(AnnéeCalendrier,8,14),1),"jjj")</f>
        <v>mer</v>
      </c>
      <c r="Q5" s="2" t="str">
        <f>TEXT(WEEKDAY(DATE(AnnéeCalendrier,8,15),1),"jjj")</f>
        <v>jeu</v>
      </c>
      <c r="R5" s="2" t="str">
        <f>TEXT(WEEKDAY(DATE(AnnéeCalendrier,8,16),1),"jjj")</f>
        <v>ven</v>
      </c>
      <c r="S5" s="2" t="str">
        <f>TEXT(WEEKDAY(DATE(AnnéeCalendrier,8,17),1),"jjj")</f>
        <v>sam</v>
      </c>
      <c r="T5" s="2" t="str">
        <f>TEXT(WEEKDAY(DATE(AnnéeCalendrier,8,18),1),"jjj")</f>
        <v>dim</v>
      </c>
      <c r="U5" s="2" t="str">
        <f>TEXT(WEEKDAY(DATE(AnnéeCalendrier,8,19),1),"jjj")</f>
        <v>lun</v>
      </c>
      <c r="V5" s="2" t="str">
        <f>TEXT(WEEKDAY(DATE(AnnéeCalendrier,8,20),1),"jjj")</f>
        <v>mar</v>
      </c>
      <c r="W5" s="2" t="str">
        <f>TEXT(WEEKDAY(DATE(AnnéeCalendrier,8,21),1),"jjj")</f>
        <v>mer</v>
      </c>
      <c r="X5" s="2" t="str">
        <f>TEXT(WEEKDAY(DATE(AnnéeCalendrier,8,22),1),"jjj")</f>
        <v>jeu</v>
      </c>
      <c r="Y5" s="2" t="str">
        <f>TEXT(WEEKDAY(DATE(AnnéeCalendrier,8,23),1),"jjj")</f>
        <v>ven</v>
      </c>
      <c r="Z5" s="2" t="str">
        <f>TEXT(WEEKDAY(DATE(AnnéeCalendrier,8,24),1),"jjj")</f>
        <v>sam</v>
      </c>
      <c r="AA5" s="2" t="str">
        <f>TEXT(WEEKDAY(DATE(AnnéeCalendrier,8,25),1),"jjj")</f>
        <v>dim</v>
      </c>
      <c r="AB5" s="2" t="str">
        <f>TEXT(WEEKDAY(DATE(AnnéeCalendrier,8,26),1),"jjj")</f>
        <v>lun</v>
      </c>
      <c r="AC5" s="2" t="str">
        <f>TEXT(WEEKDAY(DATE(AnnéeCalendrier,8,27),1),"jjj")</f>
        <v>mar</v>
      </c>
      <c r="AD5" s="2" t="str">
        <f>TEXT(WEEKDAY(DATE(AnnéeCalendrier,8,28),1),"jjj")</f>
        <v>mer</v>
      </c>
      <c r="AE5" s="2" t="str">
        <f>TEXT(WEEKDAY(DATE(AnnéeCalendrier,8,29),1),"jjj")</f>
        <v>jeu</v>
      </c>
      <c r="AF5" s="2" t="str">
        <f>TEXT(WEEKDAY(DATE(AnnéeCalendrier,8,30),1),"jjj")</f>
        <v>ven</v>
      </c>
      <c r="AG5" s="2" t="str">
        <f>TEXT(WEEKDAY(DATE(AnnéeCalendrier,8,31),1),"jjj")</f>
        <v>sam</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COUNTA(Août[[#This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COUNTA(Août[[#This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COUNTA(Août[[#This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COUNTA(Août[[#This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COUNTA(Août[[#This Row],[1]:[31]])</f>
        <v>0</v>
      </c>
    </row>
    <row r="12" spans="2:34" ht="30" customHeight="1" x14ac:dyDescent="0.25">
      <c r="B12" s="21" t="str">
        <f>NomMois&amp;" Total"</f>
        <v>Août Total</v>
      </c>
      <c r="C12" s="13">
        <f>SUBTOTAL(103,Août[1])</f>
        <v>0</v>
      </c>
      <c r="D12" s="13">
        <f>SUBTOTAL(103,Août[2])</f>
        <v>0</v>
      </c>
      <c r="E12" s="13">
        <f>SUBTOTAL(103,Août[3])</f>
        <v>0</v>
      </c>
      <c r="F12" s="13">
        <f>SUBTOTAL(103,Août[4])</f>
        <v>0</v>
      </c>
      <c r="G12" s="13">
        <f>SUBTOTAL(103,Août[5])</f>
        <v>0</v>
      </c>
      <c r="H12" s="13">
        <f>SUBTOTAL(103,Août[6])</f>
        <v>0</v>
      </c>
      <c r="I12" s="13">
        <f>SUBTOTAL(103,Août[7])</f>
        <v>0</v>
      </c>
      <c r="J12" s="13">
        <f>SUBTOTAL(103,Août[8])</f>
        <v>0</v>
      </c>
      <c r="K12" s="13">
        <f>SUBTOTAL(103,Août[9])</f>
        <v>0</v>
      </c>
      <c r="L12" s="13">
        <f>SUBTOTAL(103,Août[10])</f>
        <v>0</v>
      </c>
      <c r="M12" s="13">
        <f>SUBTOTAL(103,Août[11])</f>
        <v>0</v>
      </c>
      <c r="N12" s="13">
        <f>SUBTOTAL(103,Août[12])</f>
        <v>0</v>
      </c>
      <c r="O12" s="13">
        <f>SUBTOTAL(103,Août[13])</f>
        <v>0</v>
      </c>
      <c r="P12" s="13">
        <f>SUBTOTAL(103,Août[14])</f>
        <v>0</v>
      </c>
      <c r="Q12" s="13">
        <f>SUBTOTAL(103,Août[15])</f>
        <v>0</v>
      </c>
      <c r="R12" s="13">
        <f>SUBTOTAL(103,Août[16])</f>
        <v>0</v>
      </c>
      <c r="S12" s="13">
        <f>SUBTOTAL(103,Août[17])</f>
        <v>0</v>
      </c>
      <c r="T12" s="13">
        <f>SUBTOTAL(103,Août[18])</f>
        <v>0</v>
      </c>
      <c r="U12" s="13">
        <f>SUBTOTAL(103,Août[19])</f>
        <v>0</v>
      </c>
      <c r="V12" s="13">
        <f>SUBTOTAL(103,Août[20])</f>
        <v>0</v>
      </c>
      <c r="W12" s="13">
        <f>SUBTOTAL(103,Août[21])</f>
        <v>0</v>
      </c>
      <c r="X12" s="13">
        <f>SUBTOTAL(103,Août[22])</f>
        <v>0</v>
      </c>
      <c r="Y12" s="13">
        <f>SUBTOTAL(103,Août[23])</f>
        <v>0</v>
      </c>
      <c r="Z12" s="13">
        <f>SUBTOTAL(103,Août[24])</f>
        <v>0</v>
      </c>
      <c r="AA12" s="13">
        <f>SUBTOTAL(103,Août[25])</f>
        <v>0</v>
      </c>
      <c r="AB12" s="13">
        <f>SUBTOTAL(103,Août[26])</f>
        <v>0</v>
      </c>
      <c r="AC12" s="13">
        <f>SUBTOTAL(103,Août[27])</f>
        <v>0</v>
      </c>
      <c r="AD12" s="13">
        <f>SUBTOTAL(103,Août[28])</f>
        <v>0</v>
      </c>
      <c r="AE12" s="13">
        <f>SUBTOTAL(103,Août[29])</f>
        <v>0</v>
      </c>
      <c r="AF12" s="13">
        <f>SUBTOTAL(103,Août[30])</f>
        <v>0</v>
      </c>
      <c r="AG12" s="13">
        <f>SUBTOTAL(103,Août[31])</f>
        <v>0</v>
      </c>
      <c r="AH12" s="13">
        <f>SUBTOTAL(109,Août[Total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70" priority="2" stopIfTrue="1">
      <formula>C7=CléPersonnalisée2</formula>
    </cfRule>
    <cfRule type="expression" dxfId="369" priority="3" stopIfTrue="1">
      <formula>C7=CléPersonnalisée1</formula>
    </cfRule>
    <cfRule type="expression" dxfId="368" priority="4" stopIfTrue="1">
      <formula>C7=CléMaladie</formula>
    </cfRule>
    <cfRule type="expression" dxfId="367" priority="5" stopIfTrue="1">
      <formula>C7=CléPersonnel</formula>
    </cfRule>
    <cfRule type="expression" dxfId="366"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employés'!$B$4:$B$8</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2" tint="-0.499984740745262"/>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60</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TEXT(WEEKDAY(DATE(AnnéeCalendrier,9,1),1),"jjj")</f>
        <v>dim</v>
      </c>
      <c r="D5" s="2" t="str">
        <f>TEXT(WEEKDAY(DATE(AnnéeCalendrier,9,2),1),"jjj")</f>
        <v>lun</v>
      </c>
      <c r="E5" s="2" t="str">
        <f>TEXT(WEEKDAY(DATE(AnnéeCalendrier,9,3),1),"jjj")</f>
        <v>mar</v>
      </c>
      <c r="F5" s="2" t="str">
        <f>TEXT(WEEKDAY(DATE(AnnéeCalendrier,9,4),1),"jjj")</f>
        <v>mer</v>
      </c>
      <c r="G5" s="2" t="str">
        <f>TEXT(WEEKDAY(DATE(AnnéeCalendrier,9,5),1),"jjj")</f>
        <v>jeu</v>
      </c>
      <c r="H5" s="2" t="str">
        <f>TEXT(WEEKDAY(DATE(AnnéeCalendrier,9,6),1),"jjj")</f>
        <v>ven</v>
      </c>
      <c r="I5" s="2" t="str">
        <f>TEXT(WEEKDAY(DATE(AnnéeCalendrier,9,7),1),"jjj")</f>
        <v>sam</v>
      </c>
      <c r="J5" s="2" t="str">
        <f>TEXT(WEEKDAY(DATE(AnnéeCalendrier,9,8),1),"jjj")</f>
        <v>dim</v>
      </c>
      <c r="K5" s="2" t="str">
        <f>TEXT(WEEKDAY(DATE(AnnéeCalendrier,9,9),1),"jjj")</f>
        <v>lun</v>
      </c>
      <c r="L5" s="2" t="str">
        <f>TEXT(WEEKDAY(DATE(AnnéeCalendrier,9,10),1),"jjj")</f>
        <v>mar</v>
      </c>
      <c r="M5" s="2" t="str">
        <f>TEXT(WEEKDAY(DATE(AnnéeCalendrier,9,11),1),"jjj")</f>
        <v>mer</v>
      </c>
      <c r="N5" s="2" t="str">
        <f>TEXT(WEEKDAY(DATE(AnnéeCalendrier,9,12),1),"jjj")</f>
        <v>jeu</v>
      </c>
      <c r="O5" s="2" t="str">
        <f>TEXT(WEEKDAY(DATE(AnnéeCalendrier,9,13),1),"jjj")</f>
        <v>ven</v>
      </c>
      <c r="P5" s="2" t="str">
        <f>TEXT(WEEKDAY(DATE(AnnéeCalendrier,9,14),1),"jjj")</f>
        <v>sam</v>
      </c>
      <c r="Q5" s="2" t="str">
        <f>TEXT(WEEKDAY(DATE(AnnéeCalendrier,9,15),1),"jjj")</f>
        <v>dim</v>
      </c>
      <c r="R5" s="2" t="str">
        <f>TEXT(WEEKDAY(DATE(AnnéeCalendrier,9,16),1),"jjj")</f>
        <v>lun</v>
      </c>
      <c r="S5" s="2" t="str">
        <f>TEXT(WEEKDAY(DATE(AnnéeCalendrier,9,17),1),"jjj")</f>
        <v>mar</v>
      </c>
      <c r="T5" s="2" t="str">
        <f>TEXT(WEEKDAY(DATE(AnnéeCalendrier,9,18),1),"jjj")</f>
        <v>mer</v>
      </c>
      <c r="U5" s="2" t="str">
        <f>TEXT(WEEKDAY(DATE(AnnéeCalendrier,9,19),1),"jjj")</f>
        <v>jeu</v>
      </c>
      <c r="V5" s="2" t="str">
        <f>TEXT(WEEKDAY(DATE(AnnéeCalendrier,9,20),1),"jjj")</f>
        <v>ven</v>
      </c>
      <c r="W5" s="2" t="str">
        <f>TEXT(WEEKDAY(DATE(AnnéeCalendrier,9,21),1),"jjj")</f>
        <v>sam</v>
      </c>
      <c r="X5" s="2" t="str">
        <f>TEXT(WEEKDAY(DATE(AnnéeCalendrier,9,22),1),"jjj")</f>
        <v>dim</v>
      </c>
      <c r="Y5" s="2" t="str">
        <f>TEXT(WEEKDAY(DATE(AnnéeCalendrier,9,23),1),"jjj")</f>
        <v>lun</v>
      </c>
      <c r="Z5" s="2" t="str">
        <f>TEXT(WEEKDAY(DATE(AnnéeCalendrier,9,24),1),"jjj")</f>
        <v>mar</v>
      </c>
      <c r="AA5" s="2" t="str">
        <f>TEXT(WEEKDAY(DATE(AnnéeCalendrier,9,25),1),"jjj")</f>
        <v>mer</v>
      </c>
      <c r="AB5" s="2" t="str">
        <f>TEXT(WEEKDAY(DATE(AnnéeCalendrier,9,26),1),"jjj")</f>
        <v>jeu</v>
      </c>
      <c r="AC5" s="2" t="str">
        <f>TEXT(WEEKDAY(DATE(AnnéeCalendrier,9,27),1),"jjj")</f>
        <v>ven</v>
      </c>
      <c r="AD5" s="2" t="str">
        <f>TEXT(WEEKDAY(DATE(AnnéeCalendrier,9,28),1),"jjj")</f>
        <v>sam</v>
      </c>
      <c r="AE5" s="2" t="str">
        <f>TEXT(WEEKDAY(DATE(AnnéeCalendrier,9,29),1),"jjj")</f>
        <v>dim</v>
      </c>
      <c r="AF5" s="2" t="str">
        <f>TEXT(WEEKDAY(DATE(AnnéeCalendrier,9,30),1),"jjj")</f>
        <v>lun</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COUNTA(Septembre[[#This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COUNTA(Septembre[[#This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COUNTA(Septembre[[#This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COUNTA(Septembre[[#This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COUNTA(Septembre[[#This Row],[1]:[30]])</f>
        <v>0</v>
      </c>
    </row>
    <row r="12" spans="2:34" ht="30" customHeight="1" x14ac:dyDescent="0.25">
      <c r="B12" s="21" t="str">
        <f>NomMois&amp;" Total"</f>
        <v>Septembre Total</v>
      </c>
      <c r="C12" s="13">
        <f>SUBTOTAL(103,Septembre[1])</f>
        <v>0</v>
      </c>
      <c r="D12" s="13">
        <f>SUBTOTAL(103,Septembre[2])</f>
        <v>0</v>
      </c>
      <c r="E12" s="13">
        <f>SUBTOTAL(103,Septembre[3])</f>
        <v>0</v>
      </c>
      <c r="F12" s="13">
        <f>SUBTOTAL(103,Septembre[4])</f>
        <v>0</v>
      </c>
      <c r="G12" s="13">
        <f>SUBTOTAL(103,Septembre[5])</f>
        <v>0</v>
      </c>
      <c r="H12" s="13">
        <f>SUBTOTAL(103,Septembre[6])</f>
        <v>0</v>
      </c>
      <c r="I12" s="13">
        <f>SUBTOTAL(103,Septembre[7])</f>
        <v>0</v>
      </c>
      <c r="J12" s="13">
        <f>SUBTOTAL(103,Septembre[8])</f>
        <v>0</v>
      </c>
      <c r="K12" s="13">
        <f>SUBTOTAL(103,Septembre[9])</f>
        <v>0</v>
      </c>
      <c r="L12" s="13">
        <f>SUBTOTAL(103,Septembre[10])</f>
        <v>0</v>
      </c>
      <c r="M12" s="13">
        <f>SUBTOTAL(103,Septembre[11])</f>
        <v>0</v>
      </c>
      <c r="N12" s="13">
        <f>SUBTOTAL(103,Septembre[12])</f>
        <v>0</v>
      </c>
      <c r="O12" s="13">
        <f>SUBTOTAL(103,Septembre[13])</f>
        <v>0</v>
      </c>
      <c r="P12" s="13">
        <f>SUBTOTAL(103,Septembre[14])</f>
        <v>0</v>
      </c>
      <c r="Q12" s="13">
        <f>SUBTOTAL(103,Septembre[15])</f>
        <v>0</v>
      </c>
      <c r="R12" s="13">
        <f>SUBTOTAL(103,Septembre[16])</f>
        <v>0</v>
      </c>
      <c r="S12" s="13">
        <f>SUBTOTAL(103,Septembre[17])</f>
        <v>0</v>
      </c>
      <c r="T12" s="13">
        <f>SUBTOTAL(103,Septembre[18])</f>
        <v>0</v>
      </c>
      <c r="U12" s="13">
        <f>SUBTOTAL(103,Septembre[19])</f>
        <v>0</v>
      </c>
      <c r="V12" s="13">
        <f>SUBTOTAL(103,Septembre[20])</f>
        <v>0</v>
      </c>
      <c r="W12" s="13">
        <f>SUBTOTAL(103,Septembre[21])</f>
        <v>0</v>
      </c>
      <c r="X12" s="13">
        <f>SUBTOTAL(103,Septembre[22])</f>
        <v>0</v>
      </c>
      <c r="Y12" s="13">
        <f>SUBTOTAL(103,Septembre[23])</f>
        <v>0</v>
      </c>
      <c r="Z12" s="13">
        <f>SUBTOTAL(103,Septembre[24])</f>
        <v>0</v>
      </c>
      <c r="AA12" s="13">
        <f>SUBTOTAL(103,Septembre[25])</f>
        <v>0</v>
      </c>
      <c r="AB12" s="13">
        <f>SUBTOTAL(103,Septembre[26])</f>
        <v>0</v>
      </c>
      <c r="AC12" s="13">
        <f>SUBTOTAL(103,Septembre[27])</f>
        <v>0</v>
      </c>
      <c r="AD12" s="13">
        <f>SUBTOTAL(103,Septembre[28])</f>
        <v>0</v>
      </c>
      <c r="AE12" s="13">
        <f>SUBTOTAL(103,Septembre[29])</f>
        <v>0</v>
      </c>
      <c r="AF12" s="13">
        <f>SUBTOTAL(103,Septembre[30])</f>
        <v>0</v>
      </c>
      <c r="AG12" s="13">
        <f>SUBTOTAL(103,Septembre[[ ]])</f>
        <v>0</v>
      </c>
      <c r="AH12" s="13">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96" priority="2" stopIfTrue="1">
      <formula>C7=CléPersonnalisée2</formula>
    </cfRule>
    <cfRule type="expression" dxfId="295" priority="3" stopIfTrue="1">
      <formula>C7=CléPersonnalisée1</formula>
    </cfRule>
    <cfRule type="expression" dxfId="294" priority="4" stopIfTrue="1">
      <formula>C7=CléMaladie</formula>
    </cfRule>
    <cfRule type="expression" dxfId="293" priority="5" stopIfTrue="1">
      <formula>C7=CléPersonnel</formula>
    </cfRule>
    <cfRule type="expression" dxfId="292"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employés'!$B$4:$B$8</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2" tint="-0.249977111117893"/>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61</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TEXT(WEEKDAY(DATE(AnnéeCalendrier,10,1),1),"jjj")</f>
        <v>mar</v>
      </c>
      <c r="D5" s="2" t="str">
        <f>TEXT(WEEKDAY(DATE(AnnéeCalendrier,10,2),1),"jjj")</f>
        <v>mer</v>
      </c>
      <c r="E5" s="2" t="str">
        <f>TEXT(WEEKDAY(DATE(AnnéeCalendrier,10,3),1),"jjj")</f>
        <v>jeu</v>
      </c>
      <c r="F5" s="2" t="str">
        <f>TEXT(WEEKDAY(DATE(AnnéeCalendrier,10,4),1),"jjj")</f>
        <v>ven</v>
      </c>
      <c r="G5" s="2" t="str">
        <f>TEXT(WEEKDAY(DATE(AnnéeCalendrier,10,5),1),"jjj")</f>
        <v>sam</v>
      </c>
      <c r="H5" s="2" t="str">
        <f>TEXT(WEEKDAY(DATE(AnnéeCalendrier,10,6),1),"jjj")</f>
        <v>dim</v>
      </c>
      <c r="I5" s="2" t="str">
        <f>TEXT(WEEKDAY(DATE(AnnéeCalendrier,10,7),1),"jjj")</f>
        <v>lun</v>
      </c>
      <c r="J5" s="2" t="str">
        <f>TEXT(WEEKDAY(DATE(AnnéeCalendrier,10,8),1),"jjj")</f>
        <v>mar</v>
      </c>
      <c r="K5" s="2" t="str">
        <f>TEXT(WEEKDAY(DATE(AnnéeCalendrier,10,9),1),"jjj")</f>
        <v>mer</v>
      </c>
      <c r="L5" s="2" t="str">
        <f>TEXT(WEEKDAY(DATE(AnnéeCalendrier,10,10),1),"jjj")</f>
        <v>jeu</v>
      </c>
      <c r="M5" s="2" t="str">
        <f>TEXT(WEEKDAY(DATE(AnnéeCalendrier,10,11),1),"jjj")</f>
        <v>ven</v>
      </c>
      <c r="N5" s="2" t="str">
        <f>TEXT(WEEKDAY(DATE(AnnéeCalendrier,10,12),1),"jjj")</f>
        <v>sam</v>
      </c>
      <c r="O5" s="2" t="str">
        <f>TEXT(WEEKDAY(DATE(AnnéeCalendrier,10,13),1),"jjj")</f>
        <v>dim</v>
      </c>
      <c r="P5" s="2" t="str">
        <f>TEXT(WEEKDAY(DATE(AnnéeCalendrier,10,14),1),"jjj")</f>
        <v>lun</v>
      </c>
      <c r="Q5" s="2" t="str">
        <f>TEXT(WEEKDAY(DATE(AnnéeCalendrier,10,15),1),"jjj")</f>
        <v>mar</v>
      </c>
      <c r="R5" s="2" t="str">
        <f>TEXT(WEEKDAY(DATE(AnnéeCalendrier,10,16),1),"jjj")</f>
        <v>mer</v>
      </c>
      <c r="S5" s="2" t="str">
        <f>TEXT(WEEKDAY(DATE(AnnéeCalendrier,10,17),1),"jjj")</f>
        <v>jeu</v>
      </c>
      <c r="T5" s="2" t="str">
        <f>TEXT(WEEKDAY(DATE(AnnéeCalendrier,10,18),1),"jjj")</f>
        <v>ven</v>
      </c>
      <c r="U5" s="2" t="str">
        <f>TEXT(WEEKDAY(DATE(AnnéeCalendrier,10,19),1),"jjj")</f>
        <v>sam</v>
      </c>
      <c r="V5" s="2" t="str">
        <f>TEXT(WEEKDAY(DATE(AnnéeCalendrier,10,20),1),"jjj")</f>
        <v>dim</v>
      </c>
      <c r="W5" s="2" t="str">
        <f>TEXT(WEEKDAY(DATE(AnnéeCalendrier,10,21),1),"jjj")</f>
        <v>lun</v>
      </c>
      <c r="X5" s="2" t="str">
        <f>TEXT(WEEKDAY(DATE(AnnéeCalendrier,10,22),1),"jjj")</f>
        <v>mar</v>
      </c>
      <c r="Y5" s="2" t="str">
        <f>TEXT(WEEKDAY(DATE(AnnéeCalendrier,10,23),1),"jjj")</f>
        <v>mer</v>
      </c>
      <c r="Z5" s="2" t="str">
        <f>TEXT(WEEKDAY(DATE(AnnéeCalendrier,10,24),1),"jjj")</f>
        <v>jeu</v>
      </c>
      <c r="AA5" s="2" t="str">
        <f>TEXT(WEEKDAY(DATE(AnnéeCalendrier,10,25),1),"jjj")</f>
        <v>ven</v>
      </c>
      <c r="AB5" s="2" t="str">
        <f>TEXT(WEEKDAY(DATE(AnnéeCalendrier,10,26),1),"jjj")</f>
        <v>sam</v>
      </c>
      <c r="AC5" s="2" t="str">
        <f>TEXT(WEEKDAY(DATE(AnnéeCalendrier,10,27),1),"jjj")</f>
        <v>dim</v>
      </c>
      <c r="AD5" s="2" t="str">
        <f>TEXT(WEEKDAY(DATE(AnnéeCalendrier,10,28),1),"jjj")</f>
        <v>lun</v>
      </c>
      <c r="AE5" s="2" t="str">
        <f>TEXT(WEEKDAY(DATE(AnnéeCalendrier,10,29),1),"jjj")</f>
        <v>mar</v>
      </c>
      <c r="AF5" s="2" t="str">
        <f>TEXT(WEEKDAY(DATE(AnnéeCalendrier,10,30),1),"jjj")</f>
        <v>mer</v>
      </c>
      <c r="AG5" s="2" t="str">
        <f>TEXT(WEEKDAY(DATE(AnnéeCalendrier,10,31),1),"jjj")</f>
        <v>jeu</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COUNTA(Octobre[[#This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COUNTA(Octobre[[#This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COUNTA(Octobre[[#This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COUNTA(Octobre[[#This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COUNTA(Octobre[[#This Row],[1]:[31]])</f>
        <v>0</v>
      </c>
    </row>
    <row r="12" spans="2:34" ht="30" customHeight="1" x14ac:dyDescent="0.25">
      <c r="B12" s="21" t="str">
        <f>NomMois&amp;" Total"</f>
        <v>Octobre Total</v>
      </c>
      <c r="C12" s="13">
        <f>SUBTOTAL(103,Octobre[1])</f>
        <v>0</v>
      </c>
      <c r="D12" s="13">
        <f>SUBTOTAL(103,Octobre[2])</f>
        <v>0</v>
      </c>
      <c r="E12" s="13">
        <f>SUBTOTAL(103,Octobre[3])</f>
        <v>0</v>
      </c>
      <c r="F12" s="13">
        <f>SUBTOTAL(103,Octobre[4])</f>
        <v>0</v>
      </c>
      <c r="G12" s="13">
        <f>SUBTOTAL(103,Octobre[5])</f>
        <v>0</v>
      </c>
      <c r="H12" s="13">
        <f>SUBTOTAL(103,Octobre[6])</f>
        <v>0</v>
      </c>
      <c r="I12" s="13">
        <f>SUBTOTAL(103,Octobre[7])</f>
        <v>0</v>
      </c>
      <c r="J12" s="13">
        <f>SUBTOTAL(103,Octobre[8])</f>
        <v>0</v>
      </c>
      <c r="K12" s="13">
        <f>SUBTOTAL(103,Octobre[9])</f>
        <v>0</v>
      </c>
      <c r="L12" s="13">
        <f>SUBTOTAL(103,Octobre[10])</f>
        <v>0</v>
      </c>
      <c r="M12" s="13">
        <f>SUBTOTAL(103,Octobre[11])</f>
        <v>0</v>
      </c>
      <c r="N12" s="13">
        <f>SUBTOTAL(103,Octobre[12])</f>
        <v>0</v>
      </c>
      <c r="O12" s="13">
        <f>SUBTOTAL(103,Octobre[13])</f>
        <v>0</v>
      </c>
      <c r="P12" s="13">
        <f>SUBTOTAL(103,Octobre[14])</f>
        <v>0</v>
      </c>
      <c r="Q12" s="13">
        <f>SUBTOTAL(103,Octobre[15])</f>
        <v>0</v>
      </c>
      <c r="R12" s="13">
        <f>SUBTOTAL(103,Octobre[16])</f>
        <v>0</v>
      </c>
      <c r="S12" s="13">
        <f>SUBTOTAL(103,Octobre[17])</f>
        <v>0</v>
      </c>
      <c r="T12" s="13">
        <f>SUBTOTAL(103,Octobre[18])</f>
        <v>0</v>
      </c>
      <c r="U12" s="13">
        <f>SUBTOTAL(103,Octobre[19])</f>
        <v>0</v>
      </c>
      <c r="V12" s="13">
        <f>SUBTOTAL(103,Octobre[20])</f>
        <v>0</v>
      </c>
      <c r="W12" s="13">
        <f>SUBTOTAL(103,Octobre[21])</f>
        <v>0</v>
      </c>
      <c r="X12" s="13">
        <f>SUBTOTAL(103,Octobre[22])</f>
        <v>0</v>
      </c>
      <c r="Y12" s="13">
        <f>SUBTOTAL(103,Octobre[23])</f>
        <v>0</v>
      </c>
      <c r="Z12" s="13">
        <f>SUBTOTAL(103,Octobre[24])</f>
        <v>0</v>
      </c>
      <c r="AA12" s="13">
        <f>SUBTOTAL(103,Octobre[25])</f>
        <v>0</v>
      </c>
      <c r="AB12" s="13">
        <f>SUBTOTAL(103,Octobre[26])</f>
        <v>0</v>
      </c>
      <c r="AC12" s="13">
        <f>SUBTOTAL(103,Octobre[27])</f>
        <v>0</v>
      </c>
      <c r="AD12" s="13">
        <f>SUBTOTAL(103,Octobre[28])</f>
        <v>0</v>
      </c>
      <c r="AE12" s="13">
        <f>SUBTOTAL(103,Octobre[29])</f>
        <v>0</v>
      </c>
      <c r="AF12" s="13">
        <f>SUBTOTAL(103,Octobre[30])</f>
        <v>0</v>
      </c>
      <c r="AG12" s="13">
        <f>SUBTOTAL(103,Octobre[31])</f>
        <v>0</v>
      </c>
      <c r="AH12" s="13">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22" priority="2" stopIfTrue="1">
      <formula>C7=CléPersonnalisée2</formula>
    </cfRule>
    <cfRule type="expression" dxfId="221" priority="3" stopIfTrue="1">
      <formula>C7=CléPersonnalisée1</formula>
    </cfRule>
    <cfRule type="expression" dxfId="220" priority="4" stopIfTrue="1">
      <formula>C7=CléMaladie</formula>
    </cfRule>
    <cfRule type="expression" dxfId="219" priority="5" stopIfTrue="1">
      <formula>C7=CléPersonnel</formula>
    </cfRule>
    <cfRule type="expression" dxfId="218"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employés'!$B$4:$B$8</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2" tint="-0.249977111117893"/>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62</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TEXT(WEEKDAY(DATE(AnnéeCalendrier,11,1),1),"jjj")</f>
        <v>ven</v>
      </c>
      <c r="D5" s="2" t="str">
        <f>TEXT(WEEKDAY(DATE(AnnéeCalendrier,11,2),1),"jjj")</f>
        <v>sam</v>
      </c>
      <c r="E5" s="2" t="str">
        <f>TEXT(WEEKDAY(DATE(AnnéeCalendrier,11,3),1),"jjj")</f>
        <v>dim</v>
      </c>
      <c r="F5" s="2" t="str">
        <f>TEXT(WEEKDAY(DATE(AnnéeCalendrier,11,4),1),"jjj")</f>
        <v>lun</v>
      </c>
      <c r="G5" s="2" t="str">
        <f>TEXT(WEEKDAY(DATE(AnnéeCalendrier,11,5),1),"jjj")</f>
        <v>mar</v>
      </c>
      <c r="H5" s="2" t="str">
        <f>TEXT(WEEKDAY(DATE(AnnéeCalendrier,11,6),1),"jjj")</f>
        <v>mer</v>
      </c>
      <c r="I5" s="2" t="str">
        <f>TEXT(WEEKDAY(DATE(AnnéeCalendrier,11,7),1),"jjj")</f>
        <v>jeu</v>
      </c>
      <c r="J5" s="2" t="str">
        <f>TEXT(WEEKDAY(DATE(AnnéeCalendrier,11,8),1),"jjj")</f>
        <v>ven</v>
      </c>
      <c r="K5" s="2" t="str">
        <f>TEXT(WEEKDAY(DATE(AnnéeCalendrier,11,9),1),"jjj")</f>
        <v>sam</v>
      </c>
      <c r="L5" s="2" t="str">
        <f>TEXT(WEEKDAY(DATE(AnnéeCalendrier,11,10),1),"jjj")</f>
        <v>dim</v>
      </c>
      <c r="M5" s="2" t="str">
        <f>TEXT(WEEKDAY(DATE(AnnéeCalendrier,11,11),1),"jjj")</f>
        <v>lun</v>
      </c>
      <c r="N5" s="2" t="str">
        <f>TEXT(WEEKDAY(DATE(AnnéeCalendrier,11,12),1),"jjj")</f>
        <v>mar</v>
      </c>
      <c r="O5" s="2" t="str">
        <f>TEXT(WEEKDAY(DATE(AnnéeCalendrier,11,13),1),"jjj")</f>
        <v>mer</v>
      </c>
      <c r="P5" s="2" t="str">
        <f>TEXT(WEEKDAY(DATE(AnnéeCalendrier,11,14),1),"jjj")</f>
        <v>jeu</v>
      </c>
      <c r="Q5" s="2" t="str">
        <f>TEXT(WEEKDAY(DATE(AnnéeCalendrier,11,15),1),"jjj")</f>
        <v>ven</v>
      </c>
      <c r="R5" s="2" t="str">
        <f>TEXT(WEEKDAY(DATE(AnnéeCalendrier,11,16),1),"jjj")</f>
        <v>sam</v>
      </c>
      <c r="S5" s="2" t="str">
        <f>TEXT(WEEKDAY(DATE(AnnéeCalendrier,11,17),1),"jjj")</f>
        <v>dim</v>
      </c>
      <c r="T5" s="2" t="str">
        <f>TEXT(WEEKDAY(DATE(AnnéeCalendrier,11,18),1),"jjj")</f>
        <v>lun</v>
      </c>
      <c r="U5" s="2" t="str">
        <f>TEXT(WEEKDAY(DATE(AnnéeCalendrier,11,19),1),"jjj")</f>
        <v>mar</v>
      </c>
      <c r="V5" s="2" t="str">
        <f>TEXT(WEEKDAY(DATE(AnnéeCalendrier,11,20),1),"jjj")</f>
        <v>mer</v>
      </c>
      <c r="W5" s="2" t="str">
        <f>TEXT(WEEKDAY(DATE(AnnéeCalendrier,11,21),1),"jjj")</f>
        <v>jeu</v>
      </c>
      <c r="X5" s="2" t="str">
        <f>TEXT(WEEKDAY(DATE(AnnéeCalendrier,11,22),1),"jjj")</f>
        <v>ven</v>
      </c>
      <c r="Y5" s="2" t="str">
        <f>TEXT(WEEKDAY(DATE(AnnéeCalendrier,11,23),1),"jjj")</f>
        <v>sam</v>
      </c>
      <c r="Z5" s="2" t="str">
        <f>TEXT(WEEKDAY(DATE(AnnéeCalendrier,11,24),1),"jjj")</f>
        <v>dim</v>
      </c>
      <c r="AA5" s="2" t="str">
        <f>TEXT(WEEKDAY(DATE(AnnéeCalendrier,11,25),1),"jjj")</f>
        <v>lun</v>
      </c>
      <c r="AB5" s="2" t="str">
        <f>TEXT(WEEKDAY(DATE(AnnéeCalendrier,11,26),1),"jjj")</f>
        <v>mar</v>
      </c>
      <c r="AC5" s="2" t="str">
        <f>TEXT(WEEKDAY(DATE(AnnéeCalendrier,11,27),1),"jjj")</f>
        <v>mer</v>
      </c>
      <c r="AD5" s="2" t="str">
        <f>TEXT(WEEKDAY(DATE(AnnéeCalendrier,11,28),1),"jjj")</f>
        <v>jeu</v>
      </c>
      <c r="AE5" s="2" t="str">
        <f>TEXT(WEEKDAY(DATE(AnnéeCalendrier,11,29),1),"jjj")</f>
        <v>ven</v>
      </c>
      <c r="AF5" s="2" t="str">
        <f>TEXT(WEEKDAY(DATE(AnnéeCalendrier,11,30),1),"jjj")</f>
        <v>sam</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COUNTA(Novembre[[#This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COUNTA(Novembre[[#This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COUNTA(Novembre[[#This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COUNTA(Novembre[[#This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COUNTA(Novembre[[#This Row],[1]:[30]])</f>
        <v>0</v>
      </c>
    </row>
    <row r="12" spans="2:34" ht="30" customHeight="1" x14ac:dyDescent="0.25">
      <c r="B12" s="21" t="str">
        <f>NomMois&amp;" Total"</f>
        <v>Novembre Total</v>
      </c>
      <c r="C12" s="13">
        <f>SUBTOTAL(103,Novembre[1])</f>
        <v>0</v>
      </c>
      <c r="D12" s="13">
        <f>SUBTOTAL(103,Novembre[2])</f>
        <v>0</v>
      </c>
      <c r="E12" s="13">
        <f>SUBTOTAL(103,Novembre[3])</f>
        <v>0</v>
      </c>
      <c r="F12" s="13">
        <f>SUBTOTAL(103,Novembre[4])</f>
        <v>0</v>
      </c>
      <c r="G12" s="13">
        <f>SUBTOTAL(103,Novembre[5])</f>
        <v>0</v>
      </c>
      <c r="H12" s="13">
        <f>SUBTOTAL(103,Novembre[6])</f>
        <v>0</v>
      </c>
      <c r="I12" s="13">
        <f>SUBTOTAL(103,Novembre[7])</f>
        <v>0</v>
      </c>
      <c r="J12" s="13">
        <f>SUBTOTAL(103,Novembre[8])</f>
        <v>0</v>
      </c>
      <c r="K12" s="13">
        <f>SUBTOTAL(103,Novembre[9])</f>
        <v>0</v>
      </c>
      <c r="L12" s="13">
        <f>SUBTOTAL(103,Novembre[10])</f>
        <v>0</v>
      </c>
      <c r="M12" s="13">
        <f>SUBTOTAL(103,Novembre[11])</f>
        <v>0</v>
      </c>
      <c r="N12" s="13">
        <f>SUBTOTAL(103,Novembre[12])</f>
        <v>0</v>
      </c>
      <c r="O12" s="13">
        <f>SUBTOTAL(103,Novembre[13])</f>
        <v>0</v>
      </c>
      <c r="P12" s="13">
        <f>SUBTOTAL(103,Novembre[14])</f>
        <v>0</v>
      </c>
      <c r="Q12" s="13">
        <f>SUBTOTAL(103,Novembre[15])</f>
        <v>0</v>
      </c>
      <c r="R12" s="13">
        <f>SUBTOTAL(103,Novembre[16])</f>
        <v>0</v>
      </c>
      <c r="S12" s="13">
        <f>SUBTOTAL(103,Novembre[17])</f>
        <v>0</v>
      </c>
      <c r="T12" s="13">
        <f>SUBTOTAL(103,Novembre[18])</f>
        <v>0</v>
      </c>
      <c r="U12" s="13">
        <f>SUBTOTAL(103,Novembre[19])</f>
        <v>0</v>
      </c>
      <c r="V12" s="13">
        <f>SUBTOTAL(103,Novembre[20])</f>
        <v>0</v>
      </c>
      <c r="W12" s="13">
        <f>SUBTOTAL(103,Novembre[21])</f>
        <v>0</v>
      </c>
      <c r="X12" s="13">
        <f>SUBTOTAL(103,Novembre[22])</f>
        <v>0</v>
      </c>
      <c r="Y12" s="13">
        <f>SUBTOTAL(103,Novembre[23])</f>
        <v>0</v>
      </c>
      <c r="Z12" s="13">
        <f>SUBTOTAL(103,Novembre[24])</f>
        <v>0</v>
      </c>
      <c r="AA12" s="13">
        <f>SUBTOTAL(103,Novembre[25])</f>
        <v>0</v>
      </c>
      <c r="AB12" s="13">
        <f>SUBTOTAL(103,Novembre[26])</f>
        <v>0</v>
      </c>
      <c r="AC12" s="13">
        <f>SUBTOTAL(103,Novembre[27])</f>
        <v>0</v>
      </c>
      <c r="AD12" s="13">
        <f>SUBTOTAL(103,Novembre[28])</f>
        <v>0</v>
      </c>
      <c r="AE12" s="13">
        <f>SUBTOTAL(103,Novembre[29])</f>
        <v>0</v>
      </c>
      <c r="AF12" s="13">
        <f>SUBTOTAL(103,Novembre[30])</f>
        <v>0</v>
      </c>
      <c r="AG12" s="13">
        <f>SUBTOTAL(103,Novembre[[ ]])</f>
        <v>0</v>
      </c>
      <c r="AH12" s="13">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8" priority="2" stopIfTrue="1">
      <formula>C7=CléPersonnalisée2</formula>
    </cfRule>
    <cfRule type="expression" dxfId="147" priority="3" stopIfTrue="1">
      <formula>C7=CléPersonnalisée1</formula>
    </cfRule>
    <cfRule type="expression" dxfId="146" priority="4" stopIfTrue="1">
      <formula>C7=CléMaladie</formula>
    </cfRule>
    <cfRule type="expression" dxfId="145" priority="5" stopIfTrue="1">
      <formula>C7=CléPersonnel</formula>
    </cfRule>
    <cfRule type="expression" dxfId="14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employés'!$B$4:$B$8</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7" tint="0.79998168889431442"/>
  </sheetPr>
  <dimension ref="A1:AH12"/>
  <sheetViews>
    <sheetView showGridLines="0" zoomScaleNormal="100" workbookViewId="0"/>
  </sheetViews>
  <sheetFormatPr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5" t="s">
        <v>12</v>
      </c>
      <c r="E2" s="25"/>
      <c r="F2" s="5" t="s">
        <v>15</v>
      </c>
      <c r="G2" s="25" t="s">
        <v>19</v>
      </c>
      <c r="H2" s="25"/>
      <c r="I2" s="25"/>
      <c r="J2" s="6" t="s">
        <v>17</v>
      </c>
      <c r="K2" s="25" t="s">
        <v>24</v>
      </c>
      <c r="L2" s="25"/>
      <c r="M2" s="7"/>
      <c r="N2" s="25" t="s">
        <v>28</v>
      </c>
      <c r="O2" s="25"/>
      <c r="P2" s="25"/>
      <c r="Q2" s="25"/>
      <c r="R2" s="8"/>
      <c r="S2" s="25" t="s">
        <v>33</v>
      </c>
      <c r="T2" s="25"/>
      <c r="U2" s="25"/>
      <c r="V2" s="25"/>
    </row>
    <row r="3" spans="2:34" ht="15" customHeight="1" x14ac:dyDescent="0.25">
      <c r="B3" s="14"/>
    </row>
    <row r="4" spans="2:34" ht="30" customHeight="1" x14ac:dyDescent="0.25">
      <c r="B4" s="12" t="s">
        <v>63</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2019</v>
      </c>
    </row>
    <row r="5" spans="2:34" ht="15" customHeight="1" x14ac:dyDescent="0.25">
      <c r="B5" s="12"/>
      <c r="C5" s="2" t="str">
        <f>TEXT(WEEKDAY(DATE(AnnéeCalendrier,12,1),1),"jjj")</f>
        <v>dim</v>
      </c>
      <c r="D5" s="2" t="str">
        <f>TEXT(WEEKDAY(DATE(AnnéeCalendrier,12,2),1),"jjj")</f>
        <v>lun</v>
      </c>
      <c r="E5" s="2" t="str">
        <f>TEXT(WEEKDAY(DATE(AnnéeCalendrier,12,3),1),"jjj")</f>
        <v>mar</v>
      </c>
      <c r="F5" s="2" t="str">
        <f>TEXT(WEEKDAY(DATE(AnnéeCalendrier,12,4),1),"jjj")</f>
        <v>mer</v>
      </c>
      <c r="G5" s="2" t="str">
        <f>TEXT(WEEKDAY(DATE(AnnéeCalendrier,12,5),1),"jjj")</f>
        <v>jeu</v>
      </c>
      <c r="H5" s="2" t="str">
        <f>TEXT(WEEKDAY(DATE(AnnéeCalendrier,12,6),1),"jjj")</f>
        <v>ven</v>
      </c>
      <c r="I5" s="2" t="str">
        <f>TEXT(WEEKDAY(DATE(AnnéeCalendrier,12,7),1),"jjj")</f>
        <v>sam</v>
      </c>
      <c r="J5" s="2" t="str">
        <f>TEXT(WEEKDAY(DATE(AnnéeCalendrier,12,8),1),"jjj")</f>
        <v>dim</v>
      </c>
      <c r="K5" s="2" t="str">
        <f>TEXT(WEEKDAY(DATE(AnnéeCalendrier,12,9),1),"jjj")</f>
        <v>lun</v>
      </c>
      <c r="L5" s="2" t="str">
        <f>TEXT(WEEKDAY(DATE(AnnéeCalendrier,12,10),1),"jjj")</f>
        <v>mar</v>
      </c>
      <c r="M5" s="2" t="str">
        <f>TEXT(WEEKDAY(DATE(AnnéeCalendrier,12,11),1),"jjj")</f>
        <v>mer</v>
      </c>
      <c r="N5" s="2" t="str">
        <f>TEXT(WEEKDAY(DATE(AnnéeCalendrier,12,12),1),"jjj")</f>
        <v>jeu</v>
      </c>
      <c r="O5" s="2" t="str">
        <f>TEXT(WEEKDAY(DATE(AnnéeCalendrier,12,13),1),"jjj")</f>
        <v>ven</v>
      </c>
      <c r="P5" s="2" t="str">
        <f>TEXT(WEEKDAY(DATE(AnnéeCalendrier,12,14),1),"jjj")</f>
        <v>sam</v>
      </c>
      <c r="Q5" s="2" t="str">
        <f>TEXT(WEEKDAY(DATE(AnnéeCalendrier,12,15),1),"jjj")</f>
        <v>dim</v>
      </c>
      <c r="R5" s="2" t="str">
        <f>TEXT(WEEKDAY(DATE(AnnéeCalendrier,12,16),1),"jjj")</f>
        <v>lun</v>
      </c>
      <c r="S5" s="2" t="str">
        <f>TEXT(WEEKDAY(DATE(AnnéeCalendrier,12,17),1),"jjj")</f>
        <v>mar</v>
      </c>
      <c r="T5" s="2" t="str">
        <f>TEXT(WEEKDAY(DATE(AnnéeCalendrier,12,18),1),"jjj")</f>
        <v>mer</v>
      </c>
      <c r="U5" s="2" t="str">
        <f>TEXT(WEEKDAY(DATE(AnnéeCalendrier,12,19),1),"jjj")</f>
        <v>jeu</v>
      </c>
      <c r="V5" s="2" t="str">
        <f>TEXT(WEEKDAY(DATE(AnnéeCalendrier,12,20),1),"jjj")</f>
        <v>ven</v>
      </c>
      <c r="W5" s="2" t="str">
        <f>TEXT(WEEKDAY(DATE(AnnéeCalendrier,12,21),1),"jjj")</f>
        <v>sam</v>
      </c>
      <c r="X5" s="2" t="str">
        <f>TEXT(WEEKDAY(DATE(AnnéeCalendrier,12,22),1),"jjj")</f>
        <v>dim</v>
      </c>
      <c r="Y5" s="2" t="str">
        <f>TEXT(WEEKDAY(DATE(AnnéeCalendrier,12,23),1),"jjj")</f>
        <v>lun</v>
      </c>
      <c r="Z5" s="2" t="str">
        <f>TEXT(WEEKDAY(DATE(AnnéeCalendrier,12,24),1),"jjj")</f>
        <v>mar</v>
      </c>
      <c r="AA5" s="2" t="str">
        <f>TEXT(WEEKDAY(DATE(AnnéeCalendrier,12,25),1),"jjj")</f>
        <v>mer</v>
      </c>
      <c r="AB5" s="2" t="str">
        <f>TEXT(WEEKDAY(DATE(AnnéeCalendrier,12,26),1),"jjj")</f>
        <v>jeu</v>
      </c>
      <c r="AC5" s="2" t="str">
        <f>TEXT(WEEKDAY(DATE(AnnéeCalendrier,12,27),1),"jjj")</f>
        <v>ven</v>
      </c>
      <c r="AD5" s="2" t="str">
        <f>TEXT(WEEKDAY(DATE(AnnéeCalendrier,12,28),1),"jjj")</f>
        <v>sam</v>
      </c>
      <c r="AE5" s="2" t="str">
        <f>TEXT(WEEKDAY(DATE(AnnéeCalendrier,12,29),1),"jjj")</f>
        <v>dim</v>
      </c>
      <c r="AF5" s="2" t="str">
        <f>TEXT(WEEKDAY(DATE(AnnéeCalendrier,12,30),1),"jjj")</f>
        <v>lun</v>
      </c>
      <c r="AG5" s="2" t="str">
        <f>TEXT(WEEKDAY(DATE(AnnéeCalendrier,12,31),1),"jjj")</f>
        <v>mar</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COUNTA(Décembre[[#This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COUNTA(Décembre[[#This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COUNTA(Décembre[[#This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COUNTA(Décembre[[#This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COUNTA(Décembre[[#This Row],[1]:[31]])</f>
        <v>0</v>
      </c>
    </row>
    <row r="12" spans="2:34" ht="30" customHeight="1" x14ac:dyDescent="0.25">
      <c r="B12" s="21" t="str">
        <f>NomMois&amp;" Total"</f>
        <v>Décembre Total</v>
      </c>
      <c r="C12" s="13">
        <f>SUBTOTAL(103,Décembre[1])</f>
        <v>0</v>
      </c>
      <c r="D12" s="13">
        <f>SUBTOTAL(103,Décembre[2])</f>
        <v>0</v>
      </c>
      <c r="E12" s="13">
        <f>SUBTOTAL(103,Décembre[3])</f>
        <v>0</v>
      </c>
      <c r="F12" s="13">
        <f>SUBTOTAL(103,Décembre[4])</f>
        <v>0</v>
      </c>
      <c r="G12" s="13">
        <f>SUBTOTAL(103,Décembre[5])</f>
        <v>0</v>
      </c>
      <c r="H12" s="13">
        <f>SUBTOTAL(103,Décembre[6])</f>
        <v>0</v>
      </c>
      <c r="I12" s="13">
        <f>SUBTOTAL(103,Décembre[7])</f>
        <v>0</v>
      </c>
      <c r="J12" s="13">
        <f>SUBTOTAL(103,Décembre[8])</f>
        <v>0</v>
      </c>
      <c r="K12" s="13">
        <f>SUBTOTAL(103,Décembre[9])</f>
        <v>0</v>
      </c>
      <c r="L12" s="13">
        <f>SUBTOTAL(103,Décembre[10])</f>
        <v>0</v>
      </c>
      <c r="M12" s="13">
        <f>SUBTOTAL(103,Décembre[11])</f>
        <v>0</v>
      </c>
      <c r="N12" s="13">
        <f>SUBTOTAL(103,Décembre[12])</f>
        <v>0</v>
      </c>
      <c r="O12" s="13">
        <f>SUBTOTAL(103,Décembre[13])</f>
        <v>0</v>
      </c>
      <c r="P12" s="13">
        <f>SUBTOTAL(103,Décembre[14])</f>
        <v>0</v>
      </c>
      <c r="Q12" s="13">
        <f>SUBTOTAL(103,Décembre[15])</f>
        <v>0</v>
      </c>
      <c r="R12" s="13">
        <f>SUBTOTAL(103,Décembre[16])</f>
        <v>0</v>
      </c>
      <c r="S12" s="13">
        <f>SUBTOTAL(103,Décembre[17])</f>
        <v>0</v>
      </c>
      <c r="T12" s="13">
        <f>SUBTOTAL(103,Décembre[18])</f>
        <v>0</v>
      </c>
      <c r="U12" s="13">
        <f>SUBTOTAL(103,Décembre[19])</f>
        <v>0</v>
      </c>
      <c r="V12" s="13">
        <f>SUBTOTAL(103,Décembre[20])</f>
        <v>0</v>
      </c>
      <c r="W12" s="13">
        <f>SUBTOTAL(103,Décembre[21])</f>
        <v>0</v>
      </c>
      <c r="X12" s="13">
        <f>SUBTOTAL(103,Décembre[22])</f>
        <v>0</v>
      </c>
      <c r="Y12" s="13">
        <f>SUBTOTAL(103,Décembre[23])</f>
        <v>0</v>
      </c>
      <c r="Z12" s="13">
        <f>SUBTOTAL(103,Décembre[24])</f>
        <v>0</v>
      </c>
      <c r="AA12" s="13">
        <f>SUBTOTAL(103,Décembre[25])</f>
        <v>0</v>
      </c>
      <c r="AB12" s="13">
        <f>SUBTOTAL(103,Décembre[26])</f>
        <v>0</v>
      </c>
      <c r="AC12" s="13">
        <f>SUBTOTAL(103,Décembre[27])</f>
        <v>0</v>
      </c>
      <c r="AD12" s="13">
        <f>SUBTOTAL(103,Décembre[28])</f>
        <v>0</v>
      </c>
      <c r="AE12" s="13">
        <f>SUBTOTAL(103,Décembre[29])</f>
        <v>0</v>
      </c>
      <c r="AF12" s="13">
        <f>SUBTOTAL(103,Décembre[30])</f>
        <v>0</v>
      </c>
      <c r="AG12" s="13">
        <f>SUBTOTAL(103,Décembre[31])</f>
        <v>0</v>
      </c>
      <c r="AH12" s="13">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4" priority="2" stopIfTrue="1">
      <formula>C7=CléPersonnalisée2</formula>
    </cfRule>
    <cfRule type="expression" dxfId="73" priority="3" stopIfTrue="1">
      <formula>C7=CléPersonnalisée1</formula>
    </cfRule>
    <cfRule type="expression" dxfId="72" priority="4" stopIfTrue="1">
      <formula>C7=CléMaladie</formula>
    </cfRule>
    <cfRule type="expression" dxfId="71" priority="5" stopIfTrue="1">
      <formula>C7=CléPersonnel</formula>
    </cfRule>
    <cfRule type="expression" dxfId="70"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employés'!$B$4:$B$8</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B8"/>
  <sheetViews>
    <sheetView showGridLines="0" workbookViewId="0"/>
  </sheetViews>
  <sheetFormatPr defaultColWidth="9.140625" defaultRowHeight="30" customHeight="1" x14ac:dyDescent="0.25"/>
  <cols>
    <col min="1" max="1" width="2.7109375" customWidth="1"/>
    <col min="2" max="2" width="30.7109375" customWidth="1"/>
    <col min="3" max="3" width="2.7109375" customWidth="1"/>
  </cols>
  <sheetData>
    <row r="1" spans="2:2" ht="50.1" customHeight="1" x14ac:dyDescent="0.25">
      <c r="B1" s="22" t="s">
        <v>64</v>
      </c>
    </row>
    <row r="2" spans="2:2" ht="15" customHeight="1" x14ac:dyDescent="0.25"/>
    <row r="3" spans="2:2" ht="30" customHeight="1" x14ac:dyDescent="0.25">
      <c r="B3" t="s">
        <v>64</v>
      </c>
    </row>
    <row r="4" spans="2:2" ht="30" customHeight="1" x14ac:dyDescent="0.25">
      <c r="B4" s="1" t="s">
        <v>4</v>
      </c>
    </row>
    <row r="5" spans="2:2" ht="30" customHeight="1" x14ac:dyDescent="0.25">
      <c r="B5" s="1" t="s">
        <v>5</v>
      </c>
    </row>
    <row r="6" spans="2:2" ht="30" customHeight="1" x14ac:dyDescent="0.25">
      <c r="B6" s="1" t="s">
        <v>6</v>
      </c>
    </row>
    <row r="7" spans="2:2" ht="30" customHeight="1" x14ac:dyDescent="0.25">
      <c r="B7" s="1" t="s">
        <v>7</v>
      </c>
    </row>
    <row r="8" spans="2:2" ht="30" customHeight="1" x14ac:dyDescent="0.25">
      <c r="B8" s="1" t="s">
        <v>8</v>
      </c>
    </row>
  </sheetData>
  <dataValidations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13</vt:i4>
      </vt:variant>
      <vt:variant>
        <vt:lpstr>Named Ranges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Août!Print_Titles</vt:lpstr>
      <vt:lpstr>Avril!Print_Titles</vt:lpstr>
      <vt:lpstr>Décembre!Print_Titles</vt:lpstr>
      <vt:lpstr>Février!Print_Titles</vt:lpstr>
      <vt:lpstr>Janvier!Print_Titles</vt:lpstr>
      <vt:lpstr>Juillet!Print_Titles</vt:lpstr>
      <vt:lpstr>Juin!Print_Titles</vt:lpstr>
      <vt:lpstr>Mai!Print_Titles</vt:lpstr>
      <vt:lpstr>Mars!Print_Titles</vt:lpstr>
      <vt:lpstr>Novembre!Print_Titles</vt:lpstr>
      <vt:lpstr>Octobre!Print_Titles</vt:lpstr>
      <vt:lpstr>Septembre!Print_Titles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Ziv Yang</cp:lastModifiedBy>
  <dcterms:created xsi:type="dcterms:W3CDTF">2016-12-06T04:52:27Z</dcterms:created>
  <dcterms:modified xsi:type="dcterms:W3CDTF">2019-09-02T06:06:27Z</dcterms:modified>
</cp:coreProperties>
</file>