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D:\Cylfo\EP\Parigoo\"/>
    </mc:Choice>
  </mc:AlternateContent>
  <xr:revisionPtr revIDLastSave="0" documentId="13_ncr:1_{6321F079-A9B0-4692-AF4A-DB4A0D156A4B}" xr6:coauthVersionLast="47" xr6:coauthVersionMax="47" xr10:uidLastSave="{00000000-0000-0000-0000-000000000000}"/>
  <bookViews>
    <workbookView xWindow="-120" yWindow="-120" windowWidth="29040" windowHeight="15720" tabRatio="686" xr2:uid="{00000000-000D-0000-FFFF-FFFF00000000}"/>
  </bookViews>
  <sheets>
    <sheet name="Collègue" sheetId="27" r:id="rId1"/>
    <sheet name="Janvier" sheetId="4" r:id="rId2"/>
    <sheet name="Février" sheetId="5" r:id="rId3"/>
    <sheet name="Mars" sheetId="17" r:id="rId4"/>
    <sheet name="Avril" sheetId="18" r:id="rId5"/>
    <sheet name="Mai" sheetId="19" r:id="rId6"/>
    <sheet name="Juin" sheetId="20" r:id="rId7"/>
    <sheet name="Juillet" sheetId="21" r:id="rId8"/>
    <sheet name="Août" sheetId="22" r:id="rId9"/>
    <sheet name="Septembre" sheetId="23" r:id="rId10"/>
    <sheet name="Octobre" sheetId="24" r:id="rId11"/>
    <sheet name="Novembre" sheetId="25" r:id="rId12"/>
    <sheet name="Décembre" sheetId="15" r:id="rId13"/>
  </sheets>
  <definedNames>
    <definedName name="AnnéeCalendrier">Janvier!$AH$4</definedName>
    <definedName name="CléCongé">Janvier!$C$2</definedName>
    <definedName name="CléMaladie">Janvier!$J$2</definedName>
    <definedName name="CléPersonnalisée1">Janvier!$M$2</definedName>
    <definedName name="CléPersonnalisée2">Janvier!$R$2</definedName>
    <definedName name="CléPersonnel">Janvier!$F$2</definedName>
    <definedName name="ÉtiquetteCléCongé">Janvier!$D$2</definedName>
    <definedName name="ÉtiquetteCléMaladie">Janvier!$K$2</definedName>
    <definedName name="ÉtiquetteCléPersonnalisée1">Janvier!$N$2</definedName>
    <definedName name="ÉtiquetteCléPersonnalisée2">Janvier!$S$2</definedName>
    <definedName name="ÉtiquetteCléPersonnel">Janvier!$G$2</definedName>
    <definedName name="_xlnm.Print_Titles" localSheetId="8">Août!$4:$6</definedName>
    <definedName name="_xlnm.Print_Titles" localSheetId="4">Avril!$4:$6</definedName>
    <definedName name="_xlnm.Print_Titles" localSheetId="12">Décembre!$4:$6</definedName>
    <definedName name="_xlnm.Print_Titles" localSheetId="2">Février!$4:$6</definedName>
    <definedName name="_xlnm.Print_Titles" localSheetId="1">Janvier!$4:$6</definedName>
    <definedName name="_xlnm.Print_Titles" localSheetId="7">Juillet!$4:$6</definedName>
    <definedName name="_xlnm.Print_Titles" localSheetId="6">Juin!$4:$6</definedName>
    <definedName name="_xlnm.Print_Titles" localSheetId="5">Mai!$4:$6</definedName>
    <definedName name="_xlnm.Print_Titles" localSheetId="3">Mars!$4:$6</definedName>
    <definedName name="_xlnm.Print_Titles" localSheetId="11">Novembre!$4:$6</definedName>
    <definedName name="_xlnm.Print_Titles" localSheetId="10">Octobre!$4:$6</definedName>
    <definedName name="_xlnm.Print_Titles" localSheetId="9">Septembre!$4:$6</definedName>
    <definedName name="Nom_clé">Janvier!$B$2</definedName>
    <definedName name="NomMois" localSheetId="8">Août!$B$4</definedName>
    <definedName name="NomMois" localSheetId="4">Avril!$B$4</definedName>
    <definedName name="NomMois" localSheetId="12">Décembre!$B$4</definedName>
    <definedName name="NomMois" localSheetId="2">Février!$B$4</definedName>
    <definedName name="NomMois" localSheetId="1">Janvier!$B$4</definedName>
    <definedName name="NomMois" localSheetId="7">Juillet!$B$4</definedName>
    <definedName name="NomMois" localSheetId="6">Juin!$B$4</definedName>
    <definedName name="NomMois" localSheetId="5">Mai!$B$4</definedName>
    <definedName name="NomMois" localSheetId="3">Mars!$B$4</definedName>
    <definedName name="NomMois" localSheetId="11">Novembre!$B$4</definedName>
    <definedName name="NomMois" localSheetId="10">Octobre!$B$4</definedName>
    <definedName name="NomMois" localSheetId="9">Septembre!$B$4</definedName>
    <definedName name="Titre_Absence_Employé">Janvier!$B$1</definedName>
    <definedName name="Titre1">Janvier[[#Headers],[Nom de l’employé]]</definedName>
    <definedName name="Titre10">Octobre[[#Headers],[Nom de l’employé]]</definedName>
    <definedName name="Titre11">Novembre[[#Headers],[Nom de l’employé]]</definedName>
    <definedName name="Titre12">Décembre[[#Headers],[Nom de l’employé]]</definedName>
    <definedName name="Titre2">Février[[#Headers],[Nom de l’employé]]</definedName>
    <definedName name="Titre3">Mars[[#Headers],[Nom de l’employé]]</definedName>
    <definedName name="Titre4">Avril[[#Headers],[Nom de l’employé]]</definedName>
    <definedName name="Titre5">Mai[[#Headers],[Nom de l’employé]]</definedName>
    <definedName name="Titre6">Juin[[#Headers],[Nom de l’employé]]</definedName>
    <definedName name="Titre7">Juillet[[#Headers],[Nom de l’employé]]</definedName>
    <definedName name="Titre8">Août[[#Headers],[Nom de l’employé]]</definedName>
    <definedName name="Titre9">Septembre[[#Headers],[Nom de l’employé]]</definedName>
    <definedName name="TitreColonne13">#REF!</definedName>
  </definedNames>
  <calcPr calcId="191029"/>
</workbook>
</file>

<file path=xl/calcChain.xml><?xml version="1.0" encoding="utf-8"?>
<calcChain xmlns="http://schemas.openxmlformats.org/spreadsheetml/2006/main">
  <c r="E3" i="27" l="1"/>
  <c r="AH11" i="5"/>
  <c r="E23" i="27"/>
  <c r="E11" i="27"/>
  <c r="E21" i="27"/>
  <c r="E9" i="27"/>
  <c r="E16" i="27"/>
  <c r="E14" i="27"/>
  <c r="E7" i="27"/>
  <c r="E24" i="27"/>
  <c r="E12" i="27"/>
  <c r="E19" i="27"/>
  <c r="E17" i="27"/>
  <c r="E22" i="27"/>
  <c r="E10" i="27"/>
  <c r="E15" i="27"/>
  <c r="E20" i="27"/>
  <c r="E8" i="27"/>
  <c r="E13" i="27"/>
  <c r="E18" i="27"/>
  <c r="E6" i="27"/>
  <c r="E5" i="27"/>
  <c r="F3" i="27" l="1"/>
  <c r="B12" i="15"/>
  <c r="B12" i="25"/>
  <c r="B12" i="24"/>
  <c r="B12" i="23"/>
  <c r="B12" i="22"/>
  <c r="B12" i="21"/>
  <c r="B12" i="20"/>
  <c r="B12" i="19"/>
  <c r="B12" i="18"/>
  <c r="B12" i="17"/>
  <c r="B12" i="5"/>
  <c r="B12" i="4"/>
  <c r="B1" i="17"/>
  <c r="B1" i="18"/>
  <c r="B1" i="19"/>
  <c r="B1" i="20"/>
  <c r="B1" i="21"/>
  <c r="B1" i="22"/>
  <c r="B1" i="23"/>
  <c r="B1" i="24"/>
  <c r="B1" i="25"/>
  <c r="B1" i="15"/>
  <c r="B1" i="5"/>
  <c r="AG12" i="4"/>
  <c r="AF12" i="4"/>
  <c r="AE12" i="4"/>
  <c r="AD12" i="4"/>
  <c r="AC12" i="4"/>
  <c r="AB12" i="4"/>
  <c r="AA12" i="4"/>
  <c r="Z12" i="4"/>
  <c r="Y12" i="4"/>
  <c r="X12" i="4"/>
  <c r="W12" i="4"/>
  <c r="V12" i="4"/>
  <c r="U12" i="4"/>
  <c r="T12" i="4"/>
  <c r="S12" i="4"/>
  <c r="R12" i="4"/>
  <c r="Q12" i="4"/>
  <c r="P12" i="4"/>
  <c r="O12" i="4"/>
  <c r="N12" i="4"/>
  <c r="M12" i="4"/>
  <c r="L12" i="4"/>
  <c r="K12" i="4"/>
  <c r="J12" i="4"/>
  <c r="I12" i="4"/>
  <c r="H12" i="4"/>
  <c r="G12" i="4"/>
  <c r="F12" i="4"/>
  <c r="E12" i="4"/>
  <c r="D12" i="4"/>
  <c r="C12" i="4"/>
  <c r="AH7" i="4"/>
  <c r="AH8" i="4"/>
  <c r="AH9" i="4"/>
  <c r="AH10" i="4"/>
  <c r="AH11" i="4"/>
  <c r="AH8" i="15"/>
  <c r="AH9" i="15"/>
  <c r="AH10" i="15"/>
  <c r="AH11" i="15"/>
  <c r="AH7" i="15"/>
  <c r="AH8" i="25"/>
  <c r="AH9" i="25"/>
  <c r="AH10" i="25"/>
  <c r="AH11" i="25"/>
  <c r="AH7" i="25"/>
  <c r="AH8" i="24"/>
  <c r="AH9" i="24"/>
  <c r="AH10" i="24"/>
  <c r="AH11" i="24"/>
  <c r="AH7" i="24"/>
  <c r="AH8" i="23"/>
  <c r="AH9" i="23"/>
  <c r="AH10" i="23"/>
  <c r="AH11" i="23"/>
  <c r="AH7" i="23"/>
  <c r="AH8" i="22"/>
  <c r="AH9" i="22"/>
  <c r="AH10" i="22"/>
  <c r="AH11" i="22"/>
  <c r="AH7" i="22"/>
  <c r="AH8" i="21"/>
  <c r="AH9" i="21"/>
  <c r="AH10" i="21"/>
  <c r="AH11" i="21"/>
  <c r="AH7" i="21"/>
  <c r="AH8" i="20"/>
  <c r="AH9" i="20"/>
  <c r="AH10" i="20"/>
  <c r="AH11" i="20"/>
  <c r="AH7" i="20"/>
  <c r="AH8" i="19"/>
  <c r="AH9" i="19"/>
  <c r="AH10" i="19"/>
  <c r="AH11" i="19"/>
  <c r="AH7" i="19"/>
  <c r="AH8" i="18"/>
  <c r="AH9" i="18"/>
  <c r="AH10" i="18"/>
  <c r="AH11" i="18"/>
  <c r="AH7" i="18"/>
  <c r="AH8" i="17"/>
  <c r="AH9" i="17"/>
  <c r="AH10" i="17"/>
  <c r="AH11" i="17"/>
  <c r="AH7" i="17"/>
  <c r="AH8" i="5"/>
  <c r="AH9" i="5"/>
  <c r="AH10" i="5"/>
  <c r="AH7" i="5"/>
  <c r="AG5" i="17"/>
  <c r="AF5" i="17"/>
  <c r="AE5" i="17"/>
  <c r="AD5" i="17"/>
  <c r="AC5" i="17"/>
  <c r="AB5" i="17"/>
  <c r="AA5" i="17"/>
  <c r="Z5" i="17"/>
  <c r="Y5" i="17"/>
  <c r="X5" i="17"/>
  <c r="W5" i="17"/>
  <c r="V5" i="17"/>
  <c r="U5" i="17"/>
  <c r="T5" i="17"/>
  <c r="S5" i="17"/>
  <c r="R5" i="17"/>
  <c r="Q5" i="17"/>
  <c r="P5" i="17"/>
  <c r="O5" i="17"/>
  <c r="N5" i="17"/>
  <c r="M5" i="17"/>
  <c r="L5" i="17"/>
  <c r="K5" i="17"/>
  <c r="J5" i="17"/>
  <c r="I5" i="17"/>
  <c r="H5" i="17"/>
  <c r="G5" i="17"/>
  <c r="F5" i="17"/>
  <c r="E5" i="17"/>
  <c r="D5" i="17"/>
  <c r="C5" i="17"/>
  <c r="AH4" i="17"/>
  <c r="AF5" i="18"/>
  <c r="AE5" i="18"/>
  <c r="AD5" i="18"/>
  <c r="AC5" i="18"/>
  <c r="AB5" i="18"/>
  <c r="AA5" i="18"/>
  <c r="Z5" i="18"/>
  <c r="Y5" i="18"/>
  <c r="X5" i="18"/>
  <c r="W5" i="18"/>
  <c r="V5" i="18"/>
  <c r="U5" i="18"/>
  <c r="T5" i="18"/>
  <c r="S5" i="18"/>
  <c r="R5" i="18"/>
  <c r="Q5" i="18"/>
  <c r="P5" i="18"/>
  <c r="O5" i="18"/>
  <c r="N5" i="18"/>
  <c r="M5" i="18"/>
  <c r="L5" i="18"/>
  <c r="K5" i="18"/>
  <c r="J5" i="18"/>
  <c r="I5" i="18"/>
  <c r="H5" i="18"/>
  <c r="G5" i="18"/>
  <c r="F5" i="18"/>
  <c r="E5" i="18"/>
  <c r="D5" i="18"/>
  <c r="C5" i="18"/>
  <c r="AH4" i="18"/>
  <c r="AG5" i="19"/>
  <c r="AF5" i="19"/>
  <c r="AE5" i="19"/>
  <c r="AD5" i="19"/>
  <c r="AC5" i="19"/>
  <c r="AB5" i="19"/>
  <c r="AA5" i="19"/>
  <c r="Z5" i="19"/>
  <c r="Y5" i="19"/>
  <c r="X5" i="19"/>
  <c r="W5" i="19"/>
  <c r="V5" i="19"/>
  <c r="U5" i="19"/>
  <c r="T5" i="19"/>
  <c r="S5" i="19"/>
  <c r="R5" i="19"/>
  <c r="Q5" i="19"/>
  <c r="P5" i="19"/>
  <c r="O5" i="19"/>
  <c r="N5" i="19"/>
  <c r="M5" i="19"/>
  <c r="L5" i="19"/>
  <c r="K5" i="19"/>
  <c r="J5" i="19"/>
  <c r="I5" i="19"/>
  <c r="H5" i="19"/>
  <c r="G5" i="19"/>
  <c r="F5" i="19"/>
  <c r="E5" i="19"/>
  <c r="D5" i="19"/>
  <c r="C5" i="19"/>
  <c r="AH4" i="19"/>
  <c r="AF5" i="20"/>
  <c r="AE5" i="20"/>
  <c r="AD5" i="20"/>
  <c r="AC5" i="20"/>
  <c r="AB5" i="20"/>
  <c r="AA5" i="20"/>
  <c r="Z5" i="20"/>
  <c r="Y5" i="20"/>
  <c r="X5" i="20"/>
  <c r="W5" i="20"/>
  <c r="V5" i="20"/>
  <c r="U5" i="20"/>
  <c r="T5" i="20"/>
  <c r="S5" i="20"/>
  <c r="R5" i="20"/>
  <c r="Q5" i="20"/>
  <c r="P5" i="20"/>
  <c r="O5" i="20"/>
  <c r="N5" i="20"/>
  <c r="M5" i="20"/>
  <c r="L5" i="20"/>
  <c r="K5" i="20"/>
  <c r="J5" i="20"/>
  <c r="I5" i="20"/>
  <c r="H5" i="20"/>
  <c r="G5" i="20"/>
  <c r="F5" i="20"/>
  <c r="E5" i="20"/>
  <c r="D5" i="20"/>
  <c r="C5" i="20"/>
  <c r="AH4" i="20"/>
  <c r="AG5" i="21"/>
  <c r="AF5" i="21"/>
  <c r="AE5" i="21"/>
  <c r="AD5" i="21"/>
  <c r="AC5" i="21"/>
  <c r="AB5" i="21"/>
  <c r="AA5" i="21"/>
  <c r="Z5" i="21"/>
  <c r="Y5" i="21"/>
  <c r="X5" i="21"/>
  <c r="W5" i="21"/>
  <c r="V5" i="21"/>
  <c r="U5" i="21"/>
  <c r="T5" i="21"/>
  <c r="S5" i="21"/>
  <c r="R5" i="21"/>
  <c r="Q5" i="21"/>
  <c r="P5" i="21"/>
  <c r="O5" i="21"/>
  <c r="N5" i="21"/>
  <c r="M5" i="21"/>
  <c r="L5" i="21"/>
  <c r="K5" i="21"/>
  <c r="J5" i="21"/>
  <c r="I5" i="21"/>
  <c r="H5" i="21"/>
  <c r="G5" i="21"/>
  <c r="F5" i="21"/>
  <c r="E5" i="21"/>
  <c r="D5" i="21"/>
  <c r="C5" i="21"/>
  <c r="AH4" i="21"/>
  <c r="AG5" i="22"/>
  <c r="AF5" i="22"/>
  <c r="AE5" i="22"/>
  <c r="AD5" i="22"/>
  <c r="AC5" i="22"/>
  <c r="AB5" i="22"/>
  <c r="AA5" i="22"/>
  <c r="Z5" i="22"/>
  <c r="Y5" i="22"/>
  <c r="X5" i="22"/>
  <c r="W5" i="22"/>
  <c r="V5" i="22"/>
  <c r="U5" i="22"/>
  <c r="T5" i="22"/>
  <c r="S5" i="22"/>
  <c r="R5" i="22"/>
  <c r="Q5" i="22"/>
  <c r="P5" i="22"/>
  <c r="O5" i="22"/>
  <c r="N5" i="22"/>
  <c r="M5" i="22"/>
  <c r="L5" i="22"/>
  <c r="K5" i="22"/>
  <c r="J5" i="22"/>
  <c r="I5" i="22"/>
  <c r="H5" i="22"/>
  <c r="G5" i="22"/>
  <c r="F5" i="22"/>
  <c r="E5" i="22"/>
  <c r="D5" i="22"/>
  <c r="C5" i="22"/>
  <c r="AH4" i="22"/>
  <c r="AF5" i="23"/>
  <c r="AE5" i="23"/>
  <c r="AD5" i="23"/>
  <c r="AC5" i="23"/>
  <c r="AB5" i="23"/>
  <c r="AA5" i="23"/>
  <c r="Z5" i="23"/>
  <c r="Y5" i="23"/>
  <c r="X5" i="23"/>
  <c r="W5" i="23"/>
  <c r="V5" i="23"/>
  <c r="U5" i="23"/>
  <c r="T5" i="23"/>
  <c r="S5" i="23"/>
  <c r="R5" i="23"/>
  <c r="Q5" i="23"/>
  <c r="P5" i="23"/>
  <c r="O5" i="23"/>
  <c r="N5" i="23"/>
  <c r="M5" i="23"/>
  <c r="L5" i="23"/>
  <c r="K5" i="23"/>
  <c r="J5" i="23"/>
  <c r="I5" i="23"/>
  <c r="H5" i="23"/>
  <c r="G5" i="23"/>
  <c r="F5" i="23"/>
  <c r="E5" i="23"/>
  <c r="D5" i="23"/>
  <c r="C5" i="23"/>
  <c r="AH4" i="23"/>
  <c r="AG5" i="24"/>
  <c r="AF5" i="24"/>
  <c r="AE5" i="24"/>
  <c r="AD5" i="24"/>
  <c r="AC5" i="24"/>
  <c r="AB5" i="24"/>
  <c r="AA5" i="24"/>
  <c r="Z5" i="24"/>
  <c r="Y5" i="24"/>
  <c r="X5" i="24"/>
  <c r="W5" i="24"/>
  <c r="V5" i="24"/>
  <c r="U5" i="24"/>
  <c r="T5" i="24"/>
  <c r="S5" i="24"/>
  <c r="R5" i="24"/>
  <c r="Q5" i="24"/>
  <c r="P5" i="24"/>
  <c r="O5" i="24"/>
  <c r="N5" i="24"/>
  <c r="M5" i="24"/>
  <c r="L5" i="24"/>
  <c r="K5" i="24"/>
  <c r="J5" i="24"/>
  <c r="I5" i="24"/>
  <c r="H5" i="24"/>
  <c r="G5" i="24"/>
  <c r="F5" i="24"/>
  <c r="E5" i="24"/>
  <c r="D5" i="24"/>
  <c r="C5" i="24"/>
  <c r="AH4" i="24"/>
  <c r="AF5" i="25"/>
  <c r="AE5" i="25"/>
  <c r="AD5" i="25"/>
  <c r="AC5" i="25"/>
  <c r="AB5" i="25"/>
  <c r="AA5" i="25"/>
  <c r="Z5" i="25"/>
  <c r="Y5" i="25"/>
  <c r="X5" i="25"/>
  <c r="W5" i="25"/>
  <c r="V5" i="25"/>
  <c r="U5" i="25"/>
  <c r="T5" i="25"/>
  <c r="S5" i="25"/>
  <c r="R5" i="25"/>
  <c r="Q5" i="25"/>
  <c r="P5" i="25"/>
  <c r="O5" i="25"/>
  <c r="N5" i="25"/>
  <c r="M5" i="25"/>
  <c r="L5" i="25"/>
  <c r="K5" i="25"/>
  <c r="J5" i="25"/>
  <c r="I5" i="25"/>
  <c r="H5" i="25"/>
  <c r="G5" i="25"/>
  <c r="F5" i="25"/>
  <c r="E5" i="25"/>
  <c r="D5" i="25"/>
  <c r="C5" i="25"/>
  <c r="AH4" i="25"/>
  <c r="AG5" i="15"/>
  <c r="AF5" i="15"/>
  <c r="AE5" i="15"/>
  <c r="AD5" i="15"/>
  <c r="AC5" i="15"/>
  <c r="AB5" i="15"/>
  <c r="AA5" i="15"/>
  <c r="Z5" i="15"/>
  <c r="Y5" i="15"/>
  <c r="X5" i="15"/>
  <c r="W5" i="15"/>
  <c r="V5" i="15"/>
  <c r="U5" i="15"/>
  <c r="T5" i="15"/>
  <c r="S5" i="15"/>
  <c r="R5" i="15"/>
  <c r="Q5" i="15"/>
  <c r="P5" i="15"/>
  <c r="O5" i="15"/>
  <c r="N5" i="15"/>
  <c r="M5" i="15"/>
  <c r="L5" i="15"/>
  <c r="K5" i="15"/>
  <c r="J5" i="15"/>
  <c r="I5" i="15"/>
  <c r="H5" i="15"/>
  <c r="G5" i="15"/>
  <c r="F5" i="15"/>
  <c r="E5" i="15"/>
  <c r="D5" i="15"/>
  <c r="C5" i="15"/>
  <c r="AH4" i="15"/>
  <c r="AE5" i="5"/>
  <c r="AD5" i="5"/>
  <c r="AC5" i="5"/>
  <c r="AB5" i="5"/>
  <c r="AA5" i="5"/>
  <c r="Z5" i="5"/>
  <c r="Y5" i="5"/>
  <c r="X5" i="5"/>
  <c r="W5" i="5"/>
  <c r="V5" i="5"/>
  <c r="U5" i="5"/>
  <c r="T5" i="5"/>
  <c r="S5" i="5"/>
  <c r="R5" i="5"/>
  <c r="Q5" i="5"/>
  <c r="P5" i="5"/>
  <c r="O5" i="5"/>
  <c r="N5" i="5"/>
  <c r="M5" i="5"/>
  <c r="L5" i="5"/>
  <c r="K5" i="5"/>
  <c r="J5" i="5"/>
  <c r="I5" i="5"/>
  <c r="H5" i="5"/>
  <c r="G5" i="5"/>
  <c r="F5" i="5"/>
  <c r="E5" i="5"/>
  <c r="D5" i="5"/>
  <c r="C5" i="5"/>
  <c r="AH4" i="5"/>
  <c r="AG5" i="4"/>
  <c r="AF5" i="4"/>
  <c r="AE5" i="4"/>
  <c r="AD5" i="4"/>
  <c r="AC5" i="4"/>
  <c r="AB5" i="4"/>
  <c r="AA5" i="4"/>
  <c r="Z5" i="4"/>
  <c r="Y5" i="4"/>
  <c r="X5" i="4"/>
  <c r="W5" i="4"/>
  <c r="V5" i="4"/>
  <c r="U5" i="4"/>
  <c r="T5" i="4"/>
  <c r="S5" i="4"/>
  <c r="R5" i="4"/>
  <c r="Q5" i="4"/>
  <c r="P5" i="4"/>
  <c r="O5" i="4"/>
  <c r="N5" i="4"/>
  <c r="M5" i="4"/>
  <c r="L5" i="4"/>
  <c r="K5" i="4"/>
  <c r="J5" i="4"/>
  <c r="I5" i="4"/>
  <c r="H5" i="4"/>
  <c r="G5" i="4"/>
  <c r="F5" i="4"/>
  <c r="E5" i="4"/>
  <c r="D5" i="4"/>
  <c r="C5" i="4"/>
  <c r="F5" i="27"/>
  <c r="F16" i="27"/>
  <c r="F14" i="27"/>
  <c r="F19" i="27"/>
  <c r="F7" i="27"/>
  <c r="F12" i="27"/>
  <c r="F9" i="27"/>
  <c r="F24" i="27"/>
  <c r="F17" i="27"/>
  <c r="F22" i="27"/>
  <c r="F10" i="27"/>
  <c r="F15" i="27"/>
  <c r="F20" i="27"/>
  <c r="F8" i="27"/>
  <c r="F21" i="27"/>
  <c r="F13" i="27"/>
  <c r="F18" i="27"/>
  <c r="F6" i="27"/>
  <c r="F23" i="27"/>
  <c r="F11" i="27"/>
  <c r="G3" i="27" l="1"/>
  <c r="AG12" i="25"/>
  <c r="AF12" i="25"/>
  <c r="AE12" i="25"/>
  <c r="AD12" i="25"/>
  <c r="AC12" i="25"/>
  <c r="AB12" i="25"/>
  <c r="AA12" i="25"/>
  <c r="Z12" i="25"/>
  <c r="Y12" i="25"/>
  <c r="X12" i="25"/>
  <c r="W12" i="25"/>
  <c r="V12" i="25"/>
  <c r="U12" i="25"/>
  <c r="T12" i="25"/>
  <c r="S12" i="25"/>
  <c r="R12" i="25"/>
  <c r="Q12" i="25"/>
  <c r="P12" i="25"/>
  <c r="O12" i="25"/>
  <c r="N12" i="25"/>
  <c r="M12" i="25"/>
  <c r="L12" i="25"/>
  <c r="K12" i="25"/>
  <c r="J12" i="25"/>
  <c r="I12" i="25"/>
  <c r="H12" i="25"/>
  <c r="G12" i="25"/>
  <c r="F12" i="25"/>
  <c r="E12" i="25"/>
  <c r="D12" i="25"/>
  <c r="C12" i="25"/>
  <c r="AG12" i="24"/>
  <c r="AF12" i="24"/>
  <c r="AE12" i="24"/>
  <c r="AD12" i="24"/>
  <c r="AC12" i="24"/>
  <c r="AB12" i="24"/>
  <c r="AA12" i="24"/>
  <c r="Z12" i="24"/>
  <c r="Y12" i="24"/>
  <c r="X12" i="24"/>
  <c r="W12" i="24"/>
  <c r="V12" i="24"/>
  <c r="U12" i="24"/>
  <c r="T12" i="24"/>
  <c r="S12" i="24"/>
  <c r="R12" i="24"/>
  <c r="Q12" i="24"/>
  <c r="P12" i="24"/>
  <c r="O12" i="24"/>
  <c r="N12" i="24"/>
  <c r="M12" i="24"/>
  <c r="L12" i="24"/>
  <c r="K12" i="24"/>
  <c r="J12" i="24"/>
  <c r="I12" i="24"/>
  <c r="H12" i="24"/>
  <c r="G12" i="24"/>
  <c r="F12" i="24"/>
  <c r="E12" i="24"/>
  <c r="D12" i="24"/>
  <c r="C12" i="24"/>
  <c r="AG12" i="23"/>
  <c r="AF12" i="23"/>
  <c r="AE12" i="23"/>
  <c r="AD12" i="23"/>
  <c r="AC12" i="23"/>
  <c r="AB12" i="23"/>
  <c r="AA12" i="23"/>
  <c r="Z12" i="23"/>
  <c r="Y12" i="23"/>
  <c r="X12" i="23"/>
  <c r="W12" i="23"/>
  <c r="V12" i="23"/>
  <c r="U12" i="23"/>
  <c r="T12" i="23"/>
  <c r="S12" i="23"/>
  <c r="R12" i="23"/>
  <c r="Q12" i="23"/>
  <c r="P12" i="23"/>
  <c r="O12" i="23"/>
  <c r="N12" i="23"/>
  <c r="M12" i="23"/>
  <c r="L12" i="23"/>
  <c r="K12" i="23"/>
  <c r="J12" i="23"/>
  <c r="I12" i="23"/>
  <c r="H12" i="23"/>
  <c r="G12" i="23"/>
  <c r="F12" i="23"/>
  <c r="E12" i="23"/>
  <c r="D12" i="23"/>
  <c r="C12" i="23"/>
  <c r="AH12" i="23"/>
  <c r="AG12" i="22"/>
  <c r="AF12" i="22"/>
  <c r="AE12" i="22"/>
  <c r="AD12" i="22"/>
  <c r="AC12" i="22"/>
  <c r="AB12" i="22"/>
  <c r="AA12" i="22"/>
  <c r="Z12" i="22"/>
  <c r="Y12" i="22"/>
  <c r="X12" i="22"/>
  <c r="W12" i="22"/>
  <c r="V12" i="22"/>
  <c r="U12" i="22"/>
  <c r="T12" i="22"/>
  <c r="S12" i="22"/>
  <c r="R12" i="22"/>
  <c r="Q12" i="22"/>
  <c r="P12" i="22"/>
  <c r="O12" i="22"/>
  <c r="N12" i="22"/>
  <c r="M12" i="22"/>
  <c r="L12" i="22"/>
  <c r="K12" i="22"/>
  <c r="J12" i="22"/>
  <c r="I12" i="22"/>
  <c r="H12" i="22"/>
  <c r="G12" i="22"/>
  <c r="F12" i="22"/>
  <c r="E12" i="22"/>
  <c r="D12" i="22"/>
  <c r="C12" i="22"/>
  <c r="AG12" i="21"/>
  <c r="AF12" i="21"/>
  <c r="AE12" i="21"/>
  <c r="AD12" i="21"/>
  <c r="AC12" i="21"/>
  <c r="AB12" i="21"/>
  <c r="AA12" i="21"/>
  <c r="Z12" i="21"/>
  <c r="Y12" i="21"/>
  <c r="X12" i="21"/>
  <c r="W12" i="21"/>
  <c r="V12" i="21"/>
  <c r="U12" i="21"/>
  <c r="T12" i="21"/>
  <c r="S12" i="21"/>
  <c r="R12" i="21"/>
  <c r="Q12" i="21"/>
  <c r="P12" i="21"/>
  <c r="O12" i="21"/>
  <c r="N12" i="21"/>
  <c r="M12" i="21"/>
  <c r="L12" i="21"/>
  <c r="K12" i="21"/>
  <c r="J12" i="21"/>
  <c r="I12" i="21"/>
  <c r="H12" i="21"/>
  <c r="G12" i="21"/>
  <c r="F12" i="21"/>
  <c r="E12" i="21"/>
  <c r="D12" i="21"/>
  <c r="C12" i="21"/>
  <c r="AH12" i="21"/>
  <c r="AG12" i="20"/>
  <c r="AF12" i="20"/>
  <c r="AE12" i="20"/>
  <c r="AD12" i="20"/>
  <c r="AC12" i="20"/>
  <c r="AB12" i="20"/>
  <c r="AA12" i="20"/>
  <c r="Z12" i="20"/>
  <c r="Y12" i="20"/>
  <c r="X12" i="20"/>
  <c r="W12" i="20"/>
  <c r="V12" i="20"/>
  <c r="U12" i="20"/>
  <c r="T12" i="20"/>
  <c r="S12" i="20"/>
  <c r="R12" i="20"/>
  <c r="Q12" i="20"/>
  <c r="P12" i="20"/>
  <c r="O12" i="20"/>
  <c r="N12" i="20"/>
  <c r="M12" i="20"/>
  <c r="L12" i="20"/>
  <c r="K12" i="20"/>
  <c r="J12" i="20"/>
  <c r="I12" i="20"/>
  <c r="H12" i="20"/>
  <c r="G12" i="20"/>
  <c r="F12" i="20"/>
  <c r="E12" i="20"/>
  <c r="D12" i="20"/>
  <c r="C12" i="20"/>
  <c r="AG12" i="19"/>
  <c r="AF12" i="19"/>
  <c r="AE12" i="19"/>
  <c r="AD12" i="19"/>
  <c r="AC12" i="19"/>
  <c r="AB12" i="19"/>
  <c r="AA12" i="19"/>
  <c r="Z12" i="19"/>
  <c r="Y12" i="19"/>
  <c r="X12" i="19"/>
  <c r="W12" i="19"/>
  <c r="V12" i="19"/>
  <c r="U12" i="19"/>
  <c r="T12" i="19"/>
  <c r="S12" i="19"/>
  <c r="R12" i="19"/>
  <c r="Q12" i="19"/>
  <c r="P12" i="19"/>
  <c r="O12" i="19"/>
  <c r="N12" i="19"/>
  <c r="M12" i="19"/>
  <c r="L12" i="19"/>
  <c r="K12" i="19"/>
  <c r="J12" i="19"/>
  <c r="I12" i="19"/>
  <c r="H12" i="19"/>
  <c r="G12" i="19"/>
  <c r="F12" i="19"/>
  <c r="E12" i="19"/>
  <c r="D12" i="19"/>
  <c r="C12" i="19"/>
  <c r="AG12" i="18"/>
  <c r="AF12" i="18"/>
  <c r="AE12" i="18"/>
  <c r="AD12" i="18"/>
  <c r="AC12" i="18"/>
  <c r="AB12" i="18"/>
  <c r="AA12" i="18"/>
  <c r="Z12" i="18"/>
  <c r="Y12" i="18"/>
  <c r="X12" i="18"/>
  <c r="W12" i="18"/>
  <c r="V12" i="18"/>
  <c r="U12" i="18"/>
  <c r="T12" i="18"/>
  <c r="S12" i="18"/>
  <c r="R12" i="18"/>
  <c r="Q12" i="18"/>
  <c r="P12" i="18"/>
  <c r="O12" i="18"/>
  <c r="N12" i="18"/>
  <c r="M12" i="18"/>
  <c r="L12" i="18"/>
  <c r="K12" i="18"/>
  <c r="J12" i="18"/>
  <c r="I12" i="18"/>
  <c r="H12" i="18"/>
  <c r="G12" i="18"/>
  <c r="F12" i="18"/>
  <c r="E12" i="18"/>
  <c r="D12" i="18"/>
  <c r="C12" i="18"/>
  <c r="AH12" i="18"/>
  <c r="AG12" i="17"/>
  <c r="AF12" i="17"/>
  <c r="AE12" i="17"/>
  <c r="AD12" i="17"/>
  <c r="AC12" i="17"/>
  <c r="AB12" i="17"/>
  <c r="AA12" i="17"/>
  <c r="Z12" i="17"/>
  <c r="Y12" i="17"/>
  <c r="X12" i="17"/>
  <c r="W12" i="17"/>
  <c r="V12" i="17"/>
  <c r="U12" i="17"/>
  <c r="T12" i="17"/>
  <c r="S12" i="17"/>
  <c r="R12" i="17"/>
  <c r="Q12" i="17"/>
  <c r="P12" i="17"/>
  <c r="O12" i="17"/>
  <c r="N12" i="17"/>
  <c r="M12" i="17"/>
  <c r="L12" i="17"/>
  <c r="K12" i="17"/>
  <c r="J12" i="17"/>
  <c r="I12" i="17"/>
  <c r="H12" i="17"/>
  <c r="G12" i="17"/>
  <c r="F12" i="17"/>
  <c r="E12" i="17"/>
  <c r="D12" i="17"/>
  <c r="C12" i="17"/>
  <c r="AH12" i="17"/>
  <c r="G5" i="27"/>
  <c r="G21" i="27"/>
  <c r="G9" i="27"/>
  <c r="G14" i="27"/>
  <c r="G19" i="27"/>
  <c r="G7" i="27"/>
  <c r="G24" i="27"/>
  <c r="G12" i="27"/>
  <c r="G17" i="27"/>
  <c r="G22" i="27"/>
  <c r="G10" i="27"/>
  <c r="G15" i="27"/>
  <c r="G20" i="27"/>
  <c r="G8" i="27"/>
  <c r="G13" i="27"/>
  <c r="G18" i="27"/>
  <c r="G6" i="27"/>
  <c r="G11" i="27"/>
  <c r="G23" i="27"/>
  <c r="G16" i="27"/>
  <c r="H3" i="27" l="1"/>
  <c r="AH12" i="22"/>
  <c r="AH12" i="25"/>
  <c r="AH12" i="20"/>
  <c r="AH12" i="19"/>
  <c r="AH12" i="24"/>
  <c r="H5" i="27"/>
  <c r="H23" i="27"/>
  <c r="H14" i="27"/>
  <c r="H24" i="27"/>
  <c r="H12" i="27"/>
  <c r="H17" i="27"/>
  <c r="H7" i="27"/>
  <c r="H10" i="27"/>
  <c r="H15" i="27"/>
  <c r="H22" i="27"/>
  <c r="H20" i="27"/>
  <c r="H8" i="27"/>
  <c r="H13" i="27"/>
  <c r="H18" i="27"/>
  <c r="H6" i="27"/>
  <c r="H11" i="27"/>
  <c r="H19" i="27"/>
  <c r="H16" i="27"/>
  <c r="H21" i="27"/>
  <c r="H9" i="27"/>
  <c r="I3" i="27" l="1"/>
  <c r="AG12" i="15"/>
  <c r="AF12" i="15"/>
  <c r="I5" i="27"/>
  <c r="I19" i="27"/>
  <c r="I7" i="27"/>
  <c r="I17" i="27"/>
  <c r="I24" i="27"/>
  <c r="I22" i="27"/>
  <c r="I10" i="27"/>
  <c r="I15" i="27"/>
  <c r="I20" i="27"/>
  <c r="I8" i="27"/>
  <c r="I13" i="27"/>
  <c r="I18" i="27"/>
  <c r="I6" i="27"/>
  <c r="I11" i="27"/>
  <c r="I16" i="27"/>
  <c r="I23" i="27"/>
  <c r="I9" i="27"/>
  <c r="I12" i="27"/>
  <c r="I21" i="27"/>
  <c r="I14" i="27"/>
  <c r="J3" i="27" l="1"/>
  <c r="AH12" i="15"/>
  <c r="C12" i="15"/>
  <c r="D12" i="15"/>
  <c r="E12" i="15"/>
  <c r="F12" i="15"/>
  <c r="G12" i="15"/>
  <c r="H12" i="15"/>
  <c r="I12" i="15"/>
  <c r="J12" i="15"/>
  <c r="K12" i="15"/>
  <c r="L12" i="15"/>
  <c r="M12" i="15"/>
  <c r="N12" i="15"/>
  <c r="O12" i="15"/>
  <c r="P12" i="15"/>
  <c r="Q12" i="15"/>
  <c r="R12" i="15"/>
  <c r="S12" i="15"/>
  <c r="T12" i="15"/>
  <c r="U12" i="15"/>
  <c r="V12" i="15"/>
  <c r="W12" i="15"/>
  <c r="X12" i="15"/>
  <c r="Y12" i="15"/>
  <c r="Z12" i="15"/>
  <c r="AA12" i="15"/>
  <c r="AB12" i="15"/>
  <c r="AC12" i="15"/>
  <c r="AD12" i="15"/>
  <c r="AE12" i="15"/>
  <c r="J5" i="27"/>
  <c r="J21" i="27"/>
  <c r="J24" i="27"/>
  <c r="J12" i="27"/>
  <c r="J17" i="27"/>
  <c r="J10" i="27"/>
  <c r="J22" i="27"/>
  <c r="J15" i="27"/>
  <c r="J20" i="27"/>
  <c r="J8" i="27"/>
  <c r="J13" i="27"/>
  <c r="J18" i="27"/>
  <c r="J6" i="27"/>
  <c r="J23" i="27"/>
  <c r="J11" i="27"/>
  <c r="J16" i="27"/>
  <c r="J9" i="27"/>
  <c r="J14" i="27"/>
  <c r="J19" i="27"/>
  <c r="J7" i="27"/>
  <c r="K3" i="27" l="1"/>
  <c r="AE12" i="5"/>
  <c r="AD12" i="5"/>
  <c r="AC12" i="5"/>
  <c r="AB12" i="5"/>
  <c r="AA12" i="5"/>
  <c r="Z12" i="5"/>
  <c r="Y12" i="5"/>
  <c r="X12" i="5"/>
  <c r="W12" i="5"/>
  <c r="V12" i="5"/>
  <c r="U12" i="5"/>
  <c r="T12" i="5"/>
  <c r="S12" i="5"/>
  <c r="R12" i="5"/>
  <c r="Q12" i="5"/>
  <c r="P12" i="5"/>
  <c r="O12" i="5"/>
  <c r="N12" i="5"/>
  <c r="M12" i="5"/>
  <c r="L12" i="5"/>
  <c r="K12" i="5"/>
  <c r="J12" i="5"/>
  <c r="I12" i="5"/>
  <c r="H12" i="5"/>
  <c r="G12" i="5"/>
  <c r="F12" i="5"/>
  <c r="E12" i="5"/>
  <c r="D12" i="5"/>
  <c r="C12" i="5"/>
  <c r="K5" i="27"/>
  <c r="K10" i="27"/>
  <c r="K17" i="27"/>
  <c r="K15" i="27"/>
  <c r="K20" i="27"/>
  <c r="K8" i="27"/>
  <c r="K13" i="27"/>
  <c r="K22" i="27"/>
  <c r="K18" i="27"/>
  <c r="K6" i="27"/>
  <c r="K23" i="27"/>
  <c r="K11" i="27"/>
  <c r="K16" i="27"/>
  <c r="K21" i="27"/>
  <c r="K9" i="27"/>
  <c r="K14" i="27"/>
  <c r="K19" i="27"/>
  <c r="K7" i="27"/>
  <c r="K24" i="27"/>
  <c r="K12" i="27"/>
  <c r="L3" i="27" l="1"/>
  <c r="AH12" i="5"/>
  <c r="L5" i="27"/>
  <c r="L22" i="27"/>
  <c r="L10" i="27"/>
  <c r="L8" i="27"/>
  <c r="L20" i="27"/>
  <c r="L13" i="27"/>
  <c r="L6" i="27"/>
  <c r="L15" i="27"/>
  <c r="L18" i="27"/>
  <c r="L23" i="27"/>
  <c r="L11" i="27"/>
  <c r="L16" i="27"/>
  <c r="L21" i="27"/>
  <c r="L9" i="27"/>
  <c r="L14" i="27"/>
  <c r="L19" i="27"/>
  <c r="L7" i="27"/>
  <c r="L12" i="27"/>
  <c r="L24" i="27"/>
  <c r="L17" i="27"/>
  <c r="M3" i="27" l="1"/>
  <c r="AH12" i="4"/>
  <c r="M5" i="27"/>
  <c r="M24" i="27"/>
  <c r="M15" i="27"/>
  <c r="M13" i="27"/>
  <c r="M8" i="27"/>
  <c r="M18" i="27"/>
  <c r="M6" i="27"/>
  <c r="M11" i="27"/>
  <c r="M16" i="27"/>
  <c r="M23" i="27"/>
  <c r="M21" i="27"/>
  <c r="M9" i="27"/>
  <c r="M20" i="27"/>
  <c r="M14" i="27"/>
  <c r="M19" i="27"/>
  <c r="M7" i="27"/>
  <c r="M12" i="27"/>
  <c r="M17" i="27"/>
  <c r="M22" i="27"/>
  <c r="M10" i="27"/>
  <c r="N3" i="27" l="1"/>
  <c r="N5" i="27"/>
  <c r="N20" i="27"/>
  <c r="N8" i="27"/>
  <c r="N6" i="27"/>
  <c r="N18" i="27"/>
  <c r="N23" i="27"/>
  <c r="N11" i="27"/>
  <c r="N16" i="27"/>
  <c r="N21" i="27"/>
  <c r="N9" i="27"/>
  <c r="N14" i="27"/>
  <c r="N19" i="27"/>
  <c r="N7" i="27"/>
  <c r="N13" i="27"/>
  <c r="N12" i="27"/>
  <c r="N17" i="27"/>
  <c r="N10" i="27"/>
  <c r="N24" i="27"/>
  <c r="N22" i="27"/>
  <c r="N15" i="27"/>
  <c r="O3" i="27" l="1"/>
  <c r="O5" i="27"/>
  <c r="O13" i="27"/>
  <c r="O6" i="27"/>
  <c r="O11" i="27"/>
  <c r="O23" i="27"/>
  <c r="O16" i="27"/>
  <c r="O18" i="27"/>
  <c r="O9" i="27"/>
  <c r="O21" i="27"/>
  <c r="O14" i="27"/>
  <c r="O19" i="27"/>
  <c r="O7" i="27"/>
  <c r="O12" i="27"/>
  <c r="O17" i="27"/>
  <c r="O22" i="27"/>
  <c r="O10" i="27"/>
  <c r="O15" i="27"/>
  <c r="O24" i="27"/>
  <c r="O20" i="27"/>
  <c r="O8" i="27"/>
  <c r="P3" i="27" l="1"/>
  <c r="P5" i="27"/>
  <c r="P18" i="27"/>
  <c r="P6" i="27"/>
  <c r="P16" i="27"/>
  <c r="P21" i="27"/>
  <c r="P9" i="27"/>
  <c r="P23" i="27"/>
  <c r="P14" i="27"/>
  <c r="P19" i="27"/>
  <c r="P7" i="27"/>
  <c r="P24" i="27"/>
  <c r="P12" i="27"/>
  <c r="P17" i="27"/>
  <c r="P10" i="27"/>
  <c r="P11" i="27"/>
  <c r="P22" i="27"/>
  <c r="P15" i="27"/>
  <c r="P8" i="27"/>
  <c r="P20" i="27"/>
  <c r="P13" i="27"/>
  <c r="Q3" i="27" l="1"/>
  <c r="Q5" i="27"/>
  <c r="Q23" i="27"/>
  <c r="Q11" i="27"/>
  <c r="Q9" i="27"/>
  <c r="Q21" i="27"/>
  <c r="Q14" i="27"/>
  <c r="Q19" i="27"/>
  <c r="Q7" i="27"/>
  <c r="Q16" i="27"/>
  <c r="Q24" i="27"/>
  <c r="Q12" i="27"/>
  <c r="Q17" i="27"/>
  <c r="Q22" i="27"/>
  <c r="Q10" i="27"/>
  <c r="Q15" i="27"/>
  <c r="Q20" i="27"/>
  <c r="Q8" i="27"/>
  <c r="Q13" i="27"/>
  <c r="Q18" i="27"/>
  <c r="Q6" i="27"/>
  <c r="R3" i="27" l="1"/>
  <c r="R5" i="27"/>
  <c r="R18" i="27"/>
  <c r="R16" i="27"/>
  <c r="R9" i="27"/>
  <c r="R14" i="27"/>
  <c r="R21" i="27"/>
  <c r="R19" i="27"/>
  <c r="R7" i="27"/>
  <c r="R12" i="27"/>
  <c r="R17" i="27"/>
  <c r="R24" i="27"/>
  <c r="R22" i="27"/>
  <c r="R10" i="27"/>
  <c r="R15" i="27"/>
  <c r="R20" i="27"/>
  <c r="R8" i="27"/>
  <c r="R13" i="27"/>
  <c r="R6" i="27"/>
  <c r="R23" i="27"/>
  <c r="R11" i="27"/>
  <c r="S3" i="27" l="1"/>
  <c r="S5" i="27"/>
  <c r="S23" i="27"/>
  <c r="S21" i="27"/>
  <c r="S9" i="27"/>
  <c r="S19" i="27"/>
  <c r="S7" i="27"/>
  <c r="S24" i="27"/>
  <c r="S12" i="27"/>
  <c r="S14" i="27"/>
  <c r="S17" i="27"/>
  <c r="S22" i="27"/>
  <c r="S10" i="27"/>
  <c r="S15" i="27"/>
  <c r="S20" i="27"/>
  <c r="S8" i="27"/>
  <c r="S13" i="27"/>
  <c r="S18" i="27"/>
  <c r="S6" i="27"/>
  <c r="S11" i="27"/>
  <c r="S16" i="27"/>
  <c r="T3" i="27" l="1"/>
  <c r="T5" i="27"/>
  <c r="T14" i="27"/>
  <c r="T12" i="27"/>
  <c r="T24" i="27"/>
  <c r="T17" i="27"/>
  <c r="T10" i="27"/>
  <c r="T22" i="27"/>
  <c r="T15" i="27"/>
  <c r="T19" i="27"/>
  <c r="T7" i="27"/>
  <c r="T20" i="27"/>
  <c r="T8" i="27"/>
  <c r="T13" i="27"/>
  <c r="T18" i="27"/>
  <c r="T6" i="27"/>
  <c r="T23" i="27"/>
  <c r="T11" i="27"/>
  <c r="T16" i="27"/>
  <c r="T21" i="27"/>
  <c r="T9" i="27"/>
  <c r="U3" i="27" l="1"/>
  <c r="U5" i="27"/>
  <c r="U24" i="27"/>
  <c r="U21" i="27"/>
  <c r="U19" i="27"/>
  <c r="U7" i="27"/>
  <c r="U17" i="27"/>
  <c r="U22" i="27"/>
  <c r="U10" i="27"/>
  <c r="U15" i="27"/>
  <c r="U12" i="27"/>
  <c r="U20" i="27"/>
  <c r="U8" i="27"/>
  <c r="U13" i="27"/>
  <c r="U18" i="27"/>
  <c r="U6" i="27"/>
  <c r="U23" i="27"/>
  <c r="U11" i="27"/>
  <c r="U16" i="27"/>
  <c r="U9" i="27"/>
  <c r="U14" i="27"/>
  <c r="V3" i="27" l="1"/>
  <c r="V5" i="27"/>
  <c r="V24" i="27"/>
  <c r="V12" i="27"/>
  <c r="V10" i="27"/>
  <c r="V17" i="27"/>
  <c r="V22" i="27"/>
  <c r="V15" i="27"/>
  <c r="V8" i="27"/>
  <c r="V20" i="27"/>
  <c r="V13" i="27"/>
  <c r="V18" i="27"/>
  <c r="V6" i="27"/>
  <c r="V11" i="27"/>
  <c r="V16" i="27"/>
  <c r="V9" i="27"/>
  <c r="V23" i="27"/>
  <c r="V14" i="27"/>
  <c r="V21" i="27"/>
  <c r="V19" i="27"/>
  <c r="V7" i="27"/>
  <c r="W3" i="27" l="1"/>
  <c r="W5" i="27"/>
  <c r="W17" i="27"/>
  <c r="W22" i="27"/>
  <c r="W15" i="27"/>
  <c r="W20" i="27"/>
  <c r="W8" i="27"/>
  <c r="W13" i="27"/>
  <c r="W18" i="27"/>
  <c r="W6" i="27"/>
  <c r="W10" i="27"/>
  <c r="W23" i="27"/>
  <c r="W11" i="27"/>
  <c r="W16" i="27"/>
  <c r="W21" i="27"/>
  <c r="W9" i="27"/>
  <c r="W14" i="27"/>
  <c r="W19" i="27"/>
  <c r="W7" i="27"/>
  <c r="W24" i="27"/>
  <c r="W12" i="27"/>
  <c r="X3" i="27" l="1"/>
  <c r="X5" i="27"/>
  <c r="X24" i="27"/>
  <c r="X22" i="27"/>
  <c r="X10" i="27"/>
  <c r="X8" i="27"/>
  <c r="X20" i="27"/>
  <c r="X13" i="27"/>
  <c r="X18" i="27"/>
  <c r="X6" i="27"/>
  <c r="X23" i="27"/>
  <c r="X11" i="27"/>
  <c r="X15" i="27"/>
  <c r="X16" i="27"/>
  <c r="X21" i="27"/>
  <c r="X9" i="27"/>
  <c r="X14" i="27"/>
  <c r="X19" i="27"/>
  <c r="X7" i="27"/>
  <c r="X12" i="27"/>
  <c r="X17" i="27"/>
  <c r="Y3" i="27" l="1"/>
  <c r="Y5" i="27"/>
  <c r="Y15" i="27"/>
  <c r="Y13" i="27"/>
  <c r="Y18" i="27"/>
  <c r="Y6" i="27"/>
  <c r="Y23" i="27"/>
  <c r="Y11" i="27"/>
  <c r="Y16" i="27"/>
  <c r="Y8" i="27"/>
  <c r="Y21" i="27"/>
  <c r="Y9" i="27"/>
  <c r="Y14" i="27"/>
  <c r="Y20" i="27"/>
  <c r="Y19" i="27"/>
  <c r="Y7" i="27"/>
  <c r="Y12" i="27"/>
  <c r="Y17" i="27"/>
  <c r="Y24" i="27"/>
  <c r="Y22" i="27"/>
  <c r="Y10" i="27"/>
  <c r="Z3" i="27" l="1"/>
  <c r="Z5" i="27"/>
  <c r="Z22" i="27"/>
  <c r="Z20" i="27"/>
  <c r="Z8" i="27"/>
  <c r="Z18" i="27"/>
  <c r="Z6" i="27"/>
  <c r="Z23" i="27"/>
  <c r="Z11" i="27"/>
  <c r="Z16" i="27"/>
  <c r="Z21" i="27"/>
  <c r="Z9" i="27"/>
  <c r="Z13" i="27"/>
  <c r="Z14" i="27"/>
  <c r="Z19" i="27"/>
  <c r="Z7" i="27"/>
  <c r="Z12" i="27"/>
  <c r="Z24" i="27"/>
  <c r="Z17" i="27"/>
  <c r="Z10" i="27"/>
  <c r="Z15" i="27"/>
  <c r="AA3" i="27" l="1"/>
  <c r="AA5" i="27"/>
  <c r="AA24" i="27"/>
  <c r="AA13" i="27"/>
  <c r="AA11" i="27"/>
  <c r="AA6" i="27"/>
  <c r="AA23" i="27"/>
  <c r="AA16" i="27"/>
  <c r="AA21" i="27"/>
  <c r="AA9" i="27"/>
  <c r="AA18" i="27"/>
  <c r="AA14" i="27"/>
  <c r="AA19" i="27"/>
  <c r="AA7" i="27"/>
  <c r="AA12" i="27"/>
  <c r="AA17" i="27"/>
  <c r="AA10" i="27"/>
  <c r="AA15" i="27"/>
  <c r="AA22" i="27"/>
  <c r="AA20" i="27"/>
  <c r="AA8" i="27"/>
  <c r="AB3" i="27" l="1"/>
  <c r="AB5" i="27"/>
  <c r="AB18" i="27"/>
  <c r="AB6" i="27"/>
  <c r="AB16" i="27"/>
  <c r="AB21" i="27"/>
  <c r="AB9" i="27"/>
  <c r="AB14" i="27"/>
  <c r="AB19" i="27"/>
  <c r="AB7" i="27"/>
  <c r="AB23" i="27"/>
  <c r="AB24" i="27"/>
  <c r="AB12" i="27"/>
  <c r="AB11" i="27"/>
  <c r="AB17" i="27"/>
  <c r="AB10" i="27"/>
  <c r="AB15" i="27"/>
  <c r="AB20" i="27"/>
  <c r="AB8" i="27"/>
  <c r="AB22" i="27"/>
  <c r="AB13" i="27"/>
  <c r="AC3" i="27" l="1"/>
  <c r="AC5" i="27"/>
  <c r="AC23" i="27"/>
  <c r="AC11" i="27"/>
  <c r="AC21" i="27"/>
  <c r="AC9" i="27"/>
  <c r="AC14" i="27"/>
  <c r="AC7" i="27"/>
  <c r="AC24" i="27"/>
  <c r="AC12" i="27"/>
  <c r="AC16" i="27"/>
  <c r="AC19" i="27"/>
  <c r="AC17" i="27"/>
  <c r="AC22" i="27"/>
  <c r="AC10" i="27"/>
  <c r="AC15" i="27"/>
  <c r="AC20" i="27"/>
  <c r="AC8" i="27"/>
  <c r="AC13" i="27"/>
  <c r="AC18" i="27"/>
  <c r="AC6" i="27"/>
  <c r="AD3" i="27" l="1"/>
  <c r="AD5" i="27"/>
  <c r="AD16" i="27"/>
  <c r="AD14" i="27"/>
  <c r="AD19" i="27"/>
  <c r="AD7" i="27"/>
  <c r="AD9" i="27"/>
  <c r="AD12" i="27"/>
  <c r="AD24" i="27"/>
  <c r="AD17" i="27"/>
  <c r="AD21" i="27"/>
  <c r="AD22" i="27"/>
  <c r="AD10" i="27"/>
  <c r="AD15" i="27"/>
  <c r="AD20" i="27"/>
  <c r="AD8" i="27"/>
  <c r="AD13" i="27"/>
  <c r="AD6" i="27"/>
  <c r="AD18" i="27"/>
  <c r="AD23" i="27"/>
  <c r="AD11" i="27"/>
  <c r="AE3" i="27" l="1"/>
  <c r="AE5" i="27"/>
  <c r="AE21" i="27"/>
  <c r="AE9" i="27"/>
  <c r="AE7" i="27"/>
  <c r="AE14" i="27"/>
  <c r="AE19" i="27"/>
  <c r="AE24" i="27"/>
  <c r="AE12" i="27"/>
  <c r="AE17" i="27"/>
  <c r="AE22" i="27"/>
  <c r="AE10" i="27"/>
  <c r="AE15" i="27"/>
  <c r="AE20" i="27"/>
  <c r="AE8" i="27"/>
  <c r="AE13" i="27"/>
  <c r="AE18" i="27"/>
  <c r="AE6" i="27"/>
  <c r="AE23" i="27"/>
  <c r="AE11" i="27"/>
  <c r="AE16" i="27"/>
  <c r="AF3" i="27" l="1"/>
  <c r="AF5" i="27"/>
  <c r="AF14" i="27"/>
  <c r="AF12" i="27"/>
  <c r="AF24" i="27"/>
  <c r="AF17" i="27"/>
  <c r="AF10" i="27"/>
  <c r="AF7" i="27"/>
  <c r="AF22" i="27"/>
  <c r="AF15" i="27"/>
  <c r="AF20" i="27"/>
  <c r="AF8" i="27"/>
  <c r="AF13" i="27"/>
  <c r="AF18" i="27"/>
  <c r="AF6" i="27"/>
  <c r="AF11" i="27"/>
  <c r="AF23" i="27"/>
  <c r="AF16" i="27"/>
  <c r="AF19" i="27"/>
  <c r="AF21" i="27"/>
  <c r="AF9" i="27"/>
  <c r="AH3" i="27" l="1"/>
  <c r="AI3" i="27"/>
  <c r="AG3" i="27"/>
  <c r="AH5" i="27"/>
  <c r="AH17" i="27"/>
  <c r="AH24" i="27"/>
  <c r="AH12" i="27"/>
  <c r="AH22" i="27"/>
  <c r="AH10" i="27"/>
  <c r="AH15" i="27"/>
  <c r="AH8" i="27"/>
  <c r="AH13" i="27"/>
  <c r="AH20" i="27"/>
  <c r="AH18" i="27"/>
  <c r="AH6" i="27"/>
  <c r="AH11" i="27"/>
  <c r="AH23" i="27"/>
  <c r="AH16" i="27"/>
  <c r="AH9" i="27"/>
  <c r="AH21" i="27"/>
  <c r="AH14" i="27"/>
  <c r="AH19" i="27"/>
  <c r="AH7" i="27"/>
  <c r="AG5" i="27"/>
  <c r="AG23" i="27"/>
  <c r="AG19" i="27"/>
  <c r="AG7" i="27"/>
  <c r="AG17" i="27"/>
  <c r="AG22" i="27"/>
  <c r="AG10" i="27"/>
  <c r="AG15" i="27"/>
  <c r="AG24" i="27"/>
  <c r="AG20" i="27"/>
  <c r="AG8" i="27"/>
  <c r="AG13" i="27"/>
  <c r="AG18" i="27"/>
  <c r="AG6" i="27"/>
  <c r="AG11" i="27"/>
  <c r="AG16" i="27"/>
  <c r="AG12" i="27"/>
  <c r="AG21" i="27"/>
  <c r="AG9" i="27"/>
  <c r="AG14" i="27"/>
  <c r="AI5" i="27"/>
  <c r="AI21" i="27"/>
  <c r="AI24" i="27"/>
  <c r="AI17" i="27"/>
  <c r="AI15" i="27"/>
  <c r="AI10" i="27"/>
  <c r="AI20" i="27"/>
  <c r="AI8" i="27"/>
  <c r="AI13" i="27"/>
  <c r="AI18" i="27"/>
  <c r="AI6" i="27"/>
  <c r="AI23" i="27"/>
  <c r="AI11" i="27"/>
  <c r="AI16" i="27"/>
  <c r="AI9" i="27"/>
  <c r="AI14" i="27"/>
  <c r="AI22" i="27"/>
  <c r="AI7" i="27"/>
  <c r="AI19" i="27"/>
  <c r="AI12" i="27"/>
</calcChain>
</file>

<file path=xl/sharedStrings.xml><?xml version="1.0" encoding="utf-8"?>
<sst xmlns="http://schemas.openxmlformats.org/spreadsheetml/2006/main" count="690" uniqueCount="116">
  <si>
    <t>Calendrier des absences des employés</t>
  </si>
  <si>
    <t>Clé de motif d’absence</t>
  </si>
  <si>
    <t>Nom de l’employé</t>
  </si>
  <si>
    <t>Employé 1</t>
  </si>
  <si>
    <t>Employé 2</t>
  </si>
  <si>
    <t>Employé 3</t>
  </si>
  <si>
    <t>Employé 4</t>
  </si>
  <si>
    <t>Employé 5</t>
  </si>
  <si>
    <t>C</t>
  </si>
  <si>
    <t>Dates d’absence</t>
  </si>
  <si>
    <t>1</t>
  </si>
  <si>
    <t>Congé</t>
  </si>
  <si>
    <t>2</t>
  </si>
  <si>
    <t>3</t>
  </si>
  <si>
    <t>P</t>
  </si>
  <si>
    <t>4</t>
  </si>
  <si>
    <t>M</t>
  </si>
  <si>
    <t>5</t>
  </si>
  <si>
    <t>Personnel</t>
  </si>
  <si>
    <t>6</t>
  </si>
  <si>
    <t>7</t>
  </si>
  <si>
    <t>8</t>
  </si>
  <si>
    <t>9</t>
  </si>
  <si>
    <t>Maladie</t>
  </si>
  <si>
    <t>10</t>
  </si>
  <si>
    <t>11</t>
  </si>
  <si>
    <t>12</t>
  </si>
  <si>
    <t>Personnalisé 1</t>
  </si>
  <si>
    <t>13</t>
  </si>
  <si>
    <t>14</t>
  </si>
  <si>
    <t>15</t>
  </si>
  <si>
    <t>16</t>
  </si>
  <si>
    <t>Personnalisé 2</t>
  </si>
  <si>
    <t>17</t>
  </si>
  <si>
    <t>18</t>
  </si>
  <si>
    <t>19</t>
  </si>
  <si>
    <t>20</t>
  </si>
  <si>
    <t>21</t>
  </si>
  <si>
    <t>22</t>
  </si>
  <si>
    <t>23</t>
  </si>
  <si>
    <t>24</t>
  </si>
  <si>
    <t>25</t>
  </si>
  <si>
    <t>26</t>
  </si>
  <si>
    <t>27</t>
  </si>
  <si>
    <t>28</t>
  </si>
  <si>
    <t>29</t>
  </si>
  <si>
    <t>30</t>
  </si>
  <si>
    <t>31</t>
  </si>
  <si>
    <t>Entrez l’année :</t>
  </si>
  <si>
    <t>Total des jours</t>
  </si>
  <si>
    <t>Février</t>
  </si>
  <si>
    <t xml:space="preserve"> </t>
  </si>
  <si>
    <t xml:space="preserve">  </t>
  </si>
  <si>
    <t>Mars</t>
  </si>
  <si>
    <t>Avril</t>
  </si>
  <si>
    <t>Mai</t>
  </si>
  <si>
    <t>Juin</t>
  </si>
  <si>
    <t>Juillet</t>
  </si>
  <si>
    <t>Août</t>
  </si>
  <si>
    <t>Septembre</t>
  </si>
  <si>
    <t>Octobre</t>
  </si>
  <si>
    <t>Novembre</t>
  </si>
  <si>
    <t>Décembre</t>
  </si>
  <si>
    <t>Adélaïde Arnaud</t>
  </si>
  <si>
    <t>Simone Bertrand</t>
  </si>
  <si>
    <t>Sabine Benard-Renard</t>
  </si>
  <si>
    <t>Lucas de Bourgeois</t>
  </si>
  <si>
    <t>André de la Becker</t>
  </si>
  <si>
    <t>Michèle-Marthe Martin</t>
  </si>
  <si>
    <t>Margaret-Constance Boulanger</t>
  </si>
  <si>
    <t>Emmanuelle Gimenez</t>
  </si>
  <si>
    <t>Margot du Delattre</t>
  </si>
  <si>
    <t>Alex Chauvet</t>
  </si>
  <si>
    <t>Marine Pons</t>
  </si>
  <si>
    <t>Frédéric Turpin</t>
  </si>
  <si>
    <t>Anne Poulain</t>
  </si>
  <si>
    <t>Constance Meunier</t>
  </si>
  <si>
    <t>Raymond-Daniel Lagarde</t>
  </si>
  <si>
    <t>Xavier Laroche-Martel</t>
  </si>
  <si>
    <t>Matthieu-Théophile Parent</t>
  </si>
  <si>
    <t>Émilie Garcia</t>
  </si>
  <si>
    <t>Luce de Boucher</t>
  </si>
  <si>
    <t>Frédéric Gautier-Antoine</t>
  </si>
  <si>
    <t>Janvier</t>
  </si>
  <si>
    <t>C:C</t>
  </si>
  <si>
    <t>D:D</t>
  </si>
  <si>
    <t>E:E</t>
  </si>
  <si>
    <t>F:F</t>
  </si>
  <si>
    <t>G:G</t>
  </si>
  <si>
    <t>H:H</t>
  </si>
  <si>
    <t>I:I</t>
  </si>
  <si>
    <t>J:J</t>
  </si>
  <si>
    <t>K:K</t>
  </si>
  <si>
    <t>L:L</t>
  </si>
  <si>
    <t>M:M</t>
  </si>
  <si>
    <t>N:N</t>
  </si>
  <si>
    <t>O:O</t>
  </si>
  <si>
    <t>P:P</t>
  </si>
  <si>
    <t>Q:Q</t>
  </si>
  <si>
    <t>R:R</t>
  </si>
  <si>
    <t>S:S</t>
  </si>
  <si>
    <t>T:T</t>
  </si>
  <si>
    <t>U:U</t>
  </si>
  <si>
    <t>V:V</t>
  </si>
  <si>
    <t>W:W</t>
  </si>
  <si>
    <t>X:X</t>
  </si>
  <si>
    <t>Y:Y</t>
  </si>
  <si>
    <t>Z:Z</t>
  </si>
  <si>
    <t>AA:AA</t>
  </si>
  <si>
    <t>AB:AB</t>
  </si>
  <si>
    <t>AC:AC</t>
  </si>
  <si>
    <t>AD:AD</t>
  </si>
  <si>
    <t>AE:AE</t>
  </si>
  <si>
    <t>AF:AF</t>
  </si>
  <si>
    <t>AG:AG</t>
  </si>
  <si>
    <t>Ligne à masquer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</si>
</sst>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
    <numFmt numFmtId="166" formatCode="dd"/>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b/>
      <sz val="11"/>
      <color theme="0"/>
      <name val="Calibri"/>
      <family val="2"/>
      <scheme val="minor"/>
    </font>
    <font>
      <sz val="8"/>
      <color theme="1"/>
      <name val="Calibri"/>
      <family val="2"/>
      <scheme val="minor"/>
    </font>
  </fonts>
  <fills count="22">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theme="7" tint="-0.499984740745262"/>
        <bgColor indexed="64"/>
      </patternFill>
    </fill>
  </fills>
  <borders count="1">
    <border>
      <left/>
      <right/>
      <top/>
      <bottom/>
      <diagonal/>
    </border>
  </borders>
  <cellStyleXfs count="29">
    <xf numFmtId="0" fontId="0" fillId="0" borderId="0">
      <alignment horizontal="left" vertical="center"/>
    </xf>
    <xf numFmtId="0" fontId="7" fillId="0" borderId="0" applyNumberFormat="0" applyFill="0" applyBorder="0" applyProtection="0">
      <alignment vertical="top"/>
    </xf>
    <xf numFmtId="0" fontId="5" fillId="0" borderId="0" applyNumberFormat="0" applyFill="0" applyBorder="0" applyProtection="0">
      <alignment vertical="top"/>
    </xf>
    <xf numFmtId="0" fontId="6" fillId="2" borderId="0" applyNumberFormat="0" applyBorder="0" applyProtection="0">
      <alignment horizontal="center" vertical="center"/>
    </xf>
    <xf numFmtId="0" fontId="2" fillId="20" borderId="0" applyNumberFormat="0" applyProtection="0">
      <alignment horizontal="right" vertical="center" indent="1"/>
    </xf>
    <xf numFmtId="0" fontId="3" fillId="0" borderId="0" applyNumberFormat="0" applyFill="0" applyBorder="0" applyProtection="0">
      <alignment horizontal="left" vertical="center" indent="2"/>
    </xf>
    <xf numFmtId="0" fontId="4"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4"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4"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2" fillId="10" borderId="0" applyNumberFormat="0" applyBorder="0" applyAlignment="0" applyProtection="0"/>
    <xf numFmtId="0" fontId="4"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8" fillId="0" borderId="0">
      <alignment horizontal="center"/>
    </xf>
    <xf numFmtId="0" fontId="1" fillId="0" borderId="0"/>
  </cellStyleXfs>
  <cellXfs count="28">
    <xf numFmtId="0" fontId="0" fillId="0" borderId="0" xfId="0">
      <alignment horizontal="left" vertical="center"/>
    </xf>
    <xf numFmtId="0" fontId="0" fillId="0" borderId="0" xfId="0" applyAlignment="1">
      <alignment horizontal="center" vertical="center"/>
    </xf>
    <xf numFmtId="0" fontId="2" fillId="15" borderId="0" xfId="12" applyAlignment="1" applyProtection="1">
      <alignment horizontal="center" vertical="center"/>
    </xf>
    <xf numFmtId="0" fontId="2" fillId="10" borderId="0" xfId="19" applyAlignment="1" applyProtection="1">
      <alignment horizontal="center" vertical="center"/>
    </xf>
    <xf numFmtId="0" fontId="2" fillId="13" borderId="0" xfId="23" applyAlignment="1" applyProtection="1">
      <alignment horizontal="center" vertical="center"/>
    </xf>
    <xf numFmtId="164" fontId="2" fillId="9" borderId="0" xfId="8" applyNumberFormat="1" applyAlignment="1" applyProtection="1">
      <alignment horizontal="center" vertical="center"/>
    </xf>
    <xf numFmtId="164" fontId="2" fillId="14" borderId="0" xfId="24" applyNumberFormat="1" applyAlignment="1" applyProtection="1">
      <alignment horizontal="center" vertical="center"/>
    </xf>
    <xf numFmtId="0" fontId="1" fillId="0" borderId="0" xfId="26" applyFill="1" applyBorder="1">
      <alignment horizontal="left" vertical="center" wrapText="1" indent="2"/>
    </xf>
    <xf numFmtId="1" fontId="1" fillId="0" borderId="0" xfId="25" applyFill="1" applyBorder="1" applyProtection="1">
      <alignment horizontal="center" vertical="center"/>
    </xf>
    <xf numFmtId="0" fontId="6" fillId="2" borderId="0" xfId="3" applyProtection="1">
      <alignment horizontal="center" vertical="center"/>
    </xf>
    <xf numFmtId="164" fontId="0" fillId="0" borderId="0" xfId="0" applyNumberFormat="1" applyAlignment="1">
      <alignment horizontal="center" vertical="center"/>
    </xf>
    <xf numFmtId="0" fontId="7" fillId="0" borderId="0" xfId="1" applyProtection="1">
      <alignment vertical="top"/>
    </xf>
    <xf numFmtId="0" fontId="1" fillId="2" borderId="0" xfId="21" applyBorder="1" applyAlignment="1" applyProtection="1">
      <alignment horizontal="left" vertical="center" indent="1"/>
    </xf>
    <xf numFmtId="0" fontId="0" fillId="0" borderId="0" xfId="21" applyFont="1" applyFill="1" applyBorder="1" applyAlignment="1" applyProtection="1">
      <alignment horizontal="center" vertical="center"/>
    </xf>
    <xf numFmtId="0" fontId="0" fillId="0" borderId="0" xfId="0" applyAlignment="1">
      <alignment horizontal="left" vertical="center" wrapText="1"/>
    </xf>
    <xf numFmtId="0" fontId="2" fillId="20" borderId="0" xfId="4" applyProtection="1">
      <alignment horizontal="right" vertical="center" indent="1"/>
    </xf>
    <xf numFmtId="0" fontId="8" fillId="0" borderId="0" xfId="27">
      <alignment horizontal="center"/>
    </xf>
    <xf numFmtId="0" fontId="0" fillId="0" borderId="0" xfId="0" applyAlignment="1">
      <alignment horizontal="left" vertical="center" indent="1"/>
    </xf>
    <xf numFmtId="0" fontId="0" fillId="0" borderId="0" xfId="26" applyFont="1" applyFill="1" applyBorder="1">
      <alignment horizontal="left" vertical="center" wrapText="1" indent="2"/>
    </xf>
    <xf numFmtId="0" fontId="1" fillId="0" borderId="0" xfId="28"/>
    <xf numFmtId="0" fontId="1" fillId="0" borderId="0" xfId="28" applyAlignment="1">
      <alignment vertical="center"/>
    </xf>
    <xf numFmtId="0" fontId="6" fillId="2" borderId="0" xfId="3" applyProtection="1">
      <alignment horizontal="center" vertical="center"/>
    </xf>
    <xf numFmtId="0" fontId="1" fillId="2" borderId="0" xfId="21" applyAlignment="1" applyProtection="1">
      <alignment horizontal="left" vertical="center"/>
    </xf>
    <xf numFmtId="0" fontId="1" fillId="0" borderId="0" xfId="28" applyAlignment="1">
      <alignment horizontal="center" vertical="center"/>
    </xf>
    <xf numFmtId="0" fontId="1" fillId="2" borderId="0" xfId="28" applyFill="1" applyAlignment="1">
      <alignment horizontal="center" vertical="center"/>
    </xf>
    <xf numFmtId="166" fontId="4" fillId="21" borderId="0" xfId="28" applyNumberFormat="1" applyFont="1" applyFill="1" applyAlignment="1">
      <alignment horizontal="center" vertical="center"/>
    </xf>
    <xf numFmtId="0" fontId="10" fillId="0" borderId="0" xfId="28" applyFont="1" applyAlignment="1">
      <alignment horizontal="center" vertical="center"/>
    </xf>
    <xf numFmtId="49" fontId="9" fillId="21" borderId="0" xfId="28" applyNumberFormat="1" applyFont="1" applyFill="1" applyAlignment="1">
      <alignment horizontal="center" vertical="center"/>
    </xf>
  </cellXfs>
  <cellStyles count="29">
    <cellStyle name="20 % - Accent1" xfId="15" builtinId="30" customBuiltin="1"/>
    <cellStyle name="20 % - Accent3" xfId="21" builtinId="38" customBuiltin="1"/>
    <cellStyle name="20 % - Accent4" xfId="7" builtinId="42"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3" xfId="23" builtinId="40" customBuiltin="1"/>
    <cellStyle name="60 % - Accent4" xfId="9" builtinId="44"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6" xfId="10" builtinId="49" customBuiltin="1"/>
    <cellStyle name="Employé" xfId="26" xr:uid="{00000000-0005-0000-0000-000013000000}"/>
    <cellStyle name="Étiquette" xfId="27" xr:uid="{00000000-0005-0000-0000-000014000000}"/>
    <cellStyle name="Normal" xfId="0" builtinId="0" customBuiltin="1"/>
    <cellStyle name="Normal 2" xfId="28" xr:uid="{00000000-0005-0000-0000-000016000000}"/>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s>
  <dxfs count="907">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0"/>
      </font>
      <border>
        <vertical/>
        <horizontal/>
      </border>
    </dxf>
    <dxf>
      <font>
        <b val="0"/>
        <i val="0"/>
        <color theme="3"/>
      </font>
      <border>
        <vertical/>
        <horizontal/>
      </border>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ill>
        <patternFill>
          <bgColor theme="8" tint="0.79998168889431442"/>
        </patternFill>
      </fill>
    </dxf>
    <dxf>
      <fill>
        <patternFill>
          <bgColor rgb="FF00B050"/>
        </patternFill>
      </fill>
    </dxf>
    <dxf>
      <fill>
        <patternFill>
          <bgColor rgb="FF00B050"/>
        </patternFill>
      </fill>
    </dxf>
    <dxf>
      <fill>
        <patternFill>
          <bgColor theme="8" tint="0.79998168889431442"/>
        </patternFill>
      </fill>
    </dxf>
    <dxf>
      <fill>
        <patternFill patternType="none">
          <bgColor auto="1"/>
        </patternFill>
      </fill>
    </dxf>
    <dxf>
      <fill>
        <patternFill>
          <bgColor theme="8" tint="0.79998168889431442"/>
        </patternFill>
      </fill>
    </dxf>
    <dxf>
      <fill>
        <patternFill patternType="none">
          <bgColor auto="1"/>
        </patternFill>
      </fill>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numFmt numFmtId="164" formatCode="0;0;"/>
      <alignment horizontal="center" vertical="center" textRotation="0" wrapText="0" indent="0" justifyLastLine="0" shrinkToFit="0" readingOrder="0"/>
    </dxf>
    <dxf>
      <alignment horizontal="left" vertical="center" textRotation="0" wrapText="0" indent="1" justifyLastLine="0" shrinkToFit="0" readingOrder="0"/>
    </dxf>
    <dxf>
      <numFmt numFmtId="1" formatCode="0"/>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ill>
        <patternFill patternType="none">
          <fgColor indexed="64"/>
          <bgColor indexed="65"/>
        </patternFill>
      </fill>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protection locked="1" hidden="0"/>
    </dxf>
    <dxf>
      <protection locked="1" hidden="0"/>
    </dxf>
    <dxf>
      <protection locked="1" hidden="0"/>
    </dxf>
    <dxf>
      <protection locked="1" hidden="0"/>
    </dxf>
    <dxf>
      <protection locked="1" hidden="0"/>
    </dxf>
    <dxf>
      <protection locked="1" hidden="0"/>
    </dxf>
    <dxf>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TableStyle="Tableau des absences des employés" defaultPivotStyle="PivotStyleLight16">
    <tableStyle name="Tableau des absences des employés" pivot="0" count="13" xr9:uid="{00000000-0011-0000-FFFF-FFFF00000000}">
      <tableStyleElement type="wholeTable" dxfId="906"/>
      <tableStyleElement type="headerRow" dxfId="905"/>
      <tableStyleElement type="totalRow" dxfId="904"/>
      <tableStyleElement type="firstColumn" dxfId="903"/>
      <tableStyleElement type="lastColumn" dxfId="902"/>
      <tableStyleElement type="firstRowStripe" dxfId="901"/>
      <tableStyleElement type="secondRowStripe" dxfId="900"/>
      <tableStyleElement type="firstColumnStripe" dxfId="899"/>
      <tableStyleElement type="secondColumnStripe" dxfId="898"/>
      <tableStyleElement type="firstHeaderCell" dxfId="897"/>
      <tableStyleElement type="lastHeaderCell" dxfId="896"/>
      <tableStyleElement type="firstTotalCell" dxfId="895"/>
      <tableStyleElement type="lastTotalCell" dxfId="89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Janvier" displayName="Janvier" ref="B6:AH12" totalsRowCount="1" headerRowDxfId="893" dataDxfId="892" totalsRowDxfId="891">
  <autoFilter ref="B6:AH11"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xr3:uid="{00000000-0010-0000-0000-000001000000}" name="Nom de l’employé" totalsRowFunction="custom" dataDxfId="133" totalsRowDxfId="101">
      <totalsRowFormula>NomMois&amp;" Total"</totalsRowFormula>
    </tableColumn>
    <tableColumn id="2" xr3:uid="{00000000-0010-0000-0000-000002000000}" name="1" totalsRowFunction="custom" dataDxfId="132" totalsRowDxfId="100" dataCellStyle="Total">
      <totalsRowFormula>SUBTOTAL(103,Janvier!$C$7:$C$11)</totalsRowFormula>
    </tableColumn>
    <tableColumn id="3" xr3:uid="{00000000-0010-0000-0000-000003000000}" name="2" totalsRowFunction="custom" dataDxfId="131" totalsRowDxfId="99" dataCellStyle="Total">
      <totalsRowFormula>SUBTOTAL(103,Janvier!$D$7:$D$11)</totalsRowFormula>
    </tableColumn>
    <tableColumn id="4" xr3:uid="{00000000-0010-0000-0000-000004000000}" name="3" totalsRowFunction="custom" dataDxfId="130" totalsRowDxfId="98" dataCellStyle="Total">
      <totalsRowFormula>SUBTOTAL(103,Janvier!$E$7:$E$11)</totalsRowFormula>
    </tableColumn>
    <tableColumn id="5" xr3:uid="{00000000-0010-0000-0000-000005000000}" name="4" totalsRowFunction="custom" dataDxfId="129" totalsRowDxfId="97" dataCellStyle="Total">
      <totalsRowFormula>SUBTOTAL(103,Janvier!$F$7:$F$11)</totalsRowFormula>
    </tableColumn>
    <tableColumn id="6" xr3:uid="{00000000-0010-0000-0000-000006000000}" name="5" totalsRowFunction="custom" totalsRowDxfId="96" dataCellStyle="Total">
      <totalsRowFormula>SUBTOTAL(103,Janvier!$G$7:$G$11)</totalsRowFormula>
    </tableColumn>
    <tableColumn id="7" xr3:uid="{00000000-0010-0000-0000-000007000000}" name="6" totalsRowFunction="custom" dataDxfId="128" totalsRowDxfId="95" dataCellStyle="Total">
      <totalsRowFormula>SUBTOTAL(103,Janvier!$H$7:$H$11)</totalsRowFormula>
    </tableColumn>
    <tableColumn id="8" xr3:uid="{00000000-0010-0000-0000-000008000000}" name="7" totalsRowFunction="custom" dataDxfId="127" totalsRowDxfId="94" dataCellStyle="Total">
      <totalsRowFormula>SUBTOTAL(103,Janvier!$I$7:$I$11)</totalsRowFormula>
    </tableColumn>
    <tableColumn id="9" xr3:uid="{00000000-0010-0000-0000-000009000000}" name="8" totalsRowFunction="custom" dataDxfId="126" totalsRowDxfId="93" dataCellStyle="Total">
      <totalsRowFormula>SUBTOTAL(103,Janvier!$J$7:$J$11)</totalsRowFormula>
    </tableColumn>
    <tableColumn id="10" xr3:uid="{00000000-0010-0000-0000-00000A000000}" name="9" totalsRowFunction="custom" dataDxfId="125" totalsRowDxfId="92" dataCellStyle="Total">
      <totalsRowFormula>SUBTOTAL(103,Janvier!$K$7:$K$11)</totalsRowFormula>
    </tableColumn>
    <tableColumn id="11" xr3:uid="{00000000-0010-0000-0000-00000B000000}" name="10" totalsRowFunction="custom" dataDxfId="124" totalsRowDxfId="91" dataCellStyle="Total">
      <totalsRowFormula>SUBTOTAL(103,Janvier!$L$7:$L$11)</totalsRowFormula>
    </tableColumn>
    <tableColumn id="12" xr3:uid="{00000000-0010-0000-0000-00000C000000}" name="11" totalsRowFunction="custom" dataDxfId="123" totalsRowDxfId="90" dataCellStyle="Total">
      <totalsRowFormula>SUBTOTAL(103,Janvier!$M$7:$M$11)</totalsRowFormula>
    </tableColumn>
    <tableColumn id="13" xr3:uid="{00000000-0010-0000-0000-00000D000000}" name="12" totalsRowFunction="custom" dataDxfId="122" totalsRowDxfId="89" dataCellStyle="Total">
      <totalsRowFormula>SUBTOTAL(103,Janvier!$N$7:$N$11)</totalsRowFormula>
    </tableColumn>
    <tableColumn id="14" xr3:uid="{00000000-0010-0000-0000-00000E000000}" name="13" totalsRowFunction="custom" dataDxfId="121" totalsRowDxfId="88" dataCellStyle="Total">
      <totalsRowFormula>SUBTOTAL(103,Janvier!$O$7:$O$11)</totalsRowFormula>
    </tableColumn>
    <tableColumn id="15" xr3:uid="{00000000-0010-0000-0000-00000F000000}" name="14" totalsRowFunction="custom" dataDxfId="120" totalsRowDxfId="87" dataCellStyle="Total">
      <totalsRowFormula>SUBTOTAL(103,Janvier!$P$7:$P$11)</totalsRowFormula>
    </tableColumn>
    <tableColumn id="16" xr3:uid="{00000000-0010-0000-0000-000010000000}" name="15" totalsRowFunction="custom" dataDxfId="119" totalsRowDxfId="86" dataCellStyle="Total">
      <totalsRowFormula>SUBTOTAL(103,Janvier!$Q$7:$Q$11)</totalsRowFormula>
    </tableColumn>
    <tableColumn id="17" xr3:uid="{00000000-0010-0000-0000-000011000000}" name="16" totalsRowFunction="custom" dataDxfId="118" totalsRowDxfId="85" dataCellStyle="Total">
      <totalsRowFormula>SUBTOTAL(103,Janvier!$R$7:$R$11)</totalsRowFormula>
    </tableColumn>
    <tableColumn id="18" xr3:uid="{00000000-0010-0000-0000-000012000000}" name="17" totalsRowFunction="custom" dataDxfId="117" totalsRowDxfId="84" dataCellStyle="Total">
      <totalsRowFormula>SUBTOTAL(103,Janvier!$S$7:$S$11)</totalsRowFormula>
    </tableColumn>
    <tableColumn id="19" xr3:uid="{00000000-0010-0000-0000-000013000000}" name="18" totalsRowFunction="custom" dataDxfId="116" totalsRowDxfId="83" dataCellStyle="Total">
      <totalsRowFormula>SUBTOTAL(103,Janvier!$T$7:$T$11)</totalsRowFormula>
    </tableColumn>
    <tableColumn id="20" xr3:uid="{00000000-0010-0000-0000-000014000000}" name="19" totalsRowFunction="custom" dataDxfId="115" totalsRowDxfId="82" dataCellStyle="Total">
      <totalsRowFormula>SUBTOTAL(103,Janvier!$U$7:$U$11)</totalsRowFormula>
    </tableColumn>
    <tableColumn id="21" xr3:uid="{00000000-0010-0000-0000-000015000000}" name="20" totalsRowFunction="custom" dataDxfId="114" totalsRowDxfId="81" dataCellStyle="Total">
      <totalsRowFormula>SUBTOTAL(103,Janvier!$V$7:$V$11)</totalsRowFormula>
    </tableColumn>
    <tableColumn id="22" xr3:uid="{00000000-0010-0000-0000-000016000000}" name="21" totalsRowFunction="custom" dataDxfId="113" totalsRowDxfId="80" dataCellStyle="Total">
      <totalsRowFormula>SUBTOTAL(103,Janvier!$W$7:$W$11)</totalsRowFormula>
    </tableColumn>
    <tableColumn id="23" xr3:uid="{00000000-0010-0000-0000-000017000000}" name="22" totalsRowFunction="custom" dataDxfId="112" totalsRowDxfId="79" dataCellStyle="Total">
      <totalsRowFormula>SUBTOTAL(103,Janvier!$X$7:$X$11)</totalsRowFormula>
    </tableColumn>
    <tableColumn id="24" xr3:uid="{00000000-0010-0000-0000-000018000000}" name="23" totalsRowFunction="custom" dataDxfId="111" totalsRowDxfId="78" dataCellStyle="Total">
      <totalsRowFormula>SUBTOTAL(103,Janvier!$Y$7:$Y$11)</totalsRowFormula>
    </tableColumn>
    <tableColumn id="25" xr3:uid="{00000000-0010-0000-0000-000019000000}" name="24" totalsRowFunction="custom" dataDxfId="110" totalsRowDxfId="77" dataCellStyle="Total">
      <totalsRowFormula>SUBTOTAL(103,Janvier!$Z$7:$Z$11)</totalsRowFormula>
    </tableColumn>
    <tableColumn id="26" xr3:uid="{00000000-0010-0000-0000-00001A000000}" name="25" totalsRowFunction="custom" dataDxfId="109" totalsRowDxfId="76" dataCellStyle="Total">
      <totalsRowFormula>SUBTOTAL(103,Janvier!$AA$7:$AA$11)</totalsRowFormula>
    </tableColumn>
    <tableColumn id="27" xr3:uid="{00000000-0010-0000-0000-00001B000000}" name="26" totalsRowFunction="custom" dataDxfId="108" totalsRowDxfId="75" dataCellStyle="Total">
      <totalsRowFormula>SUBTOTAL(103,Janvier!$AB$7:$AB$11)</totalsRowFormula>
    </tableColumn>
    <tableColumn id="28" xr3:uid="{00000000-0010-0000-0000-00001C000000}" name="27" totalsRowFunction="custom" dataDxfId="107" totalsRowDxfId="74" dataCellStyle="Total">
      <totalsRowFormula>SUBTOTAL(103,Janvier!$AC$7:$AC$11)</totalsRowFormula>
    </tableColumn>
    <tableColumn id="29" xr3:uid="{00000000-0010-0000-0000-00001D000000}" name="28" totalsRowFunction="custom" dataDxfId="106" totalsRowDxfId="73" dataCellStyle="Total">
      <totalsRowFormula>SUBTOTAL(103,Janvier!$AD$7:$AD$11)</totalsRowFormula>
    </tableColumn>
    <tableColumn id="30" xr3:uid="{00000000-0010-0000-0000-00001E000000}" name="29" totalsRowFunction="custom" dataDxfId="105" totalsRowDxfId="72" dataCellStyle="Total">
      <totalsRowFormula>SUBTOTAL(103,Janvier!$AE$7:$AE$11)</totalsRowFormula>
    </tableColumn>
    <tableColumn id="31" xr3:uid="{00000000-0010-0000-0000-00001F000000}" name="30" totalsRowFunction="custom" dataDxfId="104" totalsRowDxfId="71" dataCellStyle="Total">
      <totalsRowFormula>SUBTOTAL(103,Janvier!$AF$7:$AF$11)</totalsRowFormula>
    </tableColumn>
    <tableColumn id="32" xr3:uid="{00000000-0010-0000-0000-000020000000}" name="31" totalsRowFunction="custom" dataDxfId="103" totalsRowDxfId="70" dataCellStyle="Total">
      <totalsRowFormula>SUBTOTAL(103,Janvier!$AG$7:$AG$11)</totalsRowFormula>
    </tableColumn>
    <tableColumn id="33" xr3:uid="{00000000-0010-0000-0000-000021000000}" name="Total des jours" totalsRowFunction="sum" dataDxfId="102" totalsRowDxfId="69" dataCellStyle="Total">
      <calculatedColumnFormula>COUNTA(Janvier!$C7:$AG7)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Février" displayName="Février" ref="B6:AH12" totalsRowCount="1" headerRowDxfId="890" dataDxfId="889" totalsRowDxfId="888">
  <tableColumns count="33">
    <tableColumn id="1" xr3:uid="{00000000-0010-0000-0100-000001000000}" name="Nom de l’employé" totalsRowFunction="custom" dataDxfId="887" totalsRowDxfId="886">
      <totalsRowFormula>NomMois&amp;" Total"</totalsRowFormula>
    </tableColumn>
    <tableColumn id="2" xr3:uid="{00000000-0010-0000-0100-000002000000}" name="1" totalsRowFunction="count" dataDxfId="885" totalsRowDxfId="884" dataCellStyle="Total"/>
    <tableColumn id="3" xr3:uid="{00000000-0010-0000-0100-000003000000}" name="2" totalsRowFunction="count" dataDxfId="883" totalsRowDxfId="882" dataCellStyle="Total"/>
    <tableColumn id="4" xr3:uid="{00000000-0010-0000-0100-000004000000}" name="3" totalsRowFunction="count" dataDxfId="881" totalsRowDxfId="880" dataCellStyle="Total"/>
    <tableColumn id="5" xr3:uid="{00000000-0010-0000-0100-000005000000}" name="4" totalsRowFunction="count" dataDxfId="879" totalsRowDxfId="878" dataCellStyle="Total"/>
    <tableColumn id="6" xr3:uid="{00000000-0010-0000-0100-000006000000}" name="5" totalsRowFunction="count" dataDxfId="877" totalsRowDxfId="876" dataCellStyle="Total"/>
    <tableColumn id="7" xr3:uid="{00000000-0010-0000-0100-000007000000}" name="6" totalsRowFunction="count" dataDxfId="875" totalsRowDxfId="874" dataCellStyle="Total"/>
    <tableColumn id="8" xr3:uid="{00000000-0010-0000-0100-000008000000}" name="7" totalsRowFunction="count" dataDxfId="873" totalsRowDxfId="872" dataCellStyle="Total"/>
    <tableColumn id="9" xr3:uid="{00000000-0010-0000-0100-000009000000}" name="8" totalsRowFunction="count" dataDxfId="871" totalsRowDxfId="870" dataCellStyle="Total"/>
    <tableColumn id="10" xr3:uid="{00000000-0010-0000-0100-00000A000000}" name="9" totalsRowFunction="count" dataDxfId="869" totalsRowDxfId="868" dataCellStyle="Total"/>
    <tableColumn id="11" xr3:uid="{00000000-0010-0000-0100-00000B000000}" name="10" totalsRowFunction="count" dataDxfId="867" totalsRowDxfId="866" dataCellStyle="Total"/>
    <tableColumn id="12" xr3:uid="{00000000-0010-0000-0100-00000C000000}" name="11" totalsRowFunction="count" dataDxfId="865" totalsRowDxfId="864" dataCellStyle="Total"/>
    <tableColumn id="13" xr3:uid="{00000000-0010-0000-0100-00000D000000}" name="12" totalsRowFunction="count" dataDxfId="863" totalsRowDxfId="862" dataCellStyle="Total"/>
    <tableColumn id="14" xr3:uid="{00000000-0010-0000-0100-00000E000000}" name="13" totalsRowFunction="count" dataDxfId="861" totalsRowDxfId="860" dataCellStyle="Total"/>
    <tableColumn id="15" xr3:uid="{00000000-0010-0000-0100-00000F000000}" name="14" totalsRowFunction="count" dataDxfId="859" totalsRowDxfId="858" dataCellStyle="Total"/>
    <tableColumn id="16" xr3:uid="{00000000-0010-0000-0100-000010000000}" name="15" totalsRowFunction="count" dataDxfId="857" totalsRowDxfId="856" dataCellStyle="Total"/>
    <tableColumn id="17" xr3:uid="{00000000-0010-0000-0100-000011000000}" name="16" totalsRowFunction="count" dataDxfId="855" totalsRowDxfId="854" dataCellStyle="Total"/>
    <tableColumn id="18" xr3:uid="{00000000-0010-0000-0100-000012000000}" name="17" totalsRowFunction="count" dataDxfId="853" totalsRowDxfId="852" dataCellStyle="Total"/>
    <tableColumn id="19" xr3:uid="{00000000-0010-0000-0100-000013000000}" name="18" totalsRowFunction="count" dataDxfId="851" totalsRowDxfId="850" dataCellStyle="Total"/>
    <tableColumn id="20" xr3:uid="{00000000-0010-0000-0100-000014000000}" name="19" totalsRowFunction="count" dataDxfId="849" totalsRowDxfId="848" dataCellStyle="Total"/>
    <tableColumn id="21" xr3:uid="{00000000-0010-0000-0100-000015000000}" name="20" totalsRowFunction="count" dataDxfId="847" totalsRowDxfId="846" dataCellStyle="Total"/>
    <tableColumn id="22" xr3:uid="{00000000-0010-0000-0100-000016000000}" name="21" totalsRowFunction="count" dataDxfId="845" totalsRowDxfId="844" dataCellStyle="Total"/>
    <tableColumn id="23" xr3:uid="{00000000-0010-0000-0100-000017000000}" name="22" totalsRowFunction="count" dataDxfId="843" totalsRowDxfId="842" dataCellStyle="Total"/>
    <tableColumn id="24" xr3:uid="{00000000-0010-0000-0100-000018000000}" name="23" totalsRowFunction="count" dataDxfId="841" totalsRowDxfId="840" dataCellStyle="Total"/>
    <tableColumn id="25" xr3:uid="{00000000-0010-0000-0100-000019000000}" name="24" totalsRowFunction="count" dataDxfId="839" totalsRowDxfId="838" dataCellStyle="Total"/>
    <tableColumn id="26" xr3:uid="{00000000-0010-0000-0100-00001A000000}" name="25" totalsRowFunction="count" dataDxfId="837" totalsRowDxfId="836" dataCellStyle="Total"/>
    <tableColumn id="27" xr3:uid="{00000000-0010-0000-0100-00001B000000}" name="26" totalsRowFunction="count" dataDxfId="835" totalsRowDxfId="834" dataCellStyle="Total"/>
    <tableColumn id="28" xr3:uid="{00000000-0010-0000-0100-00001C000000}" name="27" totalsRowFunction="count" dataDxfId="833" totalsRowDxfId="832" dataCellStyle="Total"/>
    <tableColumn id="29" xr3:uid="{00000000-0010-0000-0100-00001D000000}" name="28" totalsRowFunction="count" dataDxfId="831" totalsRowDxfId="830" dataCellStyle="Total"/>
    <tableColumn id="30" xr3:uid="{00000000-0010-0000-0100-00001E000000}" name="29" totalsRowFunction="count" dataDxfId="829" totalsRowDxfId="828" dataCellStyle="Total"/>
    <tableColumn id="31" xr3:uid="{00000000-0010-0000-0100-00001F000000}" name=" " dataDxfId="827" totalsRowDxfId="826" dataCellStyle="Total"/>
    <tableColumn id="32" xr3:uid="{00000000-0010-0000-0100-000020000000}" name="  " dataDxfId="825" totalsRowDxfId="824" dataCellStyle="Total"/>
    <tableColumn id="33" xr3:uid="{00000000-0010-0000-0100-000021000000}" name="Total des jours" totalsRowFunction="sum" dataDxfId="823" totalsRowDxfId="822" dataCellStyle="Total">
      <calculatedColumnFormula>COUNTA(Février[[#This Row],[1]:[29]])</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2000000}" name="Mars" displayName="Mars" ref="B6:AH12" totalsRowCount="1" headerRowDxfId="821" dataDxfId="820" totalsRowDxfId="819">
  <tableColumns count="33">
    <tableColumn id="1" xr3:uid="{00000000-0010-0000-0200-000001000000}" name="Nom de l’employé" totalsRowFunction="custom" dataDxfId="818" totalsRowDxfId="817">
      <totalsRowFormula>NomMois&amp;" Total"</totalsRowFormula>
    </tableColumn>
    <tableColumn id="2" xr3:uid="{00000000-0010-0000-0200-000002000000}" name="1" totalsRowFunction="count" dataDxfId="816" totalsRowDxfId="815"/>
    <tableColumn id="3" xr3:uid="{00000000-0010-0000-0200-000003000000}" name="2" totalsRowFunction="count" dataDxfId="814" totalsRowDxfId="813"/>
    <tableColumn id="4" xr3:uid="{00000000-0010-0000-0200-000004000000}" name="3" totalsRowFunction="count" dataDxfId="812" totalsRowDxfId="811"/>
    <tableColumn id="5" xr3:uid="{00000000-0010-0000-0200-000005000000}" name="4" totalsRowFunction="count" dataDxfId="810" totalsRowDxfId="809"/>
    <tableColumn id="6" xr3:uid="{00000000-0010-0000-0200-000006000000}" name="5" totalsRowFunction="count" dataDxfId="808" totalsRowDxfId="807"/>
    <tableColumn id="7" xr3:uid="{00000000-0010-0000-0200-000007000000}" name="6" totalsRowFunction="count" dataDxfId="806" totalsRowDxfId="805"/>
    <tableColumn id="8" xr3:uid="{00000000-0010-0000-0200-000008000000}" name="7" totalsRowFunction="count" dataDxfId="804" totalsRowDxfId="803"/>
    <tableColumn id="9" xr3:uid="{00000000-0010-0000-0200-000009000000}" name="8" totalsRowFunction="count" dataDxfId="802" totalsRowDxfId="801"/>
    <tableColumn id="10" xr3:uid="{00000000-0010-0000-0200-00000A000000}" name="9" totalsRowFunction="count" dataDxfId="800" totalsRowDxfId="799"/>
    <tableColumn id="11" xr3:uid="{00000000-0010-0000-0200-00000B000000}" name="10" totalsRowFunction="count" dataDxfId="798" totalsRowDxfId="797"/>
    <tableColumn id="12" xr3:uid="{00000000-0010-0000-0200-00000C000000}" name="11" totalsRowFunction="count" dataDxfId="796" totalsRowDxfId="795"/>
    <tableColumn id="13" xr3:uid="{00000000-0010-0000-0200-00000D000000}" name="12" totalsRowFunction="count" dataDxfId="794" totalsRowDxfId="793"/>
    <tableColumn id="14" xr3:uid="{00000000-0010-0000-0200-00000E000000}" name="13" totalsRowFunction="count" dataDxfId="792" totalsRowDxfId="791"/>
    <tableColumn id="15" xr3:uid="{00000000-0010-0000-0200-00000F000000}" name="14" totalsRowFunction="count" dataDxfId="790" totalsRowDxfId="789"/>
    <tableColumn id="16" xr3:uid="{00000000-0010-0000-0200-000010000000}" name="15" totalsRowFunction="count" dataDxfId="788" totalsRowDxfId="787"/>
    <tableColumn id="17" xr3:uid="{00000000-0010-0000-0200-000011000000}" name="16" totalsRowFunction="count" dataDxfId="786" totalsRowDxfId="785"/>
    <tableColumn id="18" xr3:uid="{00000000-0010-0000-0200-000012000000}" name="17" totalsRowFunction="count" dataDxfId="784" totalsRowDxfId="783"/>
    <tableColumn id="19" xr3:uid="{00000000-0010-0000-0200-000013000000}" name="18" totalsRowFunction="count" dataDxfId="782" totalsRowDxfId="781"/>
    <tableColumn id="20" xr3:uid="{00000000-0010-0000-0200-000014000000}" name="19" totalsRowFunction="count" dataDxfId="780" totalsRowDxfId="779"/>
    <tableColumn id="21" xr3:uid="{00000000-0010-0000-0200-000015000000}" name="20" totalsRowFunction="count" dataDxfId="778" totalsRowDxfId="777"/>
    <tableColumn id="22" xr3:uid="{00000000-0010-0000-0200-000016000000}" name="21" totalsRowFunction="count" dataDxfId="776" totalsRowDxfId="775"/>
    <tableColumn id="23" xr3:uid="{00000000-0010-0000-0200-000017000000}" name="22" totalsRowFunction="count" dataDxfId="774" totalsRowDxfId="773"/>
    <tableColumn id="24" xr3:uid="{00000000-0010-0000-0200-000018000000}" name="23" totalsRowFunction="count" dataDxfId="772" totalsRowDxfId="771"/>
    <tableColumn id="25" xr3:uid="{00000000-0010-0000-0200-000019000000}" name="24" totalsRowFunction="count" dataDxfId="770" totalsRowDxfId="769"/>
    <tableColumn id="26" xr3:uid="{00000000-0010-0000-0200-00001A000000}" name="25" totalsRowFunction="count" dataDxfId="768" totalsRowDxfId="767"/>
    <tableColumn id="27" xr3:uid="{00000000-0010-0000-0200-00001B000000}" name="26" totalsRowFunction="count" dataDxfId="766" totalsRowDxfId="765"/>
    <tableColumn id="28" xr3:uid="{00000000-0010-0000-0200-00001C000000}" name="27" totalsRowFunction="count" dataDxfId="764" totalsRowDxfId="763"/>
    <tableColumn id="29" xr3:uid="{00000000-0010-0000-0200-00001D000000}" name="28" totalsRowFunction="count" dataDxfId="762" totalsRowDxfId="761"/>
    <tableColumn id="30" xr3:uid="{00000000-0010-0000-0200-00001E000000}" name="29" totalsRowFunction="count" dataDxfId="760" totalsRowDxfId="759"/>
    <tableColumn id="31" xr3:uid="{00000000-0010-0000-0200-00001F000000}" name="30" totalsRowFunction="sum" dataDxfId="758" totalsRowDxfId="757"/>
    <tableColumn id="32" xr3:uid="{00000000-0010-0000-0200-000020000000}" name="31" totalsRowFunction="sum" dataDxfId="756" totalsRowDxfId="755" dataCellStyle="Total"/>
    <tableColumn id="33" xr3:uid="{00000000-0010-0000-0200-000021000000}" name="Total des jours" totalsRowFunction="sum" dataDxfId="754" dataCellStyle="Total">
      <calculatedColumnFormula>COUNTA(Mars[[#This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3000000}" name="Avril" displayName="Avril" ref="B6:AH12" totalsRowCount="1" headerRowDxfId="753" dataDxfId="752" totalsRowDxfId="751">
  <tableColumns count="33">
    <tableColumn id="1" xr3:uid="{00000000-0010-0000-0300-000001000000}" name="Nom de l’employé" totalsRowFunction="custom" dataDxfId="750" totalsRowDxfId="749">
      <totalsRowFormula>NomMois&amp;" Total"</totalsRowFormula>
    </tableColumn>
    <tableColumn id="2" xr3:uid="{00000000-0010-0000-0300-000002000000}" name="1" totalsRowFunction="count" dataDxfId="748" totalsRowDxfId="747"/>
    <tableColumn id="3" xr3:uid="{00000000-0010-0000-0300-000003000000}" name="2" totalsRowFunction="count" dataDxfId="746" totalsRowDxfId="745"/>
    <tableColumn id="4" xr3:uid="{00000000-0010-0000-0300-000004000000}" name="3" totalsRowFunction="count" dataDxfId="744" totalsRowDxfId="743"/>
    <tableColumn id="5" xr3:uid="{00000000-0010-0000-0300-000005000000}" name="4" totalsRowFunction="count" dataDxfId="742" totalsRowDxfId="741"/>
    <tableColumn id="6" xr3:uid="{00000000-0010-0000-0300-000006000000}" name="5" totalsRowFunction="count" dataDxfId="740" totalsRowDxfId="739"/>
    <tableColumn id="7" xr3:uid="{00000000-0010-0000-0300-000007000000}" name="6" totalsRowFunction="count" dataDxfId="738" totalsRowDxfId="737"/>
    <tableColumn id="8" xr3:uid="{00000000-0010-0000-0300-000008000000}" name="7" totalsRowFunction="count" dataDxfId="736" totalsRowDxfId="735"/>
    <tableColumn id="9" xr3:uid="{00000000-0010-0000-0300-000009000000}" name="8" totalsRowFunction="count" dataDxfId="734" totalsRowDxfId="733"/>
    <tableColumn id="10" xr3:uid="{00000000-0010-0000-0300-00000A000000}" name="9" totalsRowFunction="count" dataDxfId="732" totalsRowDxfId="731"/>
    <tableColumn id="11" xr3:uid="{00000000-0010-0000-0300-00000B000000}" name="10" totalsRowFunction="count" dataDxfId="730" totalsRowDxfId="729"/>
    <tableColumn id="12" xr3:uid="{00000000-0010-0000-0300-00000C000000}" name="11" totalsRowFunction="count" dataDxfId="728" totalsRowDxfId="727"/>
    <tableColumn id="13" xr3:uid="{00000000-0010-0000-0300-00000D000000}" name="12" totalsRowFunction="count" dataDxfId="726" totalsRowDxfId="725"/>
    <tableColumn id="14" xr3:uid="{00000000-0010-0000-0300-00000E000000}" name="13" totalsRowFunction="count" dataDxfId="724" totalsRowDxfId="723"/>
    <tableColumn id="15" xr3:uid="{00000000-0010-0000-0300-00000F000000}" name="14" totalsRowFunction="count" dataDxfId="722" totalsRowDxfId="721"/>
    <tableColumn id="16" xr3:uid="{00000000-0010-0000-0300-000010000000}" name="15" totalsRowFunction="count" dataDxfId="720" totalsRowDxfId="719"/>
    <tableColumn id="17" xr3:uid="{00000000-0010-0000-0300-000011000000}" name="16" totalsRowFunction="count" dataDxfId="718" totalsRowDxfId="717"/>
    <tableColumn id="18" xr3:uid="{00000000-0010-0000-0300-000012000000}" name="17" totalsRowFunction="count" dataDxfId="716" totalsRowDxfId="715"/>
    <tableColumn id="19" xr3:uid="{00000000-0010-0000-0300-000013000000}" name="18" totalsRowFunction="count" dataDxfId="714" totalsRowDxfId="713"/>
    <tableColumn id="20" xr3:uid="{00000000-0010-0000-0300-000014000000}" name="19" totalsRowFunction="count" dataDxfId="712" totalsRowDxfId="711"/>
    <tableColumn id="21" xr3:uid="{00000000-0010-0000-0300-000015000000}" name="20" totalsRowFunction="count" dataDxfId="710" totalsRowDxfId="709"/>
    <tableColumn id="22" xr3:uid="{00000000-0010-0000-0300-000016000000}" name="21" totalsRowFunction="count" dataDxfId="708" totalsRowDxfId="707"/>
    <tableColumn id="23" xr3:uid="{00000000-0010-0000-0300-000017000000}" name="22" totalsRowFunction="count" dataDxfId="706" totalsRowDxfId="705"/>
    <tableColumn id="24" xr3:uid="{00000000-0010-0000-0300-000018000000}" name="23" totalsRowFunction="count" dataDxfId="704" totalsRowDxfId="703"/>
    <tableColumn id="25" xr3:uid="{00000000-0010-0000-0300-000019000000}" name="24" totalsRowFunction="count" dataDxfId="702" totalsRowDxfId="701"/>
    <tableColumn id="26" xr3:uid="{00000000-0010-0000-0300-00001A000000}" name="25" totalsRowFunction="count" dataDxfId="700" totalsRowDxfId="699"/>
    <tableColumn id="27" xr3:uid="{00000000-0010-0000-0300-00001B000000}" name="26" totalsRowFunction="count" dataDxfId="698" totalsRowDxfId="697"/>
    <tableColumn id="28" xr3:uid="{00000000-0010-0000-0300-00001C000000}" name="27" totalsRowFunction="count" dataDxfId="696" totalsRowDxfId="695"/>
    <tableColumn id="29" xr3:uid="{00000000-0010-0000-0300-00001D000000}" name="28" totalsRowFunction="count" dataDxfId="694" totalsRowDxfId="693"/>
    <tableColumn id="30" xr3:uid="{00000000-0010-0000-0300-00001E000000}" name="29" totalsRowFunction="count" dataDxfId="692" totalsRowDxfId="691"/>
    <tableColumn id="31" xr3:uid="{00000000-0010-0000-0300-00001F000000}" name="30" totalsRowFunction="sum" dataDxfId="690" totalsRowDxfId="689"/>
    <tableColumn id="32" xr3:uid="{00000000-0010-0000-0300-000020000000}" name="31" totalsRowFunction="sum" dataDxfId="688" totalsRowDxfId="687" dataCellStyle="Total"/>
    <tableColumn id="33" xr3:uid="{00000000-0010-0000-0300-000021000000}" name="Total des jours" totalsRowFunction="sum" dataDxfId="686" totalsRowDxfId="685" dataCellStyle="Total">
      <calculatedColumnFormula>COUNTA(Avril[[#This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4000000}" name="Mai" displayName="Mai" ref="B6:AH12" totalsRowCount="1" headerRowDxfId="684" dataDxfId="683" totalsRowDxfId="682">
  <tableColumns count="33">
    <tableColumn id="1" xr3:uid="{00000000-0010-0000-0400-000001000000}" name="Nom de l’employé" totalsRowFunction="custom" dataDxfId="681" totalsRowDxfId="680">
      <totalsRowFormula>NomMois&amp;" Total"</totalsRowFormula>
    </tableColumn>
    <tableColumn id="2" xr3:uid="{00000000-0010-0000-0400-000002000000}" name="1" totalsRowFunction="count" dataDxfId="679" totalsRowDxfId="678"/>
    <tableColumn id="3" xr3:uid="{00000000-0010-0000-0400-000003000000}" name="2" totalsRowFunction="count" dataDxfId="677" totalsRowDxfId="676"/>
    <tableColumn id="4" xr3:uid="{00000000-0010-0000-0400-000004000000}" name="3" totalsRowFunction="count" dataDxfId="675" totalsRowDxfId="674"/>
    <tableColumn id="5" xr3:uid="{00000000-0010-0000-0400-000005000000}" name="4" totalsRowFunction="count" dataDxfId="673" totalsRowDxfId="672"/>
    <tableColumn id="6" xr3:uid="{00000000-0010-0000-0400-000006000000}" name="5" totalsRowFunction="count" dataDxfId="671" totalsRowDxfId="670"/>
    <tableColumn id="7" xr3:uid="{00000000-0010-0000-0400-000007000000}" name="6" totalsRowFunction="count" dataDxfId="669" totalsRowDxfId="668"/>
    <tableColumn id="8" xr3:uid="{00000000-0010-0000-0400-000008000000}" name="7" totalsRowFunction="count" dataDxfId="667" totalsRowDxfId="666"/>
    <tableColumn id="9" xr3:uid="{00000000-0010-0000-0400-000009000000}" name="8" totalsRowFunction="count" dataDxfId="665" totalsRowDxfId="664"/>
    <tableColumn id="10" xr3:uid="{00000000-0010-0000-0400-00000A000000}" name="9" totalsRowFunction="count" dataDxfId="663" totalsRowDxfId="662"/>
    <tableColumn id="11" xr3:uid="{00000000-0010-0000-0400-00000B000000}" name="10" totalsRowFunction="count" dataDxfId="661" totalsRowDxfId="660"/>
    <tableColumn id="12" xr3:uid="{00000000-0010-0000-0400-00000C000000}" name="11" totalsRowFunction="count" dataDxfId="659" totalsRowDxfId="658"/>
    <tableColumn id="13" xr3:uid="{00000000-0010-0000-0400-00000D000000}" name="12" totalsRowFunction="count" dataDxfId="657" totalsRowDxfId="656"/>
    <tableColumn id="14" xr3:uid="{00000000-0010-0000-0400-00000E000000}" name="13" totalsRowFunction="count" dataDxfId="655" totalsRowDxfId="654"/>
    <tableColumn id="15" xr3:uid="{00000000-0010-0000-0400-00000F000000}" name="14" totalsRowFunction="count" dataDxfId="653" totalsRowDxfId="652"/>
    <tableColumn id="16" xr3:uid="{00000000-0010-0000-0400-000010000000}" name="15" totalsRowFunction="count" dataDxfId="651" totalsRowDxfId="650"/>
    <tableColumn id="17" xr3:uid="{00000000-0010-0000-0400-000011000000}" name="16" totalsRowFunction="count" dataDxfId="649" totalsRowDxfId="648"/>
    <tableColumn id="18" xr3:uid="{00000000-0010-0000-0400-000012000000}" name="17" totalsRowFunction="count" dataDxfId="647" totalsRowDxfId="646"/>
    <tableColumn id="19" xr3:uid="{00000000-0010-0000-0400-000013000000}" name="18" totalsRowFunction="count" dataDxfId="645" totalsRowDxfId="644"/>
    <tableColumn id="20" xr3:uid="{00000000-0010-0000-0400-000014000000}" name="19" totalsRowFunction="count" dataDxfId="643" totalsRowDxfId="642"/>
    <tableColumn id="21" xr3:uid="{00000000-0010-0000-0400-000015000000}" name="20" totalsRowFunction="count" dataDxfId="641" totalsRowDxfId="640"/>
    <tableColumn id="22" xr3:uid="{00000000-0010-0000-0400-000016000000}" name="21" totalsRowFunction="count" dataDxfId="639" totalsRowDxfId="638"/>
    <tableColumn id="23" xr3:uid="{00000000-0010-0000-0400-000017000000}" name="22" totalsRowFunction="count" dataDxfId="637" totalsRowDxfId="636"/>
    <tableColumn id="24" xr3:uid="{00000000-0010-0000-0400-000018000000}" name="23" totalsRowFunction="count" dataDxfId="635" totalsRowDxfId="634"/>
    <tableColumn id="25" xr3:uid="{00000000-0010-0000-0400-000019000000}" name="24" totalsRowFunction="count" dataDxfId="633" totalsRowDxfId="632"/>
    <tableColumn id="26" xr3:uid="{00000000-0010-0000-0400-00001A000000}" name="25" totalsRowFunction="count" dataDxfId="631" totalsRowDxfId="630"/>
    <tableColumn id="27" xr3:uid="{00000000-0010-0000-0400-00001B000000}" name="26" totalsRowFunction="count" dataDxfId="629" totalsRowDxfId="628"/>
    <tableColumn id="28" xr3:uid="{00000000-0010-0000-0400-00001C000000}" name="27" totalsRowFunction="count" dataDxfId="627" totalsRowDxfId="626"/>
    <tableColumn id="29" xr3:uid="{00000000-0010-0000-0400-00001D000000}" name="28" totalsRowFunction="count" dataDxfId="625" totalsRowDxfId="624"/>
    <tableColumn id="30" xr3:uid="{00000000-0010-0000-0400-00001E000000}" name="29" totalsRowFunction="count" dataDxfId="623" totalsRowDxfId="622"/>
    <tableColumn id="31" xr3:uid="{00000000-0010-0000-0400-00001F000000}" name="30" totalsRowFunction="sum" dataDxfId="621" totalsRowDxfId="620"/>
    <tableColumn id="32" xr3:uid="{00000000-0010-0000-0400-000020000000}" name="31" totalsRowFunction="sum" dataDxfId="619" totalsRowDxfId="618" dataCellStyle="Total"/>
    <tableColumn id="33" xr3:uid="{00000000-0010-0000-0400-000021000000}" name="Total des jours" totalsRowFunction="sum" dataDxfId="617" totalsRowDxfId="616" dataCellStyle="Total">
      <calculatedColumnFormula>COUNTA(Mai[[#This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5000000}" name="Juin" displayName="Juin" ref="B6:AH12" totalsRowCount="1" headerRowDxfId="615" dataDxfId="614" totalsRowDxfId="613">
  <tableColumns count="33">
    <tableColumn id="1" xr3:uid="{00000000-0010-0000-0500-000001000000}" name="Nom de l’employé" totalsRowFunction="custom" dataDxfId="612" totalsRowDxfId="611">
      <totalsRowFormula>NomMois&amp;" Total"</totalsRowFormula>
    </tableColumn>
    <tableColumn id="2" xr3:uid="{00000000-0010-0000-0500-000002000000}" name="1" totalsRowFunction="count" dataDxfId="610" totalsRowDxfId="609"/>
    <tableColumn id="3" xr3:uid="{00000000-0010-0000-0500-000003000000}" name="2" totalsRowFunction="count" dataDxfId="608" totalsRowDxfId="607"/>
    <tableColumn id="4" xr3:uid="{00000000-0010-0000-0500-000004000000}" name="3" totalsRowFunction="count" dataDxfId="606" totalsRowDxfId="605"/>
    <tableColumn id="5" xr3:uid="{00000000-0010-0000-0500-000005000000}" name="4" totalsRowFunction="count" dataDxfId="604" totalsRowDxfId="603"/>
    <tableColumn id="6" xr3:uid="{00000000-0010-0000-0500-000006000000}" name="5" totalsRowFunction="count" dataDxfId="602" totalsRowDxfId="601"/>
    <tableColumn id="7" xr3:uid="{00000000-0010-0000-0500-000007000000}" name="6" totalsRowFunction="count" dataDxfId="600" totalsRowDxfId="599"/>
    <tableColumn id="8" xr3:uid="{00000000-0010-0000-0500-000008000000}" name="7" totalsRowFunction="count" dataDxfId="598" totalsRowDxfId="597"/>
    <tableColumn id="9" xr3:uid="{00000000-0010-0000-0500-000009000000}" name="8" totalsRowFunction="count" dataDxfId="596" totalsRowDxfId="595"/>
    <tableColumn id="10" xr3:uid="{00000000-0010-0000-0500-00000A000000}" name="9" totalsRowFunction="count" dataDxfId="594" totalsRowDxfId="593"/>
    <tableColumn id="11" xr3:uid="{00000000-0010-0000-0500-00000B000000}" name="10" totalsRowFunction="count" dataDxfId="592" totalsRowDxfId="591"/>
    <tableColumn id="12" xr3:uid="{00000000-0010-0000-0500-00000C000000}" name="11" totalsRowFunction="count" dataDxfId="590" totalsRowDxfId="589"/>
    <tableColumn id="13" xr3:uid="{00000000-0010-0000-0500-00000D000000}" name="12" totalsRowFunction="count" dataDxfId="588" totalsRowDxfId="587"/>
    <tableColumn id="14" xr3:uid="{00000000-0010-0000-0500-00000E000000}" name="13" totalsRowFunction="count" dataDxfId="586" totalsRowDxfId="585"/>
    <tableColumn id="15" xr3:uid="{00000000-0010-0000-0500-00000F000000}" name="14" totalsRowFunction="count" dataDxfId="584" totalsRowDxfId="583"/>
    <tableColumn id="16" xr3:uid="{00000000-0010-0000-0500-000010000000}" name="15" totalsRowFunction="count" dataDxfId="582" totalsRowDxfId="581"/>
    <tableColumn id="17" xr3:uid="{00000000-0010-0000-0500-000011000000}" name="16" totalsRowFunction="count" dataDxfId="580" totalsRowDxfId="579"/>
    <tableColumn id="18" xr3:uid="{00000000-0010-0000-0500-000012000000}" name="17" totalsRowFunction="count" dataDxfId="578" totalsRowDxfId="577"/>
    <tableColumn id="19" xr3:uid="{00000000-0010-0000-0500-000013000000}" name="18" totalsRowFunction="count" dataDxfId="576" totalsRowDxfId="575"/>
    <tableColumn id="20" xr3:uid="{00000000-0010-0000-0500-000014000000}" name="19" totalsRowFunction="count" dataDxfId="574" totalsRowDxfId="573"/>
    <tableColumn id="21" xr3:uid="{00000000-0010-0000-0500-000015000000}" name="20" totalsRowFunction="count" dataDxfId="572" totalsRowDxfId="571"/>
    <tableColumn id="22" xr3:uid="{00000000-0010-0000-0500-000016000000}" name="21" totalsRowFunction="count" dataDxfId="570" totalsRowDxfId="569"/>
    <tableColumn id="23" xr3:uid="{00000000-0010-0000-0500-000017000000}" name="22" totalsRowFunction="count" dataDxfId="568" totalsRowDxfId="567"/>
    <tableColumn id="24" xr3:uid="{00000000-0010-0000-0500-000018000000}" name="23" totalsRowFunction="count" dataDxfId="566" totalsRowDxfId="565"/>
    <tableColumn id="25" xr3:uid="{00000000-0010-0000-0500-000019000000}" name="24" totalsRowFunction="count" dataDxfId="564" totalsRowDxfId="563"/>
    <tableColumn id="26" xr3:uid="{00000000-0010-0000-0500-00001A000000}" name="25" totalsRowFunction="count" dataDxfId="562" totalsRowDxfId="561"/>
    <tableColumn id="27" xr3:uid="{00000000-0010-0000-0500-00001B000000}" name="26" totalsRowFunction="count" dataDxfId="560" totalsRowDxfId="559"/>
    <tableColumn id="28" xr3:uid="{00000000-0010-0000-0500-00001C000000}" name="27" totalsRowFunction="count" dataDxfId="558" totalsRowDxfId="557"/>
    <tableColumn id="29" xr3:uid="{00000000-0010-0000-0500-00001D000000}" name="28" totalsRowFunction="count" dataDxfId="556" totalsRowDxfId="555"/>
    <tableColumn id="30" xr3:uid="{00000000-0010-0000-0500-00001E000000}" name="29" totalsRowFunction="count" dataDxfId="554" totalsRowDxfId="553"/>
    <tableColumn id="31" xr3:uid="{00000000-0010-0000-0500-00001F000000}" name="30" totalsRowFunction="sum" dataDxfId="552" totalsRowDxfId="551"/>
    <tableColumn id="32" xr3:uid="{00000000-0010-0000-0500-000020000000}" name="31" totalsRowFunction="sum" dataDxfId="550" totalsRowDxfId="549" dataCellStyle="Total"/>
    <tableColumn id="33" xr3:uid="{00000000-0010-0000-0500-000021000000}" name="Total des jours" totalsRowFunction="sum" dataDxfId="548" totalsRowDxfId="547" dataCellStyle="Total">
      <calculatedColumnFormula>COUNTA(Juin[[#This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6000000}" name="Juillet" displayName="Juillet" ref="B6:AH12" totalsRowCount="1" headerRowDxfId="546" dataDxfId="545" totalsRowDxfId="544">
  <tableColumns count="33">
    <tableColumn id="1" xr3:uid="{00000000-0010-0000-0600-000001000000}" name="Nom de l’employé" totalsRowFunction="custom" dataDxfId="543" totalsRowDxfId="542">
      <totalsRowFormula>NomMois&amp;" Total"</totalsRowFormula>
    </tableColumn>
    <tableColumn id="2" xr3:uid="{00000000-0010-0000-0600-000002000000}" name="1" totalsRowFunction="count" dataDxfId="541" totalsRowDxfId="540"/>
    <tableColumn id="3" xr3:uid="{00000000-0010-0000-0600-000003000000}" name="2" totalsRowFunction="count" dataDxfId="539" totalsRowDxfId="538"/>
    <tableColumn id="4" xr3:uid="{00000000-0010-0000-0600-000004000000}" name="3" totalsRowFunction="count" dataDxfId="537" totalsRowDxfId="536"/>
    <tableColumn id="5" xr3:uid="{00000000-0010-0000-0600-000005000000}" name="4" totalsRowFunction="count" dataDxfId="535" totalsRowDxfId="534"/>
    <tableColumn id="6" xr3:uid="{00000000-0010-0000-0600-000006000000}" name="5" totalsRowFunction="count" dataDxfId="533" totalsRowDxfId="532"/>
    <tableColumn id="7" xr3:uid="{00000000-0010-0000-0600-000007000000}" name="6" totalsRowFunction="count" dataDxfId="531" totalsRowDxfId="530"/>
    <tableColumn id="8" xr3:uid="{00000000-0010-0000-0600-000008000000}" name="7" totalsRowFunction="count" dataDxfId="529" totalsRowDxfId="528"/>
    <tableColumn id="9" xr3:uid="{00000000-0010-0000-0600-000009000000}" name="8" totalsRowFunction="count" dataDxfId="527" totalsRowDxfId="526"/>
    <tableColumn id="10" xr3:uid="{00000000-0010-0000-0600-00000A000000}" name="9" totalsRowFunction="count" dataDxfId="525" totalsRowDxfId="524"/>
    <tableColumn id="11" xr3:uid="{00000000-0010-0000-0600-00000B000000}" name="10" totalsRowFunction="count" dataDxfId="523" totalsRowDxfId="522"/>
    <tableColumn id="12" xr3:uid="{00000000-0010-0000-0600-00000C000000}" name="11" totalsRowFunction="count" dataDxfId="521" totalsRowDxfId="520"/>
    <tableColumn id="13" xr3:uid="{00000000-0010-0000-0600-00000D000000}" name="12" totalsRowFunction="count" dataDxfId="519" totalsRowDxfId="518"/>
    <tableColumn id="14" xr3:uid="{00000000-0010-0000-0600-00000E000000}" name="13" totalsRowFunction="count" dataDxfId="517" totalsRowDxfId="516"/>
    <tableColumn id="15" xr3:uid="{00000000-0010-0000-0600-00000F000000}" name="14" totalsRowFunction="count" dataDxfId="515" totalsRowDxfId="514"/>
    <tableColumn id="16" xr3:uid="{00000000-0010-0000-0600-000010000000}" name="15" totalsRowFunction="count" dataDxfId="513" totalsRowDxfId="512"/>
    <tableColumn id="17" xr3:uid="{00000000-0010-0000-0600-000011000000}" name="16" totalsRowFunction="count" dataDxfId="511" totalsRowDxfId="510"/>
    <tableColumn id="18" xr3:uid="{00000000-0010-0000-0600-000012000000}" name="17" totalsRowFunction="count" dataDxfId="509" totalsRowDxfId="508"/>
    <tableColumn id="19" xr3:uid="{00000000-0010-0000-0600-000013000000}" name="18" totalsRowFunction="count" dataDxfId="507" totalsRowDxfId="506"/>
    <tableColumn id="20" xr3:uid="{00000000-0010-0000-0600-000014000000}" name="19" totalsRowFunction="count" dataDxfId="505" totalsRowDxfId="504"/>
    <tableColumn id="21" xr3:uid="{00000000-0010-0000-0600-000015000000}" name="20" totalsRowFunction="count" dataDxfId="503" totalsRowDxfId="502"/>
    <tableColumn id="22" xr3:uid="{00000000-0010-0000-0600-000016000000}" name="21" totalsRowFunction="count" dataDxfId="501" totalsRowDxfId="500"/>
    <tableColumn id="23" xr3:uid="{00000000-0010-0000-0600-000017000000}" name="22" totalsRowFunction="count" dataDxfId="499" totalsRowDxfId="498"/>
    <tableColumn id="24" xr3:uid="{00000000-0010-0000-0600-000018000000}" name="23" totalsRowFunction="count" dataDxfId="497" totalsRowDxfId="496"/>
    <tableColumn id="25" xr3:uid="{00000000-0010-0000-0600-000019000000}" name="24" totalsRowFunction="count" dataDxfId="495" totalsRowDxfId="494"/>
    <tableColumn id="26" xr3:uid="{00000000-0010-0000-0600-00001A000000}" name="25" totalsRowFunction="count" dataDxfId="493" totalsRowDxfId="492"/>
    <tableColumn id="27" xr3:uid="{00000000-0010-0000-0600-00001B000000}" name="26" totalsRowFunction="count" dataDxfId="491" totalsRowDxfId="490"/>
    <tableColumn id="28" xr3:uid="{00000000-0010-0000-0600-00001C000000}" name="27" totalsRowFunction="count" dataDxfId="489" totalsRowDxfId="488"/>
    <tableColumn id="29" xr3:uid="{00000000-0010-0000-0600-00001D000000}" name="28" totalsRowFunction="count" dataDxfId="487" totalsRowDxfId="486"/>
    <tableColumn id="30" xr3:uid="{00000000-0010-0000-0600-00001E000000}" name="29" totalsRowFunction="count" dataDxfId="485" totalsRowDxfId="484"/>
    <tableColumn id="31" xr3:uid="{00000000-0010-0000-0600-00001F000000}" name="30" totalsRowFunction="sum" dataDxfId="483" totalsRowDxfId="482"/>
    <tableColumn id="32" xr3:uid="{00000000-0010-0000-0600-000020000000}" name="31" totalsRowFunction="sum" dataDxfId="481" totalsRowDxfId="480" dataCellStyle="Total"/>
    <tableColumn id="33" xr3:uid="{00000000-0010-0000-0600-000021000000}" name="Total des jours" totalsRowFunction="sum" dataDxfId="479" totalsRowDxfId="478" dataCellStyle="Total">
      <calculatedColumnFormula>COUNTA(Juillet[[#This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7000000}" name="Août" displayName="Août" ref="B6:AH12" totalsRowCount="1" headerRowDxfId="477" dataDxfId="476" totalsRowDxfId="475">
  <tableColumns count="33">
    <tableColumn id="1" xr3:uid="{00000000-0010-0000-0700-000001000000}" name="Nom de l’employé" totalsRowFunction="custom" dataDxfId="474" totalsRowDxfId="473">
      <totalsRowFormula>NomMois&amp;" Total"</totalsRowFormula>
    </tableColumn>
    <tableColumn id="2" xr3:uid="{00000000-0010-0000-0700-000002000000}" name="1" totalsRowFunction="count" dataDxfId="472" totalsRowDxfId="471"/>
    <tableColumn id="3" xr3:uid="{00000000-0010-0000-0700-000003000000}" name="2" totalsRowFunction="count" dataDxfId="470" totalsRowDxfId="469"/>
    <tableColumn id="4" xr3:uid="{00000000-0010-0000-0700-000004000000}" name="3" totalsRowFunction="count" dataDxfId="468" totalsRowDxfId="467"/>
    <tableColumn id="5" xr3:uid="{00000000-0010-0000-0700-000005000000}" name="4" totalsRowFunction="count" dataDxfId="466" totalsRowDxfId="465"/>
    <tableColumn id="6" xr3:uid="{00000000-0010-0000-0700-000006000000}" name="5" totalsRowFunction="count" dataDxfId="464" totalsRowDxfId="463"/>
    <tableColumn id="7" xr3:uid="{00000000-0010-0000-0700-000007000000}" name="6" totalsRowFunction="count" dataDxfId="462" totalsRowDxfId="461"/>
    <tableColumn id="8" xr3:uid="{00000000-0010-0000-0700-000008000000}" name="7" totalsRowFunction="count" dataDxfId="460" totalsRowDxfId="459"/>
    <tableColumn id="9" xr3:uid="{00000000-0010-0000-0700-000009000000}" name="8" totalsRowFunction="count" dataDxfId="458" totalsRowDxfId="457"/>
    <tableColumn id="10" xr3:uid="{00000000-0010-0000-0700-00000A000000}" name="9" totalsRowFunction="count" dataDxfId="456" totalsRowDxfId="455"/>
    <tableColumn id="11" xr3:uid="{00000000-0010-0000-0700-00000B000000}" name="10" totalsRowFunction="count" dataDxfId="454" totalsRowDxfId="453"/>
    <tableColumn id="12" xr3:uid="{00000000-0010-0000-0700-00000C000000}" name="11" totalsRowFunction="count" dataDxfId="452" totalsRowDxfId="451"/>
    <tableColumn id="13" xr3:uid="{00000000-0010-0000-0700-00000D000000}" name="12" totalsRowFunction="count" dataDxfId="450" totalsRowDxfId="449"/>
    <tableColumn id="14" xr3:uid="{00000000-0010-0000-0700-00000E000000}" name="13" totalsRowFunction="count" dataDxfId="448" totalsRowDxfId="447"/>
    <tableColumn id="15" xr3:uid="{00000000-0010-0000-0700-00000F000000}" name="14" totalsRowFunction="count" dataDxfId="446" totalsRowDxfId="445"/>
    <tableColumn id="16" xr3:uid="{00000000-0010-0000-0700-000010000000}" name="15" totalsRowFunction="count" dataDxfId="444" totalsRowDxfId="443"/>
    <tableColumn id="17" xr3:uid="{00000000-0010-0000-0700-000011000000}" name="16" totalsRowFunction="count" dataDxfId="442" totalsRowDxfId="441"/>
    <tableColumn id="18" xr3:uid="{00000000-0010-0000-0700-000012000000}" name="17" totalsRowFunction="count" dataDxfId="440" totalsRowDxfId="439"/>
    <tableColumn id="19" xr3:uid="{00000000-0010-0000-0700-000013000000}" name="18" totalsRowFunction="count" dataDxfId="438" totalsRowDxfId="437"/>
    <tableColumn id="20" xr3:uid="{00000000-0010-0000-0700-000014000000}" name="19" totalsRowFunction="count" dataDxfId="436" totalsRowDxfId="435"/>
    <tableColumn id="21" xr3:uid="{00000000-0010-0000-0700-000015000000}" name="20" totalsRowFunction="count" dataDxfId="434" totalsRowDxfId="433"/>
    <tableColumn id="22" xr3:uid="{00000000-0010-0000-0700-000016000000}" name="21" totalsRowFunction="count" dataDxfId="432" totalsRowDxfId="431"/>
    <tableColumn id="23" xr3:uid="{00000000-0010-0000-0700-000017000000}" name="22" totalsRowFunction="count" dataDxfId="430" totalsRowDxfId="429"/>
    <tableColumn id="24" xr3:uid="{00000000-0010-0000-0700-000018000000}" name="23" totalsRowFunction="count" dataDxfId="428" totalsRowDxfId="427"/>
    <tableColumn id="25" xr3:uid="{00000000-0010-0000-0700-000019000000}" name="24" totalsRowFunction="count" dataDxfId="426" totalsRowDxfId="425"/>
    <tableColumn id="26" xr3:uid="{00000000-0010-0000-0700-00001A000000}" name="25" totalsRowFunction="count" dataDxfId="424" totalsRowDxfId="423"/>
    <tableColumn id="27" xr3:uid="{00000000-0010-0000-0700-00001B000000}" name="26" totalsRowFunction="count" dataDxfId="422" totalsRowDxfId="421"/>
    <tableColumn id="28" xr3:uid="{00000000-0010-0000-0700-00001C000000}" name="27" totalsRowFunction="count" dataDxfId="420" totalsRowDxfId="419"/>
    <tableColumn id="29" xr3:uid="{00000000-0010-0000-0700-00001D000000}" name="28" totalsRowFunction="count" dataDxfId="418" totalsRowDxfId="417"/>
    <tableColumn id="30" xr3:uid="{00000000-0010-0000-0700-00001E000000}" name="29" totalsRowFunction="count" dataDxfId="416" totalsRowDxfId="415"/>
    <tableColumn id="31" xr3:uid="{00000000-0010-0000-0700-00001F000000}" name="30" totalsRowFunction="sum" dataDxfId="414" totalsRowDxfId="413"/>
    <tableColumn id="32" xr3:uid="{00000000-0010-0000-0700-000020000000}" name="31" totalsRowFunction="sum" dataDxfId="412" totalsRowDxfId="411" dataCellStyle="Total"/>
    <tableColumn id="33" xr3:uid="{00000000-0010-0000-0700-000021000000}" name="Total des jours" totalsRowFunction="sum" dataDxfId="410" totalsRowDxfId="409" dataCellStyle="Total">
      <calculatedColumnFormula>COUNTA(Août[[#This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8000000}" name="Septembre" displayName="Septembre" ref="B6:AH12" totalsRowCount="1" headerRowDxfId="408" dataDxfId="407" totalsRowDxfId="406">
  <tableColumns count="33">
    <tableColumn id="1" xr3:uid="{00000000-0010-0000-0800-000001000000}" name="Nom de l’employé" totalsRowFunction="custom" dataDxfId="405" totalsRowDxfId="404">
      <totalsRowFormula>NomMois&amp;" Total"</totalsRowFormula>
    </tableColumn>
    <tableColumn id="2" xr3:uid="{00000000-0010-0000-0800-000002000000}" name="1" totalsRowFunction="count" dataDxfId="403" totalsRowDxfId="402"/>
    <tableColumn id="3" xr3:uid="{00000000-0010-0000-0800-000003000000}" name="2" totalsRowFunction="count" dataDxfId="401" totalsRowDxfId="400"/>
    <tableColumn id="4" xr3:uid="{00000000-0010-0000-0800-000004000000}" name="3" totalsRowFunction="count" dataDxfId="399" totalsRowDxfId="398"/>
    <tableColumn id="5" xr3:uid="{00000000-0010-0000-0800-000005000000}" name="4" totalsRowFunction="count" dataDxfId="397" totalsRowDxfId="396"/>
    <tableColumn id="6" xr3:uid="{00000000-0010-0000-0800-000006000000}" name="5" totalsRowFunction="count" dataDxfId="395" totalsRowDxfId="394"/>
    <tableColumn id="7" xr3:uid="{00000000-0010-0000-0800-000007000000}" name="6" totalsRowFunction="count" dataDxfId="393" totalsRowDxfId="392"/>
    <tableColumn id="8" xr3:uid="{00000000-0010-0000-0800-000008000000}" name="7" totalsRowFunction="count" dataDxfId="391" totalsRowDxfId="390"/>
    <tableColumn id="9" xr3:uid="{00000000-0010-0000-0800-000009000000}" name="8" totalsRowFunction="count" dataDxfId="389" totalsRowDxfId="388"/>
    <tableColumn id="10" xr3:uid="{00000000-0010-0000-0800-00000A000000}" name="9" totalsRowFunction="count" dataDxfId="387" totalsRowDxfId="386"/>
    <tableColumn id="11" xr3:uid="{00000000-0010-0000-0800-00000B000000}" name="10" totalsRowFunction="count" dataDxfId="385" totalsRowDxfId="384"/>
    <tableColumn id="12" xr3:uid="{00000000-0010-0000-0800-00000C000000}" name="11" totalsRowFunction="count" dataDxfId="383" totalsRowDxfId="382"/>
    <tableColumn id="13" xr3:uid="{00000000-0010-0000-0800-00000D000000}" name="12" totalsRowFunction="count" dataDxfId="381" totalsRowDxfId="380"/>
    <tableColumn id="14" xr3:uid="{00000000-0010-0000-0800-00000E000000}" name="13" totalsRowFunction="count" dataDxfId="379" totalsRowDxfId="378"/>
    <tableColumn id="15" xr3:uid="{00000000-0010-0000-0800-00000F000000}" name="14" totalsRowFunction="count" dataDxfId="377" totalsRowDxfId="376"/>
    <tableColumn id="16" xr3:uid="{00000000-0010-0000-0800-000010000000}" name="15" totalsRowFunction="count" dataDxfId="375" totalsRowDxfId="374"/>
    <tableColumn id="17" xr3:uid="{00000000-0010-0000-0800-000011000000}" name="16" totalsRowFunction="count" dataDxfId="373" totalsRowDxfId="372"/>
    <tableColumn id="18" xr3:uid="{00000000-0010-0000-0800-000012000000}" name="17" totalsRowFunction="count" dataDxfId="371" totalsRowDxfId="370"/>
    <tableColumn id="19" xr3:uid="{00000000-0010-0000-0800-000013000000}" name="18" totalsRowFunction="count" dataDxfId="369" totalsRowDxfId="368"/>
    <tableColumn id="20" xr3:uid="{00000000-0010-0000-0800-000014000000}" name="19" totalsRowFunction="count" dataDxfId="367" totalsRowDxfId="366"/>
    <tableColumn id="21" xr3:uid="{00000000-0010-0000-0800-000015000000}" name="20" totalsRowFunction="count" dataDxfId="365" totalsRowDxfId="364"/>
    <tableColumn id="22" xr3:uid="{00000000-0010-0000-0800-000016000000}" name="21" totalsRowFunction="count" dataDxfId="363" totalsRowDxfId="362"/>
    <tableColumn id="23" xr3:uid="{00000000-0010-0000-0800-000017000000}" name="22" totalsRowFunction="count" dataDxfId="361" totalsRowDxfId="360"/>
    <tableColumn id="24" xr3:uid="{00000000-0010-0000-0800-000018000000}" name="23" totalsRowFunction="count" dataDxfId="359" totalsRowDxfId="358"/>
    <tableColumn id="25" xr3:uid="{00000000-0010-0000-0800-000019000000}" name="24" totalsRowFunction="count" dataDxfId="357" totalsRowDxfId="356"/>
    <tableColumn id="26" xr3:uid="{00000000-0010-0000-0800-00001A000000}" name="25" totalsRowFunction="count" dataDxfId="355" totalsRowDxfId="354"/>
    <tableColumn id="27" xr3:uid="{00000000-0010-0000-0800-00001B000000}" name="26" totalsRowFunction="count" dataDxfId="353" totalsRowDxfId="352"/>
    <tableColumn id="28" xr3:uid="{00000000-0010-0000-0800-00001C000000}" name="27" totalsRowFunction="count" dataDxfId="351" totalsRowDxfId="350"/>
    <tableColumn id="29" xr3:uid="{00000000-0010-0000-0800-00001D000000}" name="28" totalsRowFunction="count" dataDxfId="349" totalsRowDxfId="348"/>
    <tableColumn id="30" xr3:uid="{00000000-0010-0000-0800-00001E000000}" name="29" totalsRowFunction="count" dataDxfId="347" totalsRowDxfId="346"/>
    <tableColumn id="31" xr3:uid="{00000000-0010-0000-0800-00001F000000}" name="30" totalsRowFunction="sum" dataDxfId="345" totalsRowDxfId="344"/>
    <tableColumn id="32" xr3:uid="{00000000-0010-0000-0800-000020000000}" name="31" totalsRowFunction="sum" dataDxfId="343" totalsRowDxfId="342" dataCellStyle="Total"/>
    <tableColumn id="33" xr3:uid="{00000000-0010-0000-0800-000021000000}" name="Total des jours" totalsRowFunction="sum" dataDxfId="341" totalsRowDxfId="340" dataCellStyle="Total">
      <calculatedColumnFormula>COUNTA(Septembre[[#This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9000000}" name="Octobre" displayName="Octobre" ref="B6:AH12" totalsRowCount="1" headerRowDxfId="339" dataDxfId="338" totalsRowDxfId="337">
  <tableColumns count="33">
    <tableColumn id="1" xr3:uid="{00000000-0010-0000-0900-000001000000}" name="Nom de l’employé" totalsRowFunction="custom" dataDxfId="336" totalsRowDxfId="335">
      <totalsRowFormula>NomMois&amp;" Total"</totalsRowFormula>
    </tableColumn>
    <tableColumn id="2" xr3:uid="{00000000-0010-0000-0900-000002000000}" name="1" totalsRowFunction="count" dataDxfId="334" totalsRowDxfId="333"/>
    <tableColumn id="3" xr3:uid="{00000000-0010-0000-0900-000003000000}" name="2" totalsRowFunction="count" dataDxfId="332" totalsRowDxfId="331"/>
    <tableColumn id="4" xr3:uid="{00000000-0010-0000-0900-000004000000}" name="3" totalsRowFunction="count" dataDxfId="330" totalsRowDxfId="329"/>
    <tableColumn id="5" xr3:uid="{00000000-0010-0000-0900-000005000000}" name="4" totalsRowFunction="count" dataDxfId="328" totalsRowDxfId="327"/>
    <tableColumn id="6" xr3:uid="{00000000-0010-0000-0900-000006000000}" name="5" totalsRowFunction="count" dataDxfId="326" totalsRowDxfId="325"/>
    <tableColumn id="7" xr3:uid="{00000000-0010-0000-0900-000007000000}" name="6" totalsRowFunction="count" dataDxfId="324" totalsRowDxfId="323"/>
    <tableColumn id="8" xr3:uid="{00000000-0010-0000-0900-000008000000}" name="7" totalsRowFunction="count" dataDxfId="322" totalsRowDxfId="321"/>
    <tableColumn id="9" xr3:uid="{00000000-0010-0000-0900-000009000000}" name="8" totalsRowFunction="count" dataDxfId="320" totalsRowDxfId="319"/>
    <tableColumn id="10" xr3:uid="{00000000-0010-0000-0900-00000A000000}" name="9" totalsRowFunction="count" dataDxfId="318" totalsRowDxfId="317"/>
    <tableColumn id="11" xr3:uid="{00000000-0010-0000-0900-00000B000000}" name="10" totalsRowFunction="count" dataDxfId="316" totalsRowDxfId="315"/>
    <tableColumn id="12" xr3:uid="{00000000-0010-0000-0900-00000C000000}" name="11" totalsRowFunction="count" dataDxfId="314" totalsRowDxfId="313"/>
    <tableColumn id="13" xr3:uid="{00000000-0010-0000-0900-00000D000000}" name="12" totalsRowFunction="count" dataDxfId="312" totalsRowDxfId="311"/>
    <tableColumn id="14" xr3:uid="{00000000-0010-0000-0900-00000E000000}" name="13" totalsRowFunction="count" dataDxfId="310" totalsRowDxfId="309"/>
    <tableColumn id="15" xr3:uid="{00000000-0010-0000-0900-00000F000000}" name="14" totalsRowFunction="count" dataDxfId="308" totalsRowDxfId="307"/>
    <tableColumn id="16" xr3:uid="{00000000-0010-0000-0900-000010000000}" name="15" totalsRowFunction="count" dataDxfId="306" totalsRowDxfId="305"/>
    <tableColumn id="17" xr3:uid="{00000000-0010-0000-0900-000011000000}" name="16" totalsRowFunction="count" dataDxfId="304" totalsRowDxfId="303"/>
    <tableColumn id="18" xr3:uid="{00000000-0010-0000-0900-000012000000}" name="17" totalsRowFunction="count" dataDxfId="302" totalsRowDxfId="301"/>
    <tableColumn id="19" xr3:uid="{00000000-0010-0000-0900-000013000000}" name="18" totalsRowFunction="count" dataDxfId="300" totalsRowDxfId="299"/>
    <tableColumn id="20" xr3:uid="{00000000-0010-0000-0900-000014000000}" name="19" totalsRowFunction="count" dataDxfId="298" totalsRowDxfId="297"/>
    <tableColumn id="21" xr3:uid="{00000000-0010-0000-0900-000015000000}" name="20" totalsRowFunction="count" dataDxfId="296" totalsRowDxfId="295"/>
    <tableColumn id="22" xr3:uid="{00000000-0010-0000-0900-000016000000}" name="21" totalsRowFunction="count" dataDxfId="294" totalsRowDxfId="293"/>
    <tableColumn id="23" xr3:uid="{00000000-0010-0000-0900-000017000000}" name="22" totalsRowFunction="count" dataDxfId="292" totalsRowDxfId="291"/>
    <tableColumn id="24" xr3:uid="{00000000-0010-0000-0900-000018000000}" name="23" totalsRowFunction="count" dataDxfId="290" totalsRowDxfId="289"/>
    <tableColumn id="25" xr3:uid="{00000000-0010-0000-0900-000019000000}" name="24" totalsRowFunction="count" dataDxfId="288" totalsRowDxfId="287"/>
    <tableColumn id="26" xr3:uid="{00000000-0010-0000-0900-00001A000000}" name="25" totalsRowFunction="count" dataDxfId="286" totalsRowDxfId="285"/>
    <tableColumn id="27" xr3:uid="{00000000-0010-0000-0900-00001B000000}" name="26" totalsRowFunction="count" dataDxfId="284" totalsRowDxfId="283"/>
    <tableColumn id="28" xr3:uid="{00000000-0010-0000-0900-00001C000000}" name="27" totalsRowFunction="count" dataDxfId="282" totalsRowDxfId="281"/>
    <tableColumn id="29" xr3:uid="{00000000-0010-0000-0900-00001D000000}" name="28" totalsRowFunction="count" dataDxfId="280" totalsRowDxfId="279"/>
    <tableColumn id="30" xr3:uid="{00000000-0010-0000-0900-00001E000000}" name="29" totalsRowFunction="count" dataDxfId="278" totalsRowDxfId="277"/>
    <tableColumn id="31" xr3:uid="{00000000-0010-0000-0900-00001F000000}" name="30" totalsRowFunction="sum" dataDxfId="276" totalsRowDxfId="275"/>
    <tableColumn id="32" xr3:uid="{00000000-0010-0000-0900-000020000000}" name="31" totalsRowFunction="sum" dataDxfId="274" totalsRowDxfId="273" dataCellStyle="Total"/>
    <tableColumn id="33" xr3:uid="{00000000-0010-0000-0900-000021000000}" name="Total des jours" totalsRowFunction="sum" dataDxfId="272" totalsRowDxfId="271" dataCellStyle="Total">
      <calculatedColumnFormula>COUNTA(Octobre[[#This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A000000}" name="Novembre" displayName="Novembre" ref="B6:AH12" totalsRowCount="1" headerRowDxfId="270" dataDxfId="269" totalsRowDxfId="268">
  <tableColumns count="33">
    <tableColumn id="1" xr3:uid="{00000000-0010-0000-0A00-000001000000}" name="Nom de l’employé" totalsRowFunction="custom" dataDxfId="267" totalsRowDxfId="266">
      <totalsRowFormula>NomMois&amp;" Total"</totalsRowFormula>
    </tableColumn>
    <tableColumn id="2" xr3:uid="{00000000-0010-0000-0A00-000002000000}" name="1" totalsRowFunction="count" dataDxfId="265" totalsRowDxfId="264"/>
    <tableColumn id="3" xr3:uid="{00000000-0010-0000-0A00-000003000000}" name="2" totalsRowFunction="count" dataDxfId="263" totalsRowDxfId="262"/>
    <tableColumn id="4" xr3:uid="{00000000-0010-0000-0A00-000004000000}" name="3" totalsRowFunction="count" dataDxfId="261" totalsRowDxfId="260"/>
    <tableColumn id="5" xr3:uid="{00000000-0010-0000-0A00-000005000000}" name="4" totalsRowFunction="count" dataDxfId="259" totalsRowDxfId="258"/>
    <tableColumn id="6" xr3:uid="{00000000-0010-0000-0A00-000006000000}" name="5" totalsRowFunction="count" dataDxfId="257" totalsRowDxfId="256"/>
    <tableColumn id="7" xr3:uid="{00000000-0010-0000-0A00-000007000000}" name="6" totalsRowFunction="count" dataDxfId="255" totalsRowDxfId="254"/>
    <tableColumn id="8" xr3:uid="{00000000-0010-0000-0A00-000008000000}" name="7" totalsRowFunction="count" dataDxfId="253" totalsRowDxfId="252"/>
    <tableColumn id="9" xr3:uid="{00000000-0010-0000-0A00-000009000000}" name="8" totalsRowFunction="count" dataDxfId="251" totalsRowDxfId="250"/>
    <tableColumn id="10" xr3:uid="{00000000-0010-0000-0A00-00000A000000}" name="9" totalsRowFunction="count" dataDxfId="249" totalsRowDxfId="248"/>
    <tableColumn id="11" xr3:uid="{00000000-0010-0000-0A00-00000B000000}" name="10" totalsRowFunction="count" dataDxfId="247" totalsRowDxfId="246"/>
    <tableColumn id="12" xr3:uid="{00000000-0010-0000-0A00-00000C000000}" name="11" totalsRowFunction="count" dataDxfId="245" totalsRowDxfId="244"/>
    <tableColumn id="13" xr3:uid="{00000000-0010-0000-0A00-00000D000000}" name="12" totalsRowFunction="count" dataDxfId="243" totalsRowDxfId="242"/>
    <tableColumn id="14" xr3:uid="{00000000-0010-0000-0A00-00000E000000}" name="13" totalsRowFunction="count" dataDxfId="241" totalsRowDxfId="240"/>
    <tableColumn id="15" xr3:uid="{00000000-0010-0000-0A00-00000F000000}" name="14" totalsRowFunction="count" dataDxfId="239" totalsRowDxfId="238"/>
    <tableColumn id="16" xr3:uid="{00000000-0010-0000-0A00-000010000000}" name="15" totalsRowFunction="count" dataDxfId="237" totalsRowDxfId="236"/>
    <tableColumn id="17" xr3:uid="{00000000-0010-0000-0A00-000011000000}" name="16" totalsRowFunction="count" dataDxfId="235" totalsRowDxfId="234"/>
    <tableColumn id="18" xr3:uid="{00000000-0010-0000-0A00-000012000000}" name="17" totalsRowFunction="count" dataDxfId="233" totalsRowDxfId="232"/>
    <tableColumn id="19" xr3:uid="{00000000-0010-0000-0A00-000013000000}" name="18" totalsRowFunction="count" dataDxfId="231" totalsRowDxfId="230"/>
    <tableColumn id="20" xr3:uid="{00000000-0010-0000-0A00-000014000000}" name="19" totalsRowFunction="count" dataDxfId="229" totalsRowDxfId="228"/>
    <tableColumn id="21" xr3:uid="{00000000-0010-0000-0A00-000015000000}" name="20" totalsRowFunction="count" dataDxfId="227" totalsRowDxfId="226"/>
    <tableColumn id="22" xr3:uid="{00000000-0010-0000-0A00-000016000000}" name="21" totalsRowFunction="count" dataDxfId="225" totalsRowDxfId="224"/>
    <tableColumn id="23" xr3:uid="{00000000-0010-0000-0A00-000017000000}" name="22" totalsRowFunction="count" dataDxfId="223" totalsRowDxfId="222"/>
    <tableColumn id="24" xr3:uid="{00000000-0010-0000-0A00-000018000000}" name="23" totalsRowFunction="count" dataDxfId="221" totalsRowDxfId="220"/>
    <tableColumn id="25" xr3:uid="{00000000-0010-0000-0A00-000019000000}" name="24" totalsRowFunction="count" dataDxfId="219" totalsRowDxfId="218"/>
    <tableColumn id="26" xr3:uid="{00000000-0010-0000-0A00-00001A000000}" name="25" totalsRowFunction="count" dataDxfId="217" totalsRowDxfId="216"/>
    <tableColumn id="27" xr3:uid="{00000000-0010-0000-0A00-00001B000000}" name="26" totalsRowFunction="count" dataDxfId="215" totalsRowDxfId="214"/>
    <tableColumn id="28" xr3:uid="{00000000-0010-0000-0A00-00001C000000}" name="27" totalsRowFunction="count" dataDxfId="213" totalsRowDxfId="212"/>
    <tableColumn id="29" xr3:uid="{00000000-0010-0000-0A00-00001D000000}" name="28" totalsRowFunction="count" dataDxfId="211" totalsRowDxfId="210"/>
    <tableColumn id="30" xr3:uid="{00000000-0010-0000-0A00-00001E000000}" name="29" totalsRowFunction="count" dataDxfId="209" totalsRowDxfId="208"/>
    <tableColumn id="31" xr3:uid="{00000000-0010-0000-0A00-00001F000000}" name="30" totalsRowFunction="sum" dataDxfId="207" totalsRowDxfId="206"/>
    <tableColumn id="32" xr3:uid="{00000000-0010-0000-0A00-000020000000}" name="31" totalsRowFunction="sum" dataDxfId="205" totalsRowDxfId="204" dataCellStyle="Total"/>
    <tableColumn id="33" xr3:uid="{00000000-0010-0000-0A00-000021000000}" name="Total des jours" totalsRowFunction="sum" dataDxfId="203" totalsRowDxfId="202" dataCellStyle="Total">
      <calculatedColumnFormula>COUNTA(Novembre[[#This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Décembre" displayName="Décembre" ref="B6:AH12" totalsRowCount="1" headerRowDxfId="201" dataDxfId="200" totalsRowDxfId="199">
  <tableColumns count="33">
    <tableColumn id="1" xr3:uid="{00000000-0010-0000-0B00-000001000000}" name="Nom de l’employé" totalsRowFunction="custom" dataDxfId="198" totalsRowDxfId="197">
      <totalsRowFormula>NomMois&amp;" Total"</totalsRowFormula>
    </tableColumn>
    <tableColumn id="2" xr3:uid="{00000000-0010-0000-0B00-000002000000}" name="1" totalsRowFunction="count" dataDxfId="196" totalsRowDxfId="195"/>
    <tableColumn id="3" xr3:uid="{00000000-0010-0000-0B00-000003000000}" name="2" totalsRowFunction="count" dataDxfId="194" totalsRowDxfId="193"/>
    <tableColumn id="4" xr3:uid="{00000000-0010-0000-0B00-000004000000}" name="3" totalsRowFunction="count" dataDxfId="192" totalsRowDxfId="191"/>
    <tableColumn id="5" xr3:uid="{00000000-0010-0000-0B00-000005000000}" name="4" totalsRowFunction="count" dataDxfId="190" totalsRowDxfId="189"/>
    <tableColumn id="6" xr3:uid="{00000000-0010-0000-0B00-000006000000}" name="5" totalsRowFunction="count" dataDxfId="188" totalsRowDxfId="187"/>
    <tableColumn id="7" xr3:uid="{00000000-0010-0000-0B00-000007000000}" name="6" totalsRowFunction="count" dataDxfId="186" totalsRowDxfId="185"/>
    <tableColumn id="8" xr3:uid="{00000000-0010-0000-0B00-000008000000}" name="7" totalsRowFunction="count" dataDxfId="184" totalsRowDxfId="183"/>
    <tableColumn id="9" xr3:uid="{00000000-0010-0000-0B00-000009000000}" name="8" totalsRowFunction="count" dataDxfId="182" totalsRowDxfId="181"/>
    <tableColumn id="10" xr3:uid="{00000000-0010-0000-0B00-00000A000000}" name="9" totalsRowFunction="count" dataDxfId="180" totalsRowDxfId="179"/>
    <tableColumn id="11" xr3:uid="{00000000-0010-0000-0B00-00000B000000}" name="10" totalsRowFunction="count" dataDxfId="178" totalsRowDxfId="177"/>
    <tableColumn id="12" xr3:uid="{00000000-0010-0000-0B00-00000C000000}" name="11" totalsRowFunction="count" dataDxfId="176" totalsRowDxfId="175"/>
    <tableColumn id="13" xr3:uid="{00000000-0010-0000-0B00-00000D000000}" name="12" totalsRowFunction="count" dataDxfId="174" totalsRowDxfId="173"/>
    <tableColumn id="14" xr3:uid="{00000000-0010-0000-0B00-00000E000000}" name="13" totalsRowFunction="count" dataDxfId="172" totalsRowDxfId="171"/>
    <tableColumn id="15" xr3:uid="{00000000-0010-0000-0B00-00000F000000}" name="14" totalsRowFunction="count" dataDxfId="170" totalsRowDxfId="169"/>
    <tableColumn id="16" xr3:uid="{00000000-0010-0000-0B00-000010000000}" name="15" totalsRowFunction="count" dataDxfId="168" totalsRowDxfId="167"/>
    <tableColumn id="17" xr3:uid="{00000000-0010-0000-0B00-000011000000}" name="16" totalsRowFunction="count" dataDxfId="166" totalsRowDxfId="165"/>
    <tableColumn id="18" xr3:uid="{00000000-0010-0000-0B00-000012000000}" name="17" totalsRowFunction="count" dataDxfId="164" totalsRowDxfId="163"/>
    <tableColumn id="19" xr3:uid="{00000000-0010-0000-0B00-000013000000}" name="18" totalsRowFunction="count" dataDxfId="162" totalsRowDxfId="161"/>
    <tableColumn id="20" xr3:uid="{00000000-0010-0000-0B00-000014000000}" name="19" totalsRowFunction="count" dataDxfId="160" totalsRowDxfId="159"/>
    <tableColumn id="21" xr3:uid="{00000000-0010-0000-0B00-000015000000}" name="20" totalsRowFunction="count" dataDxfId="158" totalsRowDxfId="157"/>
    <tableColumn id="22" xr3:uid="{00000000-0010-0000-0B00-000016000000}" name="21" totalsRowFunction="count" dataDxfId="156" totalsRowDxfId="155"/>
    <tableColumn id="23" xr3:uid="{00000000-0010-0000-0B00-000017000000}" name="22" totalsRowFunction="count" dataDxfId="154" totalsRowDxfId="153"/>
    <tableColumn id="24" xr3:uid="{00000000-0010-0000-0B00-000018000000}" name="23" totalsRowFunction="count" dataDxfId="152" totalsRowDxfId="151"/>
    <tableColumn id="25" xr3:uid="{00000000-0010-0000-0B00-000019000000}" name="24" totalsRowFunction="count" dataDxfId="150" totalsRowDxfId="149"/>
    <tableColumn id="26" xr3:uid="{00000000-0010-0000-0B00-00001A000000}" name="25" totalsRowFunction="count" dataDxfId="148" totalsRowDxfId="147"/>
    <tableColumn id="27" xr3:uid="{00000000-0010-0000-0B00-00001B000000}" name="26" totalsRowFunction="count" dataDxfId="146" totalsRowDxfId="145"/>
    <tableColumn id="28" xr3:uid="{00000000-0010-0000-0B00-00001C000000}" name="27" totalsRowFunction="count" dataDxfId="144" totalsRowDxfId="143"/>
    <tableColumn id="29" xr3:uid="{00000000-0010-0000-0B00-00001D000000}" name="28" totalsRowFunction="count" dataDxfId="142" totalsRowDxfId="141"/>
    <tableColumn id="30" xr3:uid="{00000000-0010-0000-0B00-00001E000000}" name="29" totalsRowFunction="count" dataDxfId="140" totalsRowDxfId="139"/>
    <tableColumn id="31" xr3:uid="{00000000-0010-0000-0B00-00001F000000}" name="30" totalsRowFunction="sum" dataDxfId="138" totalsRowDxfId="137"/>
    <tableColumn id="32" xr3:uid="{00000000-0010-0000-0B00-000020000000}" name="31" totalsRowFunction="sum" dataDxfId="136" totalsRowDxfId="135" dataCellStyle="Total"/>
    <tableColumn id="33" xr3:uid="{00000000-0010-0000-0B00-000021000000}" name="Total des jours" totalsRowFunction="sum" dataDxfId="134" dataCellStyle="Total">
      <calculatedColumnFormula>COUNTA(Décembre[[#This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Fournit une liste de noms et des dates de calendrier pour enregistrer les absences et motifs d’absence des employés (C= Congé, M=Maladie, P=Personnel, et deux espaces réservés pour des entrées personnalisée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AI32"/>
  <sheetViews>
    <sheetView tabSelected="1" zoomScaleNormal="100" workbookViewId="0">
      <selection activeCell="C3" sqref="C3"/>
    </sheetView>
  </sheetViews>
  <sheetFormatPr baseColWidth="10" defaultColWidth="10.42578125" defaultRowHeight="15" x14ac:dyDescent="0.25"/>
  <cols>
    <col min="1" max="2" width="10.42578125" style="19"/>
    <col min="3" max="3" width="28.7109375" style="19" bestFit="1" customWidth="1"/>
    <col min="4" max="4" width="10.42578125" style="19"/>
    <col min="5" max="5" width="4.42578125" style="19" customWidth="1"/>
    <col min="6" max="35" width="4.140625" style="19" customWidth="1"/>
    <col min="36" max="16384" width="10.42578125" style="19"/>
  </cols>
  <sheetData>
    <row r="1" spans="3:35" x14ac:dyDescent="0.25">
      <c r="C1" s="23" t="s">
        <v>115</v>
      </c>
      <c r="E1" s="26" t="s">
        <v>84</v>
      </c>
      <c r="F1" s="26" t="s">
        <v>85</v>
      </c>
      <c r="G1" s="26" t="s">
        <v>86</v>
      </c>
      <c r="H1" s="26" t="s">
        <v>87</v>
      </c>
      <c r="I1" s="26" t="s">
        <v>88</v>
      </c>
      <c r="J1" s="26" t="s">
        <v>89</v>
      </c>
      <c r="K1" s="26" t="s">
        <v>90</v>
      </c>
      <c r="L1" s="26" t="s">
        <v>91</v>
      </c>
      <c r="M1" s="26" t="s">
        <v>92</v>
      </c>
      <c r="N1" s="26" t="s">
        <v>93</v>
      </c>
      <c r="O1" s="26" t="s">
        <v>94</v>
      </c>
      <c r="P1" s="26" t="s">
        <v>95</v>
      </c>
      <c r="Q1" s="26" t="s">
        <v>96</v>
      </c>
      <c r="R1" s="26" t="s">
        <v>97</v>
      </c>
      <c r="S1" s="26" t="s">
        <v>98</v>
      </c>
      <c r="T1" s="26" t="s">
        <v>99</v>
      </c>
      <c r="U1" s="26" t="s">
        <v>100</v>
      </c>
      <c r="V1" s="26" t="s">
        <v>101</v>
      </c>
      <c r="W1" s="26" t="s">
        <v>102</v>
      </c>
      <c r="X1" s="26" t="s">
        <v>103</v>
      </c>
      <c r="Y1" s="26" t="s">
        <v>104</v>
      </c>
      <c r="Z1" s="26" t="s">
        <v>105</v>
      </c>
      <c r="AA1" s="26" t="s">
        <v>106</v>
      </c>
      <c r="AB1" s="26" t="s">
        <v>107</v>
      </c>
      <c r="AC1" s="26" t="s">
        <v>108</v>
      </c>
      <c r="AD1" s="26" t="s">
        <v>109</v>
      </c>
      <c r="AE1" s="26" t="s">
        <v>110</v>
      </c>
      <c r="AF1" s="26" t="s">
        <v>111</v>
      </c>
      <c r="AG1" s="26" t="s">
        <v>112</v>
      </c>
      <c r="AH1" s="26" t="s">
        <v>113</v>
      </c>
      <c r="AI1" s="26" t="s">
        <v>114</v>
      </c>
    </row>
    <row r="3" spans="3:35" ht="21" customHeight="1" x14ac:dyDescent="0.25">
      <c r="C3" s="27" t="s">
        <v>83</v>
      </c>
      <c r="E3" s="25">
        <f>DATEVALUE("1 "&amp;C3&amp;" "&amp;AnnéeCalendrier)</f>
        <v>44927</v>
      </c>
      <c r="F3" s="25">
        <f>E3+1</f>
        <v>44928</v>
      </c>
      <c r="G3" s="25">
        <f t="shared" ref="G3:V3" si="0">F3+1</f>
        <v>44929</v>
      </c>
      <c r="H3" s="25">
        <f t="shared" si="0"/>
        <v>44930</v>
      </c>
      <c r="I3" s="25">
        <f t="shared" si="0"/>
        <v>44931</v>
      </c>
      <c r="J3" s="25">
        <f t="shared" si="0"/>
        <v>44932</v>
      </c>
      <c r="K3" s="25">
        <f t="shared" si="0"/>
        <v>44933</v>
      </c>
      <c r="L3" s="25">
        <f t="shared" si="0"/>
        <v>44934</v>
      </c>
      <c r="M3" s="25">
        <f t="shared" si="0"/>
        <v>44935</v>
      </c>
      <c r="N3" s="25">
        <f t="shared" si="0"/>
        <v>44936</v>
      </c>
      <c r="O3" s="25">
        <f t="shared" si="0"/>
        <v>44937</v>
      </c>
      <c r="P3" s="25">
        <f t="shared" si="0"/>
        <v>44938</v>
      </c>
      <c r="Q3" s="25">
        <f t="shared" si="0"/>
        <v>44939</v>
      </c>
      <c r="R3" s="25">
        <f t="shared" si="0"/>
        <v>44940</v>
      </c>
      <c r="S3" s="25">
        <f t="shared" si="0"/>
        <v>44941</v>
      </c>
      <c r="T3" s="25">
        <f t="shared" si="0"/>
        <v>44942</v>
      </c>
      <c r="U3" s="25">
        <f t="shared" si="0"/>
        <v>44943</v>
      </c>
      <c r="V3" s="25">
        <f t="shared" si="0"/>
        <v>44944</v>
      </c>
      <c r="W3" s="25">
        <f t="shared" ref="W3:AF3" si="1">V3+1</f>
        <v>44945</v>
      </c>
      <c r="X3" s="25">
        <f t="shared" si="1"/>
        <v>44946</v>
      </c>
      <c r="Y3" s="25">
        <f t="shared" si="1"/>
        <v>44947</v>
      </c>
      <c r="Z3" s="25">
        <f t="shared" si="1"/>
        <v>44948</v>
      </c>
      <c r="AA3" s="25">
        <f t="shared" si="1"/>
        <v>44949</v>
      </c>
      <c r="AB3" s="25">
        <f t="shared" si="1"/>
        <v>44950</v>
      </c>
      <c r="AC3" s="25">
        <f t="shared" si="1"/>
        <v>44951</v>
      </c>
      <c r="AD3" s="25">
        <f t="shared" si="1"/>
        <v>44952</v>
      </c>
      <c r="AE3" s="25">
        <f t="shared" si="1"/>
        <v>44953</v>
      </c>
      <c r="AF3" s="25">
        <f t="shared" si="1"/>
        <v>44954</v>
      </c>
      <c r="AG3" s="25">
        <f>IF(MONTH(AF3+1)=MONTH(E3),AF3+1,"")</f>
        <v>44955</v>
      </c>
      <c r="AH3" s="25">
        <f>IF(MONTH(AF3+2)=MONTH(E3),AF3+2,"")</f>
        <v>44956</v>
      </c>
      <c r="AI3" s="25">
        <f>IF(MONTH(AF3+3)=MONTH(E3),AF3+3,"")</f>
        <v>44957</v>
      </c>
    </row>
    <row r="5" spans="3:35" x14ac:dyDescent="0.25">
      <c r="C5" s="19" t="s">
        <v>63</v>
      </c>
      <c r="E5" s="24" t="str">
        <f ca="1">IF(E$3&lt;&gt;"",IF(COUNTIFS(INDIRECT("'"&amp;$C$3&amp;"'!B:B"),Collègue!$C5,INDIRECT("'"&amp;$C$3&amp;"'!"&amp;E$1),"C")=1,"C",""),"")</f>
        <v>C</v>
      </c>
      <c r="F5" s="24" t="str">
        <f ca="1">IF(F$3&lt;&gt;"",IF(COUNTIFS(INDIRECT("'"&amp;$C$3&amp;"'!B:B"),Collègue!$C5,INDIRECT("'"&amp;$C$3&amp;"'!"&amp;F$1),"C")=1,"C",""),"")</f>
        <v/>
      </c>
      <c r="G5" s="24" t="str">
        <f ca="1">IF(G$3&lt;&gt;"",IF(COUNTIFS(INDIRECT("'"&amp;$C$3&amp;"'!B:B"),Collègue!$C5,INDIRECT("'"&amp;$C$3&amp;"'!"&amp;G$1),"C")=1,"C",""),"")</f>
        <v>C</v>
      </c>
      <c r="H5" s="24" t="str">
        <f ca="1">IF(H$3&lt;&gt;"",IF(COUNTIFS(INDIRECT("'"&amp;$C$3&amp;"'!B:B"),Collègue!$C5,INDIRECT("'"&amp;$C$3&amp;"'!"&amp;H$1),"C")=1,"C",""),"")</f>
        <v>C</v>
      </c>
      <c r="I5" s="24" t="str">
        <f ca="1">IF(I$3&lt;&gt;"",IF(COUNTIFS(INDIRECT("'"&amp;$C$3&amp;"'!B:B"),Collègue!$C5,INDIRECT("'"&amp;$C$3&amp;"'!"&amp;I$1),"C")=1,"C",""),"")</f>
        <v>C</v>
      </c>
      <c r="J5" s="24" t="str">
        <f ca="1">IF(J$3&lt;&gt;"",IF(COUNTIFS(INDIRECT("'"&amp;$C$3&amp;"'!B:B"),Collègue!$C5,INDIRECT("'"&amp;$C$3&amp;"'!"&amp;J$1),"C")=1,"C",""),"")</f>
        <v>C</v>
      </c>
      <c r="K5" s="24" t="str">
        <f ca="1">IF(K$3&lt;&gt;"",IF(COUNTIFS(INDIRECT("'"&amp;$C$3&amp;"'!B:B"),Collègue!$C5,INDIRECT("'"&amp;$C$3&amp;"'!"&amp;K$1),"C")=1,"C",""),"")</f>
        <v/>
      </c>
      <c r="L5" s="24" t="str">
        <f ca="1">IF(L$3&lt;&gt;"",IF(COUNTIFS(INDIRECT("'"&amp;$C$3&amp;"'!B:B"),Collègue!$C5,INDIRECT("'"&amp;$C$3&amp;"'!"&amp;L$1),"C")=1,"C",""),"")</f>
        <v/>
      </c>
      <c r="M5" s="24" t="str">
        <f ca="1">IF(M$3&lt;&gt;"",IF(COUNTIFS(INDIRECT("'"&amp;$C$3&amp;"'!B:B"),Collègue!$C5,INDIRECT("'"&amp;$C$3&amp;"'!"&amp;M$1),"C")=1,"C",""),"")</f>
        <v/>
      </c>
      <c r="N5" s="24" t="str">
        <f ca="1">IF(N$3&lt;&gt;"",IF(COUNTIFS(INDIRECT("'"&amp;$C$3&amp;"'!B:B"),Collègue!$C5,INDIRECT("'"&amp;$C$3&amp;"'!"&amp;N$1),"C")=1,"C",""),"")</f>
        <v/>
      </c>
      <c r="O5" s="24" t="str">
        <f ca="1">IF(O$3&lt;&gt;"",IF(COUNTIFS(INDIRECT("'"&amp;$C$3&amp;"'!B:B"),Collègue!$C5,INDIRECT("'"&amp;$C$3&amp;"'!"&amp;O$1),"C")=1,"C",""),"")</f>
        <v/>
      </c>
      <c r="P5" s="24" t="str">
        <f ca="1">IF(P$3&lt;&gt;"",IF(COUNTIFS(INDIRECT("'"&amp;$C$3&amp;"'!B:B"),Collègue!$C5,INDIRECT("'"&amp;$C$3&amp;"'!"&amp;P$1),"C")=1,"C",""),"")</f>
        <v/>
      </c>
      <c r="Q5" s="24" t="str">
        <f ca="1">IF(Q$3&lt;&gt;"",IF(COUNTIFS(INDIRECT("'"&amp;$C$3&amp;"'!B:B"),Collègue!$C5,INDIRECT("'"&amp;$C$3&amp;"'!"&amp;Q$1),"C")=1,"C",""),"")</f>
        <v>C</v>
      </c>
      <c r="R5" s="24" t="str">
        <f ca="1">IF(R$3&lt;&gt;"",IF(COUNTIFS(INDIRECT("'"&amp;$C$3&amp;"'!B:B"),Collègue!$C5,INDIRECT("'"&amp;$C$3&amp;"'!"&amp;R$1),"C")=1,"C",""),"")</f>
        <v/>
      </c>
      <c r="S5" s="24" t="str">
        <f ca="1">IF(S$3&lt;&gt;"",IF(COUNTIFS(INDIRECT("'"&amp;$C$3&amp;"'!B:B"),Collègue!$C5,INDIRECT("'"&amp;$C$3&amp;"'!"&amp;S$1),"C")=1,"C",""),"")</f>
        <v/>
      </c>
      <c r="T5" s="24" t="str">
        <f ca="1">IF(T$3&lt;&gt;"",IF(COUNTIFS(INDIRECT("'"&amp;$C$3&amp;"'!B:B"),Collègue!$C5,INDIRECT("'"&amp;$C$3&amp;"'!"&amp;T$1),"C")=1,"C",""),"")</f>
        <v/>
      </c>
      <c r="U5" s="24" t="str">
        <f ca="1">IF(U$3&lt;&gt;"",IF(COUNTIFS(INDIRECT("'"&amp;$C$3&amp;"'!B:B"),Collègue!$C5,INDIRECT("'"&amp;$C$3&amp;"'!"&amp;U$1),"C")=1,"C",""),"")</f>
        <v/>
      </c>
      <c r="V5" s="24" t="str">
        <f ca="1">IF(V$3&lt;&gt;"",IF(COUNTIFS(INDIRECT("'"&amp;$C$3&amp;"'!B:B"),Collègue!$C5,INDIRECT("'"&amp;$C$3&amp;"'!"&amp;V$1),"C")=1,"C",""),"")</f>
        <v/>
      </c>
      <c r="W5" s="24" t="str">
        <f ca="1">IF(W$3&lt;&gt;"",IF(COUNTIFS(INDIRECT("'"&amp;$C$3&amp;"'!B:B"),Collègue!$C5,INDIRECT("'"&amp;$C$3&amp;"'!"&amp;W$1),"C")=1,"C",""),"")</f>
        <v/>
      </c>
      <c r="X5" s="24" t="str">
        <f ca="1">IF(X$3&lt;&gt;"",IF(COUNTIFS(INDIRECT("'"&amp;$C$3&amp;"'!B:B"),Collègue!$C5,INDIRECT("'"&amp;$C$3&amp;"'!"&amp;X$1),"C")=1,"C",""),"")</f>
        <v/>
      </c>
      <c r="Y5" s="24" t="str">
        <f ca="1">IF(Y$3&lt;&gt;"",IF(COUNTIFS(INDIRECT("'"&amp;$C$3&amp;"'!B:B"),Collègue!$C5,INDIRECT("'"&amp;$C$3&amp;"'!"&amp;Y$1),"C")=1,"C",""),"")</f>
        <v/>
      </c>
      <c r="Z5" s="24" t="str">
        <f ca="1">IF(Z$3&lt;&gt;"",IF(COUNTIFS(INDIRECT("'"&amp;$C$3&amp;"'!B:B"),Collègue!$C5,INDIRECT("'"&amp;$C$3&amp;"'!"&amp;Z$1),"C")=1,"C",""),"")</f>
        <v/>
      </c>
      <c r="AA5" s="24" t="str">
        <f ca="1">IF(AA$3&lt;&gt;"",IF(COUNTIFS(INDIRECT("'"&amp;$C$3&amp;"'!B:B"),Collègue!$C5,INDIRECT("'"&amp;$C$3&amp;"'!"&amp;AA$1),"C")=1,"C",""),"")</f>
        <v/>
      </c>
      <c r="AB5" s="24" t="str">
        <f ca="1">IF(AB$3&lt;&gt;"",IF(COUNTIFS(INDIRECT("'"&amp;$C$3&amp;"'!B:B"),Collègue!$C5,INDIRECT("'"&amp;$C$3&amp;"'!"&amp;AB$1),"C")=1,"C",""),"")</f>
        <v/>
      </c>
      <c r="AC5" s="24" t="str">
        <f ca="1">IF(AC$3&lt;&gt;"",IF(COUNTIFS(INDIRECT("'"&amp;$C$3&amp;"'!B:B"),Collègue!$C5,INDIRECT("'"&amp;$C$3&amp;"'!"&amp;AC$1),"C")=1,"C",""),"")</f>
        <v/>
      </c>
      <c r="AD5" s="24" t="str">
        <f ca="1">IF(AD$3&lt;&gt;"",IF(COUNTIFS(INDIRECT("'"&amp;$C$3&amp;"'!B:B"),Collègue!$C5,INDIRECT("'"&amp;$C$3&amp;"'!"&amp;AD$1),"C")=1,"C",""),"")</f>
        <v/>
      </c>
      <c r="AE5" s="24" t="str">
        <f ca="1">IF(AE$3&lt;&gt;"",IF(COUNTIFS(INDIRECT("'"&amp;$C$3&amp;"'!B:B"),Collègue!$C5,INDIRECT("'"&amp;$C$3&amp;"'!"&amp;AE$1),"C")=1,"C",""),"")</f>
        <v/>
      </c>
      <c r="AF5" s="24" t="str">
        <f ca="1">IF(AF$3&lt;&gt;"",IF(COUNTIFS(INDIRECT("'"&amp;$C$3&amp;"'!B:B"),Collègue!$C5,INDIRECT("'"&amp;$C$3&amp;"'!"&amp;AF$1),"C")=1,"C",""),"")</f>
        <v/>
      </c>
      <c r="AG5" s="24" t="str">
        <f ca="1">IF(AG$3&lt;&gt;"",IF(COUNTIFS(INDIRECT("'"&amp;$C$3&amp;"'!B:B"),Collègue!$C5,INDIRECT("'"&amp;$C$3&amp;"'!"&amp;AG$1),"C")=1,"C",""),"")</f>
        <v/>
      </c>
      <c r="AH5" s="24" t="str">
        <f ca="1">IF(AH$3&lt;&gt;"",IF(COUNTIFS(INDIRECT("'"&amp;$C$3&amp;"'!B:B"),Collègue!$C5,INDIRECT("'"&amp;$C$3&amp;"'!"&amp;AH$1),"C")=1,"C",""),"")</f>
        <v/>
      </c>
      <c r="AI5" s="24" t="str">
        <f ca="1">IF(AI$3&lt;&gt;"",IF(COUNTIFS(INDIRECT("'"&amp;$C$3&amp;"'!B:B"),Collègue!$C5,INDIRECT("'"&amp;$C$3&amp;"'!"&amp;AI$1),"C")=1,"C",""),"")</f>
        <v/>
      </c>
    </row>
    <row r="6" spans="3:35" x14ac:dyDescent="0.25">
      <c r="C6" s="19" t="s">
        <v>64</v>
      </c>
      <c r="E6" s="24" t="str">
        <f ca="1">IF(E$3&lt;&gt;"",IF(COUNTIFS(INDIRECT("'"&amp;$C$3&amp;"'!B:B"),Collègue!$C6,INDIRECT("'"&amp;$C$3&amp;"'!"&amp;E$1),"C")=1,"C",""),"")</f>
        <v/>
      </c>
      <c r="F6" s="24" t="str">
        <f ca="1">IF(F$3&lt;&gt;"",IF(COUNTIFS(INDIRECT("'"&amp;$C$3&amp;"'!B:B"),Collègue!$C6,INDIRECT("'"&amp;$C$3&amp;"'!"&amp;F$1),"C")=1,"C",""),"")</f>
        <v/>
      </c>
      <c r="G6" s="24" t="str">
        <f ca="1">IF(G$3&lt;&gt;"",IF(COUNTIFS(INDIRECT("'"&amp;$C$3&amp;"'!B:B"),Collègue!$C6,INDIRECT("'"&amp;$C$3&amp;"'!"&amp;G$1),"C")=1,"C",""),"")</f>
        <v/>
      </c>
      <c r="H6" s="24" t="str">
        <f ca="1">IF(H$3&lt;&gt;"",IF(COUNTIFS(INDIRECT("'"&amp;$C$3&amp;"'!B:B"),Collègue!$C6,INDIRECT("'"&amp;$C$3&amp;"'!"&amp;H$1),"C")=1,"C",""),"")</f>
        <v/>
      </c>
      <c r="I6" s="24" t="str">
        <f ca="1">IF(I$3&lt;&gt;"",IF(COUNTIFS(INDIRECT("'"&amp;$C$3&amp;"'!B:B"),Collègue!$C6,INDIRECT("'"&amp;$C$3&amp;"'!"&amp;I$1),"C")=1,"C",""),"")</f>
        <v/>
      </c>
      <c r="J6" s="24" t="str">
        <f ca="1">IF(J$3&lt;&gt;"",IF(COUNTIFS(INDIRECT("'"&amp;$C$3&amp;"'!B:B"),Collègue!$C6,INDIRECT("'"&amp;$C$3&amp;"'!"&amp;J$1),"C")=1,"C",""),"")</f>
        <v/>
      </c>
      <c r="K6" s="24" t="str">
        <f ca="1">IF(K$3&lt;&gt;"",IF(COUNTIFS(INDIRECT("'"&amp;$C$3&amp;"'!B:B"),Collègue!$C6,INDIRECT("'"&amp;$C$3&amp;"'!"&amp;K$1),"C")=1,"C",""),"")</f>
        <v/>
      </c>
      <c r="L6" s="24" t="str">
        <f ca="1">IF(L$3&lt;&gt;"",IF(COUNTIFS(INDIRECT("'"&amp;$C$3&amp;"'!B:B"),Collègue!$C6,INDIRECT("'"&amp;$C$3&amp;"'!"&amp;L$1),"C")=1,"C",""),"")</f>
        <v/>
      </c>
      <c r="M6" s="24" t="str">
        <f ca="1">IF(M$3&lt;&gt;"",IF(COUNTIFS(INDIRECT("'"&amp;$C$3&amp;"'!B:B"),Collègue!$C6,INDIRECT("'"&amp;$C$3&amp;"'!"&amp;M$1),"C")=1,"C",""),"")</f>
        <v/>
      </c>
      <c r="N6" s="24" t="str">
        <f ca="1">IF(N$3&lt;&gt;"",IF(COUNTIFS(INDIRECT("'"&amp;$C$3&amp;"'!B:B"),Collègue!$C6,INDIRECT("'"&amp;$C$3&amp;"'!"&amp;N$1),"C")=1,"C",""),"")</f>
        <v/>
      </c>
      <c r="O6" s="24" t="str">
        <f ca="1">IF(O$3&lt;&gt;"",IF(COUNTIFS(INDIRECT("'"&amp;$C$3&amp;"'!B:B"),Collègue!$C6,INDIRECT("'"&amp;$C$3&amp;"'!"&amp;O$1),"C")=1,"C",""),"")</f>
        <v/>
      </c>
      <c r="P6" s="24" t="str">
        <f ca="1">IF(P$3&lt;&gt;"",IF(COUNTIFS(INDIRECT("'"&amp;$C$3&amp;"'!B:B"),Collègue!$C6,INDIRECT("'"&amp;$C$3&amp;"'!"&amp;P$1),"C")=1,"C",""),"")</f>
        <v/>
      </c>
      <c r="Q6" s="24" t="str">
        <f ca="1">IF(Q$3&lt;&gt;"",IF(COUNTIFS(INDIRECT("'"&amp;$C$3&amp;"'!B:B"),Collègue!$C6,INDIRECT("'"&amp;$C$3&amp;"'!"&amp;Q$1),"C")=1,"C",""),"")</f>
        <v/>
      </c>
      <c r="R6" s="24" t="str">
        <f ca="1">IF(R$3&lt;&gt;"",IF(COUNTIFS(INDIRECT("'"&amp;$C$3&amp;"'!B:B"),Collègue!$C6,INDIRECT("'"&amp;$C$3&amp;"'!"&amp;R$1),"C")=1,"C",""),"")</f>
        <v/>
      </c>
      <c r="S6" s="24" t="str">
        <f ca="1">IF(S$3&lt;&gt;"",IF(COUNTIFS(INDIRECT("'"&amp;$C$3&amp;"'!B:B"),Collègue!$C6,INDIRECT("'"&amp;$C$3&amp;"'!"&amp;S$1),"C")=1,"C",""),"")</f>
        <v/>
      </c>
      <c r="T6" s="24" t="str">
        <f ca="1">IF(T$3&lt;&gt;"",IF(COUNTIFS(INDIRECT("'"&amp;$C$3&amp;"'!B:B"),Collègue!$C6,INDIRECT("'"&amp;$C$3&amp;"'!"&amp;T$1),"C")=1,"C",""),"")</f>
        <v/>
      </c>
      <c r="U6" s="24" t="str">
        <f ca="1">IF(U$3&lt;&gt;"",IF(COUNTIFS(INDIRECT("'"&amp;$C$3&amp;"'!B:B"),Collègue!$C6,INDIRECT("'"&amp;$C$3&amp;"'!"&amp;U$1),"C")=1,"C",""),"")</f>
        <v/>
      </c>
      <c r="V6" s="24" t="str">
        <f ca="1">IF(V$3&lt;&gt;"",IF(COUNTIFS(INDIRECT("'"&amp;$C$3&amp;"'!B:B"),Collègue!$C6,INDIRECT("'"&amp;$C$3&amp;"'!"&amp;V$1),"C")=1,"C",""),"")</f>
        <v/>
      </c>
      <c r="W6" s="24" t="str">
        <f ca="1">IF(W$3&lt;&gt;"",IF(COUNTIFS(INDIRECT("'"&amp;$C$3&amp;"'!B:B"),Collègue!$C6,INDIRECT("'"&amp;$C$3&amp;"'!"&amp;W$1),"C")=1,"C",""),"")</f>
        <v/>
      </c>
      <c r="X6" s="24" t="str">
        <f ca="1">IF(X$3&lt;&gt;"",IF(COUNTIFS(INDIRECT("'"&amp;$C$3&amp;"'!B:B"),Collègue!$C6,INDIRECT("'"&amp;$C$3&amp;"'!"&amp;X$1),"C")=1,"C",""),"")</f>
        <v/>
      </c>
      <c r="Y6" s="24" t="str">
        <f ca="1">IF(Y$3&lt;&gt;"",IF(COUNTIFS(INDIRECT("'"&amp;$C$3&amp;"'!B:B"),Collègue!$C6,INDIRECT("'"&amp;$C$3&amp;"'!"&amp;Y$1),"C")=1,"C",""),"")</f>
        <v/>
      </c>
      <c r="Z6" s="24" t="str">
        <f ca="1">IF(Z$3&lt;&gt;"",IF(COUNTIFS(INDIRECT("'"&amp;$C$3&amp;"'!B:B"),Collègue!$C6,INDIRECT("'"&amp;$C$3&amp;"'!"&amp;Z$1),"C")=1,"C",""),"")</f>
        <v/>
      </c>
      <c r="AA6" s="24" t="str">
        <f ca="1">IF(AA$3&lt;&gt;"",IF(COUNTIFS(INDIRECT("'"&amp;$C$3&amp;"'!B:B"),Collègue!$C6,INDIRECT("'"&amp;$C$3&amp;"'!"&amp;AA$1),"C")=1,"C",""),"")</f>
        <v/>
      </c>
      <c r="AB6" s="24" t="str">
        <f ca="1">IF(AB$3&lt;&gt;"",IF(COUNTIFS(INDIRECT("'"&amp;$C$3&amp;"'!B:B"),Collègue!$C6,INDIRECT("'"&amp;$C$3&amp;"'!"&amp;AB$1),"C")=1,"C",""),"")</f>
        <v/>
      </c>
      <c r="AC6" s="24" t="str">
        <f ca="1">IF(AC$3&lt;&gt;"",IF(COUNTIFS(INDIRECT("'"&amp;$C$3&amp;"'!B:B"),Collègue!$C6,INDIRECT("'"&amp;$C$3&amp;"'!"&amp;AC$1),"C")=1,"C",""),"")</f>
        <v>C</v>
      </c>
      <c r="AD6" s="24" t="str">
        <f ca="1">IF(AD$3&lt;&gt;"",IF(COUNTIFS(INDIRECT("'"&amp;$C$3&amp;"'!B:B"),Collègue!$C6,INDIRECT("'"&amp;$C$3&amp;"'!"&amp;AD$1),"C")=1,"C",""),"")</f>
        <v>C</v>
      </c>
      <c r="AE6" s="24" t="str">
        <f ca="1">IF(AE$3&lt;&gt;"",IF(COUNTIFS(INDIRECT("'"&amp;$C$3&amp;"'!B:B"),Collègue!$C6,INDIRECT("'"&amp;$C$3&amp;"'!"&amp;AE$1),"C")=1,"C",""),"")</f>
        <v>C</v>
      </c>
      <c r="AF6" s="24" t="str">
        <f ca="1">IF(AF$3&lt;&gt;"",IF(COUNTIFS(INDIRECT("'"&amp;$C$3&amp;"'!B:B"),Collègue!$C6,INDIRECT("'"&amp;$C$3&amp;"'!"&amp;AF$1),"C")=1,"C",""),"")</f>
        <v/>
      </c>
      <c r="AG6" s="24" t="str">
        <f ca="1">IF(AG$3&lt;&gt;"",IF(COUNTIFS(INDIRECT("'"&amp;$C$3&amp;"'!B:B"),Collègue!$C6,INDIRECT("'"&amp;$C$3&amp;"'!"&amp;AG$1),"C")=1,"C",""),"")</f>
        <v/>
      </c>
      <c r="AH6" s="24" t="str">
        <f ca="1">IF(AH$3&lt;&gt;"",IF(COUNTIFS(INDIRECT("'"&amp;$C$3&amp;"'!B:B"),Collègue!$C6,INDIRECT("'"&amp;$C$3&amp;"'!"&amp;AH$1),"C")=1,"C",""),"")</f>
        <v/>
      </c>
      <c r="AI6" s="24" t="str">
        <f ca="1">IF(AI$3&lt;&gt;"",IF(COUNTIFS(INDIRECT("'"&amp;$C$3&amp;"'!B:B"),Collègue!$C6,INDIRECT("'"&amp;$C$3&amp;"'!"&amp;AI$1),"C")=1,"C",""),"")</f>
        <v/>
      </c>
    </row>
    <row r="7" spans="3:35" x14ac:dyDescent="0.25">
      <c r="C7" s="19" t="s">
        <v>65</v>
      </c>
      <c r="E7" s="24" t="str">
        <f ca="1">IF(E$3&lt;&gt;"",IF(COUNTIFS(INDIRECT("'"&amp;$C$3&amp;"'!B:B"),Collègue!$C7,INDIRECT("'"&amp;$C$3&amp;"'!"&amp;E$1),"C")=1,"C",""),"")</f>
        <v/>
      </c>
      <c r="F7" s="24" t="str">
        <f ca="1">IF(F$3&lt;&gt;"",IF(COUNTIFS(INDIRECT("'"&amp;$C$3&amp;"'!B:B"),Collègue!$C7,INDIRECT("'"&amp;$C$3&amp;"'!"&amp;F$1),"C")=1,"C",""),"")</f>
        <v/>
      </c>
      <c r="G7" s="24" t="str">
        <f ca="1">IF(G$3&lt;&gt;"",IF(COUNTIFS(INDIRECT("'"&amp;$C$3&amp;"'!B:B"),Collègue!$C7,INDIRECT("'"&amp;$C$3&amp;"'!"&amp;G$1),"C")=1,"C",""),"")</f>
        <v/>
      </c>
      <c r="H7" s="24" t="str">
        <f ca="1">IF(H$3&lt;&gt;"",IF(COUNTIFS(INDIRECT("'"&amp;$C$3&amp;"'!B:B"),Collègue!$C7,INDIRECT("'"&amp;$C$3&amp;"'!"&amp;H$1),"C")=1,"C",""),"")</f>
        <v/>
      </c>
      <c r="I7" s="24" t="str">
        <f ca="1">IF(I$3&lt;&gt;"",IF(COUNTIFS(INDIRECT("'"&amp;$C$3&amp;"'!B:B"),Collègue!$C7,INDIRECT("'"&amp;$C$3&amp;"'!"&amp;I$1),"C")=1,"C",""),"")</f>
        <v/>
      </c>
      <c r="J7" s="24" t="str">
        <f ca="1">IF(J$3&lt;&gt;"",IF(COUNTIFS(INDIRECT("'"&amp;$C$3&amp;"'!B:B"),Collègue!$C7,INDIRECT("'"&amp;$C$3&amp;"'!"&amp;J$1),"C")=1,"C",""),"")</f>
        <v/>
      </c>
      <c r="K7" s="24" t="str">
        <f ca="1">IF(K$3&lt;&gt;"",IF(COUNTIFS(INDIRECT("'"&amp;$C$3&amp;"'!B:B"),Collègue!$C7,INDIRECT("'"&amp;$C$3&amp;"'!"&amp;K$1),"C")=1,"C",""),"")</f>
        <v/>
      </c>
      <c r="L7" s="24" t="str">
        <f ca="1">IF(L$3&lt;&gt;"",IF(COUNTIFS(INDIRECT("'"&amp;$C$3&amp;"'!B:B"),Collègue!$C7,INDIRECT("'"&amp;$C$3&amp;"'!"&amp;L$1),"C")=1,"C",""),"")</f>
        <v/>
      </c>
      <c r="M7" s="24" t="str">
        <f ca="1">IF(M$3&lt;&gt;"",IF(COUNTIFS(INDIRECT("'"&amp;$C$3&amp;"'!B:B"),Collègue!$C7,INDIRECT("'"&amp;$C$3&amp;"'!"&amp;M$1),"C")=1,"C",""),"")</f>
        <v/>
      </c>
      <c r="N7" s="24" t="str">
        <f ca="1">IF(N$3&lt;&gt;"",IF(COUNTIFS(INDIRECT("'"&amp;$C$3&amp;"'!B:B"),Collègue!$C7,INDIRECT("'"&amp;$C$3&amp;"'!"&amp;N$1),"C")=1,"C",""),"")</f>
        <v/>
      </c>
      <c r="O7" s="24" t="str">
        <f ca="1">IF(O$3&lt;&gt;"",IF(COUNTIFS(INDIRECT("'"&amp;$C$3&amp;"'!B:B"),Collègue!$C7,INDIRECT("'"&amp;$C$3&amp;"'!"&amp;O$1),"C")=1,"C",""),"")</f>
        <v/>
      </c>
      <c r="P7" s="24" t="str">
        <f ca="1">IF(P$3&lt;&gt;"",IF(COUNTIFS(INDIRECT("'"&amp;$C$3&amp;"'!B:B"),Collègue!$C7,INDIRECT("'"&amp;$C$3&amp;"'!"&amp;P$1),"C")=1,"C",""),"")</f>
        <v/>
      </c>
      <c r="Q7" s="24" t="str">
        <f ca="1">IF(Q$3&lt;&gt;"",IF(COUNTIFS(INDIRECT("'"&amp;$C$3&amp;"'!B:B"),Collègue!$C7,INDIRECT("'"&amp;$C$3&amp;"'!"&amp;Q$1),"C")=1,"C",""),"")</f>
        <v/>
      </c>
      <c r="R7" s="24" t="str">
        <f ca="1">IF(R$3&lt;&gt;"",IF(COUNTIFS(INDIRECT("'"&amp;$C$3&amp;"'!B:B"),Collègue!$C7,INDIRECT("'"&amp;$C$3&amp;"'!"&amp;R$1),"C")=1,"C",""),"")</f>
        <v/>
      </c>
      <c r="S7" s="24" t="str">
        <f ca="1">IF(S$3&lt;&gt;"",IF(COUNTIFS(INDIRECT("'"&amp;$C$3&amp;"'!B:B"),Collègue!$C7,INDIRECT("'"&amp;$C$3&amp;"'!"&amp;S$1),"C")=1,"C",""),"")</f>
        <v/>
      </c>
      <c r="T7" s="24" t="str">
        <f ca="1">IF(T$3&lt;&gt;"",IF(COUNTIFS(INDIRECT("'"&amp;$C$3&amp;"'!B:B"),Collègue!$C7,INDIRECT("'"&amp;$C$3&amp;"'!"&amp;T$1),"C")=1,"C",""),"")</f>
        <v/>
      </c>
      <c r="U7" s="24" t="str">
        <f ca="1">IF(U$3&lt;&gt;"",IF(COUNTIFS(INDIRECT("'"&amp;$C$3&amp;"'!B:B"),Collègue!$C7,INDIRECT("'"&amp;$C$3&amp;"'!"&amp;U$1),"C")=1,"C",""),"")</f>
        <v/>
      </c>
      <c r="V7" s="24" t="str">
        <f ca="1">IF(V$3&lt;&gt;"",IF(COUNTIFS(INDIRECT("'"&amp;$C$3&amp;"'!B:B"),Collègue!$C7,INDIRECT("'"&amp;$C$3&amp;"'!"&amp;V$1),"C")=1,"C",""),"")</f>
        <v/>
      </c>
      <c r="W7" s="24" t="str">
        <f ca="1">IF(W$3&lt;&gt;"",IF(COUNTIFS(INDIRECT("'"&amp;$C$3&amp;"'!B:B"),Collègue!$C7,INDIRECT("'"&amp;$C$3&amp;"'!"&amp;W$1),"C")=1,"C",""),"")</f>
        <v/>
      </c>
      <c r="X7" s="24" t="str">
        <f ca="1">IF(X$3&lt;&gt;"",IF(COUNTIFS(INDIRECT("'"&amp;$C$3&amp;"'!B:B"),Collègue!$C7,INDIRECT("'"&amp;$C$3&amp;"'!"&amp;X$1),"C")=1,"C",""),"")</f>
        <v/>
      </c>
      <c r="Y7" s="24" t="str">
        <f ca="1">IF(Y$3&lt;&gt;"",IF(COUNTIFS(INDIRECT("'"&amp;$C$3&amp;"'!B:B"),Collègue!$C7,INDIRECT("'"&amp;$C$3&amp;"'!"&amp;Y$1),"C")=1,"C",""),"")</f>
        <v/>
      </c>
      <c r="Z7" s="24" t="str">
        <f ca="1">IF(Z$3&lt;&gt;"",IF(COUNTIFS(INDIRECT("'"&amp;$C$3&amp;"'!B:B"),Collègue!$C7,INDIRECT("'"&amp;$C$3&amp;"'!"&amp;Z$1),"C")=1,"C",""),"")</f>
        <v/>
      </c>
      <c r="AA7" s="24" t="str">
        <f ca="1">IF(AA$3&lt;&gt;"",IF(COUNTIFS(INDIRECT("'"&amp;$C$3&amp;"'!B:B"),Collègue!$C7,INDIRECT("'"&amp;$C$3&amp;"'!"&amp;AA$1),"C")=1,"C",""),"")</f>
        <v/>
      </c>
      <c r="AB7" s="24" t="str">
        <f ca="1">IF(AB$3&lt;&gt;"",IF(COUNTIFS(INDIRECT("'"&amp;$C$3&amp;"'!B:B"),Collègue!$C7,INDIRECT("'"&amp;$C$3&amp;"'!"&amp;AB$1),"C")=1,"C",""),"")</f>
        <v/>
      </c>
      <c r="AC7" s="24" t="str">
        <f ca="1">IF(AC$3&lt;&gt;"",IF(COUNTIFS(INDIRECT("'"&amp;$C$3&amp;"'!B:B"),Collègue!$C7,INDIRECT("'"&amp;$C$3&amp;"'!"&amp;AC$1),"C")=1,"C",""),"")</f>
        <v/>
      </c>
      <c r="AD7" s="24" t="str">
        <f ca="1">IF(AD$3&lt;&gt;"",IF(COUNTIFS(INDIRECT("'"&amp;$C$3&amp;"'!B:B"),Collègue!$C7,INDIRECT("'"&amp;$C$3&amp;"'!"&amp;AD$1),"C")=1,"C",""),"")</f>
        <v/>
      </c>
      <c r="AE7" s="24" t="str">
        <f ca="1">IF(AE$3&lt;&gt;"",IF(COUNTIFS(INDIRECT("'"&amp;$C$3&amp;"'!B:B"),Collègue!$C7,INDIRECT("'"&amp;$C$3&amp;"'!"&amp;AE$1),"C")=1,"C",""),"")</f>
        <v/>
      </c>
      <c r="AF7" s="24" t="str">
        <f ca="1">IF(AF$3&lt;&gt;"",IF(COUNTIFS(INDIRECT("'"&amp;$C$3&amp;"'!B:B"),Collègue!$C7,INDIRECT("'"&amp;$C$3&amp;"'!"&amp;AF$1),"C")=1,"C",""),"")</f>
        <v/>
      </c>
      <c r="AG7" s="24" t="str">
        <f ca="1">IF(AG$3&lt;&gt;"",IF(COUNTIFS(INDIRECT("'"&amp;$C$3&amp;"'!B:B"),Collègue!$C7,INDIRECT("'"&amp;$C$3&amp;"'!"&amp;AG$1),"C")=1,"C",""),"")</f>
        <v/>
      </c>
      <c r="AH7" s="24" t="str">
        <f ca="1">IF(AH$3&lt;&gt;"",IF(COUNTIFS(INDIRECT("'"&amp;$C$3&amp;"'!B:B"),Collègue!$C7,INDIRECT("'"&amp;$C$3&amp;"'!"&amp;AH$1),"C")=1,"C",""),"")</f>
        <v/>
      </c>
      <c r="AI7" s="24" t="str">
        <f ca="1">IF(AI$3&lt;&gt;"",IF(COUNTIFS(INDIRECT("'"&amp;$C$3&amp;"'!B:B"),Collègue!$C7,INDIRECT("'"&amp;$C$3&amp;"'!"&amp;AI$1),"C")=1,"C",""),"")</f>
        <v/>
      </c>
    </row>
    <row r="8" spans="3:35" x14ac:dyDescent="0.25">
      <c r="C8" s="19" t="s">
        <v>66</v>
      </c>
      <c r="E8" s="24" t="str">
        <f ca="1">IF(E$3&lt;&gt;"",IF(COUNTIFS(INDIRECT("'"&amp;$C$3&amp;"'!B:B"),Collègue!$C8,INDIRECT("'"&amp;$C$3&amp;"'!"&amp;E$1),"C")=1,"C",""),"")</f>
        <v/>
      </c>
      <c r="F8" s="24" t="str">
        <f ca="1">IF(F$3&lt;&gt;"",IF(COUNTIFS(INDIRECT("'"&amp;$C$3&amp;"'!B:B"),Collègue!$C8,INDIRECT("'"&amp;$C$3&amp;"'!"&amp;F$1),"C")=1,"C",""),"")</f>
        <v/>
      </c>
      <c r="G8" s="24" t="str">
        <f ca="1">IF(G$3&lt;&gt;"",IF(COUNTIFS(INDIRECT("'"&amp;$C$3&amp;"'!B:B"),Collègue!$C8,INDIRECT("'"&amp;$C$3&amp;"'!"&amp;G$1),"C")=1,"C",""),"")</f>
        <v/>
      </c>
      <c r="H8" s="24" t="str">
        <f ca="1">IF(H$3&lt;&gt;"",IF(COUNTIFS(INDIRECT("'"&amp;$C$3&amp;"'!B:B"),Collègue!$C8,INDIRECT("'"&amp;$C$3&amp;"'!"&amp;H$1),"C")=1,"C",""),"")</f>
        <v/>
      </c>
      <c r="I8" s="24" t="str">
        <f ca="1">IF(I$3&lt;&gt;"",IF(COUNTIFS(INDIRECT("'"&amp;$C$3&amp;"'!B:B"),Collègue!$C8,INDIRECT("'"&amp;$C$3&amp;"'!"&amp;I$1),"C")=1,"C",""),"")</f>
        <v/>
      </c>
      <c r="J8" s="24" t="str">
        <f ca="1">IF(J$3&lt;&gt;"",IF(COUNTIFS(INDIRECT("'"&amp;$C$3&amp;"'!B:B"),Collègue!$C8,INDIRECT("'"&amp;$C$3&amp;"'!"&amp;J$1),"C")=1,"C",""),"")</f>
        <v/>
      </c>
      <c r="K8" s="24" t="str">
        <f ca="1">IF(K$3&lt;&gt;"",IF(COUNTIFS(INDIRECT("'"&amp;$C$3&amp;"'!B:B"),Collègue!$C8,INDIRECT("'"&amp;$C$3&amp;"'!"&amp;K$1),"C")=1,"C",""),"")</f>
        <v/>
      </c>
      <c r="L8" s="24" t="str">
        <f ca="1">IF(L$3&lt;&gt;"",IF(COUNTIFS(INDIRECT("'"&amp;$C$3&amp;"'!B:B"),Collègue!$C8,INDIRECT("'"&amp;$C$3&amp;"'!"&amp;L$1),"C")=1,"C",""),"")</f>
        <v/>
      </c>
      <c r="M8" s="24" t="str">
        <f ca="1">IF(M$3&lt;&gt;"",IF(COUNTIFS(INDIRECT("'"&amp;$C$3&amp;"'!B:B"),Collègue!$C8,INDIRECT("'"&amp;$C$3&amp;"'!"&amp;M$1),"C")=1,"C",""),"")</f>
        <v/>
      </c>
      <c r="N8" s="24" t="str">
        <f ca="1">IF(N$3&lt;&gt;"",IF(COUNTIFS(INDIRECT("'"&amp;$C$3&amp;"'!B:B"),Collègue!$C8,INDIRECT("'"&amp;$C$3&amp;"'!"&amp;N$1),"C")=1,"C",""),"")</f>
        <v/>
      </c>
      <c r="O8" s="24" t="str">
        <f ca="1">IF(O$3&lt;&gt;"",IF(COUNTIFS(INDIRECT("'"&amp;$C$3&amp;"'!B:B"),Collègue!$C8,INDIRECT("'"&amp;$C$3&amp;"'!"&amp;O$1),"C")=1,"C",""),"")</f>
        <v/>
      </c>
      <c r="P8" s="24" t="str">
        <f ca="1">IF(P$3&lt;&gt;"",IF(COUNTIFS(INDIRECT("'"&amp;$C$3&amp;"'!B:B"),Collègue!$C8,INDIRECT("'"&amp;$C$3&amp;"'!"&amp;P$1),"C")=1,"C",""),"")</f>
        <v/>
      </c>
      <c r="Q8" s="24" t="str">
        <f ca="1">IF(Q$3&lt;&gt;"",IF(COUNTIFS(INDIRECT("'"&amp;$C$3&amp;"'!B:B"),Collègue!$C8,INDIRECT("'"&amp;$C$3&amp;"'!"&amp;Q$1),"C")=1,"C",""),"")</f>
        <v/>
      </c>
      <c r="R8" s="24" t="str">
        <f ca="1">IF(R$3&lt;&gt;"",IF(COUNTIFS(INDIRECT("'"&amp;$C$3&amp;"'!B:B"),Collègue!$C8,INDIRECT("'"&amp;$C$3&amp;"'!"&amp;R$1),"C")=1,"C",""),"")</f>
        <v/>
      </c>
      <c r="S8" s="24" t="str">
        <f ca="1">IF(S$3&lt;&gt;"",IF(COUNTIFS(INDIRECT("'"&amp;$C$3&amp;"'!B:B"),Collègue!$C8,INDIRECT("'"&amp;$C$3&amp;"'!"&amp;S$1),"C")=1,"C",""),"")</f>
        <v/>
      </c>
      <c r="T8" s="24" t="str">
        <f ca="1">IF(T$3&lt;&gt;"",IF(COUNTIFS(INDIRECT("'"&amp;$C$3&amp;"'!B:B"),Collègue!$C8,INDIRECT("'"&amp;$C$3&amp;"'!"&amp;T$1),"C")=1,"C",""),"")</f>
        <v/>
      </c>
      <c r="U8" s="24" t="str">
        <f ca="1">IF(U$3&lt;&gt;"",IF(COUNTIFS(INDIRECT("'"&amp;$C$3&amp;"'!B:B"),Collègue!$C8,INDIRECT("'"&amp;$C$3&amp;"'!"&amp;U$1),"C")=1,"C",""),"")</f>
        <v/>
      </c>
      <c r="V8" s="24" t="str">
        <f ca="1">IF(V$3&lt;&gt;"",IF(COUNTIFS(INDIRECT("'"&amp;$C$3&amp;"'!B:B"),Collègue!$C8,INDIRECT("'"&amp;$C$3&amp;"'!"&amp;V$1),"C")=1,"C",""),"")</f>
        <v/>
      </c>
      <c r="W8" s="24" t="str">
        <f ca="1">IF(W$3&lt;&gt;"",IF(COUNTIFS(INDIRECT("'"&amp;$C$3&amp;"'!B:B"),Collègue!$C8,INDIRECT("'"&amp;$C$3&amp;"'!"&amp;W$1),"C")=1,"C",""),"")</f>
        <v>C</v>
      </c>
      <c r="X8" s="24" t="str">
        <f ca="1">IF(X$3&lt;&gt;"",IF(COUNTIFS(INDIRECT("'"&amp;$C$3&amp;"'!B:B"),Collègue!$C8,INDIRECT("'"&amp;$C$3&amp;"'!"&amp;X$1),"C")=1,"C",""),"")</f>
        <v>C</v>
      </c>
      <c r="Y8" s="24" t="str">
        <f ca="1">IF(Y$3&lt;&gt;"",IF(COUNTIFS(INDIRECT("'"&amp;$C$3&amp;"'!B:B"),Collègue!$C8,INDIRECT("'"&amp;$C$3&amp;"'!"&amp;Y$1),"C")=1,"C",""),"")</f>
        <v>C</v>
      </c>
      <c r="Z8" s="24" t="str">
        <f ca="1">IF(Z$3&lt;&gt;"",IF(COUNTIFS(INDIRECT("'"&amp;$C$3&amp;"'!B:B"),Collègue!$C8,INDIRECT("'"&amp;$C$3&amp;"'!"&amp;Z$1),"C")=1,"C",""),"")</f>
        <v/>
      </c>
      <c r="AA8" s="24" t="str">
        <f ca="1">IF(AA$3&lt;&gt;"",IF(COUNTIFS(INDIRECT("'"&amp;$C$3&amp;"'!B:B"),Collègue!$C8,INDIRECT("'"&amp;$C$3&amp;"'!"&amp;AA$1),"C")=1,"C",""),"")</f>
        <v/>
      </c>
      <c r="AB8" s="24" t="str">
        <f ca="1">IF(AB$3&lt;&gt;"",IF(COUNTIFS(INDIRECT("'"&amp;$C$3&amp;"'!B:B"),Collègue!$C8,INDIRECT("'"&amp;$C$3&amp;"'!"&amp;AB$1),"C")=1,"C",""),"")</f>
        <v/>
      </c>
      <c r="AC8" s="24" t="str">
        <f ca="1">IF(AC$3&lt;&gt;"",IF(COUNTIFS(INDIRECT("'"&amp;$C$3&amp;"'!B:B"),Collègue!$C8,INDIRECT("'"&amp;$C$3&amp;"'!"&amp;AC$1),"C")=1,"C",""),"")</f>
        <v/>
      </c>
      <c r="AD8" s="24" t="str">
        <f ca="1">IF(AD$3&lt;&gt;"",IF(COUNTIFS(INDIRECT("'"&amp;$C$3&amp;"'!B:B"),Collègue!$C8,INDIRECT("'"&amp;$C$3&amp;"'!"&amp;AD$1),"C")=1,"C",""),"")</f>
        <v/>
      </c>
      <c r="AE8" s="24" t="str">
        <f ca="1">IF(AE$3&lt;&gt;"",IF(COUNTIFS(INDIRECT("'"&amp;$C$3&amp;"'!B:B"),Collègue!$C8,INDIRECT("'"&amp;$C$3&amp;"'!"&amp;AE$1),"C")=1,"C",""),"")</f>
        <v/>
      </c>
      <c r="AF8" s="24" t="str">
        <f ca="1">IF(AF$3&lt;&gt;"",IF(COUNTIFS(INDIRECT("'"&amp;$C$3&amp;"'!B:B"),Collègue!$C8,INDIRECT("'"&amp;$C$3&amp;"'!"&amp;AF$1),"C")=1,"C",""),"")</f>
        <v/>
      </c>
      <c r="AG8" s="24" t="str">
        <f ca="1">IF(AG$3&lt;&gt;"",IF(COUNTIFS(INDIRECT("'"&amp;$C$3&amp;"'!B:B"),Collègue!$C8,INDIRECT("'"&amp;$C$3&amp;"'!"&amp;AG$1),"C")=1,"C",""),"")</f>
        <v/>
      </c>
      <c r="AH8" s="24" t="str">
        <f ca="1">IF(AH$3&lt;&gt;"",IF(COUNTIFS(INDIRECT("'"&amp;$C$3&amp;"'!B:B"),Collègue!$C8,INDIRECT("'"&amp;$C$3&amp;"'!"&amp;AH$1),"C")=1,"C",""),"")</f>
        <v/>
      </c>
      <c r="AI8" s="24" t="str">
        <f ca="1">IF(AI$3&lt;&gt;"",IF(COUNTIFS(INDIRECT("'"&amp;$C$3&amp;"'!B:B"),Collègue!$C8,INDIRECT("'"&amp;$C$3&amp;"'!"&amp;AI$1),"C")=1,"C",""),"")</f>
        <v/>
      </c>
    </row>
    <row r="9" spans="3:35" x14ac:dyDescent="0.25">
      <c r="C9" s="19" t="s">
        <v>67</v>
      </c>
      <c r="E9" s="24" t="str">
        <f ca="1">IF(E$3&lt;&gt;"",IF(COUNTIFS(INDIRECT("'"&amp;$C$3&amp;"'!B:B"),Collègue!$C9,INDIRECT("'"&amp;$C$3&amp;"'!"&amp;E$1),"C")=1,"C",""),"")</f>
        <v/>
      </c>
      <c r="F9" s="24" t="str">
        <f ca="1">IF(F$3&lt;&gt;"",IF(COUNTIFS(INDIRECT("'"&amp;$C$3&amp;"'!B:B"),Collègue!$C9,INDIRECT("'"&amp;$C$3&amp;"'!"&amp;F$1),"C")=1,"C",""),"")</f>
        <v/>
      </c>
      <c r="G9" s="24" t="str">
        <f ca="1">IF(G$3&lt;&gt;"",IF(COUNTIFS(INDIRECT("'"&amp;$C$3&amp;"'!B:B"),Collègue!$C9,INDIRECT("'"&amp;$C$3&amp;"'!"&amp;G$1),"C")=1,"C",""),"")</f>
        <v/>
      </c>
      <c r="H9" s="24" t="str">
        <f ca="1">IF(H$3&lt;&gt;"",IF(COUNTIFS(INDIRECT("'"&amp;$C$3&amp;"'!B:B"),Collègue!$C9,INDIRECT("'"&amp;$C$3&amp;"'!"&amp;H$1),"C")=1,"C",""),"")</f>
        <v/>
      </c>
      <c r="I9" s="24" t="str">
        <f ca="1">IF(I$3&lt;&gt;"",IF(COUNTIFS(INDIRECT("'"&amp;$C$3&amp;"'!B:B"),Collègue!$C9,INDIRECT("'"&amp;$C$3&amp;"'!"&amp;I$1),"C")=1,"C",""),"")</f>
        <v>C</v>
      </c>
      <c r="J9" s="24" t="str">
        <f ca="1">IF(J$3&lt;&gt;"",IF(COUNTIFS(INDIRECT("'"&amp;$C$3&amp;"'!B:B"),Collègue!$C9,INDIRECT("'"&amp;$C$3&amp;"'!"&amp;J$1),"C")=1,"C",""),"")</f>
        <v>C</v>
      </c>
      <c r="K9" s="24" t="str">
        <f ca="1">IF(K$3&lt;&gt;"",IF(COUNTIFS(INDIRECT("'"&amp;$C$3&amp;"'!B:B"),Collègue!$C9,INDIRECT("'"&amp;$C$3&amp;"'!"&amp;K$1),"C")=1,"C",""),"")</f>
        <v/>
      </c>
      <c r="L9" s="24" t="str">
        <f ca="1">IF(L$3&lt;&gt;"",IF(COUNTIFS(INDIRECT("'"&amp;$C$3&amp;"'!B:B"),Collègue!$C9,INDIRECT("'"&amp;$C$3&amp;"'!"&amp;L$1),"C")=1,"C",""),"")</f>
        <v/>
      </c>
      <c r="M9" s="24" t="str">
        <f ca="1">IF(M$3&lt;&gt;"",IF(COUNTIFS(INDIRECT("'"&amp;$C$3&amp;"'!B:B"),Collègue!$C9,INDIRECT("'"&amp;$C$3&amp;"'!"&amp;M$1),"C")=1,"C",""),"")</f>
        <v/>
      </c>
      <c r="N9" s="24" t="str">
        <f ca="1">IF(N$3&lt;&gt;"",IF(COUNTIFS(INDIRECT("'"&amp;$C$3&amp;"'!B:B"),Collègue!$C9,INDIRECT("'"&amp;$C$3&amp;"'!"&amp;N$1),"C")=1,"C",""),"")</f>
        <v/>
      </c>
      <c r="O9" s="24" t="str">
        <f ca="1">IF(O$3&lt;&gt;"",IF(COUNTIFS(INDIRECT("'"&amp;$C$3&amp;"'!B:B"),Collègue!$C9,INDIRECT("'"&amp;$C$3&amp;"'!"&amp;O$1),"C")=1,"C",""),"")</f>
        <v/>
      </c>
      <c r="P9" s="24" t="str">
        <f ca="1">IF(P$3&lt;&gt;"",IF(COUNTIFS(INDIRECT("'"&amp;$C$3&amp;"'!B:B"),Collègue!$C9,INDIRECT("'"&amp;$C$3&amp;"'!"&amp;P$1),"C")=1,"C",""),"")</f>
        <v/>
      </c>
      <c r="Q9" s="24" t="str">
        <f ca="1">IF(Q$3&lt;&gt;"",IF(COUNTIFS(INDIRECT("'"&amp;$C$3&amp;"'!B:B"),Collègue!$C9,INDIRECT("'"&amp;$C$3&amp;"'!"&amp;Q$1),"C")=1,"C",""),"")</f>
        <v/>
      </c>
      <c r="R9" s="24" t="str">
        <f ca="1">IF(R$3&lt;&gt;"",IF(COUNTIFS(INDIRECT("'"&amp;$C$3&amp;"'!B:B"),Collègue!$C9,INDIRECT("'"&amp;$C$3&amp;"'!"&amp;R$1),"C")=1,"C",""),"")</f>
        <v/>
      </c>
      <c r="S9" s="24" t="str">
        <f ca="1">IF(S$3&lt;&gt;"",IF(COUNTIFS(INDIRECT("'"&amp;$C$3&amp;"'!B:B"),Collègue!$C9,INDIRECT("'"&amp;$C$3&amp;"'!"&amp;S$1),"C")=1,"C",""),"")</f>
        <v/>
      </c>
      <c r="T9" s="24" t="str">
        <f ca="1">IF(T$3&lt;&gt;"",IF(COUNTIFS(INDIRECT("'"&amp;$C$3&amp;"'!B:B"),Collègue!$C9,INDIRECT("'"&amp;$C$3&amp;"'!"&amp;T$1),"C")=1,"C",""),"")</f>
        <v/>
      </c>
      <c r="U9" s="24" t="str">
        <f ca="1">IF(U$3&lt;&gt;"",IF(COUNTIFS(INDIRECT("'"&amp;$C$3&amp;"'!B:B"),Collègue!$C9,INDIRECT("'"&amp;$C$3&amp;"'!"&amp;U$1),"C")=1,"C",""),"")</f>
        <v/>
      </c>
      <c r="V9" s="24" t="str">
        <f ca="1">IF(V$3&lt;&gt;"",IF(COUNTIFS(INDIRECT("'"&amp;$C$3&amp;"'!B:B"),Collègue!$C9,INDIRECT("'"&amp;$C$3&amp;"'!"&amp;V$1),"C")=1,"C",""),"")</f>
        <v/>
      </c>
      <c r="W9" s="24" t="str">
        <f ca="1">IF(W$3&lt;&gt;"",IF(COUNTIFS(INDIRECT("'"&amp;$C$3&amp;"'!B:B"),Collègue!$C9,INDIRECT("'"&amp;$C$3&amp;"'!"&amp;W$1),"C")=1,"C",""),"")</f>
        <v/>
      </c>
      <c r="X9" s="24" t="str">
        <f ca="1">IF(X$3&lt;&gt;"",IF(COUNTIFS(INDIRECT("'"&amp;$C$3&amp;"'!B:B"),Collègue!$C9,INDIRECT("'"&amp;$C$3&amp;"'!"&amp;X$1),"C")=1,"C",""),"")</f>
        <v/>
      </c>
      <c r="Y9" s="24" t="str">
        <f ca="1">IF(Y$3&lt;&gt;"",IF(COUNTIFS(INDIRECT("'"&amp;$C$3&amp;"'!B:B"),Collègue!$C9,INDIRECT("'"&amp;$C$3&amp;"'!"&amp;Y$1),"C")=1,"C",""),"")</f>
        <v/>
      </c>
      <c r="Z9" s="24" t="str">
        <f ca="1">IF(Z$3&lt;&gt;"",IF(COUNTIFS(INDIRECT("'"&amp;$C$3&amp;"'!B:B"),Collègue!$C9,INDIRECT("'"&amp;$C$3&amp;"'!"&amp;Z$1),"C")=1,"C",""),"")</f>
        <v/>
      </c>
      <c r="AA9" s="24" t="str">
        <f ca="1">IF(AA$3&lt;&gt;"",IF(COUNTIFS(INDIRECT("'"&amp;$C$3&amp;"'!B:B"),Collègue!$C9,INDIRECT("'"&amp;$C$3&amp;"'!"&amp;AA$1),"C")=1,"C",""),"")</f>
        <v/>
      </c>
      <c r="AB9" s="24" t="str">
        <f ca="1">IF(AB$3&lt;&gt;"",IF(COUNTIFS(INDIRECT("'"&amp;$C$3&amp;"'!B:B"),Collègue!$C9,INDIRECT("'"&amp;$C$3&amp;"'!"&amp;AB$1),"C")=1,"C",""),"")</f>
        <v/>
      </c>
      <c r="AC9" s="24" t="str">
        <f ca="1">IF(AC$3&lt;&gt;"",IF(COUNTIFS(INDIRECT("'"&amp;$C$3&amp;"'!B:B"),Collègue!$C9,INDIRECT("'"&amp;$C$3&amp;"'!"&amp;AC$1),"C")=1,"C",""),"")</f>
        <v/>
      </c>
      <c r="AD9" s="24" t="str">
        <f ca="1">IF(AD$3&lt;&gt;"",IF(COUNTIFS(INDIRECT("'"&amp;$C$3&amp;"'!B:B"),Collègue!$C9,INDIRECT("'"&amp;$C$3&amp;"'!"&amp;AD$1),"C")=1,"C",""),"")</f>
        <v/>
      </c>
      <c r="AE9" s="24" t="str">
        <f ca="1">IF(AE$3&lt;&gt;"",IF(COUNTIFS(INDIRECT("'"&amp;$C$3&amp;"'!B:B"),Collègue!$C9,INDIRECT("'"&amp;$C$3&amp;"'!"&amp;AE$1),"C")=1,"C",""),"")</f>
        <v/>
      </c>
      <c r="AF9" s="24" t="str">
        <f ca="1">IF(AF$3&lt;&gt;"",IF(COUNTIFS(INDIRECT("'"&amp;$C$3&amp;"'!B:B"),Collègue!$C9,INDIRECT("'"&amp;$C$3&amp;"'!"&amp;AF$1),"C")=1,"C",""),"")</f>
        <v/>
      </c>
      <c r="AG9" s="24" t="str">
        <f ca="1">IF(AG$3&lt;&gt;"",IF(COUNTIFS(INDIRECT("'"&amp;$C$3&amp;"'!B:B"),Collègue!$C9,INDIRECT("'"&amp;$C$3&amp;"'!"&amp;AG$1),"C")=1,"C",""),"")</f>
        <v/>
      </c>
      <c r="AH9" s="24" t="str">
        <f ca="1">IF(AH$3&lt;&gt;"",IF(COUNTIFS(INDIRECT("'"&amp;$C$3&amp;"'!B:B"),Collègue!$C9,INDIRECT("'"&amp;$C$3&amp;"'!"&amp;AH$1),"C")=1,"C",""),"")</f>
        <v/>
      </c>
      <c r="AI9" s="24" t="str">
        <f ca="1">IF(AI$3&lt;&gt;"",IF(COUNTIFS(INDIRECT("'"&amp;$C$3&amp;"'!B:B"),Collègue!$C9,INDIRECT("'"&amp;$C$3&amp;"'!"&amp;AI$1),"C")=1,"C",""),"")</f>
        <v>C</v>
      </c>
    </row>
    <row r="10" spans="3:35" x14ac:dyDescent="0.25">
      <c r="C10" s="19" t="s">
        <v>68</v>
      </c>
      <c r="E10" s="24" t="str">
        <f ca="1">IF(E$3&lt;&gt;"",IF(COUNTIFS(INDIRECT("'"&amp;$C$3&amp;"'!B:B"),Collègue!$C10,INDIRECT("'"&amp;$C$3&amp;"'!"&amp;E$1),"C")=1,"C",""),"")</f>
        <v/>
      </c>
      <c r="F10" s="24" t="str">
        <f ca="1">IF(F$3&lt;&gt;"",IF(COUNTIFS(INDIRECT("'"&amp;$C$3&amp;"'!B:B"),Collègue!$C10,INDIRECT("'"&amp;$C$3&amp;"'!"&amp;F$1),"C")=1,"C",""),"")</f>
        <v/>
      </c>
      <c r="G10" s="24" t="str">
        <f ca="1">IF(G$3&lt;&gt;"",IF(COUNTIFS(INDIRECT("'"&amp;$C$3&amp;"'!B:B"),Collègue!$C10,INDIRECT("'"&amp;$C$3&amp;"'!"&amp;G$1),"C")=1,"C",""),"")</f>
        <v/>
      </c>
      <c r="H10" s="24" t="str">
        <f ca="1">IF(H$3&lt;&gt;"",IF(COUNTIFS(INDIRECT("'"&amp;$C$3&amp;"'!B:B"),Collègue!$C10,INDIRECT("'"&amp;$C$3&amp;"'!"&amp;H$1),"C")=1,"C",""),"")</f>
        <v/>
      </c>
      <c r="I10" s="24" t="str">
        <f ca="1">IF(I$3&lt;&gt;"",IF(COUNTIFS(INDIRECT("'"&amp;$C$3&amp;"'!B:B"),Collègue!$C10,INDIRECT("'"&amp;$C$3&amp;"'!"&amp;I$1),"C")=1,"C",""),"")</f>
        <v/>
      </c>
      <c r="J10" s="24" t="str">
        <f ca="1">IF(J$3&lt;&gt;"",IF(COUNTIFS(INDIRECT("'"&amp;$C$3&amp;"'!B:B"),Collègue!$C10,INDIRECT("'"&amp;$C$3&amp;"'!"&amp;J$1),"C")=1,"C",""),"")</f>
        <v/>
      </c>
      <c r="K10" s="24" t="str">
        <f ca="1">IF(K$3&lt;&gt;"",IF(COUNTIFS(INDIRECT("'"&amp;$C$3&amp;"'!B:B"),Collègue!$C10,INDIRECT("'"&amp;$C$3&amp;"'!"&amp;K$1),"C")=1,"C",""),"")</f>
        <v/>
      </c>
      <c r="L10" s="24" t="str">
        <f ca="1">IF(L$3&lt;&gt;"",IF(COUNTIFS(INDIRECT("'"&amp;$C$3&amp;"'!B:B"),Collègue!$C10,INDIRECT("'"&amp;$C$3&amp;"'!"&amp;L$1),"C")=1,"C",""),"")</f>
        <v/>
      </c>
      <c r="M10" s="24" t="str">
        <f ca="1">IF(M$3&lt;&gt;"",IF(COUNTIFS(INDIRECT("'"&amp;$C$3&amp;"'!B:B"),Collègue!$C10,INDIRECT("'"&amp;$C$3&amp;"'!"&amp;M$1),"C")=1,"C",""),"")</f>
        <v/>
      </c>
      <c r="N10" s="24" t="str">
        <f ca="1">IF(N$3&lt;&gt;"",IF(COUNTIFS(INDIRECT("'"&amp;$C$3&amp;"'!B:B"),Collègue!$C10,INDIRECT("'"&amp;$C$3&amp;"'!"&amp;N$1),"C")=1,"C",""),"")</f>
        <v/>
      </c>
      <c r="O10" s="24" t="str">
        <f ca="1">IF(O$3&lt;&gt;"",IF(COUNTIFS(INDIRECT("'"&amp;$C$3&amp;"'!B:B"),Collègue!$C10,INDIRECT("'"&amp;$C$3&amp;"'!"&amp;O$1),"C")=1,"C",""),"")</f>
        <v/>
      </c>
      <c r="P10" s="24" t="str">
        <f ca="1">IF(P$3&lt;&gt;"",IF(COUNTIFS(INDIRECT("'"&amp;$C$3&amp;"'!B:B"),Collègue!$C10,INDIRECT("'"&amp;$C$3&amp;"'!"&amp;P$1),"C")=1,"C",""),"")</f>
        <v/>
      </c>
      <c r="Q10" s="24" t="str">
        <f ca="1">IF(Q$3&lt;&gt;"",IF(COUNTIFS(INDIRECT("'"&amp;$C$3&amp;"'!B:B"),Collègue!$C10,INDIRECT("'"&amp;$C$3&amp;"'!"&amp;Q$1),"C")=1,"C",""),"")</f>
        <v/>
      </c>
      <c r="R10" s="24" t="str">
        <f ca="1">IF(R$3&lt;&gt;"",IF(COUNTIFS(INDIRECT("'"&amp;$C$3&amp;"'!B:B"),Collègue!$C10,INDIRECT("'"&amp;$C$3&amp;"'!"&amp;R$1),"C")=1,"C",""),"")</f>
        <v/>
      </c>
      <c r="S10" s="24" t="str">
        <f ca="1">IF(S$3&lt;&gt;"",IF(COUNTIFS(INDIRECT("'"&amp;$C$3&amp;"'!B:B"),Collègue!$C10,INDIRECT("'"&amp;$C$3&amp;"'!"&amp;S$1),"C")=1,"C",""),"")</f>
        <v/>
      </c>
      <c r="T10" s="24" t="str">
        <f ca="1">IF(T$3&lt;&gt;"",IF(COUNTIFS(INDIRECT("'"&amp;$C$3&amp;"'!B:B"),Collègue!$C10,INDIRECT("'"&amp;$C$3&amp;"'!"&amp;T$1),"C")=1,"C",""),"")</f>
        <v/>
      </c>
      <c r="U10" s="24" t="str">
        <f ca="1">IF(U$3&lt;&gt;"",IF(COUNTIFS(INDIRECT("'"&amp;$C$3&amp;"'!B:B"),Collègue!$C10,INDIRECT("'"&amp;$C$3&amp;"'!"&amp;U$1),"C")=1,"C",""),"")</f>
        <v/>
      </c>
      <c r="V10" s="24" t="str">
        <f ca="1">IF(V$3&lt;&gt;"",IF(COUNTIFS(INDIRECT("'"&amp;$C$3&amp;"'!B:B"),Collègue!$C10,INDIRECT("'"&amp;$C$3&amp;"'!"&amp;V$1),"C")=1,"C",""),"")</f>
        <v/>
      </c>
      <c r="W10" s="24" t="str">
        <f ca="1">IF(W$3&lt;&gt;"",IF(COUNTIFS(INDIRECT("'"&amp;$C$3&amp;"'!B:B"),Collègue!$C10,INDIRECT("'"&amp;$C$3&amp;"'!"&amp;W$1),"C")=1,"C",""),"")</f>
        <v/>
      </c>
      <c r="X10" s="24" t="str">
        <f ca="1">IF(X$3&lt;&gt;"",IF(COUNTIFS(INDIRECT("'"&amp;$C$3&amp;"'!B:B"),Collègue!$C10,INDIRECT("'"&amp;$C$3&amp;"'!"&amp;X$1),"C")=1,"C",""),"")</f>
        <v/>
      </c>
      <c r="Y10" s="24" t="str">
        <f ca="1">IF(Y$3&lt;&gt;"",IF(COUNTIFS(INDIRECT("'"&amp;$C$3&amp;"'!B:B"),Collègue!$C10,INDIRECT("'"&amp;$C$3&amp;"'!"&amp;Y$1),"C")=1,"C",""),"")</f>
        <v/>
      </c>
      <c r="Z10" s="24" t="str">
        <f ca="1">IF(Z$3&lt;&gt;"",IF(COUNTIFS(INDIRECT("'"&amp;$C$3&amp;"'!B:B"),Collègue!$C10,INDIRECT("'"&amp;$C$3&amp;"'!"&amp;Z$1),"C")=1,"C",""),"")</f>
        <v/>
      </c>
      <c r="AA10" s="24" t="str">
        <f ca="1">IF(AA$3&lt;&gt;"",IF(COUNTIFS(INDIRECT("'"&amp;$C$3&amp;"'!B:B"),Collègue!$C10,INDIRECT("'"&amp;$C$3&amp;"'!"&amp;AA$1),"C")=1,"C",""),"")</f>
        <v/>
      </c>
      <c r="AB10" s="24" t="str">
        <f ca="1">IF(AB$3&lt;&gt;"",IF(COUNTIFS(INDIRECT("'"&amp;$C$3&amp;"'!B:B"),Collègue!$C10,INDIRECT("'"&amp;$C$3&amp;"'!"&amp;AB$1),"C")=1,"C",""),"")</f>
        <v/>
      </c>
      <c r="AC10" s="24" t="str">
        <f ca="1">IF(AC$3&lt;&gt;"",IF(COUNTIFS(INDIRECT("'"&amp;$C$3&amp;"'!B:B"),Collègue!$C10,INDIRECT("'"&amp;$C$3&amp;"'!"&amp;AC$1),"C")=1,"C",""),"")</f>
        <v/>
      </c>
      <c r="AD10" s="24" t="str">
        <f ca="1">IF(AD$3&lt;&gt;"",IF(COUNTIFS(INDIRECT("'"&amp;$C$3&amp;"'!B:B"),Collègue!$C10,INDIRECT("'"&amp;$C$3&amp;"'!"&amp;AD$1),"C")=1,"C",""),"")</f>
        <v/>
      </c>
      <c r="AE10" s="24" t="str">
        <f ca="1">IF(AE$3&lt;&gt;"",IF(COUNTIFS(INDIRECT("'"&amp;$C$3&amp;"'!B:B"),Collègue!$C10,INDIRECT("'"&amp;$C$3&amp;"'!"&amp;AE$1),"C")=1,"C",""),"")</f>
        <v/>
      </c>
      <c r="AF10" s="24" t="str">
        <f ca="1">IF(AF$3&lt;&gt;"",IF(COUNTIFS(INDIRECT("'"&amp;$C$3&amp;"'!B:B"),Collègue!$C10,INDIRECT("'"&amp;$C$3&amp;"'!"&amp;AF$1),"C")=1,"C",""),"")</f>
        <v/>
      </c>
      <c r="AG10" s="24" t="str">
        <f ca="1">IF(AG$3&lt;&gt;"",IF(COUNTIFS(INDIRECT("'"&amp;$C$3&amp;"'!B:B"),Collègue!$C10,INDIRECT("'"&amp;$C$3&amp;"'!"&amp;AG$1),"C")=1,"C",""),"")</f>
        <v/>
      </c>
      <c r="AH10" s="24" t="str">
        <f ca="1">IF(AH$3&lt;&gt;"",IF(COUNTIFS(INDIRECT("'"&amp;$C$3&amp;"'!B:B"),Collègue!$C10,INDIRECT("'"&amp;$C$3&amp;"'!"&amp;AH$1),"C")=1,"C",""),"")</f>
        <v/>
      </c>
      <c r="AI10" s="24" t="str">
        <f ca="1">IF(AI$3&lt;&gt;"",IF(COUNTIFS(INDIRECT("'"&amp;$C$3&amp;"'!B:B"),Collègue!$C10,INDIRECT("'"&amp;$C$3&amp;"'!"&amp;AI$1),"C")=1,"C",""),"")</f>
        <v/>
      </c>
    </row>
    <row r="11" spans="3:35" x14ac:dyDescent="0.25">
      <c r="C11" s="19" t="s">
        <v>69</v>
      </c>
      <c r="E11" s="24" t="str">
        <f ca="1">IF(E$3&lt;&gt;"",IF(COUNTIFS(INDIRECT("'"&amp;$C$3&amp;"'!B:B"),Collègue!$C11,INDIRECT("'"&amp;$C$3&amp;"'!"&amp;E$1),"C")=1,"C",""),"")</f>
        <v/>
      </c>
      <c r="F11" s="24" t="str">
        <f ca="1">IF(F$3&lt;&gt;"",IF(COUNTIFS(INDIRECT("'"&amp;$C$3&amp;"'!B:B"),Collègue!$C11,INDIRECT("'"&amp;$C$3&amp;"'!"&amp;F$1),"C")=1,"C",""),"")</f>
        <v/>
      </c>
      <c r="G11" s="24" t="str">
        <f ca="1">IF(G$3&lt;&gt;"",IF(COUNTIFS(INDIRECT("'"&amp;$C$3&amp;"'!B:B"),Collègue!$C11,INDIRECT("'"&amp;$C$3&amp;"'!"&amp;G$1),"C")=1,"C",""),"")</f>
        <v/>
      </c>
      <c r="H11" s="24" t="str">
        <f ca="1">IF(H$3&lt;&gt;"",IF(COUNTIFS(INDIRECT("'"&amp;$C$3&amp;"'!B:B"),Collègue!$C11,INDIRECT("'"&amp;$C$3&amp;"'!"&amp;H$1),"C")=1,"C",""),"")</f>
        <v/>
      </c>
      <c r="I11" s="24" t="str">
        <f ca="1">IF(I$3&lt;&gt;"",IF(COUNTIFS(INDIRECT("'"&amp;$C$3&amp;"'!B:B"),Collègue!$C11,INDIRECT("'"&amp;$C$3&amp;"'!"&amp;I$1),"C")=1,"C",""),"")</f>
        <v/>
      </c>
      <c r="J11" s="24" t="str">
        <f ca="1">IF(J$3&lt;&gt;"",IF(COUNTIFS(INDIRECT("'"&amp;$C$3&amp;"'!B:B"),Collègue!$C11,INDIRECT("'"&amp;$C$3&amp;"'!"&amp;J$1),"C")=1,"C",""),"")</f>
        <v/>
      </c>
      <c r="K11" s="24" t="str">
        <f ca="1">IF(K$3&lt;&gt;"",IF(COUNTIFS(INDIRECT("'"&amp;$C$3&amp;"'!B:B"),Collègue!$C11,INDIRECT("'"&amp;$C$3&amp;"'!"&amp;K$1),"C")=1,"C",""),"")</f>
        <v/>
      </c>
      <c r="L11" s="24" t="str">
        <f ca="1">IF(L$3&lt;&gt;"",IF(COUNTIFS(INDIRECT("'"&amp;$C$3&amp;"'!B:B"),Collègue!$C11,INDIRECT("'"&amp;$C$3&amp;"'!"&amp;L$1),"C")=1,"C",""),"")</f>
        <v/>
      </c>
      <c r="M11" s="24" t="str">
        <f ca="1">IF(M$3&lt;&gt;"",IF(COUNTIFS(INDIRECT("'"&amp;$C$3&amp;"'!B:B"),Collègue!$C11,INDIRECT("'"&amp;$C$3&amp;"'!"&amp;M$1),"C")=1,"C",""),"")</f>
        <v/>
      </c>
      <c r="N11" s="24" t="str">
        <f ca="1">IF(N$3&lt;&gt;"",IF(COUNTIFS(INDIRECT("'"&amp;$C$3&amp;"'!B:B"),Collègue!$C11,INDIRECT("'"&amp;$C$3&amp;"'!"&amp;N$1),"C")=1,"C",""),"")</f>
        <v/>
      </c>
      <c r="O11" s="24" t="str">
        <f ca="1">IF(O$3&lt;&gt;"",IF(COUNTIFS(INDIRECT("'"&amp;$C$3&amp;"'!B:B"),Collègue!$C11,INDIRECT("'"&amp;$C$3&amp;"'!"&amp;O$1),"C")=1,"C",""),"")</f>
        <v/>
      </c>
      <c r="P11" s="24" t="str">
        <f ca="1">IF(P$3&lt;&gt;"",IF(COUNTIFS(INDIRECT("'"&amp;$C$3&amp;"'!B:B"),Collègue!$C11,INDIRECT("'"&amp;$C$3&amp;"'!"&amp;P$1),"C")=1,"C",""),"")</f>
        <v/>
      </c>
      <c r="Q11" s="24" t="str">
        <f ca="1">IF(Q$3&lt;&gt;"",IF(COUNTIFS(INDIRECT("'"&amp;$C$3&amp;"'!B:B"),Collègue!$C11,INDIRECT("'"&amp;$C$3&amp;"'!"&amp;Q$1),"C")=1,"C",""),"")</f>
        <v/>
      </c>
      <c r="R11" s="24" t="str">
        <f ca="1">IF(R$3&lt;&gt;"",IF(COUNTIFS(INDIRECT("'"&amp;$C$3&amp;"'!B:B"),Collègue!$C11,INDIRECT("'"&amp;$C$3&amp;"'!"&amp;R$1),"C")=1,"C",""),"")</f>
        <v/>
      </c>
      <c r="S11" s="24" t="str">
        <f ca="1">IF(S$3&lt;&gt;"",IF(COUNTIFS(INDIRECT("'"&amp;$C$3&amp;"'!B:B"),Collègue!$C11,INDIRECT("'"&amp;$C$3&amp;"'!"&amp;S$1),"C")=1,"C",""),"")</f>
        <v/>
      </c>
      <c r="T11" s="24" t="str">
        <f ca="1">IF(T$3&lt;&gt;"",IF(COUNTIFS(INDIRECT("'"&amp;$C$3&amp;"'!B:B"),Collègue!$C11,INDIRECT("'"&amp;$C$3&amp;"'!"&amp;T$1),"C")=1,"C",""),"")</f>
        <v/>
      </c>
      <c r="U11" s="24" t="str">
        <f ca="1">IF(U$3&lt;&gt;"",IF(COUNTIFS(INDIRECT("'"&amp;$C$3&amp;"'!B:B"),Collègue!$C11,INDIRECT("'"&amp;$C$3&amp;"'!"&amp;U$1),"C")=1,"C",""),"")</f>
        <v/>
      </c>
      <c r="V11" s="24" t="str">
        <f ca="1">IF(V$3&lt;&gt;"",IF(COUNTIFS(INDIRECT("'"&amp;$C$3&amp;"'!B:B"),Collègue!$C11,INDIRECT("'"&amp;$C$3&amp;"'!"&amp;V$1),"C")=1,"C",""),"")</f>
        <v/>
      </c>
      <c r="W11" s="24" t="str">
        <f ca="1">IF(W$3&lt;&gt;"",IF(COUNTIFS(INDIRECT("'"&amp;$C$3&amp;"'!B:B"),Collègue!$C11,INDIRECT("'"&amp;$C$3&amp;"'!"&amp;W$1),"C")=1,"C",""),"")</f>
        <v/>
      </c>
      <c r="X11" s="24" t="str">
        <f ca="1">IF(X$3&lt;&gt;"",IF(COUNTIFS(INDIRECT("'"&amp;$C$3&amp;"'!B:B"),Collègue!$C11,INDIRECT("'"&amp;$C$3&amp;"'!"&amp;X$1),"C")=1,"C",""),"")</f>
        <v/>
      </c>
      <c r="Y11" s="24" t="str">
        <f ca="1">IF(Y$3&lt;&gt;"",IF(COUNTIFS(INDIRECT("'"&amp;$C$3&amp;"'!B:B"),Collègue!$C11,INDIRECT("'"&amp;$C$3&amp;"'!"&amp;Y$1),"C")=1,"C",""),"")</f>
        <v/>
      </c>
      <c r="Z11" s="24" t="str">
        <f ca="1">IF(Z$3&lt;&gt;"",IF(COUNTIFS(INDIRECT("'"&amp;$C$3&amp;"'!B:B"),Collègue!$C11,INDIRECT("'"&amp;$C$3&amp;"'!"&amp;Z$1),"C")=1,"C",""),"")</f>
        <v/>
      </c>
      <c r="AA11" s="24" t="str">
        <f ca="1">IF(AA$3&lt;&gt;"",IF(COUNTIFS(INDIRECT("'"&amp;$C$3&amp;"'!B:B"),Collègue!$C11,INDIRECT("'"&amp;$C$3&amp;"'!"&amp;AA$1),"C")=1,"C",""),"")</f>
        <v/>
      </c>
      <c r="AB11" s="24" t="str">
        <f ca="1">IF(AB$3&lt;&gt;"",IF(COUNTIFS(INDIRECT("'"&amp;$C$3&amp;"'!B:B"),Collègue!$C11,INDIRECT("'"&amp;$C$3&amp;"'!"&amp;AB$1),"C")=1,"C",""),"")</f>
        <v/>
      </c>
      <c r="AC11" s="24" t="str">
        <f ca="1">IF(AC$3&lt;&gt;"",IF(COUNTIFS(INDIRECT("'"&amp;$C$3&amp;"'!B:B"),Collègue!$C11,INDIRECT("'"&amp;$C$3&amp;"'!"&amp;AC$1),"C")=1,"C",""),"")</f>
        <v/>
      </c>
      <c r="AD11" s="24" t="str">
        <f ca="1">IF(AD$3&lt;&gt;"",IF(COUNTIFS(INDIRECT("'"&amp;$C$3&amp;"'!B:B"),Collègue!$C11,INDIRECT("'"&amp;$C$3&amp;"'!"&amp;AD$1),"C")=1,"C",""),"")</f>
        <v/>
      </c>
      <c r="AE11" s="24" t="str">
        <f ca="1">IF(AE$3&lt;&gt;"",IF(COUNTIFS(INDIRECT("'"&amp;$C$3&amp;"'!B:B"),Collègue!$C11,INDIRECT("'"&amp;$C$3&amp;"'!"&amp;AE$1),"C")=1,"C",""),"")</f>
        <v/>
      </c>
      <c r="AF11" s="24" t="str">
        <f ca="1">IF(AF$3&lt;&gt;"",IF(COUNTIFS(INDIRECT("'"&amp;$C$3&amp;"'!B:B"),Collègue!$C11,INDIRECT("'"&amp;$C$3&amp;"'!"&amp;AF$1),"C")=1,"C",""),"")</f>
        <v/>
      </c>
      <c r="AG11" s="24" t="str">
        <f ca="1">IF(AG$3&lt;&gt;"",IF(COUNTIFS(INDIRECT("'"&amp;$C$3&amp;"'!B:B"),Collègue!$C11,INDIRECT("'"&amp;$C$3&amp;"'!"&amp;AG$1),"C")=1,"C",""),"")</f>
        <v/>
      </c>
      <c r="AH11" s="24" t="str">
        <f ca="1">IF(AH$3&lt;&gt;"",IF(COUNTIFS(INDIRECT("'"&amp;$C$3&amp;"'!B:B"),Collègue!$C11,INDIRECT("'"&amp;$C$3&amp;"'!"&amp;AH$1),"C")=1,"C",""),"")</f>
        <v/>
      </c>
      <c r="AI11" s="24" t="str">
        <f ca="1">IF(AI$3&lt;&gt;"",IF(COUNTIFS(INDIRECT("'"&amp;$C$3&amp;"'!B:B"),Collègue!$C11,INDIRECT("'"&amp;$C$3&amp;"'!"&amp;AI$1),"C")=1,"C",""),"")</f>
        <v/>
      </c>
    </row>
    <row r="12" spans="3:35" x14ac:dyDescent="0.25">
      <c r="C12" s="19" t="s">
        <v>70</v>
      </c>
      <c r="E12" s="24" t="str">
        <f ca="1">IF(E$3&lt;&gt;"",IF(COUNTIFS(INDIRECT("'"&amp;$C$3&amp;"'!B:B"),Collègue!$C12,INDIRECT("'"&amp;$C$3&amp;"'!"&amp;E$1),"C")=1,"C",""),"")</f>
        <v/>
      </c>
      <c r="F12" s="24" t="str">
        <f ca="1">IF(F$3&lt;&gt;"",IF(COUNTIFS(INDIRECT("'"&amp;$C$3&amp;"'!B:B"),Collègue!$C12,INDIRECT("'"&amp;$C$3&amp;"'!"&amp;F$1),"C")=1,"C",""),"")</f>
        <v/>
      </c>
      <c r="G12" s="24" t="str">
        <f ca="1">IF(G$3&lt;&gt;"",IF(COUNTIFS(INDIRECT("'"&amp;$C$3&amp;"'!B:B"),Collègue!$C12,INDIRECT("'"&amp;$C$3&amp;"'!"&amp;G$1),"C")=1,"C",""),"")</f>
        <v/>
      </c>
      <c r="H12" s="24" t="str">
        <f ca="1">IF(H$3&lt;&gt;"",IF(COUNTIFS(INDIRECT("'"&amp;$C$3&amp;"'!B:B"),Collègue!$C12,INDIRECT("'"&amp;$C$3&amp;"'!"&amp;H$1),"C")=1,"C",""),"")</f>
        <v/>
      </c>
      <c r="I12" s="24" t="str">
        <f ca="1">IF(I$3&lt;&gt;"",IF(COUNTIFS(INDIRECT("'"&amp;$C$3&amp;"'!B:B"),Collègue!$C12,INDIRECT("'"&amp;$C$3&amp;"'!"&amp;I$1),"C")=1,"C",""),"")</f>
        <v/>
      </c>
      <c r="J12" s="24" t="str">
        <f ca="1">IF(J$3&lt;&gt;"",IF(COUNTIFS(INDIRECT("'"&amp;$C$3&amp;"'!B:B"),Collègue!$C12,INDIRECT("'"&amp;$C$3&amp;"'!"&amp;J$1),"C")=1,"C",""),"")</f>
        <v/>
      </c>
      <c r="K12" s="24" t="str">
        <f ca="1">IF(K$3&lt;&gt;"",IF(COUNTIFS(INDIRECT("'"&amp;$C$3&amp;"'!B:B"),Collègue!$C12,INDIRECT("'"&amp;$C$3&amp;"'!"&amp;K$1),"C")=1,"C",""),"")</f>
        <v/>
      </c>
      <c r="L12" s="24" t="str">
        <f ca="1">IF(L$3&lt;&gt;"",IF(COUNTIFS(INDIRECT("'"&amp;$C$3&amp;"'!B:B"),Collègue!$C12,INDIRECT("'"&amp;$C$3&amp;"'!"&amp;L$1),"C")=1,"C",""),"")</f>
        <v/>
      </c>
      <c r="M12" s="24" t="str">
        <f ca="1">IF(M$3&lt;&gt;"",IF(COUNTIFS(INDIRECT("'"&amp;$C$3&amp;"'!B:B"),Collègue!$C12,INDIRECT("'"&amp;$C$3&amp;"'!"&amp;M$1),"C")=1,"C",""),"")</f>
        <v/>
      </c>
      <c r="N12" s="24" t="str">
        <f ca="1">IF(N$3&lt;&gt;"",IF(COUNTIFS(INDIRECT("'"&amp;$C$3&amp;"'!B:B"),Collègue!$C12,INDIRECT("'"&amp;$C$3&amp;"'!"&amp;N$1),"C")=1,"C",""),"")</f>
        <v/>
      </c>
      <c r="O12" s="24" t="str">
        <f ca="1">IF(O$3&lt;&gt;"",IF(COUNTIFS(INDIRECT("'"&amp;$C$3&amp;"'!B:B"),Collègue!$C12,INDIRECT("'"&amp;$C$3&amp;"'!"&amp;O$1),"C")=1,"C",""),"")</f>
        <v/>
      </c>
      <c r="P12" s="24" t="str">
        <f ca="1">IF(P$3&lt;&gt;"",IF(COUNTIFS(INDIRECT("'"&amp;$C$3&amp;"'!B:B"),Collègue!$C12,INDIRECT("'"&amp;$C$3&amp;"'!"&amp;P$1),"C")=1,"C",""),"")</f>
        <v/>
      </c>
      <c r="Q12" s="24" t="str">
        <f ca="1">IF(Q$3&lt;&gt;"",IF(COUNTIFS(INDIRECT("'"&amp;$C$3&amp;"'!B:B"),Collègue!$C12,INDIRECT("'"&amp;$C$3&amp;"'!"&amp;Q$1),"C")=1,"C",""),"")</f>
        <v/>
      </c>
      <c r="R12" s="24" t="str">
        <f ca="1">IF(R$3&lt;&gt;"",IF(COUNTIFS(INDIRECT("'"&amp;$C$3&amp;"'!B:B"),Collègue!$C12,INDIRECT("'"&amp;$C$3&amp;"'!"&amp;R$1),"C")=1,"C",""),"")</f>
        <v/>
      </c>
      <c r="S12" s="24" t="str">
        <f ca="1">IF(S$3&lt;&gt;"",IF(COUNTIFS(INDIRECT("'"&amp;$C$3&amp;"'!B:B"),Collègue!$C12,INDIRECT("'"&amp;$C$3&amp;"'!"&amp;S$1),"C")=1,"C",""),"")</f>
        <v/>
      </c>
      <c r="T12" s="24" t="str">
        <f ca="1">IF(T$3&lt;&gt;"",IF(COUNTIFS(INDIRECT("'"&amp;$C$3&amp;"'!B:B"),Collègue!$C12,INDIRECT("'"&amp;$C$3&amp;"'!"&amp;T$1),"C")=1,"C",""),"")</f>
        <v/>
      </c>
      <c r="U12" s="24" t="str">
        <f ca="1">IF(U$3&lt;&gt;"",IF(COUNTIFS(INDIRECT("'"&amp;$C$3&amp;"'!B:B"),Collègue!$C12,INDIRECT("'"&amp;$C$3&amp;"'!"&amp;U$1),"C")=1,"C",""),"")</f>
        <v/>
      </c>
      <c r="V12" s="24" t="str">
        <f ca="1">IF(V$3&lt;&gt;"",IF(COUNTIFS(INDIRECT("'"&amp;$C$3&amp;"'!B:B"),Collègue!$C12,INDIRECT("'"&amp;$C$3&amp;"'!"&amp;V$1),"C")=1,"C",""),"")</f>
        <v/>
      </c>
      <c r="W12" s="24" t="str">
        <f ca="1">IF(W$3&lt;&gt;"",IF(COUNTIFS(INDIRECT("'"&amp;$C$3&amp;"'!B:B"),Collègue!$C12,INDIRECT("'"&amp;$C$3&amp;"'!"&amp;W$1),"C")=1,"C",""),"")</f>
        <v/>
      </c>
      <c r="X12" s="24" t="str">
        <f ca="1">IF(X$3&lt;&gt;"",IF(COUNTIFS(INDIRECT("'"&amp;$C$3&amp;"'!B:B"),Collègue!$C12,INDIRECT("'"&amp;$C$3&amp;"'!"&amp;X$1),"C")=1,"C",""),"")</f>
        <v/>
      </c>
      <c r="Y12" s="24" t="str">
        <f ca="1">IF(Y$3&lt;&gt;"",IF(COUNTIFS(INDIRECT("'"&amp;$C$3&amp;"'!B:B"),Collègue!$C12,INDIRECT("'"&amp;$C$3&amp;"'!"&amp;Y$1),"C")=1,"C",""),"")</f>
        <v/>
      </c>
      <c r="Z12" s="24" t="str">
        <f ca="1">IF(Z$3&lt;&gt;"",IF(COUNTIFS(INDIRECT("'"&amp;$C$3&amp;"'!B:B"),Collègue!$C12,INDIRECT("'"&amp;$C$3&amp;"'!"&amp;Z$1),"C")=1,"C",""),"")</f>
        <v/>
      </c>
      <c r="AA12" s="24" t="str">
        <f ca="1">IF(AA$3&lt;&gt;"",IF(COUNTIFS(INDIRECT("'"&amp;$C$3&amp;"'!B:B"),Collègue!$C12,INDIRECT("'"&amp;$C$3&amp;"'!"&amp;AA$1),"C")=1,"C",""),"")</f>
        <v/>
      </c>
      <c r="AB12" s="24" t="str">
        <f ca="1">IF(AB$3&lt;&gt;"",IF(COUNTIFS(INDIRECT("'"&amp;$C$3&amp;"'!B:B"),Collègue!$C12,INDIRECT("'"&amp;$C$3&amp;"'!"&amp;AB$1),"C")=1,"C",""),"")</f>
        <v/>
      </c>
      <c r="AC12" s="24" t="str">
        <f ca="1">IF(AC$3&lt;&gt;"",IF(COUNTIFS(INDIRECT("'"&amp;$C$3&amp;"'!B:B"),Collègue!$C12,INDIRECT("'"&amp;$C$3&amp;"'!"&amp;AC$1),"C")=1,"C",""),"")</f>
        <v/>
      </c>
      <c r="AD12" s="24" t="str">
        <f ca="1">IF(AD$3&lt;&gt;"",IF(COUNTIFS(INDIRECT("'"&amp;$C$3&amp;"'!B:B"),Collègue!$C12,INDIRECT("'"&amp;$C$3&amp;"'!"&amp;AD$1),"C")=1,"C",""),"")</f>
        <v/>
      </c>
      <c r="AE12" s="24" t="str">
        <f ca="1">IF(AE$3&lt;&gt;"",IF(COUNTIFS(INDIRECT("'"&amp;$C$3&amp;"'!B:B"),Collègue!$C12,INDIRECT("'"&amp;$C$3&amp;"'!"&amp;AE$1),"C")=1,"C",""),"")</f>
        <v/>
      </c>
      <c r="AF12" s="24" t="str">
        <f ca="1">IF(AF$3&lt;&gt;"",IF(COUNTIFS(INDIRECT("'"&amp;$C$3&amp;"'!B:B"),Collègue!$C12,INDIRECT("'"&amp;$C$3&amp;"'!"&amp;AF$1),"C")=1,"C",""),"")</f>
        <v/>
      </c>
      <c r="AG12" s="24" t="str">
        <f ca="1">IF(AG$3&lt;&gt;"",IF(COUNTIFS(INDIRECT("'"&amp;$C$3&amp;"'!B:B"),Collègue!$C12,INDIRECT("'"&amp;$C$3&amp;"'!"&amp;AG$1),"C")=1,"C",""),"")</f>
        <v/>
      </c>
      <c r="AH12" s="24" t="str">
        <f ca="1">IF(AH$3&lt;&gt;"",IF(COUNTIFS(INDIRECT("'"&amp;$C$3&amp;"'!B:B"),Collègue!$C12,INDIRECT("'"&amp;$C$3&amp;"'!"&amp;AH$1),"C")=1,"C",""),"")</f>
        <v/>
      </c>
      <c r="AI12" s="24" t="str">
        <f ca="1">IF(AI$3&lt;&gt;"",IF(COUNTIFS(INDIRECT("'"&amp;$C$3&amp;"'!B:B"),Collègue!$C12,INDIRECT("'"&amp;$C$3&amp;"'!"&amp;AI$1),"C")=1,"C",""),"")</f>
        <v/>
      </c>
    </row>
    <row r="13" spans="3:35" x14ac:dyDescent="0.25">
      <c r="C13" s="19" t="s">
        <v>71</v>
      </c>
      <c r="E13" s="24" t="str">
        <f ca="1">IF(E$3&lt;&gt;"",IF(COUNTIFS(INDIRECT("'"&amp;$C$3&amp;"'!B:B"),Collègue!$C13,INDIRECT("'"&amp;$C$3&amp;"'!"&amp;E$1),"C")=1,"C",""),"")</f>
        <v/>
      </c>
      <c r="F13" s="24" t="str">
        <f ca="1">IF(F$3&lt;&gt;"",IF(COUNTIFS(INDIRECT("'"&amp;$C$3&amp;"'!B:B"),Collègue!$C13,INDIRECT("'"&amp;$C$3&amp;"'!"&amp;F$1),"C")=1,"C",""),"")</f>
        <v/>
      </c>
      <c r="G13" s="24" t="str">
        <f ca="1">IF(G$3&lt;&gt;"",IF(COUNTIFS(INDIRECT("'"&amp;$C$3&amp;"'!B:B"),Collègue!$C13,INDIRECT("'"&amp;$C$3&amp;"'!"&amp;G$1),"C")=1,"C",""),"")</f>
        <v/>
      </c>
      <c r="H13" s="24" t="str">
        <f ca="1">IF(H$3&lt;&gt;"",IF(COUNTIFS(INDIRECT("'"&amp;$C$3&amp;"'!B:B"),Collègue!$C13,INDIRECT("'"&amp;$C$3&amp;"'!"&amp;H$1),"C")=1,"C",""),"")</f>
        <v/>
      </c>
      <c r="I13" s="24" t="str">
        <f ca="1">IF(I$3&lt;&gt;"",IF(COUNTIFS(INDIRECT("'"&amp;$C$3&amp;"'!B:B"),Collègue!$C13,INDIRECT("'"&amp;$C$3&amp;"'!"&amp;I$1),"C")=1,"C",""),"")</f>
        <v/>
      </c>
      <c r="J13" s="24" t="str">
        <f ca="1">IF(J$3&lt;&gt;"",IF(COUNTIFS(INDIRECT("'"&amp;$C$3&amp;"'!B:B"),Collègue!$C13,INDIRECT("'"&amp;$C$3&amp;"'!"&amp;J$1),"C")=1,"C",""),"")</f>
        <v/>
      </c>
      <c r="K13" s="24" t="str">
        <f ca="1">IF(K$3&lt;&gt;"",IF(COUNTIFS(INDIRECT("'"&amp;$C$3&amp;"'!B:B"),Collègue!$C13,INDIRECT("'"&amp;$C$3&amp;"'!"&amp;K$1),"C")=1,"C",""),"")</f>
        <v/>
      </c>
      <c r="L13" s="24" t="str">
        <f ca="1">IF(L$3&lt;&gt;"",IF(COUNTIFS(INDIRECT("'"&amp;$C$3&amp;"'!B:B"),Collègue!$C13,INDIRECT("'"&amp;$C$3&amp;"'!"&amp;L$1),"C")=1,"C",""),"")</f>
        <v/>
      </c>
      <c r="M13" s="24" t="str">
        <f ca="1">IF(M$3&lt;&gt;"",IF(COUNTIFS(INDIRECT("'"&amp;$C$3&amp;"'!B:B"),Collègue!$C13,INDIRECT("'"&amp;$C$3&amp;"'!"&amp;M$1),"C")=1,"C",""),"")</f>
        <v/>
      </c>
      <c r="N13" s="24" t="str">
        <f ca="1">IF(N$3&lt;&gt;"",IF(COUNTIFS(INDIRECT("'"&amp;$C$3&amp;"'!B:B"),Collègue!$C13,INDIRECT("'"&amp;$C$3&amp;"'!"&amp;N$1),"C")=1,"C",""),"")</f>
        <v/>
      </c>
      <c r="O13" s="24" t="str">
        <f ca="1">IF(O$3&lt;&gt;"",IF(COUNTIFS(INDIRECT("'"&amp;$C$3&amp;"'!B:B"),Collègue!$C13,INDIRECT("'"&amp;$C$3&amp;"'!"&amp;O$1),"C")=1,"C",""),"")</f>
        <v/>
      </c>
      <c r="P13" s="24" t="str">
        <f ca="1">IF(P$3&lt;&gt;"",IF(COUNTIFS(INDIRECT("'"&amp;$C$3&amp;"'!B:B"),Collègue!$C13,INDIRECT("'"&amp;$C$3&amp;"'!"&amp;P$1),"C")=1,"C",""),"")</f>
        <v/>
      </c>
      <c r="Q13" s="24" t="str">
        <f ca="1">IF(Q$3&lt;&gt;"",IF(COUNTIFS(INDIRECT("'"&amp;$C$3&amp;"'!B:B"),Collègue!$C13,INDIRECT("'"&amp;$C$3&amp;"'!"&amp;Q$1),"C")=1,"C",""),"")</f>
        <v/>
      </c>
      <c r="R13" s="24" t="str">
        <f ca="1">IF(R$3&lt;&gt;"",IF(COUNTIFS(INDIRECT("'"&amp;$C$3&amp;"'!B:B"),Collègue!$C13,INDIRECT("'"&amp;$C$3&amp;"'!"&amp;R$1),"C")=1,"C",""),"")</f>
        <v/>
      </c>
      <c r="S13" s="24" t="str">
        <f ca="1">IF(S$3&lt;&gt;"",IF(COUNTIFS(INDIRECT("'"&amp;$C$3&amp;"'!B:B"),Collègue!$C13,INDIRECT("'"&amp;$C$3&amp;"'!"&amp;S$1),"C")=1,"C",""),"")</f>
        <v/>
      </c>
      <c r="T13" s="24" t="str">
        <f ca="1">IF(T$3&lt;&gt;"",IF(COUNTIFS(INDIRECT("'"&amp;$C$3&amp;"'!B:B"),Collègue!$C13,INDIRECT("'"&amp;$C$3&amp;"'!"&amp;T$1),"C")=1,"C",""),"")</f>
        <v/>
      </c>
      <c r="U13" s="24" t="str">
        <f ca="1">IF(U$3&lt;&gt;"",IF(COUNTIFS(INDIRECT("'"&amp;$C$3&amp;"'!B:B"),Collègue!$C13,INDIRECT("'"&amp;$C$3&amp;"'!"&amp;U$1),"C")=1,"C",""),"")</f>
        <v/>
      </c>
      <c r="V13" s="24" t="str">
        <f ca="1">IF(V$3&lt;&gt;"",IF(COUNTIFS(INDIRECT("'"&amp;$C$3&amp;"'!B:B"),Collègue!$C13,INDIRECT("'"&amp;$C$3&amp;"'!"&amp;V$1),"C")=1,"C",""),"")</f>
        <v/>
      </c>
      <c r="W13" s="24" t="str">
        <f ca="1">IF(W$3&lt;&gt;"",IF(COUNTIFS(INDIRECT("'"&amp;$C$3&amp;"'!B:B"),Collègue!$C13,INDIRECT("'"&amp;$C$3&amp;"'!"&amp;W$1),"C")=1,"C",""),"")</f>
        <v/>
      </c>
      <c r="X13" s="24" t="str">
        <f ca="1">IF(X$3&lt;&gt;"",IF(COUNTIFS(INDIRECT("'"&amp;$C$3&amp;"'!B:B"),Collègue!$C13,INDIRECT("'"&amp;$C$3&amp;"'!"&amp;X$1),"C")=1,"C",""),"")</f>
        <v/>
      </c>
      <c r="Y13" s="24" t="str">
        <f ca="1">IF(Y$3&lt;&gt;"",IF(COUNTIFS(INDIRECT("'"&amp;$C$3&amp;"'!B:B"),Collègue!$C13,INDIRECT("'"&amp;$C$3&amp;"'!"&amp;Y$1),"C")=1,"C",""),"")</f>
        <v/>
      </c>
      <c r="Z13" s="24" t="str">
        <f ca="1">IF(Z$3&lt;&gt;"",IF(COUNTIFS(INDIRECT("'"&amp;$C$3&amp;"'!B:B"),Collègue!$C13,INDIRECT("'"&amp;$C$3&amp;"'!"&amp;Z$1),"C")=1,"C",""),"")</f>
        <v/>
      </c>
      <c r="AA13" s="24" t="str">
        <f ca="1">IF(AA$3&lt;&gt;"",IF(COUNTIFS(INDIRECT("'"&amp;$C$3&amp;"'!B:B"),Collègue!$C13,INDIRECT("'"&amp;$C$3&amp;"'!"&amp;AA$1),"C")=1,"C",""),"")</f>
        <v/>
      </c>
      <c r="AB13" s="24" t="str">
        <f ca="1">IF(AB$3&lt;&gt;"",IF(COUNTIFS(INDIRECT("'"&amp;$C$3&amp;"'!B:B"),Collègue!$C13,INDIRECT("'"&amp;$C$3&amp;"'!"&amp;AB$1),"C")=1,"C",""),"")</f>
        <v/>
      </c>
      <c r="AC13" s="24" t="str">
        <f ca="1">IF(AC$3&lt;&gt;"",IF(COUNTIFS(INDIRECT("'"&amp;$C$3&amp;"'!B:B"),Collègue!$C13,INDIRECT("'"&amp;$C$3&amp;"'!"&amp;AC$1),"C")=1,"C",""),"")</f>
        <v/>
      </c>
      <c r="AD13" s="24" t="str">
        <f ca="1">IF(AD$3&lt;&gt;"",IF(COUNTIFS(INDIRECT("'"&amp;$C$3&amp;"'!B:B"),Collègue!$C13,INDIRECT("'"&amp;$C$3&amp;"'!"&amp;AD$1),"C")=1,"C",""),"")</f>
        <v/>
      </c>
      <c r="AE13" s="24" t="str">
        <f ca="1">IF(AE$3&lt;&gt;"",IF(COUNTIFS(INDIRECT("'"&amp;$C$3&amp;"'!B:B"),Collègue!$C13,INDIRECT("'"&amp;$C$3&amp;"'!"&amp;AE$1),"C")=1,"C",""),"")</f>
        <v/>
      </c>
      <c r="AF13" s="24" t="str">
        <f ca="1">IF(AF$3&lt;&gt;"",IF(COUNTIFS(INDIRECT("'"&amp;$C$3&amp;"'!B:B"),Collègue!$C13,INDIRECT("'"&amp;$C$3&amp;"'!"&amp;AF$1),"C")=1,"C",""),"")</f>
        <v/>
      </c>
      <c r="AG13" s="24" t="str">
        <f ca="1">IF(AG$3&lt;&gt;"",IF(COUNTIFS(INDIRECT("'"&amp;$C$3&amp;"'!B:B"),Collègue!$C13,INDIRECT("'"&amp;$C$3&amp;"'!"&amp;AG$1),"C")=1,"C",""),"")</f>
        <v/>
      </c>
      <c r="AH13" s="24" t="str">
        <f ca="1">IF(AH$3&lt;&gt;"",IF(COUNTIFS(INDIRECT("'"&amp;$C$3&amp;"'!B:B"),Collègue!$C13,INDIRECT("'"&amp;$C$3&amp;"'!"&amp;AH$1),"C")=1,"C",""),"")</f>
        <v/>
      </c>
      <c r="AI13" s="24" t="str">
        <f ca="1">IF(AI$3&lt;&gt;"",IF(COUNTIFS(INDIRECT("'"&amp;$C$3&amp;"'!B:B"),Collègue!$C13,INDIRECT("'"&amp;$C$3&amp;"'!"&amp;AI$1),"C")=1,"C",""),"")</f>
        <v/>
      </c>
    </row>
    <row r="14" spans="3:35" x14ac:dyDescent="0.25">
      <c r="C14" s="19" t="s">
        <v>72</v>
      </c>
      <c r="E14" s="24" t="str">
        <f ca="1">IF(E$3&lt;&gt;"",IF(COUNTIFS(INDIRECT("'"&amp;$C$3&amp;"'!B:B"),Collègue!$C14,INDIRECT("'"&amp;$C$3&amp;"'!"&amp;E$1),"C")=1,"C",""),"")</f>
        <v/>
      </c>
      <c r="F14" s="24" t="str">
        <f ca="1">IF(F$3&lt;&gt;"",IF(COUNTIFS(INDIRECT("'"&amp;$C$3&amp;"'!B:B"),Collègue!$C14,INDIRECT("'"&amp;$C$3&amp;"'!"&amp;F$1),"C")=1,"C",""),"")</f>
        <v/>
      </c>
      <c r="G14" s="24" t="str">
        <f ca="1">IF(G$3&lt;&gt;"",IF(COUNTIFS(INDIRECT("'"&amp;$C$3&amp;"'!B:B"),Collègue!$C14,INDIRECT("'"&amp;$C$3&amp;"'!"&amp;G$1),"C")=1,"C",""),"")</f>
        <v/>
      </c>
      <c r="H14" s="24" t="str">
        <f ca="1">IF(H$3&lt;&gt;"",IF(COUNTIFS(INDIRECT("'"&amp;$C$3&amp;"'!B:B"),Collègue!$C14,INDIRECT("'"&amp;$C$3&amp;"'!"&amp;H$1),"C")=1,"C",""),"")</f>
        <v/>
      </c>
      <c r="I14" s="24" t="str">
        <f ca="1">IF(I$3&lt;&gt;"",IF(COUNTIFS(INDIRECT("'"&amp;$C$3&amp;"'!B:B"),Collègue!$C14,INDIRECT("'"&amp;$C$3&amp;"'!"&amp;I$1),"C")=1,"C",""),"")</f>
        <v/>
      </c>
      <c r="J14" s="24" t="str">
        <f ca="1">IF(J$3&lt;&gt;"",IF(COUNTIFS(INDIRECT("'"&amp;$C$3&amp;"'!B:B"),Collègue!$C14,INDIRECT("'"&amp;$C$3&amp;"'!"&amp;J$1),"C")=1,"C",""),"")</f>
        <v/>
      </c>
      <c r="K14" s="24" t="str">
        <f ca="1">IF(K$3&lt;&gt;"",IF(COUNTIFS(INDIRECT("'"&amp;$C$3&amp;"'!B:B"),Collègue!$C14,INDIRECT("'"&amp;$C$3&amp;"'!"&amp;K$1),"C")=1,"C",""),"")</f>
        <v/>
      </c>
      <c r="L14" s="24" t="str">
        <f ca="1">IF(L$3&lt;&gt;"",IF(COUNTIFS(INDIRECT("'"&amp;$C$3&amp;"'!B:B"),Collègue!$C14,INDIRECT("'"&amp;$C$3&amp;"'!"&amp;L$1),"C")=1,"C",""),"")</f>
        <v/>
      </c>
      <c r="M14" s="24" t="str">
        <f ca="1">IF(M$3&lt;&gt;"",IF(COUNTIFS(INDIRECT("'"&amp;$C$3&amp;"'!B:B"),Collègue!$C14,INDIRECT("'"&amp;$C$3&amp;"'!"&amp;M$1),"C")=1,"C",""),"")</f>
        <v/>
      </c>
      <c r="N14" s="24" t="str">
        <f ca="1">IF(N$3&lt;&gt;"",IF(COUNTIFS(INDIRECT("'"&amp;$C$3&amp;"'!B:B"),Collègue!$C14,INDIRECT("'"&amp;$C$3&amp;"'!"&amp;N$1),"C")=1,"C",""),"")</f>
        <v/>
      </c>
      <c r="O14" s="24" t="str">
        <f ca="1">IF(O$3&lt;&gt;"",IF(COUNTIFS(INDIRECT("'"&amp;$C$3&amp;"'!B:B"),Collègue!$C14,INDIRECT("'"&amp;$C$3&amp;"'!"&amp;O$1),"C")=1,"C",""),"")</f>
        <v/>
      </c>
      <c r="P14" s="24" t="str">
        <f ca="1">IF(P$3&lt;&gt;"",IF(COUNTIFS(INDIRECT("'"&amp;$C$3&amp;"'!B:B"),Collègue!$C14,INDIRECT("'"&amp;$C$3&amp;"'!"&amp;P$1),"C")=1,"C",""),"")</f>
        <v/>
      </c>
      <c r="Q14" s="24" t="str">
        <f ca="1">IF(Q$3&lt;&gt;"",IF(COUNTIFS(INDIRECT("'"&amp;$C$3&amp;"'!B:B"),Collègue!$C14,INDIRECT("'"&amp;$C$3&amp;"'!"&amp;Q$1),"C")=1,"C",""),"")</f>
        <v/>
      </c>
      <c r="R14" s="24" t="str">
        <f ca="1">IF(R$3&lt;&gt;"",IF(COUNTIFS(INDIRECT("'"&amp;$C$3&amp;"'!B:B"),Collègue!$C14,INDIRECT("'"&amp;$C$3&amp;"'!"&amp;R$1),"C")=1,"C",""),"")</f>
        <v/>
      </c>
      <c r="S14" s="24" t="str">
        <f ca="1">IF(S$3&lt;&gt;"",IF(COUNTIFS(INDIRECT("'"&amp;$C$3&amp;"'!B:B"),Collègue!$C14,INDIRECT("'"&amp;$C$3&amp;"'!"&amp;S$1),"C")=1,"C",""),"")</f>
        <v/>
      </c>
      <c r="T14" s="24" t="str">
        <f ca="1">IF(T$3&lt;&gt;"",IF(COUNTIFS(INDIRECT("'"&amp;$C$3&amp;"'!B:B"),Collègue!$C14,INDIRECT("'"&amp;$C$3&amp;"'!"&amp;T$1),"C")=1,"C",""),"")</f>
        <v/>
      </c>
      <c r="U14" s="24" t="str">
        <f ca="1">IF(U$3&lt;&gt;"",IF(COUNTIFS(INDIRECT("'"&amp;$C$3&amp;"'!B:B"),Collègue!$C14,INDIRECT("'"&amp;$C$3&amp;"'!"&amp;U$1),"C")=1,"C",""),"")</f>
        <v/>
      </c>
      <c r="V14" s="24" t="str">
        <f ca="1">IF(V$3&lt;&gt;"",IF(COUNTIFS(INDIRECT("'"&amp;$C$3&amp;"'!B:B"),Collègue!$C14,INDIRECT("'"&amp;$C$3&amp;"'!"&amp;V$1),"C")=1,"C",""),"")</f>
        <v/>
      </c>
      <c r="W14" s="24" t="str">
        <f ca="1">IF(W$3&lt;&gt;"",IF(COUNTIFS(INDIRECT("'"&amp;$C$3&amp;"'!B:B"),Collègue!$C14,INDIRECT("'"&amp;$C$3&amp;"'!"&amp;W$1),"C")=1,"C",""),"")</f>
        <v/>
      </c>
      <c r="X14" s="24" t="str">
        <f ca="1">IF(X$3&lt;&gt;"",IF(COUNTIFS(INDIRECT("'"&amp;$C$3&amp;"'!B:B"),Collègue!$C14,INDIRECT("'"&amp;$C$3&amp;"'!"&amp;X$1),"C")=1,"C",""),"")</f>
        <v/>
      </c>
      <c r="Y14" s="24" t="str">
        <f ca="1">IF(Y$3&lt;&gt;"",IF(COUNTIFS(INDIRECT("'"&amp;$C$3&amp;"'!B:B"),Collègue!$C14,INDIRECT("'"&amp;$C$3&amp;"'!"&amp;Y$1),"C")=1,"C",""),"")</f>
        <v/>
      </c>
      <c r="Z14" s="24" t="str">
        <f ca="1">IF(Z$3&lt;&gt;"",IF(COUNTIFS(INDIRECT("'"&amp;$C$3&amp;"'!B:B"),Collègue!$C14,INDIRECT("'"&amp;$C$3&amp;"'!"&amp;Z$1),"C")=1,"C",""),"")</f>
        <v/>
      </c>
      <c r="AA14" s="24" t="str">
        <f ca="1">IF(AA$3&lt;&gt;"",IF(COUNTIFS(INDIRECT("'"&amp;$C$3&amp;"'!B:B"),Collègue!$C14,INDIRECT("'"&amp;$C$3&amp;"'!"&amp;AA$1),"C")=1,"C",""),"")</f>
        <v/>
      </c>
      <c r="AB14" s="24" t="str">
        <f ca="1">IF(AB$3&lt;&gt;"",IF(COUNTIFS(INDIRECT("'"&amp;$C$3&amp;"'!B:B"),Collègue!$C14,INDIRECT("'"&amp;$C$3&amp;"'!"&amp;AB$1),"C")=1,"C",""),"")</f>
        <v/>
      </c>
      <c r="AC14" s="24" t="str">
        <f ca="1">IF(AC$3&lt;&gt;"",IF(COUNTIFS(INDIRECT("'"&amp;$C$3&amp;"'!B:B"),Collègue!$C14,INDIRECT("'"&amp;$C$3&amp;"'!"&amp;AC$1),"C")=1,"C",""),"")</f>
        <v/>
      </c>
      <c r="AD14" s="24" t="str">
        <f ca="1">IF(AD$3&lt;&gt;"",IF(COUNTIFS(INDIRECT("'"&amp;$C$3&amp;"'!B:B"),Collègue!$C14,INDIRECT("'"&amp;$C$3&amp;"'!"&amp;AD$1),"C")=1,"C",""),"")</f>
        <v/>
      </c>
      <c r="AE14" s="24" t="str">
        <f ca="1">IF(AE$3&lt;&gt;"",IF(COUNTIFS(INDIRECT("'"&amp;$C$3&amp;"'!B:B"),Collègue!$C14,INDIRECT("'"&amp;$C$3&amp;"'!"&amp;AE$1),"C")=1,"C",""),"")</f>
        <v/>
      </c>
      <c r="AF14" s="24" t="str">
        <f ca="1">IF(AF$3&lt;&gt;"",IF(COUNTIFS(INDIRECT("'"&amp;$C$3&amp;"'!B:B"),Collègue!$C14,INDIRECT("'"&amp;$C$3&amp;"'!"&amp;AF$1),"C")=1,"C",""),"")</f>
        <v/>
      </c>
      <c r="AG14" s="24" t="str">
        <f ca="1">IF(AG$3&lt;&gt;"",IF(COUNTIFS(INDIRECT("'"&amp;$C$3&amp;"'!B:B"),Collègue!$C14,INDIRECT("'"&amp;$C$3&amp;"'!"&amp;AG$1),"C")=1,"C",""),"")</f>
        <v/>
      </c>
      <c r="AH14" s="24" t="str">
        <f ca="1">IF(AH$3&lt;&gt;"",IF(COUNTIFS(INDIRECT("'"&amp;$C$3&amp;"'!B:B"),Collègue!$C14,INDIRECT("'"&amp;$C$3&amp;"'!"&amp;AH$1),"C")=1,"C",""),"")</f>
        <v/>
      </c>
      <c r="AI14" s="24" t="str">
        <f ca="1">IF(AI$3&lt;&gt;"",IF(COUNTIFS(INDIRECT("'"&amp;$C$3&amp;"'!B:B"),Collègue!$C14,INDIRECT("'"&amp;$C$3&amp;"'!"&amp;AI$1),"C")=1,"C",""),"")</f>
        <v/>
      </c>
    </row>
    <row r="15" spans="3:35" x14ac:dyDescent="0.25">
      <c r="C15" s="19" t="s">
        <v>73</v>
      </c>
      <c r="E15" s="24" t="str">
        <f ca="1">IF(E$3&lt;&gt;"",IF(COUNTIFS(INDIRECT("'"&amp;$C$3&amp;"'!B:B"),Collègue!$C15,INDIRECT("'"&amp;$C$3&amp;"'!"&amp;E$1),"C")=1,"C",""),"")</f>
        <v/>
      </c>
      <c r="F15" s="24" t="str">
        <f ca="1">IF(F$3&lt;&gt;"",IF(COUNTIFS(INDIRECT("'"&amp;$C$3&amp;"'!B:B"),Collègue!$C15,INDIRECT("'"&amp;$C$3&amp;"'!"&amp;F$1),"C")=1,"C",""),"")</f>
        <v/>
      </c>
      <c r="G15" s="24" t="str">
        <f ca="1">IF(G$3&lt;&gt;"",IF(COUNTIFS(INDIRECT("'"&amp;$C$3&amp;"'!B:B"),Collègue!$C15,INDIRECT("'"&amp;$C$3&amp;"'!"&amp;G$1),"C")=1,"C",""),"")</f>
        <v/>
      </c>
      <c r="H15" s="24" t="str">
        <f ca="1">IF(H$3&lt;&gt;"",IF(COUNTIFS(INDIRECT("'"&amp;$C$3&amp;"'!B:B"),Collègue!$C15,INDIRECT("'"&amp;$C$3&amp;"'!"&amp;H$1),"C")=1,"C",""),"")</f>
        <v/>
      </c>
      <c r="I15" s="24" t="str">
        <f ca="1">IF(I$3&lt;&gt;"",IF(COUNTIFS(INDIRECT("'"&amp;$C$3&amp;"'!B:B"),Collègue!$C15,INDIRECT("'"&amp;$C$3&amp;"'!"&amp;I$1),"C")=1,"C",""),"")</f>
        <v/>
      </c>
      <c r="J15" s="24" t="str">
        <f ca="1">IF(J$3&lt;&gt;"",IF(COUNTIFS(INDIRECT("'"&amp;$C$3&amp;"'!B:B"),Collègue!$C15,INDIRECT("'"&amp;$C$3&amp;"'!"&amp;J$1),"C")=1,"C",""),"")</f>
        <v/>
      </c>
      <c r="K15" s="24" t="str">
        <f ca="1">IF(K$3&lt;&gt;"",IF(COUNTIFS(INDIRECT("'"&amp;$C$3&amp;"'!B:B"),Collègue!$C15,INDIRECT("'"&amp;$C$3&amp;"'!"&amp;K$1),"C")=1,"C",""),"")</f>
        <v/>
      </c>
      <c r="L15" s="24" t="str">
        <f ca="1">IF(L$3&lt;&gt;"",IF(COUNTIFS(INDIRECT("'"&amp;$C$3&amp;"'!B:B"),Collègue!$C15,INDIRECT("'"&amp;$C$3&amp;"'!"&amp;L$1),"C")=1,"C",""),"")</f>
        <v/>
      </c>
      <c r="M15" s="24" t="str">
        <f ca="1">IF(M$3&lt;&gt;"",IF(COUNTIFS(INDIRECT("'"&amp;$C$3&amp;"'!B:B"),Collègue!$C15,INDIRECT("'"&amp;$C$3&amp;"'!"&amp;M$1),"C")=1,"C",""),"")</f>
        <v/>
      </c>
      <c r="N15" s="24" t="str">
        <f ca="1">IF(N$3&lt;&gt;"",IF(COUNTIFS(INDIRECT("'"&amp;$C$3&amp;"'!B:B"),Collègue!$C15,INDIRECT("'"&amp;$C$3&amp;"'!"&amp;N$1),"C")=1,"C",""),"")</f>
        <v/>
      </c>
      <c r="O15" s="24" t="str">
        <f ca="1">IF(O$3&lt;&gt;"",IF(COUNTIFS(INDIRECT("'"&amp;$C$3&amp;"'!B:B"),Collègue!$C15,INDIRECT("'"&amp;$C$3&amp;"'!"&amp;O$1),"C")=1,"C",""),"")</f>
        <v/>
      </c>
      <c r="P15" s="24" t="str">
        <f ca="1">IF(P$3&lt;&gt;"",IF(COUNTIFS(INDIRECT("'"&amp;$C$3&amp;"'!B:B"),Collègue!$C15,INDIRECT("'"&amp;$C$3&amp;"'!"&amp;P$1),"C")=1,"C",""),"")</f>
        <v/>
      </c>
      <c r="Q15" s="24" t="str">
        <f ca="1">IF(Q$3&lt;&gt;"",IF(COUNTIFS(INDIRECT("'"&amp;$C$3&amp;"'!B:B"),Collègue!$C15,INDIRECT("'"&amp;$C$3&amp;"'!"&amp;Q$1),"C")=1,"C",""),"")</f>
        <v/>
      </c>
      <c r="R15" s="24" t="str">
        <f ca="1">IF(R$3&lt;&gt;"",IF(COUNTIFS(INDIRECT("'"&amp;$C$3&amp;"'!B:B"),Collègue!$C15,INDIRECT("'"&amp;$C$3&amp;"'!"&amp;R$1),"C")=1,"C",""),"")</f>
        <v/>
      </c>
      <c r="S15" s="24" t="str">
        <f ca="1">IF(S$3&lt;&gt;"",IF(COUNTIFS(INDIRECT("'"&amp;$C$3&amp;"'!B:B"),Collègue!$C15,INDIRECT("'"&amp;$C$3&amp;"'!"&amp;S$1),"C")=1,"C",""),"")</f>
        <v/>
      </c>
      <c r="T15" s="24" t="str">
        <f ca="1">IF(T$3&lt;&gt;"",IF(COUNTIFS(INDIRECT("'"&amp;$C$3&amp;"'!B:B"),Collègue!$C15,INDIRECT("'"&amp;$C$3&amp;"'!"&amp;T$1),"C")=1,"C",""),"")</f>
        <v/>
      </c>
      <c r="U15" s="24" t="str">
        <f ca="1">IF(U$3&lt;&gt;"",IF(COUNTIFS(INDIRECT("'"&amp;$C$3&amp;"'!B:B"),Collègue!$C15,INDIRECT("'"&amp;$C$3&amp;"'!"&amp;U$1),"C")=1,"C",""),"")</f>
        <v/>
      </c>
      <c r="V15" s="24" t="str">
        <f ca="1">IF(V$3&lt;&gt;"",IF(COUNTIFS(INDIRECT("'"&amp;$C$3&amp;"'!B:B"),Collègue!$C15,INDIRECT("'"&amp;$C$3&amp;"'!"&amp;V$1),"C")=1,"C",""),"")</f>
        <v/>
      </c>
      <c r="W15" s="24" t="str">
        <f ca="1">IF(W$3&lt;&gt;"",IF(COUNTIFS(INDIRECT("'"&amp;$C$3&amp;"'!B:B"),Collègue!$C15,INDIRECT("'"&amp;$C$3&amp;"'!"&amp;W$1),"C")=1,"C",""),"")</f>
        <v/>
      </c>
      <c r="X15" s="24" t="str">
        <f ca="1">IF(X$3&lt;&gt;"",IF(COUNTIFS(INDIRECT("'"&amp;$C$3&amp;"'!B:B"),Collègue!$C15,INDIRECT("'"&amp;$C$3&amp;"'!"&amp;X$1),"C")=1,"C",""),"")</f>
        <v/>
      </c>
      <c r="Y15" s="24" t="str">
        <f ca="1">IF(Y$3&lt;&gt;"",IF(COUNTIFS(INDIRECT("'"&amp;$C$3&amp;"'!B:B"),Collègue!$C15,INDIRECT("'"&amp;$C$3&amp;"'!"&amp;Y$1),"C")=1,"C",""),"")</f>
        <v/>
      </c>
      <c r="Z15" s="24" t="str">
        <f ca="1">IF(Z$3&lt;&gt;"",IF(COUNTIFS(INDIRECT("'"&amp;$C$3&amp;"'!B:B"),Collègue!$C15,INDIRECT("'"&amp;$C$3&amp;"'!"&amp;Z$1),"C")=1,"C",""),"")</f>
        <v/>
      </c>
      <c r="AA15" s="24" t="str">
        <f ca="1">IF(AA$3&lt;&gt;"",IF(COUNTIFS(INDIRECT("'"&amp;$C$3&amp;"'!B:B"),Collègue!$C15,INDIRECT("'"&amp;$C$3&amp;"'!"&amp;AA$1),"C")=1,"C",""),"")</f>
        <v/>
      </c>
      <c r="AB15" s="24" t="str">
        <f ca="1">IF(AB$3&lt;&gt;"",IF(COUNTIFS(INDIRECT("'"&amp;$C$3&amp;"'!B:B"),Collègue!$C15,INDIRECT("'"&amp;$C$3&amp;"'!"&amp;AB$1),"C")=1,"C",""),"")</f>
        <v/>
      </c>
      <c r="AC15" s="24" t="str">
        <f ca="1">IF(AC$3&lt;&gt;"",IF(COUNTIFS(INDIRECT("'"&amp;$C$3&amp;"'!B:B"),Collègue!$C15,INDIRECT("'"&amp;$C$3&amp;"'!"&amp;AC$1),"C")=1,"C",""),"")</f>
        <v/>
      </c>
      <c r="AD15" s="24" t="str">
        <f ca="1">IF(AD$3&lt;&gt;"",IF(COUNTIFS(INDIRECT("'"&amp;$C$3&amp;"'!B:B"),Collègue!$C15,INDIRECT("'"&amp;$C$3&amp;"'!"&amp;AD$1),"C")=1,"C",""),"")</f>
        <v/>
      </c>
      <c r="AE15" s="24" t="str">
        <f ca="1">IF(AE$3&lt;&gt;"",IF(COUNTIFS(INDIRECT("'"&amp;$C$3&amp;"'!B:B"),Collègue!$C15,INDIRECT("'"&amp;$C$3&amp;"'!"&amp;AE$1),"C")=1,"C",""),"")</f>
        <v/>
      </c>
      <c r="AF15" s="24" t="str">
        <f ca="1">IF(AF$3&lt;&gt;"",IF(COUNTIFS(INDIRECT("'"&amp;$C$3&amp;"'!B:B"),Collègue!$C15,INDIRECT("'"&amp;$C$3&amp;"'!"&amp;AF$1),"C")=1,"C",""),"")</f>
        <v/>
      </c>
      <c r="AG15" s="24" t="str">
        <f ca="1">IF(AG$3&lt;&gt;"",IF(COUNTIFS(INDIRECT("'"&amp;$C$3&amp;"'!B:B"),Collègue!$C15,INDIRECT("'"&amp;$C$3&amp;"'!"&amp;AG$1),"C")=1,"C",""),"")</f>
        <v/>
      </c>
      <c r="AH15" s="24" t="str">
        <f ca="1">IF(AH$3&lt;&gt;"",IF(COUNTIFS(INDIRECT("'"&amp;$C$3&amp;"'!B:B"),Collègue!$C15,INDIRECT("'"&amp;$C$3&amp;"'!"&amp;AH$1),"C")=1,"C",""),"")</f>
        <v/>
      </c>
      <c r="AI15" s="24" t="str">
        <f ca="1">IF(AI$3&lt;&gt;"",IF(COUNTIFS(INDIRECT("'"&amp;$C$3&amp;"'!B:B"),Collègue!$C15,INDIRECT("'"&amp;$C$3&amp;"'!"&amp;AI$1),"C")=1,"C",""),"")</f>
        <v/>
      </c>
    </row>
    <row r="16" spans="3:35" x14ac:dyDescent="0.25">
      <c r="C16" s="19" t="s">
        <v>74</v>
      </c>
      <c r="E16" s="24" t="str">
        <f ca="1">IF(E$3&lt;&gt;"",IF(COUNTIFS(INDIRECT("'"&amp;$C$3&amp;"'!B:B"),Collègue!$C16,INDIRECT("'"&amp;$C$3&amp;"'!"&amp;E$1),"C")=1,"C",""),"")</f>
        <v/>
      </c>
      <c r="F16" s="24" t="str">
        <f ca="1">IF(F$3&lt;&gt;"",IF(COUNTIFS(INDIRECT("'"&amp;$C$3&amp;"'!B:B"),Collègue!$C16,INDIRECT("'"&amp;$C$3&amp;"'!"&amp;F$1),"C")=1,"C",""),"")</f>
        <v/>
      </c>
      <c r="G16" s="24" t="str">
        <f ca="1">IF(G$3&lt;&gt;"",IF(COUNTIFS(INDIRECT("'"&amp;$C$3&amp;"'!B:B"),Collègue!$C16,INDIRECT("'"&amp;$C$3&amp;"'!"&amp;G$1),"C")=1,"C",""),"")</f>
        <v/>
      </c>
      <c r="H16" s="24" t="str">
        <f ca="1">IF(H$3&lt;&gt;"",IF(COUNTIFS(INDIRECT("'"&amp;$C$3&amp;"'!B:B"),Collègue!$C16,INDIRECT("'"&amp;$C$3&amp;"'!"&amp;H$1),"C")=1,"C",""),"")</f>
        <v/>
      </c>
      <c r="I16" s="24" t="str">
        <f ca="1">IF(I$3&lt;&gt;"",IF(COUNTIFS(INDIRECT("'"&amp;$C$3&amp;"'!B:B"),Collègue!$C16,INDIRECT("'"&amp;$C$3&amp;"'!"&amp;I$1),"C")=1,"C",""),"")</f>
        <v/>
      </c>
      <c r="J16" s="24" t="str">
        <f ca="1">IF(J$3&lt;&gt;"",IF(COUNTIFS(INDIRECT("'"&amp;$C$3&amp;"'!B:B"),Collègue!$C16,INDIRECT("'"&amp;$C$3&amp;"'!"&amp;J$1),"C")=1,"C",""),"")</f>
        <v/>
      </c>
      <c r="K16" s="24" t="str">
        <f ca="1">IF(K$3&lt;&gt;"",IF(COUNTIFS(INDIRECT("'"&amp;$C$3&amp;"'!B:B"),Collègue!$C16,INDIRECT("'"&amp;$C$3&amp;"'!"&amp;K$1),"C")=1,"C",""),"")</f>
        <v/>
      </c>
      <c r="L16" s="24" t="str">
        <f ca="1">IF(L$3&lt;&gt;"",IF(COUNTIFS(INDIRECT("'"&amp;$C$3&amp;"'!B:B"),Collègue!$C16,INDIRECT("'"&amp;$C$3&amp;"'!"&amp;L$1),"C")=1,"C",""),"")</f>
        <v/>
      </c>
      <c r="M16" s="24" t="str">
        <f ca="1">IF(M$3&lt;&gt;"",IF(COUNTIFS(INDIRECT("'"&amp;$C$3&amp;"'!B:B"),Collègue!$C16,INDIRECT("'"&amp;$C$3&amp;"'!"&amp;M$1),"C")=1,"C",""),"")</f>
        <v/>
      </c>
      <c r="N16" s="24" t="str">
        <f ca="1">IF(N$3&lt;&gt;"",IF(COUNTIFS(INDIRECT("'"&amp;$C$3&amp;"'!B:B"),Collègue!$C16,INDIRECT("'"&amp;$C$3&amp;"'!"&amp;N$1),"C")=1,"C",""),"")</f>
        <v/>
      </c>
      <c r="O16" s="24" t="str">
        <f ca="1">IF(O$3&lt;&gt;"",IF(COUNTIFS(INDIRECT("'"&amp;$C$3&amp;"'!B:B"),Collègue!$C16,INDIRECT("'"&amp;$C$3&amp;"'!"&amp;O$1),"C")=1,"C",""),"")</f>
        <v/>
      </c>
      <c r="P16" s="24" t="str">
        <f ca="1">IF(P$3&lt;&gt;"",IF(COUNTIFS(INDIRECT("'"&amp;$C$3&amp;"'!B:B"),Collègue!$C16,INDIRECT("'"&amp;$C$3&amp;"'!"&amp;P$1),"C")=1,"C",""),"")</f>
        <v/>
      </c>
      <c r="Q16" s="24" t="str">
        <f ca="1">IF(Q$3&lt;&gt;"",IF(COUNTIFS(INDIRECT("'"&amp;$C$3&amp;"'!B:B"),Collègue!$C16,INDIRECT("'"&amp;$C$3&amp;"'!"&amp;Q$1),"C")=1,"C",""),"")</f>
        <v/>
      </c>
      <c r="R16" s="24" t="str">
        <f ca="1">IF(R$3&lt;&gt;"",IF(COUNTIFS(INDIRECT("'"&amp;$C$3&amp;"'!B:B"),Collègue!$C16,INDIRECT("'"&amp;$C$3&amp;"'!"&amp;R$1),"C")=1,"C",""),"")</f>
        <v/>
      </c>
      <c r="S16" s="24" t="str">
        <f ca="1">IF(S$3&lt;&gt;"",IF(COUNTIFS(INDIRECT("'"&amp;$C$3&amp;"'!B:B"),Collègue!$C16,INDIRECT("'"&amp;$C$3&amp;"'!"&amp;S$1),"C")=1,"C",""),"")</f>
        <v/>
      </c>
      <c r="T16" s="24" t="str">
        <f ca="1">IF(T$3&lt;&gt;"",IF(COUNTIFS(INDIRECT("'"&amp;$C$3&amp;"'!B:B"),Collègue!$C16,INDIRECT("'"&amp;$C$3&amp;"'!"&amp;T$1),"C")=1,"C",""),"")</f>
        <v/>
      </c>
      <c r="U16" s="24" t="str">
        <f ca="1">IF(U$3&lt;&gt;"",IF(COUNTIFS(INDIRECT("'"&amp;$C$3&amp;"'!B:B"),Collègue!$C16,INDIRECT("'"&amp;$C$3&amp;"'!"&amp;U$1),"C")=1,"C",""),"")</f>
        <v/>
      </c>
      <c r="V16" s="24" t="str">
        <f ca="1">IF(V$3&lt;&gt;"",IF(COUNTIFS(INDIRECT("'"&amp;$C$3&amp;"'!B:B"),Collègue!$C16,INDIRECT("'"&amp;$C$3&amp;"'!"&amp;V$1),"C")=1,"C",""),"")</f>
        <v/>
      </c>
      <c r="W16" s="24" t="str">
        <f ca="1">IF(W$3&lt;&gt;"",IF(COUNTIFS(INDIRECT("'"&amp;$C$3&amp;"'!B:B"),Collègue!$C16,INDIRECT("'"&amp;$C$3&amp;"'!"&amp;W$1),"C")=1,"C",""),"")</f>
        <v/>
      </c>
      <c r="X16" s="24" t="str">
        <f ca="1">IF(X$3&lt;&gt;"",IF(COUNTIFS(INDIRECT("'"&amp;$C$3&amp;"'!B:B"),Collègue!$C16,INDIRECT("'"&amp;$C$3&amp;"'!"&amp;X$1),"C")=1,"C",""),"")</f>
        <v/>
      </c>
      <c r="Y16" s="24" t="str">
        <f ca="1">IF(Y$3&lt;&gt;"",IF(COUNTIFS(INDIRECT("'"&amp;$C$3&amp;"'!B:B"),Collègue!$C16,INDIRECT("'"&amp;$C$3&amp;"'!"&amp;Y$1),"C")=1,"C",""),"")</f>
        <v/>
      </c>
      <c r="Z16" s="24" t="str">
        <f ca="1">IF(Z$3&lt;&gt;"",IF(COUNTIFS(INDIRECT("'"&amp;$C$3&amp;"'!B:B"),Collègue!$C16,INDIRECT("'"&amp;$C$3&amp;"'!"&amp;Z$1),"C")=1,"C",""),"")</f>
        <v/>
      </c>
      <c r="AA16" s="24" t="str">
        <f ca="1">IF(AA$3&lt;&gt;"",IF(COUNTIFS(INDIRECT("'"&amp;$C$3&amp;"'!B:B"),Collègue!$C16,INDIRECT("'"&amp;$C$3&amp;"'!"&amp;AA$1),"C")=1,"C",""),"")</f>
        <v/>
      </c>
      <c r="AB16" s="24" t="str">
        <f ca="1">IF(AB$3&lt;&gt;"",IF(COUNTIFS(INDIRECT("'"&amp;$C$3&amp;"'!B:B"),Collègue!$C16,INDIRECT("'"&amp;$C$3&amp;"'!"&amp;AB$1),"C")=1,"C",""),"")</f>
        <v/>
      </c>
      <c r="AC16" s="24" t="str">
        <f ca="1">IF(AC$3&lt;&gt;"",IF(COUNTIFS(INDIRECT("'"&amp;$C$3&amp;"'!B:B"),Collègue!$C16,INDIRECT("'"&amp;$C$3&amp;"'!"&amp;AC$1),"C")=1,"C",""),"")</f>
        <v/>
      </c>
      <c r="AD16" s="24" t="str">
        <f ca="1">IF(AD$3&lt;&gt;"",IF(COUNTIFS(INDIRECT("'"&amp;$C$3&amp;"'!B:B"),Collègue!$C16,INDIRECT("'"&amp;$C$3&amp;"'!"&amp;AD$1),"C")=1,"C",""),"")</f>
        <v/>
      </c>
      <c r="AE16" s="24" t="str">
        <f ca="1">IF(AE$3&lt;&gt;"",IF(COUNTIFS(INDIRECT("'"&amp;$C$3&amp;"'!B:B"),Collègue!$C16,INDIRECT("'"&amp;$C$3&amp;"'!"&amp;AE$1),"C")=1,"C",""),"")</f>
        <v/>
      </c>
      <c r="AF16" s="24" t="str">
        <f ca="1">IF(AF$3&lt;&gt;"",IF(COUNTIFS(INDIRECT("'"&amp;$C$3&amp;"'!B:B"),Collègue!$C16,INDIRECT("'"&amp;$C$3&amp;"'!"&amp;AF$1),"C")=1,"C",""),"")</f>
        <v/>
      </c>
      <c r="AG16" s="24" t="str">
        <f ca="1">IF(AG$3&lt;&gt;"",IF(COUNTIFS(INDIRECT("'"&amp;$C$3&amp;"'!B:B"),Collègue!$C16,INDIRECT("'"&amp;$C$3&amp;"'!"&amp;AG$1),"C")=1,"C",""),"")</f>
        <v/>
      </c>
      <c r="AH16" s="24" t="str">
        <f ca="1">IF(AH$3&lt;&gt;"",IF(COUNTIFS(INDIRECT("'"&amp;$C$3&amp;"'!B:B"),Collègue!$C16,INDIRECT("'"&amp;$C$3&amp;"'!"&amp;AH$1),"C")=1,"C",""),"")</f>
        <v/>
      </c>
      <c r="AI16" s="24" t="str">
        <f ca="1">IF(AI$3&lt;&gt;"",IF(COUNTIFS(INDIRECT("'"&amp;$C$3&amp;"'!B:B"),Collègue!$C16,INDIRECT("'"&amp;$C$3&amp;"'!"&amp;AI$1),"C")=1,"C",""),"")</f>
        <v/>
      </c>
    </row>
    <row r="17" spans="3:35" x14ac:dyDescent="0.25">
      <c r="C17" s="19" t="s">
        <v>75</v>
      </c>
      <c r="E17" s="24" t="str">
        <f ca="1">IF(E$3&lt;&gt;"",IF(COUNTIFS(INDIRECT("'"&amp;$C$3&amp;"'!B:B"),Collègue!$C17,INDIRECT("'"&amp;$C$3&amp;"'!"&amp;E$1),"C")=1,"C",""),"")</f>
        <v/>
      </c>
      <c r="F17" s="24" t="str">
        <f ca="1">IF(F$3&lt;&gt;"",IF(COUNTIFS(INDIRECT("'"&amp;$C$3&amp;"'!B:B"),Collègue!$C17,INDIRECT("'"&amp;$C$3&amp;"'!"&amp;F$1),"C")=1,"C",""),"")</f>
        <v/>
      </c>
      <c r="G17" s="24" t="str">
        <f ca="1">IF(G$3&lt;&gt;"",IF(COUNTIFS(INDIRECT("'"&amp;$C$3&amp;"'!B:B"),Collègue!$C17,INDIRECT("'"&amp;$C$3&amp;"'!"&amp;G$1),"C")=1,"C",""),"")</f>
        <v/>
      </c>
      <c r="H17" s="24" t="str">
        <f ca="1">IF(H$3&lt;&gt;"",IF(COUNTIFS(INDIRECT("'"&amp;$C$3&amp;"'!B:B"),Collègue!$C17,INDIRECT("'"&amp;$C$3&amp;"'!"&amp;H$1),"C")=1,"C",""),"")</f>
        <v/>
      </c>
      <c r="I17" s="24" t="str">
        <f ca="1">IF(I$3&lt;&gt;"",IF(COUNTIFS(INDIRECT("'"&amp;$C$3&amp;"'!B:B"),Collègue!$C17,INDIRECT("'"&amp;$C$3&amp;"'!"&amp;I$1),"C")=1,"C",""),"")</f>
        <v/>
      </c>
      <c r="J17" s="24" t="str">
        <f ca="1">IF(J$3&lt;&gt;"",IF(COUNTIFS(INDIRECT("'"&amp;$C$3&amp;"'!B:B"),Collègue!$C17,INDIRECT("'"&amp;$C$3&amp;"'!"&amp;J$1),"C")=1,"C",""),"")</f>
        <v/>
      </c>
      <c r="K17" s="24" t="str">
        <f ca="1">IF(K$3&lt;&gt;"",IF(COUNTIFS(INDIRECT("'"&amp;$C$3&amp;"'!B:B"),Collègue!$C17,INDIRECT("'"&amp;$C$3&amp;"'!"&amp;K$1),"C")=1,"C",""),"")</f>
        <v/>
      </c>
      <c r="L17" s="24" t="str">
        <f ca="1">IF(L$3&lt;&gt;"",IF(COUNTIFS(INDIRECT("'"&amp;$C$3&amp;"'!B:B"),Collègue!$C17,INDIRECT("'"&amp;$C$3&amp;"'!"&amp;L$1),"C")=1,"C",""),"")</f>
        <v/>
      </c>
      <c r="M17" s="24" t="str">
        <f ca="1">IF(M$3&lt;&gt;"",IF(COUNTIFS(INDIRECT("'"&amp;$C$3&amp;"'!B:B"),Collègue!$C17,INDIRECT("'"&amp;$C$3&amp;"'!"&amp;M$1),"C")=1,"C",""),"")</f>
        <v/>
      </c>
      <c r="N17" s="24" t="str">
        <f ca="1">IF(N$3&lt;&gt;"",IF(COUNTIFS(INDIRECT("'"&amp;$C$3&amp;"'!B:B"),Collègue!$C17,INDIRECT("'"&amp;$C$3&amp;"'!"&amp;N$1),"C")=1,"C",""),"")</f>
        <v/>
      </c>
      <c r="O17" s="24" t="str">
        <f ca="1">IF(O$3&lt;&gt;"",IF(COUNTIFS(INDIRECT("'"&amp;$C$3&amp;"'!B:B"),Collègue!$C17,INDIRECT("'"&amp;$C$3&amp;"'!"&amp;O$1),"C")=1,"C",""),"")</f>
        <v/>
      </c>
      <c r="P17" s="24" t="str">
        <f ca="1">IF(P$3&lt;&gt;"",IF(COUNTIFS(INDIRECT("'"&amp;$C$3&amp;"'!B:B"),Collègue!$C17,INDIRECT("'"&amp;$C$3&amp;"'!"&amp;P$1),"C")=1,"C",""),"")</f>
        <v/>
      </c>
      <c r="Q17" s="24" t="str">
        <f ca="1">IF(Q$3&lt;&gt;"",IF(COUNTIFS(INDIRECT("'"&amp;$C$3&amp;"'!B:B"),Collègue!$C17,INDIRECT("'"&amp;$C$3&amp;"'!"&amp;Q$1),"C")=1,"C",""),"")</f>
        <v/>
      </c>
      <c r="R17" s="24" t="str">
        <f ca="1">IF(R$3&lt;&gt;"",IF(COUNTIFS(INDIRECT("'"&amp;$C$3&amp;"'!B:B"),Collègue!$C17,INDIRECT("'"&amp;$C$3&amp;"'!"&amp;R$1),"C")=1,"C",""),"")</f>
        <v/>
      </c>
      <c r="S17" s="24" t="str">
        <f ca="1">IF(S$3&lt;&gt;"",IF(COUNTIFS(INDIRECT("'"&amp;$C$3&amp;"'!B:B"),Collègue!$C17,INDIRECT("'"&amp;$C$3&amp;"'!"&amp;S$1),"C")=1,"C",""),"")</f>
        <v/>
      </c>
      <c r="T17" s="24" t="str">
        <f ca="1">IF(T$3&lt;&gt;"",IF(COUNTIFS(INDIRECT("'"&amp;$C$3&amp;"'!B:B"),Collègue!$C17,INDIRECT("'"&amp;$C$3&amp;"'!"&amp;T$1),"C")=1,"C",""),"")</f>
        <v/>
      </c>
      <c r="U17" s="24" t="str">
        <f ca="1">IF(U$3&lt;&gt;"",IF(COUNTIFS(INDIRECT("'"&amp;$C$3&amp;"'!B:B"),Collègue!$C17,INDIRECT("'"&amp;$C$3&amp;"'!"&amp;U$1),"C")=1,"C",""),"")</f>
        <v/>
      </c>
      <c r="V17" s="24" t="str">
        <f ca="1">IF(V$3&lt;&gt;"",IF(COUNTIFS(INDIRECT("'"&amp;$C$3&amp;"'!B:B"),Collègue!$C17,INDIRECT("'"&amp;$C$3&amp;"'!"&amp;V$1),"C")=1,"C",""),"")</f>
        <v/>
      </c>
      <c r="W17" s="24" t="str">
        <f ca="1">IF(W$3&lt;&gt;"",IF(COUNTIFS(INDIRECT("'"&amp;$C$3&amp;"'!B:B"),Collègue!$C17,INDIRECT("'"&amp;$C$3&amp;"'!"&amp;W$1),"C")=1,"C",""),"")</f>
        <v/>
      </c>
      <c r="X17" s="24" t="str">
        <f ca="1">IF(X$3&lt;&gt;"",IF(COUNTIFS(INDIRECT("'"&amp;$C$3&amp;"'!B:B"),Collègue!$C17,INDIRECT("'"&amp;$C$3&amp;"'!"&amp;X$1),"C")=1,"C",""),"")</f>
        <v/>
      </c>
      <c r="Y17" s="24" t="str">
        <f ca="1">IF(Y$3&lt;&gt;"",IF(COUNTIFS(INDIRECT("'"&amp;$C$3&amp;"'!B:B"),Collègue!$C17,INDIRECT("'"&amp;$C$3&amp;"'!"&amp;Y$1),"C")=1,"C",""),"")</f>
        <v/>
      </c>
      <c r="Z17" s="24" t="str">
        <f ca="1">IF(Z$3&lt;&gt;"",IF(COUNTIFS(INDIRECT("'"&amp;$C$3&amp;"'!B:B"),Collègue!$C17,INDIRECT("'"&amp;$C$3&amp;"'!"&amp;Z$1),"C")=1,"C",""),"")</f>
        <v/>
      </c>
      <c r="AA17" s="24" t="str">
        <f ca="1">IF(AA$3&lt;&gt;"",IF(COUNTIFS(INDIRECT("'"&amp;$C$3&amp;"'!B:B"),Collègue!$C17,INDIRECT("'"&amp;$C$3&amp;"'!"&amp;AA$1),"C")=1,"C",""),"")</f>
        <v/>
      </c>
      <c r="AB17" s="24" t="str">
        <f ca="1">IF(AB$3&lt;&gt;"",IF(COUNTIFS(INDIRECT("'"&amp;$C$3&amp;"'!B:B"),Collègue!$C17,INDIRECT("'"&amp;$C$3&amp;"'!"&amp;AB$1),"C")=1,"C",""),"")</f>
        <v/>
      </c>
      <c r="AC17" s="24" t="str">
        <f ca="1">IF(AC$3&lt;&gt;"",IF(COUNTIFS(INDIRECT("'"&amp;$C$3&amp;"'!B:B"),Collègue!$C17,INDIRECT("'"&amp;$C$3&amp;"'!"&amp;AC$1),"C")=1,"C",""),"")</f>
        <v/>
      </c>
      <c r="AD17" s="24" t="str">
        <f ca="1">IF(AD$3&lt;&gt;"",IF(COUNTIFS(INDIRECT("'"&amp;$C$3&amp;"'!B:B"),Collègue!$C17,INDIRECT("'"&amp;$C$3&amp;"'!"&amp;AD$1),"C")=1,"C",""),"")</f>
        <v/>
      </c>
      <c r="AE17" s="24" t="str">
        <f ca="1">IF(AE$3&lt;&gt;"",IF(COUNTIFS(INDIRECT("'"&amp;$C$3&amp;"'!B:B"),Collègue!$C17,INDIRECT("'"&amp;$C$3&amp;"'!"&amp;AE$1),"C")=1,"C",""),"")</f>
        <v/>
      </c>
      <c r="AF17" s="24" t="str">
        <f ca="1">IF(AF$3&lt;&gt;"",IF(COUNTIFS(INDIRECT("'"&amp;$C$3&amp;"'!B:B"),Collègue!$C17,INDIRECT("'"&amp;$C$3&amp;"'!"&amp;AF$1),"C")=1,"C",""),"")</f>
        <v/>
      </c>
      <c r="AG17" s="24" t="str">
        <f ca="1">IF(AG$3&lt;&gt;"",IF(COUNTIFS(INDIRECT("'"&amp;$C$3&amp;"'!B:B"),Collègue!$C17,INDIRECT("'"&amp;$C$3&amp;"'!"&amp;AG$1),"C")=1,"C",""),"")</f>
        <v/>
      </c>
      <c r="AH17" s="24" t="str">
        <f ca="1">IF(AH$3&lt;&gt;"",IF(COUNTIFS(INDIRECT("'"&amp;$C$3&amp;"'!B:B"),Collègue!$C17,INDIRECT("'"&amp;$C$3&amp;"'!"&amp;AH$1),"C")=1,"C",""),"")</f>
        <v/>
      </c>
      <c r="AI17" s="24" t="str">
        <f ca="1">IF(AI$3&lt;&gt;"",IF(COUNTIFS(INDIRECT("'"&amp;$C$3&amp;"'!B:B"),Collègue!$C17,INDIRECT("'"&amp;$C$3&amp;"'!"&amp;AI$1),"C")=1,"C",""),"")</f>
        <v/>
      </c>
    </row>
    <row r="18" spans="3:35" x14ac:dyDescent="0.25">
      <c r="C18" s="19" t="s">
        <v>76</v>
      </c>
      <c r="E18" s="24" t="str">
        <f ca="1">IF(E$3&lt;&gt;"",IF(COUNTIFS(INDIRECT("'"&amp;$C$3&amp;"'!B:B"),Collègue!$C18,INDIRECT("'"&amp;$C$3&amp;"'!"&amp;E$1),"C")=1,"C",""),"")</f>
        <v/>
      </c>
      <c r="F18" s="24" t="str">
        <f ca="1">IF(F$3&lt;&gt;"",IF(COUNTIFS(INDIRECT("'"&amp;$C$3&amp;"'!B:B"),Collègue!$C18,INDIRECT("'"&amp;$C$3&amp;"'!"&amp;F$1),"C")=1,"C",""),"")</f>
        <v/>
      </c>
      <c r="G18" s="24" t="str">
        <f ca="1">IF(G$3&lt;&gt;"",IF(COUNTIFS(INDIRECT("'"&amp;$C$3&amp;"'!B:B"),Collègue!$C18,INDIRECT("'"&amp;$C$3&amp;"'!"&amp;G$1),"C")=1,"C",""),"")</f>
        <v/>
      </c>
      <c r="H18" s="24" t="str">
        <f ca="1">IF(H$3&lt;&gt;"",IF(COUNTIFS(INDIRECT("'"&amp;$C$3&amp;"'!B:B"),Collègue!$C18,INDIRECT("'"&amp;$C$3&amp;"'!"&amp;H$1),"C")=1,"C",""),"")</f>
        <v/>
      </c>
      <c r="I18" s="24" t="str">
        <f ca="1">IF(I$3&lt;&gt;"",IF(COUNTIFS(INDIRECT("'"&amp;$C$3&amp;"'!B:B"),Collègue!$C18,INDIRECT("'"&amp;$C$3&amp;"'!"&amp;I$1),"C")=1,"C",""),"")</f>
        <v/>
      </c>
      <c r="J18" s="24" t="str">
        <f ca="1">IF(J$3&lt;&gt;"",IF(COUNTIFS(INDIRECT("'"&amp;$C$3&amp;"'!B:B"),Collègue!$C18,INDIRECT("'"&amp;$C$3&amp;"'!"&amp;J$1),"C")=1,"C",""),"")</f>
        <v/>
      </c>
      <c r="K18" s="24" t="str">
        <f ca="1">IF(K$3&lt;&gt;"",IF(COUNTIFS(INDIRECT("'"&amp;$C$3&amp;"'!B:B"),Collègue!$C18,INDIRECT("'"&amp;$C$3&amp;"'!"&amp;K$1),"C")=1,"C",""),"")</f>
        <v/>
      </c>
      <c r="L18" s="24" t="str">
        <f ca="1">IF(L$3&lt;&gt;"",IF(COUNTIFS(INDIRECT("'"&amp;$C$3&amp;"'!B:B"),Collègue!$C18,INDIRECT("'"&amp;$C$3&amp;"'!"&amp;L$1),"C")=1,"C",""),"")</f>
        <v/>
      </c>
      <c r="M18" s="24" t="str">
        <f ca="1">IF(M$3&lt;&gt;"",IF(COUNTIFS(INDIRECT("'"&amp;$C$3&amp;"'!B:B"),Collègue!$C18,INDIRECT("'"&amp;$C$3&amp;"'!"&amp;M$1),"C")=1,"C",""),"")</f>
        <v/>
      </c>
      <c r="N18" s="24" t="str">
        <f ca="1">IF(N$3&lt;&gt;"",IF(COUNTIFS(INDIRECT("'"&amp;$C$3&amp;"'!B:B"),Collègue!$C18,INDIRECT("'"&amp;$C$3&amp;"'!"&amp;N$1),"C")=1,"C",""),"")</f>
        <v/>
      </c>
      <c r="O18" s="24" t="str">
        <f ca="1">IF(O$3&lt;&gt;"",IF(COUNTIFS(INDIRECT("'"&amp;$C$3&amp;"'!B:B"),Collègue!$C18,INDIRECT("'"&amp;$C$3&amp;"'!"&amp;O$1),"C")=1,"C",""),"")</f>
        <v/>
      </c>
      <c r="P18" s="24" t="str">
        <f ca="1">IF(P$3&lt;&gt;"",IF(COUNTIFS(INDIRECT("'"&amp;$C$3&amp;"'!B:B"),Collègue!$C18,INDIRECT("'"&amp;$C$3&amp;"'!"&amp;P$1),"C")=1,"C",""),"")</f>
        <v/>
      </c>
      <c r="Q18" s="24" t="str">
        <f ca="1">IF(Q$3&lt;&gt;"",IF(COUNTIFS(INDIRECT("'"&amp;$C$3&amp;"'!B:B"),Collègue!$C18,INDIRECT("'"&amp;$C$3&amp;"'!"&amp;Q$1),"C")=1,"C",""),"")</f>
        <v/>
      </c>
      <c r="R18" s="24" t="str">
        <f ca="1">IF(R$3&lt;&gt;"",IF(COUNTIFS(INDIRECT("'"&amp;$C$3&amp;"'!B:B"),Collègue!$C18,INDIRECT("'"&amp;$C$3&amp;"'!"&amp;R$1),"C")=1,"C",""),"")</f>
        <v/>
      </c>
      <c r="S18" s="24" t="str">
        <f ca="1">IF(S$3&lt;&gt;"",IF(COUNTIFS(INDIRECT("'"&amp;$C$3&amp;"'!B:B"),Collègue!$C18,INDIRECT("'"&amp;$C$3&amp;"'!"&amp;S$1),"C")=1,"C",""),"")</f>
        <v/>
      </c>
      <c r="T18" s="24" t="str">
        <f ca="1">IF(T$3&lt;&gt;"",IF(COUNTIFS(INDIRECT("'"&amp;$C$3&amp;"'!B:B"),Collègue!$C18,INDIRECT("'"&amp;$C$3&amp;"'!"&amp;T$1),"C")=1,"C",""),"")</f>
        <v/>
      </c>
      <c r="U18" s="24" t="str">
        <f ca="1">IF(U$3&lt;&gt;"",IF(COUNTIFS(INDIRECT("'"&amp;$C$3&amp;"'!B:B"),Collègue!$C18,INDIRECT("'"&amp;$C$3&amp;"'!"&amp;U$1),"C")=1,"C",""),"")</f>
        <v/>
      </c>
      <c r="V18" s="24" t="str">
        <f ca="1">IF(V$3&lt;&gt;"",IF(COUNTIFS(INDIRECT("'"&amp;$C$3&amp;"'!B:B"),Collègue!$C18,INDIRECT("'"&amp;$C$3&amp;"'!"&amp;V$1),"C")=1,"C",""),"")</f>
        <v/>
      </c>
      <c r="W18" s="24" t="str">
        <f ca="1">IF(W$3&lt;&gt;"",IF(COUNTIFS(INDIRECT("'"&amp;$C$3&amp;"'!B:B"),Collègue!$C18,INDIRECT("'"&amp;$C$3&amp;"'!"&amp;W$1),"C")=1,"C",""),"")</f>
        <v/>
      </c>
      <c r="X18" s="24" t="str">
        <f ca="1">IF(X$3&lt;&gt;"",IF(COUNTIFS(INDIRECT("'"&amp;$C$3&amp;"'!B:B"),Collègue!$C18,INDIRECT("'"&amp;$C$3&amp;"'!"&amp;X$1),"C")=1,"C",""),"")</f>
        <v/>
      </c>
      <c r="Y18" s="24" t="str">
        <f ca="1">IF(Y$3&lt;&gt;"",IF(COUNTIFS(INDIRECT("'"&amp;$C$3&amp;"'!B:B"),Collègue!$C18,INDIRECT("'"&amp;$C$3&amp;"'!"&amp;Y$1),"C")=1,"C",""),"")</f>
        <v/>
      </c>
      <c r="Z18" s="24" t="str">
        <f ca="1">IF(Z$3&lt;&gt;"",IF(COUNTIFS(INDIRECT("'"&amp;$C$3&amp;"'!B:B"),Collègue!$C18,INDIRECT("'"&amp;$C$3&amp;"'!"&amp;Z$1),"C")=1,"C",""),"")</f>
        <v/>
      </c>
      <c r="AA18" s="24" t="str">
        <f ca="1">IF(AA$3&lt;&gt;"",IF(COUNTIFS(INDIRECT("'"&amp;$C$3&amp;"'!B:B"),Collègue!$C18,INDIRECT("'"&amp;$C$3&amp;"'!"&amp;AA$1),"C")=1,"C",""),"")</f>
        <v/>
      </c>
      <c r="AB18" s="24" t="str">
        <f ca="1">IF(AB$3&lt;&gt;"",IF(COUNTIFS(INDIRECT("'"&amp;$C$3&amp;"'!B:B"),Collègue!$C18,INDIRECT("'"&amp;$C$3&amp;"'!"&amp;AB$1),"C")=1,"C",""),"")</f>
        <v/>
      </c>
      <c r="AC18" s="24" t="str">
        <f ca="1">IF(AC$3&lt;&gt;"",IF(COUNTIFS(INDIRECT("'"&amp;$C$3&amp;"'!B:B"),Collègue!$C18,INDIRECT("'"&amp;$C$3&amp;"'!"&amp;AC$1),"C")=1,"C",""),"")</f>
        <v/>
      </c>
      <c r="AD18" s="24" t="str">
        <f ca="1">IF(AD$3&lt;&gt;"",IF(COUNTIFS(INDIRECT("'"&amp;$C$3&amp;"'!B:B"),Collègue!$C18,INDIRECT("'"&amp;$C$3&amp;"'!"&amp;AD$1),"C")=1,"C",""),"")</f>
        <v/>
      </c>
      <c r="AE18" s="24" t="str">
        <f ca="1">IF(AE$3&lt;&gt;"",IF(COUNTIFS(INDIRECT("'"&amp;$C$3&amp;"'!B:B"),Collègue!$C18,INDIRECT("'"&amp;$C$3&amp;"'!"&amp;AE$1),"C")=1,"C",""),"")</f>
        <v/>
      </c>
      <c r="AF18" s="24" t="str">
        <f ca="1">IF(AF$3&lt;&gt;"",IF(COUNTIFS(INDIRECT("'"&amp;$C$3&amp;"'!B:B"),Collègue!$C18,INDIRECT("'"&amp;$C$3&amp;"'!"&amp;AF$1),"C")=1,"C",""),"")</f>
        <v/>
      </c>
      <c r="AG18" s="24" t="str">
        <f ca="1">IF(AG$3&lt;&gt;"",IF(COUNTIFS(INDIRECT("'"&amp;$C$3&amp;"'!B:B"),Collègue!$C18,INDIRECT("'"&amp;$C$3&amp;"'!"&amp;AG$1),"C")=1,"C",""),"")</f>
        <v/>
      </c>
      <c r="AH18" s="24" t="str">
        <f ca="1">IF(AH$3&lt;&gt;"",IF(COUNTIFS(INDIRECT("'"&amp;$C$3&amp;"'!B:B"),Collègue!$C18,INDIRECT("'"&amp;$C$3&amp;"'!"&amp;AH$1),"C")=1,"C",""),"")</f>
        <v/>
      </c>
      <c r="AI18" s="24" t="str">
        <f ca="1">IF(AI$3&lt;&gt;"",IF(COUNTIFS(INDIRECT("'"&amp;$C$3&amp;"'!B:B"),Collègue!$C18,INDIRECT("'"&amp;$C$3&amp;"'!"&amp;AI$1),"C")=1,"C",""),"")</f>
        <v/>
      </c>
    </row>
    <row r="19" spans="3:35" x14ac:dyDescent="0.25">
      <c r="C19" s="19" t="s">
        <v>77</v>
      </c>
      <c r="E19" s="24" t="str">
        <f ca="1">IF(E$3&lt;&gt;"",IF(COUNTIFS(INDIRECT("'"&amp;$C$3&amp;"'!B:B"),Collègue!$C19,INDIRECT("'"&amp;$C$3&amp;"'!"&amp;E$1),"C")=1,"C",""),"")</f>
        <v/>
      </c>
      <c r="F19" s="24" t="str">
        <f ca="1">IF(F$3&lt;&gt;"",IF(COUNTIFS(INDIRECT("'"&amp;$C$3&amp;"'!B:B"),Collègue!$C19,INDIRECT("'"&amp;$C$3&amp;"'!"&amp;F$1),"C")=1,"C",""),"")</f>
        <v/>
      </c>
      <c r="G19" s="24" t="str">
        <f ca="1">IF(G$3&lt;&gt;"",IF(COUNTIFS(INDIRECT("'"&amp;$C$3&amp;"'!B:B"),Collègue!$C19,INDIRECT("'"&amp;$C$3&amp;"'!"&amp;G$1),"C")=1,"C",""),"")</f>
        <v/>
      </c>
      <c r="H19" s="24" t="str">
        <f ca="1">IF(H$3&lt;&gt;"",IF(COUNTIFS(INDIRECT("'"&amp;$C$3&amp;"'!B:B"),Collègue!$C19,INDIRECT("'"&amp;$C$3&amp;"'!"&amp;H$1),"C")=1,"C",""),"")</f>
        <v/>
      </c>
      <c r="I19" s="24" t="str">
        <f ca="1">IF(I$3&lt;&gt;"",IF(COUNTIFS(INDIRECT("'"&amp;$C$3&amp;"'!B:B"),Collègue!$C19,INDIRECT("'"&amp;$C$3&amp;"'!"&amp;I$1),"C")=1,"C",""),"")</f>
        <v/>
      </c>
      <c r="J19" s="24" t="str">
        <f ca="1">IF(J$3&lt;&gt;"",IF(COUNTIFS(INDIRECT("'"&amp;$C$3&amp;"'!B:B"),Collègue!$C19,INDIRECT("'"&amp;$C$3&amp;"'!"&amp;J$1),"C")=1,"C",""),"")</f>
        <v/>
      </c>
      <c r="K19" s="24" t="str">
        <f ca="1">IF(K$3&lt;&gt;"",IF(COUNTIFS(INDIRECT("'"&amp;$C$3&amp;"'!B:B"),Collègue!$C19,INDIRECT("'"&amp;$C$3&amp;"'!"&amp;K$1),"C")=1,"C",""),"")</f>
        <v/>
      </c>
      <c r="L19" s="24" t="str">
        <f ca="1">IF(L$3&lt;&gt;"",IF(COUNTIFS(INDIRECT("'"&amp;$C$3&amp;"'!B:B"),Collègue!$C19,INDIRECT("'"&amp;$C$3&amp;"'!"&amp;L$1),"C")=1,"C",""),"")</f>
        <v/>
      </c>
      <c r="M19" s="24" t="str">
        <f ca="1">IF(M$3&lt;&gt;"",IF(COUNTIFS(INDIRECT("'"&amp;$C$3&amp;"'!B:B"),Collègue!$C19,INDIRECT("'"&amp;$C$3&amp;"'!"&amp;M$1),"C")=1,"C",""),"")</f>
        <v/>
      </c>
      <c r="N19" s="24" t="str">
        <f ca="1">IF(N$3&lt;&gt;"",IF(COUNTIFS(INDIRECT("'"&amp;$C$3&amp;"'!B:B"),Collègue!$C19,INDIRECT("'"&amp;$C$3&amp;"'!"&amp;N$1),"C")=1,"C",""),"")</f>
        <v/>
      </c>
      <c r="O19" s="24" t="str">
        <f ca="1">IF(O$3&lt;&gt;"",IF(COUNTIFS(INDIRECT("'"&amp;$C$3&amp;"'!B:B"),Collègue!$C19,INDIRECT("'"&amp;$C$3&amp;"'!"&amp;O$1),"C")=1,"C",""),"")</f>
        <v/>
      </c>
      <c r="P19" s="24" t="str">
        <f ca="1">IF(P$3&lt;&gt;"",IF(COUNTIFS(INDIRECT("'"&amp;$C$3&amp;"'!B:B"),Collègue!$C19,INDIRECT("'"&amp;$C$3&amp;"'!"&amp;P$1),"C")=1,"C",""),"")</f>
        <v/>
      </c>
      <c r="Q19" s="24" t="str">
        <f ca="1">IF(Q$3&lt;&gt;"",IF(COUNTIFS(INDIRECT("'"&amp;$C$3&amp;"'!B:B"),Collègue!$C19,INDIRECT("'"&amp;$C$3&amp;"'!"&amp;Q$1),"C")=1,"C",""),"")</f>
        <v/>
      </c>
      <c r="R19" s="24" t="str">
        <f ca="1">IF(R$3&lt;&gt;"",IF(COUNTIFS(INDIRECT("'"&amp;$C$3&amp;"'!B:B"),Collègue!$C19,INDIRECT("'"&amp;$C$3&amp;"'!"&amp;R$1),"C")=1,"C",""),"")</f>
        <v/>
      </c>
      <c r="S19" s="24" t="str">
        <f ca="1">IF(S$3&lt;&gt;"",IF(COUNTIFS(INDIRECT("'"&amp;$C$3&amp;"'!B:B"),Collègue!$C19,INDIRECT("'"&amp;$C$3&amp;"'!"&amp;S$1),"C")=1,"C",""),"")</f>
        <v/>
      </c>
      <c r="T19" s="24" t="str">
        <f ca="1">IF(T$3&lt;&gt;"",IF(COUNTIFS(INDIRECT("'"&amp;$C$3&amp;"'!B:B"),Collègue!$C19,INDIRECT("'"&amp;$C$3&amp;"'!"&amp;T$1),"C")=1,"C",""),"")</f>
        <v/>
      </c>
      <c r="U19" s="24" t="str">
        <f ca="1">IF(U$3&lt;&gt;"",IF(COUNTIFS(INDIRECT("'"&amp;$C$3&amp;"'!B:B"),Collègue!$C19,INDIRECT("'"&amp;$C$3&amp;"'!"&amp;U$1),"C")=1,"C",""),"")</f>
        <v/>
      </c>
      <c r="V19" s="24" t="str">
        <f ca="1">IF(V$3&lt;&gt;"",IF(COUNTIFS(INDIRECT("'"&amp;$C$3&amp;"'!B:B"),Collègue!$C19,INDIRECT("'"&amp;$C$3&amp;"'!"&amp;V$1),"C")=1,"C",""),"")</f>
        <v/>
      </c>
      <c r="W19" s="24" t="str">
        <f ca="1">IF(W$3&lt;&gt;"",IF(COUNTIFS(INDIRECT("'"&amp;$C$3&amp;"'!B:B"),Collègue!$C19,INDIRECT("'"&amp;$C$3&amp;"'!"&amp;W$1),"C")=1,"C",""),"")</f>
        <v/>
      </c>
      <c r="X19" s="24" t="str">
        <f ca="1">IF(X$3&lt;&gt;"",IF(COUNTIFS(INDIRECT("'"&amp;$C$3&amp;"'!B:B"),Collègue!$C19,INDIRECT("'"&amp;$C$3&amp;"'!"&amp;X$1),"C")=1,"C",""),"")</f>
        <v/>
      </c>
      <c r="Y19" s="24" t="str">
        <f ca="1">IF(Y$3&lt;&gt;"",IF(COUNTIFS(INDIRECT("'"&amp;$C$3&amp;"'!B:B"),Collègue!$C19,INDIRECT("'"&amp;$C$3&amp;"'!"&amp;Y$1),"C")=1,"C",""),"")</f>
        <v/>
      </c>
      <c r="Z19" s="24" t="str">
        <f ca="1">IF(Z$3&lt;&gt;"",IF(COUNTIFS(INDIRECT("'"&amp;$C$3&amp;"'!B:B"),Collègue!$C19,INDIRECT("'"&amp;$C$3&amp;"'!"&amp;Z$1),"C")=1,"C",""),"")</f>
        <v/>
      </c>
      <c r="AA19" s="24" t="str">
        <f ca="1">IF(AA$3&lt;&gt;"",IF(COUNTIFS(INDIRECT("'"&amp;$C$3&amp;"'!B:B"),Collègue!$C19,INDIRECT("'"&amp;$C$3&amp;"'!"&amp;AA$1),"C")=1,"C",""),"")</f>
        <v/>
      </c>
      <c r="AB19" s="24" t="str">
        <f ca="1">IF(AB$3&lt;&gt;"",IF(COUNTIFS(INDIRECT("'"&amp;$C$3&amp;"'!B:B"),Collègue!$C19,INDIRECT("'"&amp;$C$3&amp;"'!"&amp;AB$1),"C")=1,"C",""),"")</f>
        <v/>
      </c>
      <c r="AC19" s="24" t="str">
        <f ca="1">IF(AC$3&lt;&gt;"",IF(COUNTIFS(INDIRECT("'"&amp;$C$3&amp;"'!B:B"),Collègue!$C19,INDIRECT("'"&amp;$C$3&amp;"'!"&amp;AC$1),"C")=1,"C",""),"")</f>
        <v/>
      </c>
      <c r="AD19" s="24" t="str">
        <f ca="1">IF(AD$3&lt;&gt;"",IF(COUNTIFS(INDIRECT("'"&amp;$C$3&amp;"'!B:B"),Collègue!$C19,INDIRECT("'"&amp;$C$3&amp;"'!"&amp;AD$1),"C")=1,"C",""),"")</f>
        <v/>
      </c>
      <c r="AE19" s="24" t="str">
        <f ca="1">IF(AE$3&lt;&gt;"",IF(COUNTIFS(INDIRECT("'"&amp;$C$3&amp;"'!B:B"),Collègue!$C19,INDIRECT("'"&amp;$C$3&amp;"'!"&amp;AE$1),"C")=1,"C",""),"")</f>
        <v/>
      </c>
      <c r="AF19" s="24" t="str">
        <f ca="1">IF(AF$3&lt;&gt;"",IF(COUNTIFS(INDIRECT("'"&amp;$C$3&amp;"'!B:B"),Collègue!$C19,INDIRECT("'"&amp;$C$3&amp;"'!"&amp;AF$1),"C")=1,"C",""),"")</f>
        <v/>
      </c>
      <c r="AG19" s="24" t="str">
        <f ca="1">IF(AG$3&lt;&gt;"",IF(COUNTIFS(INDIRECT("'"&amp;$C$3&amp;"'!B:B"),Collègue!$C19,INDIRECT("'"&amp;$C$3&amp;"'!"&amp;AG$1),"C")=1,"C",""),"")</f>
        <v/>
      </c>
      <c r="AH19" s="24" t="str">
        <f ca="1">IF(AH$3&lt;&gt;"",IF(COUNTIFS(INDIRECT("'"&amp;$C$3&amp;"'!B:B"),Collègue!$C19,INDIRECT("'"&amp;$C$3&amp;"'!"&amp;AH$1),"C")=1,"C",""),"")</f>
        <v/>
      </c>
      <c r="AI19" s="24" t="str">
        <f ca="1">IF(AI$3&lt;&gt;"",IF(COUNTIFS(INDIRECT("'"&amp;$C$3&amp;"'!B:B"),Collègue!$C19,INDIRECT("'"&amp;$C$3&amp;"'!"&amp;AI$1),"C")=1,"C",""),"")</f>
        <v/>
      </c>
    </row>
    <row r="20" spans="3:35" x14ac:dyDescent="0.25">
      <c r="C20" s="19" t="s">
        <v>78</v>
      </c>
      <c r="E20" s="24" t="str">
        <f ca="1">IF(E$3&lt;&gt;"",IF(COUNTIFS(INDIRECT("'"&amp;$C$3&amp;"'!B:B"),Collègue!$C20,INDIRECT("'"&amp;$C$3&amp;"'!"&amp;E$1),"C")=1,"C",""),"")</f>
        <v/>
      </c>
      <c r="F20" s="24" t="str">
        <f ca="1">IF(F$3&lt;&gt;"",IF(COUNTIFS(INDIRECT("'"&amp;$C$3&amp;"'!B:B"),Collègue!$C20,INDIRECT("'"&amp;$C$3&amp;"'!"&amp;F$1),"C")=1,"C",""),"")</f>
        <v/>
      </c>
      <c r="G20" s="24" t="str">
        <f ca="1">IF(G$3&lt;&gt;"",IF(COUNTIFS(INDIRECT("'"&amp;$C$3&amp;"'!B:B"),Collègue!$C20,INDIRECT("'"&amp;$C$3&amp;"'!"&amp;G$1),"C")=1,"C",""),"")</f>
        <v/>
      </c>
      <c r="H20" s="24" t="str">
        <f ca="1">IF(H$3&lt;&gt;"",IF(COUNTIFS(INDIRECT("'"&amp;$C$3&amp;"'!B:B"),Collègue!$C20,INDIRECT("'"&amp;$C$3&amp;"'!"&amp;H$1),"C")=1,"C",""),"")</f>
        <v/>
      </c>
      <c r="I20" s="24" t="str">
        <f ca="1">IF(I$3&lt;&gt;"",IF(COUNTIFS(INDIRECT("'"&amp;$C$3&amp;"'!B:B"),Collègue!$C20,INDIRECT("'"&amp;$C$3&amp;"'!"&amp;I$1),"C")=1,"C",""),"")</f>
        <v/>
      </c>
      <c r="J20" s="24" t="str">
        <f ca="1">IF(J$3&lt;&gt;"",IF(COUNTIFS(INDIRECT("'"&amp;$C$3&amp;"'!B:B"),Collègue!$C20,INDIRECT("'"&amp;$C$3&amp;"'!"&amp;J$1),"C")=1,"C",""),"")</f>
        <v/>
      </c>
      <c r="K20" s="24" t="str">
        <f ca="1">IF(K$3&lt;&gt;"",IF(COUNTIFS(INDIRECT("'"&amp;$C$3&amp;"'!B:B"),Collègue!$C20,INDIRECT("'"&amp;$C$3&amp;"'!"&amp;K$1),"C")=1,"C",""),"")</f>
        <v/>
      </c>
      <c r="L20" s="24" t="str">
        <f ca="1">IF(L$3&lt;&gt;"",IF(COUNTIFS(INDIRECT("'"&amp;$C$3&amp;"'!B:B"),Collègue!$C20,INDIRECT("'"&amp;$C$3&amp;"'!"&amp;L$1),"C")=1,"C",""),"")</f>
        <v/>
      </c>
      <c r="M20" s="24" t="str">
        <f ca="1">IF(M$3&lt;&gt;"",IF(COUNTIFS(INDIRECT("'"&amp;$C$3&amp;"'!B:B"),Collègue!$C20,INDIRECT("'"&amp;$C$3&amp;"'!"&amp;M$1),"C")=1,"C",""),"")</f>
        <v/>
      </c>
      <c r="N20" s="24" t="str">
        <f ca="1">IF(N$3&lt;&gt;"",IF(COUNTIFS(INDIRECT("'"&amp;$C$3&amp;"'!B:B"),Collègue!$C20,INDIRECT("'"&amp;$C$3&amp;"'!"&amp;N$1),"C")=1,"C",""),"")</f>
        <v/>
      </c>
      <c r="O20" s="24" t="str">
        <f ca="1">IF(O$3&lt;&gt;"",IF(COUNTIFS(INDIRECT("'"&amp;$C$3&amp;"'!B:B"),Collègue!$C20,INDIRECT("'"&amp;$C$3&amp;"'!"&amp;O$1),"C")=1,"C",""),"")</f>
        <v/>
      </c>
      <c r="P20" s="24" t="str">
        <f ca="1">IF(P$3&lt;&gt;"",IF(COUNTIFS(INDIRECT("'"&amp;$C$3&amp;"'!B:B"),Collègue!$C20,INDIRECT("'"&amp;$C$3&amp;"'!"&amp;P$1),"C")=1,"C",""),"")</f>
        <v/>
      </c>
      <c r="Q20" s="24" t="str">
        <f ca="1">IF(Q$3&lt;&gt;"",IF(COUNTIFS(INDIRECT("'"&amp;$C$3&amp;"'!B:B"),Collègue!$C20,INDIRECT("'"&amp;$C$3&amp;"'!"&amp;Q$1),"C")=1,"C",""),"")</f>
        <v/>
      </c>
      <c r="R20" s="24" t="str">
        <f ca="1">IF(R$3&lt;&gt;"",IF(COUNTIFS(INDIRECT("'"&amp;$C$3&amp;"'!B:B"),Collègue!$C20,INDIRECT("'"&amp;$C$3&amp;"'!"&amp;R$1),"C")=1,"C",""),"")</f>
        <v/>
      </c>
      <c r="S20" s="24" t="str">
        <f ca="1">IF(S$3&lt;&gt;"",IF(COUNTIFS(INDIRECT("'"&amp;$C$3&amp;"'!B:B"),Collègue!$C20,INDIRECT("'"&amp;$C$3&amp;"'!"&amp;S$1),"C")=1,"C",""),"")</f>
        <v/>
      </c>
      <c r="T20" s="24" t="str">
        <f ca="1">IF(T$3&lt;&gt;"",IF(COUNTIFS(INDIRECT("'"&amp;$C$3&amp;"'!B:B"),Collègue!$C20,INDIRECT("'"&amp;$C$3&amp;"'!"&amp;T$1),"C")=1,"C",""),"")</f>
        <v/>
      </c>
      <c r="U20" s="24" t="str">
        <f ca="1">IF(U$3&lt;&gt;"",IF(COUNTIFS(INDIRECT("'"&amp;$C$3&amp;"'!B:B"),Collègue!$C20,INDIRECT("'"&amp;$C$3&amp;"'!"&amp;U$1),"C")=1,"C",""),"")</f>
        <v/>
      </c>
      <c r="V20" s="24" t="str">
        <f ca="1">IF(V$3&lt;&gt;"",IF(COUNTIFS(INDIRECT("'"&amp;$C$3&amp;"'!B:B"),Collègue!$C20,INDIRECT("'"&amp;$C$3&amp;"'!"&amp;V$1),"C")=1,"C",""),"")</f>
        <v/>
      </c>
      <c r="W20" s="24" t="str">
        <f ca="1">IF(W$3&lt;&gt;"",IF(COUNTIFS(INDIRECT("'"&amp;$C$3&amp;"'!B:B"),Collègue!$C20,INDIRECT("'"&amp;$C$3&amp;"'!"&amp;W$1),"C")=1,"C",""),"")</f>
        <v/>
      </c>
      <c r="X20" s="24" t="str">
        <f ca="1">IF(X$3&lt;&gt;"",IF(COUNTIFS(INDIRECT("'"&amp;$C$3&amp;"'!B:B"),Collègue!$C20,INDIRECT("'"&amp;$C$3&amp;"'!"&amp;X$1),"C")=1,"C",""),"")</f>
        <v/>
      </c>
      <c r="Y20" s="24" t="str">
        <f ca="1">IF(Y$3&lt;&gt;"",IF(COUNTIFS(INDIRECT("'"&amp;$C$3&amp;"'!B:B"),Collègue!$C20,INDIRECT("'"&amp;$C$3&amp;"'!"&amp;Y$1),"C")=1,"C",""),"")</f>
        <v/>
      </c>
      <c r="Z20" s="24" t="str">
        <f ca="1">IF(Z$3&lt;&gt;"",IF(COUNTIFS(INDIRECT("'"&amp;$C$3&amp;"'!B:B"),Collègue!$C20,INDIRECT("'"&amp;$C$3&amp;"'!"&amp;Z$1),"C")=1,"C",""),"")</f>
        <v/>
      </c>
      <c r="AA20" s="24" t="str">
        <f ca="1">IF(AA$3&lt;&gt;"",IF(COUNTIFS(INDIRECT("'"&amp;$C$3&amp;"'!B:B"),Collègue!$C20,INDIRECT("'"&amp;$C$3&amp;"'!"&amp;AA$1),"C")=1,"C",""),"")</f>
        <v/>
      </c>
      <c r="AB20" s="24" t="str">
        <f ca="1">IF(AB$3&lt;&gt;"",IF(COUNTIFS(INDIRECT("'"&amp;$C$3&amp;"'!B:B"),Collègue!$C20,INDIRECT("'"&amp;$C$3&amp;"'!"&amp;AB$1),"C")=1,"C",""),"")</f>
        <v/>
      </c>
      <c r="AC20" s="24" t="str">
        <f ca="1">IF(AC$3&lt;&gt;"",IF(COUNTIFS(INDIRECT("'"&amp;$C$3&amp;"'!B:B"),Collègue!$C20,INDIRECT("'"&amp;$C$3&amp;"'!"&amp;AC$1),"C")=1,"C",""),"")</f>
        <v/>
      </c>
      <c r="AD20" s="24" t="str">
        <f ca="1">IF(AD$3&lt;&gt;"",IF(COUNTIFS(INDIRECT("'"&amp;$C$3&amp;"'!B:B"),Collègue!$C20,INDIRECT("'"&amp;$C$3&amp;"'!"&amp;AD$1),"C")=1,"C",""),"")</f>
        <v/>
      </c>
      <c r="AE20" s="24" t="str">
        <f ca="1">IF(AE$3&lt;&gt;"",IF(COUNTIFS(INDIRECT("'"&amp;$C$3&amp;"'!B:B"),Collègue!$C20,INDIRECT("'"&amp;$C$3&amp;"'!"&amp;AE$1),"C")=1,"C",""),"")</f>
        <v/>
      </c>
      <c r="AF20" s="24" t="str">
        <f ca="1">IF(AF$3&lt;&gt;"",IF(COUNTIFS(INDIRECT("'"&amp;$C$3&amp;"'!B:B"),Collègue!$C20,INDIRECT("'"&amp;$C$3&amp;"'!"&amp;AF$1),"C")=1,"C",""),"")</f>
        <v/>
      </c>
      <c r="AG20" s="24" t="str">
        <f ca="1">IF(AG$3&lt;&gt;"",IF(COUNTIFS(INDIRECT("'"&amp;$C$3&amp;"'!B:B"),Collègue!$C20,INDIRECT("'"&amp;$C$3&amp;"'!"&amp;AG$1),"C")=1,"C",""),"")</f>
        <v/>
      </c>
      <c r="AH20" s="24" t="str">
        <f ca="1">IF(AH$3&lt;&gt;"",IF(COUNTIFS(INDIRECT("'"&amp;$C$3&amp;"'!B:B"),Collègue!$C20,INDIRECT("'"&amp;$C$3&amp;"'!"&amp;AH$1),"C")=1,"C",""),"")</f>
        <v/>
      </c>
      <c r="AI20" s="24" t="str">
        <f ca="1">IF(AI$3&lt;&gt;"",IF(COUNTIFS(INDIRECT("'"&amp;$C$3&amp;"'!B:B"),Collègue!$C20,INDIRECT("'"&amp;$C$3&amp;"'!"&amp;AI$1),"C")=1,"C",""),"")</f>
        <v/>
      </c>
    </row>
    <row r="21" spans="3:35" x14ac:dyDescent="0.25">
      <c r="C21" s="19" t="s">
        <v>79</v>
      </c>
      <c r="E21" s="24" t="str">
        <f ca="1">IF(E$3&lt;&gt;"",IF(COUNTIFS(INDIRECT("'"&amp;$C$3&amp;"'!B:B"),Collègue!$C21,INDIRECT("'"&amp;$C$3&amp;"'!"&amp;E$1),"C")=1,"C",""),"")</f>
        <v/>
      </c>
      <c r="F21" s="24" t="str">
        <f ca="1">IF(F$3&lt;&gt;"",IF(COUNTIFS(INDIRECT("'"&amp;$C$3&amp;"'!B:B"),Collègue!$C21,INDIRECT("'"&amp;$C$3&amp;"'!"&amp;F$1),"C")=1,"C",""),"")</f>
        <v/>
      </c>
      <c r="G21" s="24" t="str">
        <f ca="1">IF(G$3&lt;&gt;"",IF(COUNTIFS(INDIRECT("'"&amp;$C$3&amp;"'!B:B"),Collègue!$C21,INDIRECT("'"&amp;$C$3&amp;"'!"&amp;G$1),"C")=1,"C",""),"")</f>
        <v/>
      </c>
      <c r="H21" s="24" t="str">
        <f ca="1">IF(H$3&lt;&gt;"",IF(COUNTIFS(INDIRECT("'"&amp;$C$3&amp;"'!B:B"),Collègue!$C21,INDIRECT("'"&amp;$C$3&amp;"'!"&amp;H$1),"C")=1,"C",""),"")</f>
        <v/>
      </c>
      <c r="I21" s="24" t="str">
        <f ca="1">IF(I$3&lt;&gt;"",IF(COUNTIFS(INDIRECT("'"&amp;$C$3&amp;"'!B:B"),Collègue!$C21,INDIRECT("'"&amp;$C$3&amp;"'!"&amp;I$1),"C")=1,"C",""),"")</f>
        <v/>
      </c>
      <c r="J21" s="24" t="str">
        <f ca="1">IF(J$3&lt;&gt;"",IF(COUNTIFS(INDIRECT("'"&amp;$C$3&amp;"'!B:B"),Collègue!$C21,INDIRECT("'"&amp;$C$3&amp;"'!"&amp;J$1),"C")=1,"C",""),"")</f>
        <v/>
      </c>
      <c r="K21" s="24" t="str">
        <f ca="1">IF(K$3&lt;&gt;"",IF(COUNTIFS(INDIRECT("'"&amp;$C$3&amp;"'!B:B"),Collègue!$C21,INDIRECT("'"&amp;$C$3&amp;"'!"&amp;K$1),"C")=1,"C",""),"")</f>
        <v/>
      </c>
      <c r="L21" s="24" t="str">
        <f ca="1">IF(L$3&lt;&gt;"",IF(COUNTIFS(INDIRECT("'"&amp;$C$3&amp;"'!B:B"),Collègue!$C21,INDIRECT("'"&amp;$C$3&amp;"'!"&amp;L$1),"C")=1,"C",""),"")</f>
        <v/>
      </c>
      <c r="M21" s="24" t="str">
        <f ca="1">IF(M$3&lt;&gt;"",IF(COUNTIFS(INDIRECT("'"&amp;$C$3&amp;"'!B:B"),Collègue!$C21,INDIRECT("'"&amp;$C$3&amp;"'!"&amp;M$1),"C")=1,"C",""),"")</f>
        <v/>
      </c>
      <c r="N21" s="24" t="str">
        <f ca="1">IF(N$3&lt;&gt;"",IF(COUNTIFS(INDIRECT("'"&amp;$C$3&amp;"'!B:B"),Collègue!$C21,INDIRECT("'"&amp;$C$3&amp;"'!"&amp;N$1),"C")=1,"C",""),"")</f>
        <v/>
      </c>
      <c r="O21" s="24" t="str">
        <f ca="1">IF(O$3&lt;&gt;"",IF(COUNTIFS(INDIRECT("'"&amp;$C$3&amp;"'!B:B"),Collègue!$C21,INDIRECT("'"&amp;$C$3&amp;"'!"&amp;O$1),"C")=1,"C",""),"")</f>
        <v/>
      </c>
      <c r="P21" s="24" t="str">
        <f ca="1">IF(P$3&lt;&gt;"",IF(COUNTIFS(INDIRECT("'"&amp;$C$3&amp;"'!B:B"),Collègue!$C21,INDIRECT("'"&amp;$C$3&amp;"'!"&amp;P$1),"C")=1,"C",""),"")</f>
        <v/>
      </c>
      <c r="Q21" s="24" t="str">
        <f ca="1">IF(Q$3&lt;&gt;"",IF(COUNTIFS(INDIRECT("'"&amp;$C$3&amp;"'!B:B"),Collègue!$C21,INDIRECT("'"&amp;$C$3&amp;"'!"&amp;Q$1),"C")=1,"C",""),"")</f>
        <v/>
      </c>
      <c r="R21" s="24" t="str">
        <f ca="1">IF(R$3&lt;&gt;"",IF(COUNTIFS(INDIRECT("'"&amp;$C$3&amp;"'!B:B"),Collègue!$C21,INDIRECT("'"&amp;$C$3&amp;"'!"&amp;R$1),"C")=1,"C",""),"")</f>
        <v/>
      </c>
      <c r="S21" s="24" t="str">
        <f ca="1">IF(S$3&lt;&gt;"",IF(COUNTIFS(INDIRECT("'"&amp;$C$3&amp;"'!B:B"),Collègue!$C21,INDIRECT("'"&amp;$C$3&amp;"'!"&amp;S$1),"C")=1,"C",""),"")</f>
        <v/>
      </c>
      <c r="T21" s="24" t="str">
        <f ca="1">IF(T$3&lt;&gt;"",IF(COUNTIFS(INDIRECT("'"&amp;$C$3&amp;"'!B:B"),Collègue!$C21,INDIRECT("'"&amp;$C$3&amp;"'!"&amp;T$1),"C")=1,"C",""),"")</f>
        <v/>
      </c>
      <c r="U21" s="24" t="str">
        <f ca="1">IF(U$3&lt;&gt;"",IF(COUNTIFS(INDIRECT("'"&amp;$C$3&amp;"'!B:B"),Collègue!$C21,INDIRECT("'"&amp;$C$3&amp;"'!"&amp;U$1),"C")=1,"C",""),"")</f>
        <v/>
      </c>
      <c r="V21" s="24" t="str">
        <f ca="1">IF(V$3&lt;&gt;"",IF(COUNTIFS(INDIRECT("'"&amp;$C$3&amp;"'!B:B"),Collègue!$C21,INDIRECT("'"&amp;$C$3&amp;"'!"&amp;V$1),"C")=1,"C",""),"")</f>
        <v/>
      </c>
      <c r="W21" s="24" t="str">
        <f ca="1">IF(W$3&lt;&gt;"",IF(COUNTIFS(INDIRECT("'"&amp;$C$3&amp;"'!B:B"),Collègue!$C21,INDIRECT("'"&amp;$C$3&amp;"'!"&amp;W$1),"C")=1,"C",""),"")</f>
        <v/>
      </c>
      <c r="X21" s="24" t="str">
        <f ca="1">IF(X$3&lt;&gt;"",IF(COUNTIFS(INDIRECT("'"&amp;$C$3&amp;"'!B:B"),Collègue!$C21,INDIRECT("'"&amp;$C$3&amp;"'!"&amp;X$1),"C")=1,"C",""),"")</f>
        <v/>
      </c>
      <c r="Y21" s="24" t="str">
        <f ca="1">IF(Y$3&lt;&gt;"",IF(COUNTIFS(INDIRECT("'"&amp;$C$3&amp;"'!B:B"),Collègue!$C21,INDIRECT("'"&amp;$C$3&amp;"'!"&amp;Y$1),"C")=1,"C",""),"")</f>
        <v/>
      </c>
      <c r="Z21" s="24" t="str">
        <f ca="1">IF(Z$3&lt;&gt;"",IF(COUNTIFS(INDIRECT("'"&amp;$C$3&amp;"'!B:B"),Collègue!$C21,INDIRECT("'"&amp;$C$3&amp;"'!"&amp;Z$1),"C")=1,"C",""),"")</f>
        <v/>
      </c>
      <c r="AA21" s="24" t="str">
        <f ca="1">IF(AA$3&lt;&gt;"",IF(COUNTIFS(INDIRECT("'"&amp;$C$3&amp;"'!B:B"),Collègue!$C21,INDIRECT("'"&amp;$C$3&amp;"'!"&amp;AA$1),"C")=1,"C",""),"")</f>
        <v/>
      </c>
      <c r="AB21" s="24" t="str">
        <f ca="1">IF(AB$3&lt;&gt;"",IF(COUNTIFS(INDIRECT("'"&amp;$C$3&amp;"'!B:B"),Collègue!$C21,INDIRECT("'"&amp;$C$3&amp;"'!"&amp;AB$1),"C")=1,"C",""),"")</f>
        <v/>
      </c>
      <c r="AC21" s="24" t="str">
        <f ca="1">IF(AC$3&lt;&gt;"",IF(COUNTIFS(INDIRECT("'"&amp;$C$3&amp;"'!B:B"),Collègue!$C21,INDIRECT("'"&amp;$C$3&amp;"'!"&amp;AC$1),"C")=1,"C",""),"")</f>
        <v/>
      </c>
      <c r="AD21" s="24" t="str">
        <f ca="1">IF(AD$3&lt;&gt;"",IF(COUNTIFS(INDIRECT("'"&amp;$C$3&amp;"'!B:B"),Collègue!$C21,INDIRECT("'"&amp;$C$3&amp;"'!"&amp;AD$1),"C")=1,"C",""),"")</f>
        <v/>
      </c>
      <c r="AE21" s="24" t="str">
        <f ca="1">IF(AE$3&lt;&gt;"",IF(COUNTIFS(INDIRECT("'"&amp;$C$3&amp;"'!B:B"),Collègue!$C21,INDIRECT("'"&amp;$C$3&amp;"'!"&amp;AE$1),"C")=1,"C",""),"")</f>
        <v/>
      </c>
      <c r="AF21" s="24" t="str">
        <f ca="1">IF(AF$3&lt;&gt;"",IF(COUNTIFS(INDIRECT("'"&amp;$C$3&amp;"'!B:B"),Collègue!$C21,INDIRECT("'"&amp;$C$3&amp;"'!"&amp;AF$1),"C")=1,"C",""),"")</f>
        <v/>
      </c>
      <c r="AG21" s="24" t="str">
        <f ca="1">IF(AG$3&lt;&gt;"",IF(COUNTIFS(INDIRECT("'"&amp;$C$3&amp;"'!B:B"),Collègue!$C21,INDIRECT("'"&amp;$C$3&amp;"'!"&amp;AG$1),"C")=1,"C",""),"")</f>
        <v/>
      </c>
      <c r="AH21" s="24" t="str">
        <f ca="1">IF(AH$3&lt;&gt;"",IF(COUNTIFS(INDIRECT("'"&amp;$C$3&amp;"'!B:B"),Collègue!$C21,INDIRECT("'"&amp;$C$3&amp;"'!"&amp;AH$1),"C")=1,"C",""),"")</f>
        <v/>
      </c>
      <c r="AI21" s="24" t="str">
        <f ca="1">IF(AI$3&lt;&gt;"",IF(COUNTIFS(INDIRECT("'"&amp;$C$3&amp;"'!B:B"),Collègue!$C21,INDIRECT("'"&amp;$C$3&amp;"'!"&amp;AI$1),"C")=1,"C",""),"")</f>
        <v/>
      </c>
    </row>
    <row r="22" spans="3:35" x14ac:dyDescent="0.25">
      <c r="C22" s="19" t="s">
        <v>80</v>
      </c>
      <c r="E22" s="24" t="str">
        <f ca="1">IF(E$3&lt;&gt;"",IF(COUNTIFS(INDIRECT("'"&amp;$C$3&amp;"'!B:B"),Collègue!$C22,INDIRECT("'"&amp;$C$3&amp;"'!"&amp;E$1),"C")=1,"C",""),"")</f>
        <v/>
      </c>
      <c r="F22" s="24" t="str">
        <f ca="1">IF(F$3&lt;&gt;"",IF(COUNTIFS(INDIRECT("'"&amp;$C$3&amp;"'!B:B"),Collègue!$C22,INDIRECT("'"&amp;$C$3&amp;"'!"&amp;F$1),"C")=1,"C",""),"")</f>
        <v/>
      </c>
      <c r="G22" s="24" t="str">
        <f ca="1">IF(G$3&lt;&gt;"",IF(COUNTIFS(INDIRECT("'"&amp;$C$3&amp;"'!B:B"),Collègue!$C22,INDIRECT("'"&amp;$C$3&amp;"'!"&amp;G$1),"C")=1,"C",""),"")</f>
        <v/>
      </c>
      <c r="H22" s="24" t="str">
        <f ca="1">IF(H$3&lt;&gt;"",IF(COUNTIFS(INDIRECT("'"&amp;$C$3&amp;"'!B:B"),Collègue!$C22,INDIRECT("'"&amp;$C$3&amp;"'!"&amp;H$1),"C")=1,"C",""),"")</f>
        <v/>
      </c>
      <c r="I22" s="24" t="str">
        <f ca="1">IF(I$3&lt;&gt;"",IF(COUNTIFS(INDIRECT("'"&amp;$C$3&amp;"'!B:B"),Collègue!$C22,INDIRECT("'"&amp;$C$3&amp;"'!"&amp;I$1),"C")=1,"C",""),"")</f>
        <v/>
      </c>
      <c r="J22" s="24" t="str">
        <f ca="1">IF(J$3&lt;&gt;"",IF(COUNTIFS(INDIRECT("'"&amp;$C$3&amp;"'!B:B"),Collègue!$C22,INDIRECT("'"&amp;$C$3&amp;"'!"&amp;J$1),"C")=1,"C",""),"")</f>
        <v/>
      </c>
      <c r="K22" s="24" t="str">
        <f ca="1">IF(K$3&lt;&gt;"",IF(COUNTIFS(INDIRECT("'"&amp;$C$3&amp;"'!B:B"),Collègue!$C22,INDIRECT("'"&amp;$C$3&amp;"'!"&amp;K$1),"C")=1,"C",""),"")</f>
        <v/>
      </c>
      <c r="L22" s="24" t="str">
        <f ca="1">IF(L$3&lt;&gt;"",IF(COUNTIFS(INDIRECT("'"&amp;$C$3&amp;"'!B:B"),Collègue!$C22,INDIRECT("'"&amp;$C$3&amp;"'!"&amp;L$1),"C")=1,"C",""),"")</f>
        <v/>
      </c>
      <c r="M22" s="24" t="str">
        <f ca="1">IF(M$3&lt;&gt;"",IF(COUNTIFS(INDIRECT("'"&amp;$C$3&amp;"'!B:B"),Collègue!$C22,INDIRECT("'"&amp;$C$3&amp;"'!"&amp;M$1),"C")=1,"C",""),"")</f>
        <v/>
      </c>
      <c r="N22" s="24" t="str">
        <f ca="1">IF(N$3&lt;&gt;"",IF(COUNTIFS(INDIRECT("'"&amp;$C$3&amp;"'!B:B"),Collègue!$C22,INDIRECT("'"&amp;$C$3&amp;"'!"&amp;N$1),"C")=1,"C",""),"")</f>
        <v/>
      </c>
      <c r="O22" s="24" t="str">
        <f ca="1">IF(O$3&lt;&gt;"",IF(COUNTIFS(INDIRECT("'"&amp;$C$3&amp;"'!B:B"),Collègue!$C22,INDIRECT("'"&amp;$C$3&amp;"'!"&amp;O$1),"C")=1,"C",""),"")</f>
        <v/>
      </c>
      <c r="P22" s="24" t="str">
        <f ca="1">IF(P$3&lt;&gt;"",IF(COUNTIFS(INDIRECT("'"&amp;$C$3&amp;"'!B:B"),Collègue!$C22,INDIRECT("'"&amp;$C$3&amp;"'!"&amp;P$1),"C")=1,"C",""),"")</f>
        <v/>
      </c>
      <c r="Q22" s="24" t="str">
        <f ca="1">IF(Q$3&lt;&gt;"",IF(COUNTIFS(INDIRECT("'"&amp;$C$3&amp;"'!B:B"),Collègue!$C22,INDIRECT("'"&amp;$C$3&amp;"'!"&amp;Q$1),"C")=1,"C",""),"")</f>
        <v/>
      </c>
      <c r="R22" s="24" t="str">
        <f ca="1">IF(R$3&lt;&gt;"",IF(COUNTIFS(INDIRECT("'"&amp;$C$3&amp;"'!B:B"),Collègue!$C22,INDIRECT("'"&amp;$C$3&amp;"'!"&amp;R$1),"C")=1,"C",""),"")</f>
        <v/>
      </c>
      <c r="S22" s="24" t="str">
        <f ca="1">IF(S$3&lt;&gt;"",IF(COUNTIFS(INDIRECT("'"&amp;$C$3&amp;"'!B:B"),Collègue!$C22,INDIRECT("'"&amp;$C$3&amp;"'!"&amp;S$1),"C")=1,"C",""),"")</f>
        <v/>
      </c>
      <c r="T22" s="24" t="str">
        <f ca="1">IF(T$3&lt;&gt;"",IF(COUNTIFS(INDIRECT("'"&amp;$C$3&amp;"'!B:B"),Collègue!$C22,INDIRECT("'"&amp;$C$3&amp;"'!"&amp;T$1),"C")=1,"C",""),"")</f>
        <v/>
      </c>
      <c r="U22" s="24" t="str">
        <f ca="1">IF(U$3&lt;&gt;"",IF(COUNTIFS(INDIRECT("'"&amp;$C$3&amp;"'!B:B"),Collègue!$C22,INDIRECT("'"&amp;$C$3&amp;"'!"&amp;U$1),"C")=1,"C",""),"")</f>
        <v/>
      </c>
      <c r="V22" s="24" t="str">
        <f ca="1">IF(V$3&lt;&gt;"",IF(COUNTIFS(INDIRECT("'"&amp;$C$3&amp;"'!B:B"),Collègue!$C22,INDIRECT("'"&amp;$C$3&amp;"'!"&amp;V$1),"C")=1,"C",""),"")</f>
        <v/>
      </c>
      <c r="W22" s="24" t="str">
        <f ca="1">IF(W$3&lt;&gt;"",IF(COUNTIFS(INDIRECT("'"&amp;$C$3&amp;"'!B:B"),Collègue!$C22,INDIRECT("'"&amp;$C$3&amp;"'!"&amp;W$1),"C")=1,"C",""),"")</f>
        <v/>
      </c>
      <c r="X22" s="24" t="str">
        <f ca="1">IF(X$3&lt;&gt;"",IF(COUNTIFS(INDIRECT("'"&amp;$C$3&amp;"'!B:B"),Collègue!$C22,INDIRECT("'"&amp;$C$3&amp;"'!"&amp;X$1),"C")=1,"C",""),"")</f>
        <v/>
      </c>
      <c r="Y22" s="24" t="str">
        <f ca="1">IF(Y$3&lt;&gt;"",IF(COUNTIFS(INDIRECT("'"&amp;$C$3&amp;"'!B:B"),Collègue!$C22,INDIRECT("'"&amp;$C$3&amp;"'!"&amp;Y$1),"C")=1,"C",""),"")</f>
        <v/>
      </c>
      <c r="Z22" s="24" t="str">
        <f ca="1">IF(Z$3&lt;&gt;"",IF(COUNTIFS(INDIRECT("'"&amp;$C$3&amp;"'!B:B"),Collègue!$C22,INDIRECT("'"&amp;$C$3&amp;"'!"&amp;Z$1),"C")=1,"C",""),"")</f>
        <v/>
      </c>
      <c r="AA22" s="24" t="str">
        <f ca="1">IF(AA$3&lt;&gt;"",IF(COUNTIFS(INDIRECT("'"&amp;$C$3&amp;"'!B:B"),Collègue!$C22,INDIRECT("'"&amp;$C$3&amp;"'!"&amp;AA$1),"C")=1,"C",""),"")</f>
        <v/>
      </c>
      <c r="AB22" s="24" t="str">
        <f ca="1">IF(AB$3&lt;&gt;"",IF(COUNTIFS(INDIRECT("'"&amp;$C$3&amp;"'!B:B"),Collègue!$C22,INDIRECT("'"&amp;$C$3&amp;"'!"&amp;AB$1),"C")=1,"C",""),"")</f>
        <v/>
      </c>
      <c r="AC22" s="24" t="str">
        <f ca="1">IF(AC$3&lt;&gt;"",IF(COUNTIFS(INDIRECT("'"&amp;$C$3&amp;"'!B:B"),Collègue!$C22,INDIRECT("'"&amp;$C$3&amp;"'!"&amp;AC$1),"C")=1,"C",""),"")</f>
        <v/>
      </c>
      <c r="AD22" s="24" t="str">
        <f ca="1">IF(AD$3&lt;&gt;"",IF(COUNTIFS(INDIRECT("'"&amp;$C$3&amp;"'!B:B"),Collègue!$C22,INDIRECT("'"&amp;$C$3&amp;"'!"&amp;AD$1),"C")=1,"C",""),"")</f>
        <v/>
      </c>
      <c r="AE22" s="24" t="str">
        <f ca="1">IF(AE$3&lt;&gt;"",IF(COUNTIFS(INDIRECT("'"&amp;$C$3&amp;"'!B:B"),Collègue!$C22,INDIRECT("'"&amp;$C$3&amp;"'!"&amp;AE$1),"C")=1,"C",""),"")</f>
        <v/>
      </c>
      <c r="AF22" s="24" t="str">
        <f ca="1">IF(AF$3&lt;&gt;"",IF(COUNTIFS(INDIRECT("'"&amp;$C$3&amp;"'!B:B"),Collègue!$C22,INDIRECT("'"&amp;$C$3&amp;"'!"&amp;AF$1),"C")=1,"C",""),"")</f>
        <v/>
      </c>
      <c r="AG22" s="24" t="str">
        <f ca="1">IF(AG$3&lt;&gt;"",IF(COUNTIFS(INDIRECT("'"&amp;$C$3&amp;"'!B:B"),Collègue!$C22,INDIRECT("'"&amp;$C$3&amp;"'!"&amp;AG$1),"C")=1,"C",""),"")</f>
        <v/>
      </c>
      <c r="AH22" s="24" t="str">
        <f ca="1">IF(AH$3&lt;&gt;"",IF(COUNTIFS(INDIRECT("'"&amp;$C$3&amp;"'!B:B"),Collègue!$C22,INDIRECT("'"&amp;$C$3&amp;"'!"&amp;AH$1),"C")=1,"C",""),"")</f>
        <v/>
      </c>
      <c r="AI22" s="24" t="str">
        <f ca="1">IF(AI$3&lt;&gt;"",IF(COUNTIFS(INDIRECT("'"&amp;$C$3&amp;"'!B:B"),Collègue!$C22,INDIRECT("'"&amp;$C$3&amp;"'!"&amp;AI$1),"C")=1,"C",""),"")</f>
        <v/>
      </c>
    </row>
    <row r="23" spans="3:35" x14ac:dyDescent="0.25">
      <c r="C23" s="19" t="s">
        <v>81</v>
      </c>
      <c r="E23" s="24" t="str">
        <f ca="1">IF(E$3&lt;&gt;"",IF(COUNTIFS(INDIRECT("'"&amp;$C$3&amp;"'!B:B"),Collègue!$C23,INDIRECT("'"&amp;$C$3&amp;"'!"&amp;E$1),"C")=1,"C",""),"")</f>
        <v/>
      </c>
      <c r="F23" s="24" t="str">
        <f ca="1">IF(F$3&lt;&gt;"",IF(COUNTIFS(INDIRECT("'"&amp;$C$3&amp;"'!B:B"),Collègue!$C23,INDIRECT("'"&amp;$C$3&amp;"'!"&amp;F$1),"C")=1,"C",""),"")</f>
        <v/>
      </c>
      <c r="G23" s="24" t="str">
        <f ca="1">IF(G$3&lt;&gt;"",IF(COUNTIFS(INDIRECT("'"&amp;$C$3&amp;"'!B:B"),Collègue!$C23,INDIRECT("'"&amp;$C$3&amp;"'!"&amp;G$1),"C")=1,"C",""),"")</f>
        <v/>
      </c>
      <c r="H23" s="24" t="str">
        <f ca="1">IF(H$3&lt;&gt;"",IF(COUNTIFS(INDIRECT("'"&amp;$C$3&amp;"'!B:B"),Collègue!$C23,INDIRECT("'"&amp;$C$3&amp;"'!"&amp;H$1),"C")=1,"C",""),"")</f>
        <v/>
      </c>
      <c r="I23" s="24" t="str">
        <f ca="1">IF(I$3&lt;&gt;"",IF(COUNTIFS(INDIRECT("'"&amp;$C$3&amp;"'!B:B"),Collègue!$C23,INDIRECT("'"&amp;$C$3&amp;"'!"&amp;I$1),"C")=1,"C",""),"")</f>
        <v/>
      </c>
      <c r="J23" s="24" t="str">
        <f ca="1">IF(J$3&lt;&gt;"",IF(COUNTIFS(INDIRECT("'"&amp;$C$3&amp;"'!B:B"),Collègue!$C23,INDIRECT("'"&amp;$C$3&amp;"'!"&amp;J$1),"C")=1,"C",""),"")</f>
        <v/>
      </c>
      <c r="K23" s="24" t="str">
        <f ca="1">IF(K$3&lt;&gt;"",IF(COUNTIFS(INDIRECT("'"&amp;$C$3&amp;"'!B:B"),Collègue!$C23,INDIRECT("'"&amp;$C$3&amp;"'!"&amp;K$1),"C")=1,"C",""),"")</f>
        <v/>
      </c>
      <c r="L23" s="24" t="str">
        <f ca="1">IF(L$3&lt;&gt;"",IF(COUNTIFS(INDIRECT("'"&amp;$C$3&amp;"'!B:B"),Collègue!$C23,INDIRECT("'"&amp;$C$3&amp;"'!"&amp;L$1),"C")=1,"C",""),"")</f>
        <v/>
      </c>
      <c r="M23" s="24" t="str">
        <f ca="1">IF(M$3&lt;&gt;"",IF(COUNTIFS(INDIRECT("'"&amp;$C$3&amp;"'!B:B"),Collègue!$C23,INDIRECT("'"&amp;$C$3&amp;"'!"&amp;M$1),"C")=1,"C",""),"")</f>
        <v/>
      </c>
      <c r="N23" s="24" t="str">
        <f ca="1">IF(N$3&lt;&gt;"",IF(COUNTIFS(INDIRECT("'"&amp;$C$3&amp;"'!B:B"),Collègue!$C23,INDIRECT("'"&amp;$C$3&amp;"'!"&amp;N$1),"C")=1,"C",""),"")</f>
        <v/>
      </c>
      <c r="O23" s="24" t="str">
        <f ca="1">IF(O$3&lt;&gt;"",IF(COUNTIFS(INDIRECT("'"&amp;$C$3&amp;"'!B:B"),Collègue!$C23,INDIRECT("'"&amp;$C$3&amp;"'!"&amp;O$1),"C")=1,"C",""),"")</f>
        <v/>
      </c>
      <c r="P23" s="24" t="str">
        <f ca="1">IF(P$3&lt;&gt;"",IF(COUNTIFS(INDIRECT("'"&amp;$C$3&amp;"'!B:B"),Collègue!$C23,INDIRECT("'"&amp;$C$3&amp;"'!"&amp;P$1),"C")=1,"C",""),"")</f>
        <v/>
      </c>
      <c r="Q23" s="24" t="str">
        <f ca="1">IF(Q$3&lt;&gt;"",IF(COUNTIFS(INDIRECT("'"&amp;$C$3&amp;"'!B:B"),Collègue!$C23,INDIRECT("'"&amp;$C$3&amp;"'!"&amp;Q$1),"C")=1,"C",""),"")</f>
        <v/>
      </c>
      <c r="R23" s="24" t="str">
        <f ca="1">IF(R$3&lt;&gt;"",IF(COUNTIFS(INDIRECT("'"&amp;$C$3&amp;"'!B:B"),Collègue!$C23,INDIRECT("'"&amp;$C$3&amp;"'!"&amp;R$1),"C")=1,"C",""),"")</f>
        <v/>
      </c>
      <c r="S23" s="24" t="str">
        <f ca="1">IF(S$3&lt;&gt;"",IF(COUNTIFS(INDIRECT("'"&amp;$C$3&amp;"'!B:B"),Collègue!$C23,INDIRECT("'"&amp;$C$3&amp;"'!"&amp;S$1),"C")=1,"C",""),"")</f>
        <v/>
      </c>
      <c r="T23" s="24" t="str">
        <f ca="1">IF(T$3&lt;&gt;"",IF(COUNTIFS(INDIRECT("'"&amp;$C$3&amp;"'!B:B"),Collègue!$C23,INDIRECT("'"&amp;$C$3&amp;"'!"&amp;T$1),"C")=1,"C",""),"")</f>
        <v/>
      </c>
      <c r="U23" s="24" t="str">
        <f ca="1">IF(U$3&lt;&gt;"",IF(COUNTIFS(INDIRECT("'"&amp;$C$3&amp;"'!B:B"),Collègue!$C23,INDIRECT("'"&amp;$C$3&amp;"'!"&amp;U$1),"C")=1,"C",""),"")</f>
        <v/>
      </c>
      <c r="V23" s="24" t="str">
        <f ca="1">IF(V$3&lt;&gt;"",IF(COUNTIFS(INDIRECT("'"&amp;$C$3&amp;"'!B:B"),Collègue!$C23,INDIRECT("'"&amp;$C$3&amp;"'!"&amp;V$1),"C")=1,"C",""),"")</f>
        <v/>
      </c>
      <c r="W23" s="24" t="str">
        <f ca="1">IF(W$3&lt;&gt;"",IF(COUNTIFS(INDIRECT("'"&amp;$C$3&amp;"'!B:B"),Collègue!$C23,INDIRECT("'"&amp;$C$3&amp;"'!"&amp;W$1),"C")=1,"C",""),"")</f>
        <v/>
      </c>
      <c r="X23" s="24" t="str">
        <f ca="1">IF(X$3&lt;&gt;"",IF(COUNTIFS(INDIRECT("'"&amp;$C$3&amp;"'!B:B"),Collègue!$C23,INDIRECT("'"&amp;$C$3&amp;"'!"&amp;X$1),"C")=1,"C",""),"")</f>
        <v/>
      </c>
      <c r="Y23" s="24" t="str">
        <f ca="1">IF(Y$3&lt;&gt;"",IF(COUNTIFS(INDIRECT("'"&amp;$C$3&amp;"'!B:B"),Collègue!$C23,INDIRECT("'"&amp;$C$3&amp;"'!"&amp;Y$1),"C")=1,"C",""),"")</f>
        <v/>
      </c>
      <c r="Z23" s="24" t="str">
        <f ca="1">IF(Z$3&lt;&gt;"",IF(COUNTIFS(INDIRECT("'"&amp;$C$3&amp;"'!B:B"),Collègue!$C23,INDIRECT("'"&amp;$C$3&amp;"'!"&amp;Z$1),"C")=1,"C",""),"")</f>
        <v/>
      </c>
      <c r="AA23" s="24" t="str">
        <f ca="1">IF(AA$3&lt;&gt;"",IF(COUNTIFS(INDIRECT("'"&amp;$C$3&amp;"'!B:B"),Collègue!$C23,INDIRECT("'"&amp;$C$3&amp;"'!"&amp;AA$1),"C")=1,"C",""),"")</f>
        <v/>
      </c>
      <c r="AB23" s="24" t="str">
        <f ca="1">IF(AB$3&lt;&gt;"",IF(COUNTIFS(INDIRECT("'"&amp;$C$3&amp;"'!B:B"),Collègue!$C23,INDIRECT("'"&amp;$C$3&amp;"'!"&amp;AB$1),"C")=1,"C",""),"")</f>
        <v/>
      </c>
      <c r="AC23" s="24" t="str">
        <f ca="1">IF(AC$3&lt;&gt;"",IF(COUNTIFS(INDIRECT("'"&amp;$C$3&amp;"'!B:B"),Collègue!$C23,INDIRECT("'"&amp;$C$3&amp;"'!"&amp;AC$1),"C")=1,"C",""),"")</f>
        <v/>
      </c>
      <c r="AD23" s="24" t="str">
        <f ca="1">IF(AD$3&lt;&gt;"",IF(COUNTIFS(INDIRECT("'"&amp;$C$3&amp;"'!B:B"),Collègue!$C23,INDIRECT("'"&amp;$C$3&amp;"'!"&amp;AD$1),"C")=1,"C",""),"")</f>
        <v/>
      </c>
      <c r="AE23" s="24" t="str">
        <f ca="1">IF(AE$3&lt;&gt;"",IF(COUNTIFS(INDIRECT("'"&amp;$C$3&amp;"'!B:B"),Collègue!$C23,INDIRECT("'"&amp;$C$3&amp;"'!"&amp;AE$1),"C")=1,"C",""),"")</f>
        <v/>
      </c>
      <c r="AF23" s="24" t="str">
        <f ca="1">IF(AF$3&lt;&gt;"",IF(COUNTIFS(INDIRECT("'"&amp;$C$3&amp;"'!B:B"),Collègue!$C23,INDIRECT("'"&amp;$C$3&amp;"'!"&amp;AF$1),"C")=1,"C",""),"")</f>
        <v/>
      </c>
      <c r="AG23" s="24" t="str">
        <f ca="1">IF(AG$3&lt;&gt;"",IF(COUNTIFS(INDIRECT("'"&amp;$C$3&amp;"'!B:B"),Collègue!$C23,INDIRECT("'"&amp;$C$3&amp;"'!"&amp;AG$1),"C")=1,"C",""),"")</f>
        <v/>
      </c>
      <c r="AH23" s="24" t="str">
        <f ca="1">IF(AH$3&lt;&gt;"",IF(COUNTIFS(INDIRECT("'"&amp;$C$3&amp;"'!B:B"),Collègue!$C23,INDIRECT("'"&amp;$C$3&amp;"'!"&amp;AH$1),"C")=1,"C",""),"")</f>
        <v/>
      </c>
      <c r="AI23" s="24" t="str">
        <f ca="1">IF(AI$3&lt;&gt;"",IF(COUNTIFS(INDIRECT("'"&amp;$C$3&amp;"'!B:B"),Collègue!$C23,INDIRECT("'"&amp;$C$3&amp;"'!"&amp;AI$1),"C")=1,"C",""),"")</f>
        <v/>
      </c>
    </row>
    <row r="24" spans="3:35" x14ac:dyDescent="0.25">
      <c r="C24" s="19" t="s">
        <v>82</v>
      </c>
      <c r="E24" s="24" t="str">
        <f ca="1">IF(E$3&lt;&gt;"",IF(COUNTIFS(INDIRECT("'"&amp;$C$3&amp;"'!B:B"),Collègue!$C24,INDIRECT("'"&amp;$C$3&amp;"'!"&amp;E$1),"C")=1,"C",""),"")</f>
        <v/>
      </c>
      <c r="F24" s="24" t="str">
        <f ca="1">IF(F$3&lt;&gt;"",IF(COUNTIFS(INDIRECT("'"&amp;$C$3&amp;"'!B:B"),Collègue!$C24,INDIRECT("'"&amp;$C$3&amp;"'!"&amp;F$1),"C")=1,"C",""),"")</f>
        <v/>
      </c>
      <c r="G24" s="24" t="str">
        <f ca="1">IF(G$3&lt;&gt;"",IF(COUNTIFS(INDIRECT("'"&amp;$C$3&amp;"'!B:B"),Collègue!$C24,INDIRECT("'"&amp;$C$3&amp;"'!"&amp;G$1),"C")=1,"C",""),"")</f>
        <v/>
      </c>
      <c r="H24" s="24" t="str">
        <f ca="1">IF(H$3&lt;&gt;"",IF(COUNTIFS(INDIRECT("'"&amp;$C$3&amp;"'!B:B"),Collègue!$C24,INDIRECT("'"&amp;$C$3&amp;"'!"&amp;H$1),"C")=1,"C",""),"")</f>
        <v/>
      </c>
      <c r="I24" s="24" t="str">
        <f ca="1">IF(I$3&lt;&gt;"",IF(COUNTIFS(INDIRECT("'"&amp;$C$3&amp;"'!B:B"),Collègue!$C24,INDIRECT("'"&amp;$C$3&amp;"'!"&amp;I$1),"C")=1,"C",""),"")</f>
        <v/>
      </c>
      <c r="J24" s="24" t="str">
        <f ca="1">IF(J$3&lt;&gt;"",IF(COUNTIFS(INDIRECT("'"&amp;$C$3&amp;"'!B:B"),Collègue!$C24,INDIRECT("'"&amp;$C$3&amp;"'!"&amp;J$1),"C")=1,"C",""),"")</f>
        <v/>
      </c>
      <c r="K24" s="24" t="str">
        <f ca="1">IF(K$3&lt;&gt;"",IF(COUNTIFS(INDIRECT("'"&amp;$C$3&amp;"'!B:B"),Collègue!$C24,INDIRECT("'"&amp;$C$3&amp;"'!"&amp;K$1),"C")=1,"C",""),"")</f>
        <v/>
      </c>
      <c r="L24" s="24" t="str">
        <f ca="1">IF(L$3&lt;&gt;"",IF(COUNTIFS(INDIRECT("'"&amp;$C$3&amp;"'!B:B"),Collègue!$C24,INDIRECT("'"&amp;$C$3&amp;"'!"&amp;L$1),"C")=1,"C",""),"")</f>
        <v/>
      </c>
      <c r="M24" s="24" t="str">
        <f ca="1">IF(M$3&lt;&gt;"",IF(COUNTIFS(INDIRECT("'"&amp;$C$3&amp;"'!B:B"),Collègue!$C24,INDIRECT("'"&amp;$C$3&amp;"'!"&amp;M$1),"C")=1,"C",""),"")</f>
        <v/>
      </c>
      <c r="N24" s="24" t="str">
        <f ca="1">IF(N$3&lt;&gt;"",IF(COUNTIFS(INDIRECT("'"&amp;$C$3&amp;"'!B:B"),Collègue!$C24,INDIRECT("'"&amp;$C$3&amp;"'!"&amp;N$1),"C")=1,"C",""),"")</f>
        <v/>
      </c>
      <c r="O24" s="24" t="str">
        <f ca="1">IF(O$3&lt;&gt;"",IF(COUNTIFS(INDIRECT("'"&amp;$C$3&amp;"'!B:B"),Collègue!$C24,INDIRECT("'"&amp;$C$3&amp;"'!"&amp;O$1),"C")=1,"C",""),"")</f>
        <v/>
      </c>
      <c r="P24" s="24" t="str">
        <f ca="1">IF(P$3&lt;&gt;"",IF(COUNTIFS(INDIRECT("'"&amp;$C$3&amp;"'!B:B"),Collègue!$C24,INDIRECT("'"&amp;$C$3&amp;"'!"&amp;P$1),"C")=1,"C",""),"")</f>
        <v/>
      </c>
      <c r="Q24" s="24" t="str">
        <f ca="1">IF(Q$3&lt;&gt;"",IF(COUNTIFS(INDIRECT("'"&amp;$C$3&amp;"'!B:B"),Collègue!$C24,INDIRECT("'"&amp;$C$3&amp;"'!"&amp;Q$1),"C")=1,"C",""),"")</f>
        <v/>
      </c>
      <c r="R24" s="24" t="str">
        <f ca="1">IF(R$3&lt;&gt;"",IF(COUNTIFS(INDIRECT("'"&amp;$C$3&amp;"'!B:B"),Collègue!$C24,INDIRECT("'"&amp;$C$3&amp;"'!"&amp;R$1),"C")=1,"C",""),"")</f>
        <v/>
      </c>
      <c r="S24" s="24" t="str">
        <f ca="1">IF(S$3&lt;&gt;"",IF(COUNTIFS(INDIRECT("'"&amp;$C$3&amp;"'!B:B"),Collègue!$C24,INDIRECT("'"&amp;$C$3&amp;"'!"&amp;S$1),"C")=1,"C",""),"")</f>
        <v/>
      </c>
      <c r="T24" s="24" t="str">
        <f ca="1">IF(T$3&lt;&gt;"",IF(COUNTIFS(INDIRECT("'"&amp;$C$3&amp;"'!B:B"),Collègue!$C24,INDIRECT("'"&amp;$C$3&amp;"'!"&amp;T$1),"C")=1,"C",""),"")</f>
        <v/>
      </c>
      <c r="U24" s="24" t="str">
        <f ca="1">IF(U$3&lt;&gt;"",IF(COUNTIFS(INDIRECT("'"&amp;$C$3&amp;"'!B:B"),Collègue!$C24,INDIRECT("'"&amp;$C$3&amp;"'!"&amp;U$1),"C")=1,"C",""),"")</f>
        <v/>
      </c>
      <c r="V24" s="24" t="str">
        <f ca="1">IF(V$3&lt;&gt;"",IF(COUNTIFS(INDIRECT("'"&amp;$C$3&amp;"'!B:B"),Collègue!$C24,INDIRECT("'"&amp;$C$3&amp;"'!"&amp;V$1),"C")=1,"C",""),"")</f>
        <v/>
      </c>
      <c r="W24" s="24" t="str">
        <f ca="1">IF(W$3&lt;&gt;"",IF(COUNTIFS(INDIRECT("'"&amp;$C$3&amp;"'!B:B"),Collègue!$C24,INDIRECT("'"&amp;$C$3&amp;"'!"&amp;W$1),"C")=1,"C",""),"")</f>
        <v/>
      </c>
      <c r="X24" s="24" t="str">
        <f ca="1">IF(X$3&lt;&gt;"",IF(COUNTIFS(INDIRECT("'"&amp;$C$3&amp;"'!B:B"),Collègue!$C24,INDIRECT("'"&amp;$C$3&amp;"'!"&amp;X$1),"C")=1,"C",""),"")</f>
        <v/>
      </c>
      <c r="Y24" s="24" t="str">
        <f ca="1">IF(Y$3&lt;&gt;"",IF(COUNTIFS(INDIRECT("'"&amp;$C$3&amp;"'!B:B"),Collègue!$C24,INDIRECT("'"&amp;$C$3&amp;"'!"&amp;Y$1),"C")=1,"C",""),"")</f>
        <v/>
      </c>
      <c r="Z24" s="24" t="str">
        <f ca="1">IF(Z$3&lt;&gt;"",IF(COUNTIFS(INDIRECT("'"&amp;$C$3&amp;"'!B:B"),Collègue!$C24,INDIRECT("'"&amp;$C$3&amp;"'!"&amp;Z$1),"C")=1,"C",""),"")</f>
        <v/>
      </c>
      <c r="AA24" s="24" t="str">
        <f ca="1">IF(AA$3&lt;&gt;"",IF(COUNTIFS(INDIRECT("'"&amp;$C$3&amp;"'!B:B"),Collègue!$C24,INDIRECT("'"&amp;$C$3&amp;"'!"&amp;AA$1),"C")=1,"C",""),"")</f>
        <v/>
      </c>
      <c r="AB24" s="24" t="str">
        <f ca="1">IF(AB$3&lt;&gt;"",IF(COUNTIFS(INDIRECT("'"&amp;$C$3&amp;"'!B:B"),Collègue!$C24,INDIRECT("'"&amp;$C$3&amp;"'!"&amp;AB$1),"C")=1,"C",""),"")</f>
        <v/>
      </c>
      <c r="AC24" s="24" t="str">
        <f ca="1">IF(AC$3&lt;&gt;"",IF(COUNTIFS(INDIRECT("'"&amp;$C$3&amp;"'!B:B"),Collègue!$C24,INDIRECT("'"&amp;$C$3&amp;"'!"&amp;AC$1),"C")=1,"C",""),"")</f>
        <v/>
      </c>
      <c r="AD24" s="24" t="str">
        <f ca="1">IF(AD$3&lt;&gt;"",IF(COUNTIFS(INDIRECT("'"&amp;$C$3&amp;"'!B:B"),Collègue!$C24,INDIRECT("'"&amp;$C$3&amp;"'!"&amp;AD$1),"C")=1,"C",""),"")</f>
        <v/>
      </c>
      <c r="AE24" s="24" t="str">
        <f ca="1">IF(AE$3&lt;&gt;"",IF(COUNTIFS(INDIRECT("'"&amp;$C$3&amp;"'!B:B"),Collègue!$C24,INDIRECT("'"&amp;$C$3&amp;"'!"&amp;AE$1),"C")=1,"C",""),"")</f>
        <v/>
      </c>
      <c r="AF24" s="24" t="str">
        <f ca="1">IF(AF$3&lt;&gt;"",IF(COUNTIFS(INDIRECT("'"&amp;$C$3&amp;"'!B:B"),Collègue!$C24,INDIRECT("'"&amp;$C$3&amp;"'!"&amp;AF$1),"C")=1,"C",""),"")</f>
        <v/>
      </c>
      <c r="AG24" s="24" t="str">
        <f ca="1">IF(AG$3&lt;&gt;"",IF(COUNTIFS(INDIRECT("'"&amp;$C$3&amp;"'!B:B"),Collègue!$C24,INDIRECT("'"&amp;$C$3&amp;"'!"&amp;AG$1),"C")=1,"C",""),"")</f>
        <v/>
      </c>
      <c r="AH24" s="24" t="str">
        <f ca="1">IF(AH$3&lt;&gt;"",IF(COUNTIFS(INDIRECT("'"&amp;$C$3&amp;"'!B:B"),Collègue!$C24,INDIRECT("'"&amp;$C$3&amp;"'!"&amp;AH$1),"C")=1,"C",""),"")</f>
        <v/>
      </c>
      <c r="AI24" s="24" t="str">
        <f ca="1">IF(AI$3&lt;&gt;"",IF(COUNTIFS(INDIRECT("'"&amp;$C$3&amp;"'!B:B"),Collègue!$C24,INDIRECT("'"&amp;$C$3&amp;"'!"&amp;AI$1),"C")=1,"C",""),"")</f>
        <v/>
      </c>
    </row>
    <row r="28" spans="3:35" x14ac:dyDescent="0.25">
      <c r="E28" s="20"/>
      <c r="F28" s="20"/>
      <c r="G28" s="20"/>
      <c r="H28" s="20"/>
      <c r="I28" s="20"/>
      <c r="J28" s="20"/>
      <c r="K28" s="20"/>
      <c r="L28" s="20"/>
      <c r="M28" s="20"/>
      <c r="N28" s="20"/>
      <c r="O28" s="20"/>
      <c r="P28" s="20"/>
      <c r="Q28" s="20"/>
      <c r="R28" s="20"/>
    </row>
    <row r="29" spans="3:35" x14ac:dyDescent="0.25">
      <c r="E29" s="20"/>
      <c r="F29" s="20"/>
      <c r="G29" s="20"/>
      <c r="H29" s="20"/>
      <c r="I29" s="20"/>
      <c r="J29" s="20"/>
      <c r="K29" s="20"/>
      <c r="L29" s="20"/>
      <c r="M29" s="20"/>
      <c r="N29" s="20"/>
      <c r="O29" s="20"/>
      <c r="P29" s="20"/>
      <c r="Q29" s="20"/>
      <c r="R29" s="20"/>
    </row>
    <row r="30" spans="3:35" x14ac:dyDescent="0.25">
      <c r="E30" s="20"/>
      <c r="F30" s="20"/>
      <c r="G30" s="20"/>
      <c r="H30" s="20"/>
      <c r="I30" s="20"/>
      <c r="J30" s="20"/>
      <c r="K30" s="20"/>
      <c r="L30" s="20"/>
      <c r="M30" s="20"/>
      <c r="N30" s="20"/>
      <c r="O30" s="20"/>
      <c r="P30" s="20"/>
      <c r="Q30" s="20"/>
      <c r="R30" s="20"/>
    </row>
    <row r="31" spans="3:35" x14ac:dyDescent="0.25">
      <c r="E31" s="20"/>
      <c r="F31" s="20"/>
      <c r="G31" s="20"/>
      <c r="H31" s="20"/>
      <c r="I31" s="20"/>
      <c r="J31" s="20"/>
      <c r="K31" s="20"/>
      <c r="L31" s="20"/>
      <c r="M31" s="20"/>
      <c r="N31" s="20"/>
      <c r="O31" s="20"/>
      <c r="P31" s="20"/>
      <c r="Q31" s="20"/>
      <c r="R31" s="20"/>
    </row>
    <row r="32" spans="3:35" x14ac:dyDescent="0.25">
      <c r="E32" s="20"/>
      <c r="F32" s="20"/>
      <c r="G32" s="20"/>
      <c r="H32" s="20"/>
      <c r="I32" s="20"/>
      <c r="J32" s="20"/>
      <c r="K32" s="20"/>
      <c r="L32" s="20"/>
      <c r="M32" s="20"/>
      <c r="N32" s="20"/>
      <c r="O32" s="20"/>
      <c r="P32" s="20"/>
      <c r="Q32" s="20"/>
      <c r="R32" s="20"/>
    </row>
  </sheetData>
  <conditionalFormatting sqref="E5:AI24">
    <cfRule type="containsText" dxfId="63" priority="1" stopIfTrue="1" operator="containsText" text="C">
      <formula>NOT(ISERROR(SEARCH("C",E5)))</formula>
    </cfRule>
    <cfRule type="expression" dxfId="62" priority="2">
      <formula>MOD(ROW(),2)=0</formula>
    </cfRule>
  </conditionalFormatting>
  <dataValidations count="1">
    <dataValidation type="list" allowBlank="1" showInputMessage="1" showErrorMessage="1" sqref="C3" xr:uid="{44A2E25A-36FD-4791-9687-AA99BBB67FE4}">
      <formula1>"Janvier,Février,Mars,Avril,Mai,Juin,Juillet,Août,Septembre,Octobre,Novembre,Décembre"</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2" tint="-0.89999084444715716"/>
    <pageSetUpPr fitToPage="1"/>
  </sheetPr>
  <dimension ref="A1:AH12"/>
  <sheetViews>
    <sheetView showGridLines="0" zoomScaleNormal="100" workbookViewId="0">
      <selection activeCell="C8" sqref="C8"/>
    </sheetView>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1:34" ht="50.1" customHeight="1" x14ac:dyDescent="0.25">
      <c r="A1" s="14"/>
      <c r="B1" s="11" t="s">
        <v>0</v>
      </c>
    </row>
    <row r="2" spans="1:34" ht="15" customHeight="1" x14ac:dyDescent="0.25">
      <c r="B2" s="15" t="s">
        <v>1</v>
      </c>
      <c r="C2" s="2" t="s">
        <v>8</v>
      </c>
      <c r="D2" s="22" t="s">
        <v>11</v>
      </c>
      <c r="E2" s="22"/>
      <c r="F2" s="3" t="s">
        <v>14</v>
      </c>
      <c r="G2" s="22" t="s">
        <v>18</v>
      </c>
      <c r="H2" s="22"/>
      <c r="I2" s="22"/>
      <c r="J2" s="4" t="s">
        <v>16</v>
      </c>
      <c r="K2" s="22" t="s">
        <v>23</v>
      </c>
      <c r="L2" s="22"/>
      <c r="M2" s="5"/>
      <c r="N2" s="22" t="s">
        <v>27</v>
      </c>
      <c r="O2" s="22"/>
      <c r="P2" s="22"/>
      <c r="Q2" s="22"/>
      <c r="R2" s="6"/>
      <c r="S2" s="22" t="s">
        <v>32</v>
      </c>
      <c r="T2" s="22"/>
      <c r="U2" s="22"/>
      <c r="V2" s="22"/>
    </row>
    <row r="3" spans="1:34" ht="15" customHeight="1" x14ac:dyDescent="0.25">
      <c r="AH3" s="16" t="s">
        <v>48</v>
      </c>
    </row>
    <row r="4" spans="1:34" ht="30" customHeight="1" x14ac:dyDescent="0.25">
      <c r="B4" s="9" t="s">
        <v>53</v>
      </c>
      <c r="C4" s="21" t="s">
        <v>9</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9">
        <v>2023</v>
      </c>
    </row>
    <row r="5" spans="1:34" ht="15" customHeight="1" x14ac:dyDescent="0.25">
      <c r="B5" s="9"/>
      <c r="C5" s="1" t="str">
        <f>TEXT(WEEKDAY(DATE(AnnéeCalendrier,1,1),1),"jjj")</f>
        <v>dim</v>
      </c>
      <c r="D5" s="1" t="str">
        <f>TEXT(WEEKDAY(DATE(AnnéeCalendrier,1,2),1),"jjj")</f>
        <v>lun</v>
      </c>
      <c r="E5" s="1" t="str">
        <f>TEXT(WEEKDAY(DATE(AnnéeCalendrier,1,3),1),"jjj")</f>
        <v>mar</v>
      </c>
      <c r="F5" s="1" t="str">
        <f>TEXT(WEEKDAY(DATE(AnnéeCalendrier,1,4),1),"jjj")</f>
        <v>mer</v>
      </c>
      <c r="G5" s="1" t="str">
        <f>TEXT(WEEKDAY(DATE(AnnéeCalendrier,1,5),1),"jjj")</f>
        <v>jeu</v>
      </c>
      <c r="H5" s="1" t="str">
        <f>TEXT(WEEKDAY(DATE(AnnéeCalendrier,1,6),1),"jjj")</f>
        <v>ven</v>
      </c>
      <c r="I5" s="1" t="str">
        <f>TEXT(WEEKDAY(DATE(AnnéeCalendrier,1,7),1),"jjj")</f>
        <v>sam</v>
      </c>
      <c r="J5" s="1" t="str">
        <f>TEXT(WEEKDAY(DATE(AnnéeCalendrier,1,8),1),"jjj")</f>
        <v>dim</v>
      </c>
      <c r="K5" s="1" t="str">
        <f>TEXT(WEEKDAY(DATE(AnnéeCalendrier,1,9),1),"jjj")</f>
        <v>lun</v>
      </c>
      <c r="L5" s="1" t="str">
        <f>TEXT(WEEKDAY(DATE(AnnéeCalendrier,1,10),1),"jjj")</f>
        <v>mar</v>
      </c>
      <c r="M5" s="1" t="str">
        <f>TEXT(WEEKDAY(DATE(AnnéeCalendrier,1,11),1),"jjj")</f>
        <v>mer</v>
      </c>
      <c r="N5" s="1" t="str">
        <f>TEXT(WEEKDAY(DATE(AnnéeCalendrier,1,12),1),"jjj")</f>
        <v>jeu</v>
      </c>
      <c r="O5" s="1" t="str">
        <f>TEXT(WEEKDAY(DATE(AnnéeCalendrier,1,13),1),"jjj")</f>
        <v>ven</v>
      </c>
      <c r="P5" s="1" t="str">
        <f>TEXT(WEEKDAY(DATE(AnnéeCalendrier,1,14),1),"jjj")</f>
        <v>sam</v>
      </c>
      <c r="Q5" s="1" t="str">
        <f>TEXT(WEEKDAY(DATE(AnnéeCalendrier,1,15),1),"jjj")</f>
        <v>dim</v>
      </c>
      <c r="R5" s="1" t="str">
        <f>TEXT(WEEKDAY(DATE(AnnéeCalendrier,1,16),1),"jjj")</f>
        <v>lun</v>
      </c>
      <c r="S5" s="1" t="str">
        <f>TEXT(WEEKDAY(DATE(AnnéeCalendrier,1,17),1),"jjj")</f>
        <v>mar</v>
      </c>
      <c r="T5" s="1" t="str">
        <f>TEXT(WEEKDAY(DATE(AnnéeCalendrier,1,18),1),"jjj")</f>
        <v>mer</v>
      </c>
      <c r="U5" s="1" t="str">
        <f>TEXT(WEEKDAY(DATE(AnnéeCalendrier,1,19),1),"jjj")</f>
        <v>jeu</v>
      </c>
      <c r="V5" s="1" t="str">
        <f>TEXT(WEEKDAY(DATE(AnnéeCalendrier,1,20),1),"jjj")</f>
        <v>ven</v>
      </c>
      <c r="W5" s="1" t="str">
        <f>TEXT(WEEKDAY(DATE(AnnéeCalendrier,1,21),1),"jjj")</f>
        <v>sam</v>
      </c>
      <c r="X5" s="1" t="str">
        <f>TEXT(WEEKDAY(DATE(AnnéeCalendrier,1,22),1),"jjj")</f>
        <v>dim</v>
      </c>
      <c r="Y5" s="1" t="str">
        <f>TEXT(WEEKDAY(DATE(AnnéeCalendrier,1,23),1),"jjj")</f>
        <v>lun</v>
      </c>
      <c r="Z5" s="1" t="str">
        <f>TEXT(WEEKDAY(DATE(AnnéeCalendrier,1,24),1),"jjj")</f>
        <v>mar</v>
      </c>
      <c r="AA5" s="1" t="str">
        <f>TEXT(WEEKDAY(DATE(AnnéeCalendrier,1,25),1),"jjj")</f>
        <v>mer</v>
      </c>
      <c r="AB5" s="1" t="str">
        <f>TEXT(WEEKDAY(DATE(AnnéeCalendrier,1,26),1),"jjj")</f>
        <v>jeu</v>
      </c>
      <c r="AC5" s="1" t="str">
        <f>TEXT(WEEKDAY(DATE(AnnéeCalendrier,1,27),1),"jjj")</f>
        <v>ven</v>
      </c>
      <c r="AD5" s="1" t="str">
        <f>TEXT(WEEKDAY(DATE(AnnéeCalendrier,1,28),1),"jjj")</f>
        <v>sam</v>
      </c>
      <c r="AE5" s="1" t="str">
        <f>TEXT(WEEKDAY(DATE(AnnéeCalendrier,1,29),1),"jjj")</f>
        <v>dim</v>
      </c>
      <c r="AF5" s="1" t="str">
        <f>TEXT(WEEKDAY(DATE(AnnéeCalendrier,1,30),1),"jjj")</f>
        <v>lun</v>
      </c>
      <c r="AG5" s="1" t="str">
        <f>TEXT(WEEKDAY(DATE(AnnéeCalendrier,1,31),1),"jjj")</f>
        <v>mar</v>
      </c>
      <c r="AH5" s="9"/>
    </row>
    <row r="6" spans="1: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1:34" ht="30" customHeight="1" x14ac:dyDescent="0.25">
      <c r="B7" s="18" t="s">
        <v>63</v>
      </c>
      <c r="C7" s="1" t="s">
        <v>8</v>
      </c>
      <c r="D7" s="1"/>
      <c r="E7" s="1" t="s">
        <v>8</v>
      </c>
      <c r="F7" s="1" t="s">
        <v>8</v>
      </c>
      <c r="G7" s="1" t="s">
        <v>8</v>
      </c>
      <c r="H7" s="1" t="s">
        <v>8</v>
      </c>
      <c r="I7" s="1"/>
      <c r="J7" s="1"/>
      <c r="K7" s="1"/>
      <c r="L7" s="1"/>
      <c r="M7" s="1"/>
      <c r="N7" s="1"/>
      <c r="O7" s="1" t="s">
        <v>8</v>
      </c>
      <c r="P7" s="1"/>
      <c r="Q7" s="1"/>
      <c r="R7" s="1"/>
      <c r="S7" s="1"/>
      <c r="T7" s="1"/>
      <c r="U7" s="1"/>
      <c r="V7" s="1"/>
      <c r="W7" s="1"/>
      <c r="X7" s="1"/>
      <c r="Y7" s="1"/>
      <c r="Z7" s="1"/>
      <c r="AA7" s="1"/>
      <c r="AB7" s="1"/>
      <c r="AC7" s="1"/>
      <c r="AD7" s="1"/>
      <c r="AE7" s="1"/>
      <c r="AF7" s="1"/>
      <c r="AG7" s="1"/>
      <c r="AH7" s="8">
        <f>COUNTA(Janvier!$C7:$AG7)</f>
        <v>6</v>
      </c>
    </row>
    <row r="8" spans="1:34" ht="30" customHeight="1" x14ac:dyDescent="0.25">
      <c r="B8" s="7" t="s">
        <v>64</v>
      </c>
      <c r="C8" s="1"/>
      <c r="D8" s="1"/>
      <c r="E8" s="1"/>
      <c r="F8" s="1"/>
      <c r="G8" s="1" t="s">
        <v>16</v>
      </c>
      <c r="H8" s="1" t="s">
        <v>16</v>
      </c>
      <c r="I8" s="1"/>
      <c r="J8" s="1"/>
      <c r="K8" s="1"/>
      <c r="L8" s="1"/>
      <c r="M8" s="1" t="s">
        <v>14</v>
      </c>
      <c r="N8" s="1"/>
      <c r="O8" s="1"/>
      <c r="P8" s="1"/>
      <c r="Q8" s="1"/>
      <c r="R8" s="1"/>
      <c r="S8" s="1"/>
      <c r="T8" s="1"/>
      <c r="U8" s="1"/>
      <c r="V8" s="1" t="s">
        <v>16</v>
      </c>
      <c r="W8" s="1"/>
      <c r="X8" s="1"/>
      <c r="Y8" s="1"/>
      <c r="Z8" s="1"/>
      <c r="AA8" s="1" t="s">
        <v>8</v>
      </c>
      <c r="AB8" s="1" t="s">
        <v>8</v>
      </c>
      <c r="AC8" s="1" t="s">
        <v>8</v>
      </c>
      <c r="AD8" s="1"/>
      <c r="AE8" s="1"/>
      <c r="AF8" s="1"/>
      <c r="AG8" s="1"/>
      <c r="AH8" s="8">
        <f>COUNTA(Janvier!$C8:$AG8)</f>
        <v>7</v>
      </c>
    </row>
    <row r="9" spans="1:34" ht="30" customHeight="1" x14ac:dyDescent="0.25">
      <c r="B9" s="7" t="s">
        <v>65</v>
      </c>
      <c r="C9" s="1"/>
      <c r="D9" s="1"/>
      <c r="E9" s="1" t="s">
        <v>14</v>
      </c>
      <c r="F9" s="1"/>
      <c r="G9" s="1"/>
      <c r="H9" s="1"/>
      <c r="I9" s="1"/>
      <c r="J9" s="1"/>
      <c r="K9" s="1"/>
      <c r="L9" s="1"/>
      <c r="M9" s="1"/>
      <c r="N9" s="1"/>
      <c r="O9" s="1"/>
      <c r="P9" s="1" t="s">
        <v>16</v>
      </c>
      <c r="Q9" s="1"/>
      <c r="R9" s="1"/>
      <c r="S9" s="1"/>
      <c r="T9" s="1"/>
      <c r="U9" s="1"/>
      <c r="V9" s="1"/>
      <c r="W9" s="1"/>
      <c r="X9" s="1"/>
      <c r="Y9" s="1"/>
      <c r="Z9" s="1"/>
      <c r="AA9" s="1"/>
      <c r="AB9" s="1"/>
      <c r="AC9" s="1"/>
      <c r="AD9" s="1"/>
      <c r="AE9" s="1" t="s">
        <v>16</v>
      </c>
      <c r="AF9" s="1"/>
      <c r="AG9" s="1"/>
      <c r="AH9" s="8">
        <f>COUNTA(Janvier!$C9:$AG9)</f>
        <v>3</v>
      </c>
    </row>
    <row r="10" spans="1:34" ht="30" customHeight="1" x14ac:dyDescent="0.25">
      <c r="B10" s="7" t="s">
        <v>66</v>
      </c>
      <c r="C10" s="1"/>
      <c r="D10" s="1"/>
      <c r="E10" s="1"/>
      <c r="F10" s="1"/>
      <c r="G10" s="1"/>
      <c r="H10" s="1"/>
      <c r="I10" s="1" t="s">
        <v>14</v>
      </c>
      <c r="J10" s="1"/>
      <c r="K10" s="1"/>
      <c r="L10" s="1"/>
      <c r="M10" s="1"/>
      <c r="N10" s="1"/>
      <c r="O10" s="1"/>
      <c r="P10" s="1"/>
      <c r="Q10" s="1"/>
      <c r="R10" s="1"/>
      <c r="S10" s="1"/>
      <c r="T10" s="1"/>
      <c r="U10" s="1" t="s">
        <v>8</v>
      </c>
      <c r="V10" s="1" t="s">
        <v>8</v>
      </c>
      <c r="W10" s="1" t="s">
        <v>8</v>
      </c>
      <c r="X10" s="1"/>
      <c r="Y10" s="1"/>
      <c r="Z10" s="1"/>
      <c r="AA10" s="1"/>
      <c r="AB10" s="1"/>
      <c r="AC10" s="1"/>
      <c r="AD10" s="1"/>
      <c r="AE10" s="1"/>
      <c r="AF10" s="1"/>
      <c r="AG10" s="1"/>
      <c r="AH10" s="8">
        <f>COUNTA(Janvier!$C10:$AG10)</f>
        <v>4</v>
      </c>
    </row>
    <row r="11" spans="1:34" ht="30" customHeight="1" x14ac:dyDescent="0.25">
      <c r="B11" s="7" t="s">
        <v>67</v>
      </c>
      <c r="C11" s="1"/>
      <c r="D11" s="1"/>
      <c r="E11" s="1"/>
      <c r="F11" s="1" t="s">
        <v>16</v>
      </c>
      <c r="G11" s="1" t="s">
        <v>8</v>
      </c>
      <c r="H11" s="1" t="s">
        <v>8</v>
      </c>
      <c r="I11" s="1"/>
      <c r="J11" s="1"/>
      <c r="K11" s="1"/>
      <c r="L11" s="1"/>
      <c r="M11" s="1"/>
      <c r="N11" s="1"/>
      <c r="O11" s="1"/>
      <c r="P11" s="1"/>
      <c r="Q11" s="1"/>
      <c r="R11" s="1"/>
      <c r="S11" s="1" t="s">
        <v>16</v>
      </c>
      <c r="T11" s="1"/>
      <c r="U11" s="1"/>
      <c r="V11" s="1"/>
      <c r="W11" s="1"/>
      <c r="X11" s="1"/>
      <c r="Y11" s="1"/>
      <c r="Z11" s="1" t="s">
        <v>16</v>
      </c>
      <c r="AA11" s="1"/>
      <c r="AB11" s="1"/>
      <c r="AC11" s="1"/>
      <c r="AD11" s="1"/>
      <c r="AE11" s="1"/>
      <c r="AF11" s="1"/>
      <c r="AG11" s="1" t="s">
        <v>8</v>
      </c>
      <c r="AH11" s="8">
        <f>COUNTA(Janvier!$C11:$AG11)</f>
        <v>6</v>
      </c>
    </row>
    <row r="12" spans="1:34" ht="30" customHeight="1" x14ac:dyDescent="0.25">
      <c r="B12" s="17" t="str">
        <f>NomMois&amp;" Total"</f>
        <v>Mars Total</v>
      </c>
      <c r="C12" s="10">
        <f>SUBTOTAL(103,Janvier!$C$7:$C$11)</f>
        <v>1</v>
      </c>
      <c r="D12" s="10">
        <f>SUBTOTAL(103,Janvier!$D$7:$D$11)</f>
        <v>0</v>
      </c>
      <c r="E12" s="10">
        <f>SUBTOTAL(103,Janvier!$E$7:$E$11)</f>
        <v>2</v>
      </c>
      <c r="F12" s="10">
        <f>SUBTOTAL(103,Janvier!$F$7:$F$11)</f>
        <v>2</v>
      </c>
      <c r="G12" s="10">
        <f>SUBTOTAL(103,Janvier!$G$7:$G$11)</f>
        <v>3</v>
      </c>
      <c r="H12" s="10">
        <f>SUBTOTAL(103,Janvier!$H$7:$H$11)</f>
        <v>3</v>
      </c>
      <c r="I12" s="10">
        <f>SUBTOTAL(103,Janvier!$I$7:$I$11)</f>
        <v>1</v>
      </c>
      <c r="J12" s="10">
        <f>SUBTOTAL(103,Janvier!$J$7:$J$11)</f>
        <v>0</v>
      </c>
      <c r="K12" s="10">
        <f>SUBTOTAL(103,Janvier!$K$7:$K$11)</f>
        <v>0</v>
      </c>
      <c r="L12" s="10">
        <f>SUBTOTAL(103,Janvier!$L$7:$L$11)</f>
        <v>0</v>
      </c>
      <c r="M12" s="10">
        <f>SUBTOTAL(103,Janvier!$M$7:$M$11)</f>
        <v>1</v>
      </c>
      <c r="N12" s="10">
        <f>SUBTOTAL(103,Janvier!$N$7:$N$11)</f>
        <v>0</v>
      </c>
      <c r="O12" s="10">
        <f>SUBTOTAL(103,Janvier!$O$7:$O$11)</f>
        <v>1</v>
      </c>
      <c r="P12" s="10">
        <f>SUBTOTAL(103,Janvier!$P$7:$P$11)</f>
        <v>1</v>
      </c>
      <c r="Q12" s="10">
        <f>SUBTOTAL(103,Janvier!$Q$7:$Q$11)</f>
        <v>0</v>
      </c>
      <c r="R12" s="10">
        <f>SUBTOTAL(103,Janvier!$R$7:$R$11)</f>
        <v>0</v>
      </c>
      <c r="S12" s="10">
        <f>SUBTOTAL(103,Janvier!$S$7:$S$11)</f>
        <v>1</v>
      </c>
      <c r="T12" s="10">
        <f>SUBTOTAL(103,Janvier!$T$7:$T$11)</f>
        <v>0</v>
      </c>
      <c r="U12" s="10">
        <f>SUBTOTAL(103,Janvier!$U$7:$U$11)</f>
        <v>1</v>
      </c>
      <c r="V12" s="10">
        <f>SUBTOTAL(103,Janvier!$V$7:$V$11)</f>
        <v>2</v>
      </c>
      <c r="W12" s="10">
        <f>SUBTOTAL(103,Janvier!$W$7:$W$11)</f>
        <v>1</v>
      </c>
      <c r="X12" s="10">
        <f>SUBTOTAL(103,Janvier!$X$7:$X$11)</f>
        <v>0</v>
      </c>
      <c r="Y12" s="10">
        <f>SUBTOTAL(103,Janvier!$Y$7:$Y$11)</f>
        <v>0</v>
      </c>
      <c r="Z12" s="10">
        <f>SUBTOTAL(103,Janvier!$Z$7:$Z$11)</f>
        <v>1</v>
      </c>
      <c r="AA12" s="10">
        <f>SUBTOTAL(103,Janvier!$AA$7:$AA$11)</f>
        <v>1</v>
      </c>
      <c r="AB12" s="10">
        <f>SUBTOTAL(103,Janvier!$AB$7:$AB$11)</f>
        <v>1</v>
      </c>
      <c r="AC12" s="10">
        <f>SUBTOTAL(103,Janvier!$AC$7:$AC$11)</f>
        <v>1</v>
      </c>
      <c r="AD12" s="10">
        <f>SUBTOTAL(103,Janvier!$AD$7:$AD$11)</f>
        <v>0</v>
      </c>
      <c r="AE12" s="10">
        <f>SUBTOTAL(103,Janvier!$AE$7:$AE$11)</f>
        <v>1</v>
      </c>
      <c r="AF12" s="10">
        <f>SUBTOTAL(103,Janvier!$AF$7:$AF$11)</f>
        <v>0</v>
      </c>
      <c r="AG12" s="10">
        <f>SUBTOTAL(103,Janvier!$AG$7:$AG$11)</f>
        <v>1</v>
      </c>
      <c r="AH12" s="10">
        <f>SUBTOTAL(109,Janvier[Total des jours])</f>
        <v>26</v>
      </c>
    </row>
  </sheetData>
  <mergeCells count="6">
    <mergeCell ref="C4:AG4"/>
    <mergeCell ref="D2:E2"/>
    <mergeCell ref="G2:I2"/>
    <mergeCell ref="K2:L2"/>
    <mergeCell ref="N2:Q2"/>
    <mergeCell ref="S2:V2"/>
  </mergeCells>
  <conditionalFormatting sqref="C7:AG11">
    <cfRule type="expression" priority="1" stopIfTrue="1">
      <formula>C7=""</formula>
    </cfRule>
    <cfRule type="expression" dxfId="61" priority="6" stopIfTrue="1">
      <formula>C7=CléPersonnalisée2</formula>
    </cfRule>
    <cfRule type="expression" dxfId="60" priority="7" stopIfTrue="1">
      <formula>C7=CléPersonnalisée1</formula>
    </cfRule>
    <cfRule type="expression" dxfId="59" priority="8" stopIfTrue="1">
      <formula>C7=CléMaladie</formula>
    </cfRule>
    <cfRule type="expression" dxfId="58" priority="9" stopIfTrue="1">
      <formula>C7=CléPersonnel</formula>
    </cfRule>
    <cfRule type="expression" dxfId="57" priority="10" stopIfTrue="1">
      <formula>C7=CléCongé</formula>
    </cfRule>
  </conditionalFormatting>
  <conditionalFormatting sqref="AH7:AH11">
    <cfRule type="dataBar" priority="168">
      <dataBar>
        <cfvo type="num" val="0"/>
        <cfvo type="num" val="31"/>
        <color theme="2" tint="-0.249977111117893"/>
      </dataBar>
      <extLst>
        <ext xmlns:x14="http://schemas.microsoft.com/office/spreadsheetml/2009/9/main" uri="{B025F937-C7B1-47D3-B67F-A62EFF666E3E}">
          <x14:id>{ECCE2C3C-1B01-4700-B60E-DAAAB19A9C1A}</x14:id>
        </ext>
      </extLst>
    </cfRule>
  </conditionalFormatting>
  <dataValidations count="16">
    <dataValidation allowBlank="1" showInputMessage="1" showErrorMessage="1" prompt="Entrez l’année dans cette cellule" sqref="AH4" xr:uid="{00000000-0002-0000-0100-000000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6" xr:uid="{00000000-0002-0000-0100-000001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100-000002000000}"/>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xr:uid="{00000000-0002-0000-0100-000003000000}"/>
    <dataValidation allowBlank="1" showInputMessage="1" showErrorMessage="1" prompt="Calcule automatiquement le nombre total de jours d’absence d’un employé durant ce mois" sqref="AH6" xr:uid="{00000000-0002-0000-0100-000004000000}"/>
    <dataValidation allowBlank="1" showInputMessage="1" showErrorMessage="1" prompt="Le titre de la feuille de calcul figure dans cette cellule. Si vous mettez à jour le titre, le changement est automatiquement répercuté sur chaque feuille de calcul" sqref="B1" xr:uid="{00000000-0002-0000-0100-000005000000}"/>
    <dataValidation allowBlank="1" showInputMessage="1" showErrorMessage="1" prompt="Mois de ce calendrier des absences. Mettez à jour l’année dans la cellule AH4. Suivez les totaux mensuels dans la dernière cellule du tableau. Entrez les noms des employés dans la colonne B du tableau" sqref="B4" xr:uid="{00000000-0002-0000-0100-000006000000}"/>
    <dataValidation allowBlank="1" showInputMessage="1" showErrorMessage="1" prompt="Cette ligne définit les clés utilisées dans le tableau : Congé en C2, Personnel en F2 et Congé maladie en J2. Les cellules M2 et R2 sont personnalisables " sqref="B2" xr:uid="{00000000-0002-0000-0100-000007000000}"/>
    <dataValidation allowBlank="1" showInputMessage="1" showErrorMessage="1" prompt="La lettre « C » indique une absence pour cause de congé" sqref="C2" xr:uid="{00000000-0002-0000-0100-000008000000}"/>
    <dataValidation allowBlank="1" showInputMessage="1" showErrorMessage="1" prompt="La lettre « P » indique une absence pour motifs personnels" sqref="F2" xr:uid="{00000000-0002-0000-0100-000009000000}"/>
    <dataValidation allowBlank="1" showInputMessage="1" showErrorMessage="1" prompt="La lettre « M » indique une absence pour cause de maladie" sqref="J2" xr:uid="{00000000-0002-0000-0100-00000A000000}"/>
    <dataValidation allowBlank="1" showInputMessage="1" showErrorMessage="1" prompt="Entrez une lettre et personnalisez l’étiquette à droite pour ajouter un élément de clé" sqref="M2 R2" xr:uid="{00000000-0002-0000-0100-00000B000000}"/>
    <dataValidation allowBlank="1" showInputMessage="1" showErrorMessage="1" prompt="Entrez une étiquette pour décrire la clé personnalisée à gauche" sqref="N2 S2" xr:uid="{00000000-0002-0000-0100-00000C000000}"/>
    <dataValidation allowBlank="1" showInputMessage="1" showErrorMessage="1" prompt="Utilisez le calendrier des absences des employés pour noter et suivre les absences des employés chaque mois. Il contient 13 feuilles de calcul, 12 par mois et 1 pour les noms des employés. Suivez les absences de janvier dans cette feuille de calcul" sqref="A1" xr:uid="{00000000-0002-0000-0100-00000D000000}"/>
    <dataValidation allowBlank="1" showInputMessage="1" showErrorMessage="1" prompt="Entrez l’année dans la cellule ci-dessous" sqref="AH3" xr:uid="{00000000-0002-0000-0100-00000E000000}"/>
    <dataValidation type="list" allowBlank="1" showInputMessage="1" showErrorMessage="1" sqref="B7:B11" xr:uid="{00000000-0002-0000-0100-00000F000000}">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2" tint="-0.749992370372631"/>
    <pageSetUpPr fitToPage="1"/>
  </sheetPr>
  <dimension ref="B1:AH12"/>
  <sheetViews>
    <sheetView showGridLines="0" zoomScaleNormal="100" workbookViewId="0">
      <selection activeCell="AH4" sqref="AH4"/>
    </sheetView>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2" t="s">
        <v>11</v>
      </c>
      <c r="E2" s="22"/>
      <c r="F2" s="3" t="s">
        <v>14</v>
      </c>
      <c r="G2" s="22" t="s">
        <v>18</v>
      </c>
      <c r="H2" s="22"/>
      <c r="I2" s="22"/>
      <c r="J2" s="4" t="s">
        <v>16</v>
      </c>
      <c r="K2" s="22" t="s">
        <v>23</v>
      </c>
      <c r="L2" s="22"/>
      <c r="M2" s="5"/>
      <c r="N2" s="22" t="s">
        <v>27</v>
      </c>
      <c r="O2" s="22"/>
      <c r="P2" s="22"/>
      <c r="Q2" s="22"/>
      <c r="R2" s="6"/>
      <c r="S2" s="22" t="s">
        <v>32</v>
      </c>
      <c r="T2" s="22"/>
      <c r="U2" s="22"/>
      <c r="V2" s="22"/>
    </row>
    <row r="3" spans="2:34" ht="15" customHeight="1" x14ac:dyDescent="0.25"/>
    <row r="4" spans="2:34" ht="30" customHeight="1" x14ac:dyDescent="0.25">
      <c r="B4" s="9" t="s">
        <v>50</v>
      </c>
      <c r="C4" s="21" t="s">
        <v>9</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9">
        <f>AnnéeCalendrier</f>
        <v>2023</v>
      </c>
    </row>
    <row r="5" spans="2:34" ht="15" customHeight="1" x14ac:dyDescent="0.25">
      <c r="B5" s="9"/>
      <c r="C5" s="1" t="str">
        <f>TEXT(WEEKDAY(DATE(AnnéeCalendrier,2,1),1),"jjj")</f>
        <v>mer</v>
      </c>
      <c r="D5" s="1" t="str">
        <f>TEXT(WEEKDAY(DATE(AnnéeCalendrier,2,2),1),"jjj")</f>
        <v>jeu</v>
      </c>
      <c r="E5" s="1" t="str">
        <f>TEXT(WEEKDAY(DATE(AnnéeCalendrier,2,3),1),"jjj")</f>
        <v>ven</v>
      </c>
      <c r="F5" s="1" t="str">
        <f>TEXT(WEEKDAY(DATE(AnnéeCalendrier,2,4),1),"jjj")</f>
        <v>sam</v>
      </c>
      <c r="G5" s="1" t="str">
        <f>TEXT(WEEKDAY(DATE(AnnéeCalendrier,2,5),1),"jjj")</f>
        <v>dim</v>
      </c>
      <c r="H5" s="1" t="str">
        <f>TEXT(WEEKDAY(DATE(AnnéeCalendrier,2,6),1),"jjj")</f>
        <v>lun</v>
      </c>
      <c r="I5" s="1" t="str">
        <f>TEXT(WEEKDAY(DATE(AnnéeCalendrier,2,7),1),"jjj")</f>
        <v>mar</v>
      </c>
      <c r="J5" s="1" t="str">
        <f>TEXT(WEEKDAY(DATE(AnnéeCalendrier,2,8),1),"jjj")</f>
        <v>mer</v>
      </c>
      <c r="K5" s="1" t="str">
        <f>TEXT(WEEKDAY(DATE(AnnéeCalendrier,2,9),1),"jjj")</f>
        <v>jeu</v>
      </c>
      <c r="L5" s="1" t="str">
        <f>TEXT(WEEKDAY(DATE(AnnéeCalendrier,2,10),1),"jjj")</f>
        <v>ven</v>
      </c>
      <c r="M5" s="1" t="str">
        <f>TEXT(WEEKDAY(DATE(AnnéeCalendrier,2,11),1),"jjj")</f>
        <v>sam</v>
      </c>
      <c r="N5" s="1" t="str">
        <f>TEXT(WEEKDAY(DATE(AnnéeCalendrier,2,12),1),"jjj")</f>
        <v>dim</v>
      </c>
      <c r="O5" s="1" t="str">
        <f>TEXT(WEEKDAY(DATE(AnnéeCalendrier,2,13),1),"jjj")</f>
        <v>lun</v>
      </c>
      <c r="P5" s="1" t="str">
        <f>TEXT(WEEKDAY(DATE(AnnéeCalendrier,2,14),1),"jjj")</f>
        <v>mar</v>
      </c>
      <c r="Q5" s="1" t="str">
        <f>TEXT(WEEKDAY(DATE(AnnéeCalendrier,2,15),1),"jjj")</f>
        <v>mer</v>
      </c>
      <c r="R5" s="1" t="str">
        <f>TEXT(WEEKDAY(DATE(AnnéeCalendrier,2,16),1),"jjj")</f>
        <v>jeu</v>
      </c>
      <c r="S5" s="1" t="str">
        <f>TEXT(WEEKDAY(DATE(AnnéeCalendrier,2,17),1),"jjj")</f>
        <v>ven</v>
      </c>
      <c r="T5" s="1" t="str">
        <f>TEXT(WEEKDAY(DATE(AnnéeCalendrier,2,18),1),"jjj")</f>
        <v>sam</v>
      </c>
      <c r="U5" s="1" t="str">
        <f>TEXT(WEEKDAY(DATE(AnnéeCalendrier,2,19),1),"jjj")</f>
        <v>dim</v>
      </c>
      <c r="V5" s="1" t="str">
        <f>TEXT(WEEKDAY(DATE(AnnéeCalendrier,2,20),1),"jjj")</f>
        <v>lun</v>
      </c>
      <c r="W5" s="1" t="str">
        <f>TEXT(WEEKDAY(DATE(AnnéeCalendrier,2,21),1),"jjj")</f>
        <v>mar</v>
      </c>
      <c r="X5" s="1" t="str">
        <f>TEXT(WEEKDAY(DATE(AnnéeCalendrier,2,22),1),"jjj")</f>
        <v>mer</v>
      </c>
      <c r="Y5" s="1" t="str">
        <f>TEXT(WEEKDAY(DATE(AnnéeCalendrier,2,23),1),"jjj")</f>
        <v>jeu</v>
      </c>
      <c r="Z5" s="1" t="str">
        <f>TEXT(WEEKDAY(DATE(AnnéeCalendrier,2,24),1),"jjj")</f>
        <v>ven</v>
      </c>
      <c r="AA5" s="1" t="str">
        <f>TEXT(WEEKDAY(DATE(AnnéeCalendrier,2,25),1),"jjj")</f>
        <v>sam</v>
      </c>
      <c r="AB5" s="1" t="str">
        <f>TEXT(WEEKDAY(DATE(AnnéeCalendrier,2,26),1),"jjj")</f>
        <v>dim</v>
      </c>
      <c r="AC5" s="1" t="str">
        <f>TEXT(WEEKDAY(DATE(AnnéeCalendrier,2,27),1),"jjj")</f>
        <v>lun</v>
      </c>
      <c r="AD5" s="1" t="str">
        <f>TEXT(WEEKDAY(DATE(AnnéeCalendrier,2,28),1),"jjj")</f>
        <v>mar</v>
      </c>
      <c r="AE5" s="1" t="str">
        <f>TEXT(WEEKDAY(DATE(AnnéeCalendrier,2,29),1),"jjj")</f>
        <v>mer</v>
      </c>
      <c r="AF5" s="1"/>
      <c r="AG5" s="1"/>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51</v>
      </c>
      <c r="AG6" s="1" t="s">
        <v>52</v>
      </c>
      <c r="AH6" s="13" t="s">
        <v>49</v>
      </c>
    </row>
    <row r="7" spans="2:34" ht="30" customHeight="1" x14ac:dyDescent="0.25">
      <c r="B7" s="7" t="s">
        <v>3</v>
      </c>
      <c r="C7" s="1"/>
      <c r="D7" s="1"/>
      <c r="E7" s="1" t="s">
        <v>8</v>
      </c>
      <c r="F7" s="1" t="s">
        <v>8</v>
      </c>
      <c r="G7" s="1" t="s">
        <v>8</v>
      </c>
      <c r="H7" s="1" t="s">
        <v>8</v>
      </c>
      <c r="I7" s="1"/>
      <c r="J7" s="1"/>
      <c r="K7" s="1"/>
      <c r="L7" s="1"/>
      <c r="M7" s="1"/>
      <c r="N7" s="1"/>
      <c r="O7" s="1" t="s">
        <v>8</v>
      </c>
      <c r="P7" s="1"/>
      <c r="Q7" s="1"/>
      <c r="R7" s="1"/>
      <c r="S7" s="1"/>
      <c r="T7" s="1"/>
      <c r="U7" s="1"/>
      <c r="V7" s="1"/>
      <c r="W7" s="1"/>
      <c r="X7" s="1"/>
      <c r="Y7" s="1"/>
      <c r="Z7" s="1"/>
      <c r="AA7" s="1"/>
      <c r="AB7" s="1"/>
      <c r="AC7" s="1"/>
      <c r="AD7" s="1"/>
      <c r="AE7" s="1"/>
      <c r="AF7" s="1"/>
      <c r="AG7" s="1"/>
      <c r="AH7" s="8">
        <f>COUNTA(Février[[#This Row],[1]:[29]])</f>
        <v>5</v>
      </c>
    </row>
    <row r="8" spans="2:34" ht="30" customHeight="1" x14ac:dyDescent="0.25">
      <c r="B8" s="7" t="s">
        <v>4</v>
      </c>
      <c r="C8" s="1"/>
      <c r="D8" s="1"/>
      <c r="E8" s="1"/>
      <c r="F8" s="1"/>
      <c r="G8" s="1" t="s">
        <v>16</v>
      </c>
      <c r="H8" s="1" t="s">
        <v>16</v>
      </c>
      <c r="I8" s="1"/>
      <c r="J8" s="1"/>
      <c r="K8" s="1"/>
      <c r="L8" s="1"/>
      <c r="M8" s="1" t="s">
        <v>14</v>
      </c>
      <c r="N8" s="1"/>
      <c r="O8" s="1"/>
      <c r="P8" s="1"/>
      <c r="Q8" s="1"/>
      <c r="R8" s="1"/>
      <c r="S8" s="1"/>
      <c r="T8" s="1"/>
      <c r="U8" s="1"/>
      <c r="V8" s="1" t="s">
        <v>16</v>
      </c>
      <c r="W8" s="1"/>
      <c r="X8" s="1"/>
      <c r="Y8" s="1"/>
      <c r="Z8" s="1"/>
      <c r="AA8" s="1" t="s">
        <v>8</v>
      </c>
      <c r="AB8" s="1" t="s">
        <v>8</v>
      </c>
      <c r="AC8" s="1" t="s">
        <v>8</v>
      </c>
      <c r="AD8" s="1"/>
      <c r="AE8" s="1"/>
      <c r="AF8" s="1"/>
      <c r="AG8" s="1"/>
      <c r="AH8" s="8">
        <f>COUNTA(Février[[#This Row],[1]:[29]])</f>
        <v>7</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COUNTA(Février[[#This Row],[1]:[29]])</f>
        <v>0</v>
      </c>
    </row>
    <row r="10" spans="2:34" ht="30" customHeight="1" x14ac:dyDescent="0.25">
      <c r="B10" s="7" t="s">
        <v>6</v>
      </c>
      <c r="C10" s="1"/>
      <c r="D10" s="1"/>
      <c r="E10" s="1" t="s">
        <v>16</v>
      </c>
      <c r="F10" s="1"/>
      <c r="G10" s="1"/>
      <c r="H10" s="1"/>
      <c r="I10" s="1"/>
      <c r="J10" s="1"/>
      <c r="K10" s="1"/>
      <c r="L10" s="1"/>
      <c r="M10" s="1"/>
      <c r="N10" s="1"/>
      <c r="O10" s="1"/>
      <c r="P10" s="1" t="s">
        <v>16</v>
      </c>
      <c r="Q10" s="1"/>
      <c r="R10" s="1"/>
      <c r="S10" s="1"/>
      <c r="T10" s="1" t="s">
        <v>14</v>
      </c>
      <c r="U10" s="1"/>
      <c r="V10" s="1"/>
      <c r="W10" s="1"/>
      <c r="X10" s="1"/>
      <c r="Y10" s="1"/>
      <c r="Z10" s="1"/>
      <c r="AA10" s="1"/>
      <c r="AB10" s="1"/>
      <c r="AC10" s="1"/>
      <c r="AD10" s="1" t="s">
        <v>16</v>
      </c>
      <c r="AE10" s="1"/>
      <c r="AF10" s="1"/>
      <c r="AG10" s="1"/>
      <c r="AH10" s="8">
        <f>COUNTA(Février[[#This Row],[1]:[29]])</f>
        <v>4</v>
      </c>
    </row>
    <row r="11" spans="2:34" ht="30" customHeight="1" x14ac:dyDescent="0.25">
      <c r="B11" s="7" t="s">
        <v>7</v>
      </c>
      <c r="C11" s="1"/>
      <c r="D11" s="1"/>
      <c r="E11" s="1"/>
      <c r="F11" s="1"/>
      <c r="G11" s="1"/>
      <c r="H11" s="1"/>
      <c r="I11" s="1"/>
      <c r="J11" s="1" t="s">
        <v>8</v>
      </c>
      <c r="K11" s="1" t="s">
        <v>8</v>
      </c>
      <c r="L11" s="1" t="s">
        <v>8</v>
      </c>
      <c r="M11" s="1" t="s">
        <v>8</v>
      </c>
      <c r="N11" s="1"/>
      <c r="O11" s="1"/>
      <c r="P11" s="1"/>
      <c r="Q11" s="1"/>
      <c r="R11" s="1"/>
      <c r="S11" s="1"/>
      <c r="T11" s="1"/>
      <c r="U11" s="1"/>
      <c r="V11" s="1"/>
      <c r="W11" s="1"/>
      <c r="X11" s="1"/>
      <c r="Y11" s="1"/>
      <c r="Z11" s="1" t="s">
        <v>16</v>
      </c>
      <c r="AA11" s="1"/>
      <c r="AB11" s="1"/>
      <c r="AC11" s="1"/>
      <c r="AD11" s="1"/>
      <c r="AE11" s="1"/>
      <c r="AF11" s="1"/>
      <c r="AG11" s="1"/>
      <c r="AH11" s="8">
        <f>COUNTA(Février[[#This Row],[1]:[29]])</f>
        <v>5</v>
      </c>
    </row>
    <row r="12" spans="2:34" ht="30" customHeight="1" x14ac:dyDescent="0.25">
      <c r="B12" s="17" t="str">
        <f>NomMois&amp;" Total"</f>
        <v>Février Total</v>
      </c>
      <c r="C12" s="10">
        <f>SUBTOTAL(103,Février[1])</f>
        <v>0</v>
      </c>
      <c r="D12" s="10">
        <f>SUBTOTAL(103,Février[2])</f>
        <v>0</v>
      </c>
      <c r="E12" s="10">
        <f>SUBTOTAL(103,Février[3])</f>
        <v>2</v>
      </c>
      <c r="F12" s="10">
        <f>SUBTOTAL(103,Février[4])</f>
        <v>1</v>
      </c>
      <c r="G12" s="10">
        <f>SUBTOTAL(103,Février[5])</f>
        <v>2</v>
      </c>
      <c r="H12" s="10">
        <f>SUBTOTAL(103,Février[6])</f>
        <v>2</v>
      </c>
      <c r="I12" s="10">
        <f>SUBTOTAL(103,Février[7])</f>
        <v>0</v>
      </c>
      <c r="J12" s="10">
        <f>SUBTOTAL(103,Février[8])</f>
        <v>1</v>
      </c>
      <c r="K12" s="10">
        <f>SUBTOTAL(103,Février[9])</f>
        <v>1</v>
      </c>
      <c r="L12" s="10">
        <f>SUBTOTAL(103,Février[10])</f>
        <v>1</v>
      </c>
      <c r="M12" s="10">
        <f>SUBTOTAL(103,Février[11])</f>
        <v>2</v>
      </c>
      <c r="N12" s="10">
        <f>SUBTOTAL(103,Février[12])</f>
        <v>0</v>
      </c>
      <c r="O12" s="10">
        <f>SUBTOTAL(103,Février[13])</f>
        <v>1</v>
      </c>
      <c r="P12" s="10">
        <f>SUBTOTAL(103,Février[14])</f>
        <v>1</v>
      </c>
      <c r="Q12" s="10">
        <f>SUBTOTAL(103,Février[15])</f>
        <v>0</v>
      </c>
      <c r="R12" s="10">
        <f>SUBTOTAL(103,Février[16])</f>
        <v>0</v>
      </c>
      <c r="S12" s="10">
        <f>SUBTOTAL(103,Février[17])</f>
        <v>0</v>
      </c>
      <c r="T12" s="10">
        <f>SUBTOTAL(103,Février[18])</f>
        <v>1</v>
      </c>
      <c r="U12" s="10">
        <f>SUBTOTAL(103,Février[19])</f>
        <v>0</v>
      </c>
      <c r="V12" s="10">
        <f>SUBTOTAL(103,Février[20])</f>
        <v>1</v>
      </c>
      <c r="W12" s="10">
        <f>SUBTOTAL(103,Février[21])</f>
        <v>0</v>
      </c>
      <c r="X12" s="10">
        <f>SUBTOTAL(103,Février[22])</f>
        <v>0</v>
      </c>
      <c r="Y12" s="10">
        <f>SUBTOTAL(103,Février[23])</f>
        <v>0</v>
      </c>
      <c r="Z12" s="10">
        <f>SUBTOTAL(103,Février[24])</f>
        <v>1</v>
      </c>
      <c r="AA12" s="10">
        <f>SUBTOTAL(103,Février[25])</f>
        <v>1</v>
      </c>
      <c r="AB12" s="10">
        <f>SUBTOTAL(103,Février[26])</f>
        <v>1</v>
      </c>
      <c r="AC12" s="10">
        <f>SUBTOTAL(103,Février[27])</f>
        <v>1</v>
      </c>
      <c r="AD12" s="10">
        <f>SUBTOTAL(103,Février[28])</f>
        <v>1</v>
      </c>
      <c r="AE12" s="10">
        <f>SUBTOTAL(103,Février[29])</f>
        <v>0</v>
      </c>
      <c r="AF12" s="10"/>
      <c r="AG12" s="10"/>
      <c r="AH12" s="10">
        <f>SUBTOTAL(109,Février[Total des jours])</f>
        <v>21</v>
      </c>
    </row>
  </sheetData>
  <mergeCells count="6">
    <mergeCell ref="C4:AG4"/>
    <mergeCell ref="D2:E2"/>
    <mergeCell ref="G2:I2"/>
    <mergeCell ref="K2:L2"/>
    <mergeCell ref="N2:Q2"/>
    <mergeCell ref="S2:V2"/>
  </mergeCells>
  <conditionalFormatting sqref="AE6">
    <cfRule type="expression" dxfId="56" priority="21">
      <formula>MONTH(DATE(AnnéeCalendrier,2,29))&lt;&gt;2</formula>
    </cfRule>
  </conditionalFormatting>
  <conditionalFormatting sqref="AE5">
    <cfRule type="expression" dxfId="55" priority="20">
      <formula>MONTH(DATE(AnnéeCalendrier,2,29))&lt;&gt;2</formula>
    </cfRule>
  </conditionalFormatting>
  <conditionalFormatting sqref="C7:AG11">
    <cfRule type="expression" priority="7" stopIfTrue="1">
      <formula>C7=""</formula>
    </cfRule>
    <cfRule type="expression" dxfId="54" priority="8" stopIfTrue="1">
      <formula>C7=CléPersonnalisée2</formula>
    </cfRule>
  </conditionalFormatting>
  <conditionalFormatting sqref="C7:AG11">
    <cfRule type="expression" dxfId="53" priority="10" stopIfTrue="1">
      <formula>C7=CléPersonnalisée1</formula>
    </cfRule>
    <cfRule type="expression" dxfId="52" priority="11" stopIfTrue="1">
      <formula>C7=CléMaladie</formula>
    </cfRule>
    <cfRule type="expression" dxfId="51" priority="12" stopIfTrue="1">
      <formula>C7=CléPersonnel</formula>
    </cfRule>
    <cfRule type="expression" dxfId="50" priority="13" stopIfTrue="1">
      <formula>C7=CléCongé</formula>
    </cfRule>
  </conditionalFormatting>
  <conditionalFormatting sqref="AH7">
    <cfRule type="dataBar" priority="5">
      <dataBar>
        <cfvo type="num" val="0"/>
        <cfvo type="num" val="31"/>
        <color theme="2" tint="-0.249977111117893"/>
      </dataBar>
      <extLst>
        <ext xmlns:x14="http://schemas.microsoft.com/office/spreadsheetml/2009/9/main" uri="{B025F937-C7B1-47D3-B67F-A62EFF666E3E}">
          <x14:id>{5F6F9B96-BBBD-483E-AEC9-756E269D55FE}</x14:id>
        </ext>
      </extLst>
    </cfRule>
  </conditionalFormatting>
  <conditionalFormatting sqref="AH8">
    <cfRule type="dataBar" priority="4">
      <dataBar>
        <cfvo type="num" val="0"/>
        <cfvo type="num" val="31"/>
        <color theme="2" tint="-0.249977111117893"/>
      </dataBar>
      <extLst>
        <ext xmlns:x14="http://schemas.microsoft.com/office/spreadsheetml/2009/9/main" uri="{B025F937-C7B1-47D3-B67F-A62EFF666E3E}">
          <x14:id>{F891EC25-20B7-4122-B597-B228216BD1CA}</x14:id>
        </ext>
      </extLst>
    </cfRule>
  </conditionalFormatting>
  <conditionalFormatting sqref="AH9">
    <cfRule type="dataBar" priority="3">
      <dataBar>
        <cfvo type="num" val="0"/>
        <cfvo type="num" val="31"/>
        <color theme="2" tint="-0.249977111117893"/>
      </dataBar>
      <extLst>
        <ext xmlns:x14="http://schemas.microsoft.com/office/spreadsheetml/2009/9/main" uri="{B025F937-C7B1-47D3-B67F-A62EFF666E3E}">
          <x14:id>{FE1A5FEC-630E-4201-A97D-5FF75096604A}</x14:id>
        </ext>
      </extLst>
    </cfRule>
  </conditionalFormatting>
  <conditionalFormatting sqref="AH10">
    <cfRule type="dataBar" priority="2">
      <dataBar>
        <cfvo type="num" val="0"/>
        <cfvo type="num" val="31"/>
        <color theme="2" tint="-0.249977111117893"/>
      </dataBar>
      <extLst>
        <ext xmlns:x14="http://schemas.microsoft.com/office/spreadsheetml/2009/9/main" uri="{B025F937-C7B1-47D3-B67F-A62EFF666E3E}">
          <x14:id>{CC18F8A2-65D5-4590-841E-341739A9B676}</x14:id>
        </ext>
      </extLst>
    </cfRule>
  </conditionalFormatting>
  <conditionalFormatting sqref="AH11">
    <cfRule type="dataBar" priority="1">
      <dataBar>
        <cfvo type="num" val="0"/>
        <cfvo type="num" val="31"/>
        <color theme="2" tint="-0.249977111117893"/>
      </dataBar>
      <extLst>
        <ext xmlns:x14="http://schemas.microsoft.com/office/spreadsheetml/2009/9/main" uri="{B025F937-C7B1-47D3-B67F-A62EFF666E3E}">
          <x14:id>{5B30AF04-AAE7-4DE6-A06D-D0A3B9F13ABC}</x14:id>
        </ext>
      </extLst>
    </cfRule>
  </conditionalFormatting>
  <dataValidations xWindow="232" yWindow="365" count="15">
    <dataValidation allowBlank="1" showInputMessage="1" showErrorMessage="1" prompt="Année mise à jour automatiquement en fonction de l’année entrée dans la feuille de calcul Janvier" sqref="AH4" xr:uid="{00000000-0002-0000-0200-000000000000}"/>
    <dataValidation allowBlank="1" showInputMessage="1" showErrorMessage="1" prompt="Suivez les absences du mois de février dans cette feuille de calcul" sqref="A1" xr:uid="{00000000-0002-0000-0200-000001000000}"/>
    <dataValidation allowBlank="1" showInputMessage="1" showErrorMessage="1" prompt="Calcule automatiquement le nombre total de jours d’absence d’un employé durant ce mois dans cette colonne" sqref="AH6" xr:uid="{00000000-0002-0000-0200-000002000000}"/>
    <dataValidation allowBlank="1" showInputMessage="1" showErrorMessage="1" prompt="Le titre mis à jour automatiquement figure dans cette cellule. Pour modifier le titre, mettez à jour la cellule B1 de la feuille de calcul Janvier" sqref="B1" xr:uid="{00000000-0002-0000-0200-000003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200-000004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200-000005000000}"/>
    <dataValidation allowBlank="1" showInputMessage="1" showErrorMessage="1" prompt="Cette ligne définit les clés utilisées dans le tableau : Congé en C2, Personnel en F2 et Congé maladie en J2. Les cellules M2 et R2 sont personnalisables " sqref="B2" xr:uid="{00000000-0002-0000-0200-000006000000}"/>
    <dataValidation allowBlank="1" showInputMessage="1" showErrorMessage="1" prompt="Entrez une étiquette pour décrire la clé personnalisée à gauche" sqref="N2 S2" xr:uid="{00000000-0002-0000-0200-000007000000}"/>
    <dataValidation allowBlank="1" showInputMessage="1" showErrorMessage="1" prompt="Entrez une lettre et personnalisez l’étiquette à droite pour ajouter un élément de clé" sqref="M2 R2" xr:uid="{00000000-0002-0000-0200-000008000000}"/>
    <dataValidation allowBlank="1" showInputMessage="1" showErrorMessage="1" prompt="La lettre « M » indique une absence pour cause de maladie" sqref="J2" xr:uid="{00000000-0002-0000-0200-000009000000}"/>
    <dataValidation allowBlank="1" showInputMessage="1" showErrorMessage="1" prompt="La lettre « P » indique une absence pour motifs personnels" sqref="F2" xr:uid="{00000000-0002-0000-0200-00000A000000}"/>
    <dataValidation allowBlank="1" showInputMessage="1" showErrorMessage="1" prompt="La lettre « C » indique une absence pour cause de congé" sqref="C2" xr:uid="{00000000-0002-0000-0200-00000B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2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200-00000D000000}"/>
    <dataValidation type="list" allowBlank="1" showInputMessage="1" showErrorMessage="1" sqref="B7:B11" xr:uid="{00000000-0002-0000-0200-00000E000000}">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F6F9B96-BBBD-483E-AEC9-756E269D55FE}">
            <x14:dataBar minLength="0" maxLength="100">
              <x14:cfvo type="num">
                <xm:f>0</xm:f>
              </x14:cfvo>
              <x14:cfvo type="num">
                <xm:f>31</xm:f>
              </x14:cfvo>
              <x14:negativeFillColor rgb="FFFF0000"/>
              <x14:axisColor rgb="FF000000"/>
            </x14:dataBar>
          </x14:cfRule>
          <xm:sqref>AH7</xm:sqref>
        </x14:conditionalFormatting>
        <x14:conditionalFormatting xmlns:xm="http://schemas.microsoft.com/office/excel/2006/main">
          <x14:cfRule type="dataBar" id="{F891EC25-20B7-4122-B597-B228216BD1CA}">
            <x14:dataBar minLength="0" maxLength="100">
              <x14:cfvo type="num">
                <xm:f>0</xm:f>
              </x14:cfvo>
              <x14:cfvo type="num">
                <xm:f>31</xm:f>
              </x14:cfvo>
              <x14:negativeFillColor rgb="FFFF0000"/>
              <x14:axisColor rgb="FF000000"/>
            </x14:dataBar>
          </x14:cfRule>
          <xm:sqref>AH8</xm:sqref>
        </x14:conditionalFormatting>
        <x14:conditionalFormatting xmlns:xm="http://schemas.microsoft.com/office/excel/2006/main">
          <x14:cfRule type="dataBar" id="{FE1A5FEC-630E-4201-A97D-5FF75096604A}">
            <x14:dataBar minLength="0" maxLength="100">
              <x14:cfvo type="num">
                <xm:f>0</xm:f>
              </x14:cfvo>
              <x14:cfvo type="num">
                <xm:f>31</xm:f>
              </x14:cfvo>
              <x14:negativeFillColor rgb="FFFF0000"/>
              <x14:axisColor rgb="FF000000"/>
            </x14:dataBar>
          </x14:cfRule>
          <xm:sqref>AH9</xm:sqref>
        </x14:conditionalFormatting>
        <x14:conditionalFormatting xmlns:xm="http://schemas.microsoft.com/office/excel/2006/main">
          <x14:cfRule type="dataBar" id="{CC18F8A2-65D5-4590-841E-341739A9B676}">
            <x14:dataBar minLength="0" maxLength="100">
              <x14:cfvo type="num">
                <xm:f>0</xm:f>
              </x14:cfvo>
              <x14:cfvo type="num">
                <xm:f>31</xm:f>
              </x14:cfvo>
              <x14:negativeFillColor rgb="FFFF0000"/>
              <x14:axisColor rgb="FF000000"/>
            </x14:dataBar>
          </x14:cfRule>
          <xm:sqref>AH10</xm:sqref>
        </x14:conditionalFormatting>
        <x14:conditionalFormatting xmlns:xm="http://schemas.microsoft.com/office/excel/2006/main">
          <x14:cfRule type="dataBar" id="{5B30AF04-AAE7-4DE6-A06D-D0A3B9F13ABC}">
            <x14:dataBar minLength="0" maxLength="100">
              <x14:cfvo type="num">
                <xm:f>0</xm:f>
              </x14:cfvo>
              <x14:cfvo type="num">
                <xm:f>31</xm:f>
              </x14:cfvo>
              <x14:negativeFillColor rgb="FFFF0000"/>
              <x14:axisColor rgb="FF000000"/>
            </x14:dataBar>
          </x14:cfRule>
          <xm:sqref>AH11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2" tint="-0.499984740745262"/>
    <pageSetUpPr fitToPage="1"/>
  </sheetPr>
  <dimension ref="B1:AH12"/>
  <sheetViews>
    <sheetView showGridLines="0" zoomScaleNormal="100" workbookViewId="0"/>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2" t="s">
        <v>11</v>
      </c>
      <c r="E2" s="22"/>
      <c r="F2" s="3" t="s">
        <v>14</v>
      </c>
      <c r="G2" s="22" t="s">
        <v>18</v>
      </c>
      <c r="H2" s="22"/>
      <c r="I2" s="22"/>
      <c r="J2" s="4" t="s">
        <v>16</v>
      </c>
      <c r="K2" s="22" t="s">
        <v>23</v>
      </c>
      <c r="L2" s="22"/>
      <c r="M2" s="5"/>
      <c r="N2" s="22" t="s">
        <v>27</v>
      </c>
      <c r="O2" s="22"/>
      <c r="P2" s="22"/>
      <c r="Q2" s="22"/>
      <c r="R2" s="6"/>
      <c r="S2" s="22" t="s">
        <v>32</v>
      </c>
      <c r="T2" s="22"/>
      <c r="U2" s="22"/>
      <c r="V2" s="22"/>
    </row>
    <row r="3" spans="2:34" ht="15" customHeight="1" x14ac:dyDescent="0.25">
      <c r="B3" s="11"/>
    </row>
    <row r="4" spans="2:34" ht="30" customHeight="1" x14ac:dyDescent="0.25">
      <c r="B4" s="9" t="s">
        <v>53</v>
      </c>
      <c r="C4" s="21" t="s">
        <v>9</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9">
        <f>AnnéeCalendrier</f>
        <v>2023</v>
      </c>
    </row>
    <row r="5" spans="2:34" ht="15" customHeight="1" x14ac:dyDescent="0.25">
      <c r="B5" s="9"/>
      <c r="C5" s="1" t="str">
        <f>TEXT(WEEKDAY(DATE(AnnéeCalendrier,3,1),1),"jjj")</f>
        <v>mer</v>
      </c>
      <c r="D5" s="1" t="str">
        <f>TEXT(WEEKDAY(DATE(AnnéeCalendrier,3,2),1),"jjj")</f>
        <v>jeu</v>
      </c>
      <c r="E5" s="1" t="str">
        <f>TEXT(WEEKDAY(DATE(AnnéeCalendrier,3,3),1),"jjj")</f>
        <v>ven</v>
      </c>
      <c r="F5" s="1" t="str">
        <f>TEXT(WEEKDAY(DATE(AnnéeCalendrier,3,4),1),"jjj")</f>
        <v>sam</v>
      </c>
      <c r="G5" s="1" t="str">
        <f>TEXT(WEEKDAY(DATE(AnnéeCalendrier,3,5),1),"jjj")</f>
        <v>dim</v>
      </c>
      <c r="H5" s="1" t="str">
        <f>TEXT(WEEKDAY(DATE(AnnéeCalendrier,3,6),1),"jjj")</f>
        <v>lun</v>
      </c>
      <c r="I5" s="1" t="str">
        <f>TEXT(WEEKDAY(DATE(AnnéeCalendrier,3,7),1),"jjj")</f>
        <v>mar</v>
      </c>
      <c r="J5" s="1" t="str">
        <f>TEXT(WEEKDAY(DATE(AnnéeCalendrier,3,8),1),"jjj")</f>
        <v>mer</v>
      </c>
      <c r="K5" s="1" t="str">
        <f>TEXT(WEEKDAY(DATE(AnnéeCalendrier,3,9),1),"jjj")</f>
        <v>jeu</v>
      </c>
      <c r="L5" s="1" t="str">
        <f>TEXT(WEEKDAY(DATE(AnnéeCalendrier,3,10),1),"jjj")</f>
        <v>ven</v>
      </c>
      <c r="M5" s="1" t="str">
        <f>TEXT(WEEKDAY(DATE(AnnéeCalendrier,3,11),1),"jjj")</f>
        <v>sam</v>
      </c>
      <c r="N5" s="1" t="str">
        <f>TEXT(WEEKDAY(DATE(AnnéeCalendrier,3,12),1),"jjj")</f>
        <v>dim</v>
      </c>
      <c r="O5" s="1" t="str">
        <f>TEXT(WEEKDAY(DATE(AnnéeCalendrier,3,13),1),"jjj")</f>
        <v>lun</v>
      </c>
      <c r="P5" s="1" t="str">
        <f>TEXT(WEEKDAY(DATE(AnnéeCalendrier,3,14),1),"jjj")</f>
        <v>mar</v>
      </c>
      <c r="Q5" s="1" t="str">
        <f>TEXT(WEEKDAY(DATE(AnnéeCalendrier,3,15),1),"jjj")</f>
        <v>mer</v>
      </c>
      <c r="R5" s="1" t="str">
        <f>TEXT(WEEKDAY(DATE(AnnéeCalendrier,3,16),1),"jjj")</f>
        <v>jeu</v>
      </c>
      <c r="S5" s="1" t="str">
        <f>TEXT(WEEKDAY(DATE(AnnéeCalendrier,3,17),1),"jjj")</f>
        <v>ven</v>
      </c>
      <c r="T5" s="1" t="str">
        <f>TEXT(WEEKDAY(DATE(AnnéeCalendrier,3,18),1),"jjj")</f>
        <v>sam</v>
      </c>
      <c r="U5" s="1" t="str">
        <f>TEXT(WEEKDAY(DATE(AnnéeCalendrier,3,19),1),"jjj")</f>
        <v>dim</v>
      </c>
      <c r="V5" s="1" t="str">
        <f>TEXT(WEEKDAY(DATE(AnnéeCalendrier,3,20),1),"jjj")</f>
        <v>lun</v>
      </c>
      <c r="W5" s="1" t="str">
        <f>TEXT(WEEKDAY(DATE(AnnéeCalendrier,3,21),1),"jjj")</f>
        <v>mar</v>
      </c>
      <c r="X5" s="1" t="str">
        <f>TEXT(WEEKDAY(DATE(AnnéeCalendrier,3,22),1),"jjj")</f>
        <v>mer</v>
      </c>
      <c r="Y5" s="1" t="str">
        <f>TEXT(WEEKDAY(DATE(AnnéeCalendrier,3,23),1),"jjj")</f>
        <v>jeu</v>
      </c>
      <c r="Z5" s="1" t="str">
        <f>TEXT(WEEKDAY(DATE(AnnéeCalendrier,3,24),1),"jjj")</f>
        <v>ven</v>
      </c>
      <c r="AA5" s="1" t="str">
        <f>TEXT(WEEKDAY(DATE(AnnéeCalendrier,3,25),1),"jjj")</f>
        <v>sam</v>
      </c>
      <c r="AB5" s="1" t="str">
        <f>TEXT(WEEKDAY(DATE(AnnéeCalendrier,3,26),1),"jjj")</f>
        <v>dim</v>
      </c>
      <c r="AC5" s="1" t="str">
        <f>TEXT(WEEKDAY(DATE(AnnéeCalendrier,3,27),1),"jjj")</f>
        <v>lun</v>
      </c>
      <c r="AD5" s="1" t="str">
        <f>TEXT(WEEKDAY(DATE(AnnéeCalendrier,3,28),1),"jjj")</f>
        <v>mar</v>
      </c>
      <c r="AE5" s="1" t="str">
        <f>TEXT(WEEKDAY(DATE(AnnéeCalendrier,3,29),1),"jjj")</f>
        <v>mer</v>
      </c>
      <c r="AF5" s="1" t="str">
        <f>TEXT(WEEKDAY(DATE(AnnéeCalendrier,3,30),1),"jjj")</f>
        <v>jeu</v>
      </c>
      <c r="AG5" s="1" t="str">
        <f>TEXT(WEEKDAY(DATE(AnnéeCalendrier,3,31),1),"jjj")</f>
        <v>ven</v>
      </c>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COUNTA(Mars[[#This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COUNTA(Mars[[#This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COUNTA(Mars[[#This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COUNTA(Mars[[#This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COUNTA(Mars[[#This Row],[1]:[31]])</f>
        <v>0</v>
      </c>
    </row>
    <row r="12" spans="2:34" ht="30" customHeight="1" x14ac:dyDescent="0.25">
      <c r="B12" s="17" t="str">
        <f>NomMois&amp;" Total"</f>
        <v>Mars Total</v>
      </c>
      <c r="C12" s="10">
        <f>SUBTOTAL(103,Mars[1])</f>
        <v>0</v>
      </c>
      <c r="D12" s="10">
        <f>SUBTOTAL(103,Mars[2])</f>
        <v>0</v>
      </c>
      <c r="E12" s="10">
        <f>SUBTOTAL(103,Mars[3])</f>
        <v>0</v>
      </c>
      <c r="F12" s="10">
        <f>SUBTOTAL(103,Mars[4])</f>
        <v>0</v>
      </c>
      <c r="G12" s="10">
        <f>SUBTOTAL(103,Mars[5])</f>
        <v>0</v>
      </c>
      <c r="H12" s="10">
        <f>SUBTOTAL(103,Mars[6])</f>
        <v>0</v>
      </c>
      <c r="I12" s="10">
        <f>SUBTOTAL(103,Mars[7])</f>
        <v>0</v>
      </c>
      <c r="J12" s="10">
        <f>SUBTOTAL(103,Mars[8])</f>
        <v>0</v>
      </c>
      <c r="K12" s="10">
        <f>SUBTOTAL(103,Mars[9])</f>
        <v>0</v>
      </c>
      <c r="L12" s="10">
        <f>SUBTOTAL(103,Mars[10])</f>
        <v>0</v>
      </c>
      <c r="M12" s="10">
        <f>SUBTOTAL(103,Mars[11])</f>
        <v>0</v>
      </c>
      <c r="N12" s="10">
        <f>SUBTOTAL(103,Mars[12])</f>
        <v>0</v>
      </c>
      <c r="O12" s="10">
        <f>SUBTOTAL(103,Mars[13])</f>
        <v>0</v>
      </c>
      <c r="P12" s="10">
        <f>SUBTOTAL(103,Mars[14])</f>
        <v>0</v>
      </c>
      <c r="Q12" s="10">
        <f>SUBTOTAL(103,Mars[15])</f>
        <v>0</v>
      </c>
      <c r="R12" s="10">
        <f>SUBTOTAL(103,Mars[16])</f>
        <v>0</v>
      </c>
      <c r="S12" s="10">
        <f>SUBTOTAL(103,Mars[17])</f>
        <v>0</v>
      </c>
      <c r="T12" s="10">
        <f>SUBTOTAL(103,Mars[18])</f>
        <v>0</v>
      </c>
      <c r="U12" s="10">
        <f>SUBTOTAL(103,Mars[19])</f>
        <v>0</v>
      </c>
      <c r="V12" s="10">
        <f>SUBTOTAL(103,Mars[20])</f>
        <v>0</v>
      </c>
      <c r="W12" s="10">
        <f>SUBTOTAL(103,Mars[21])</f>
        <v>0</v>
      </c>
      <c r="X12" s="10">
        <f>SUBTOTAL(103,Mars[22])</f>
        <v>0</v>
      </c>
      <c r="Y12" s="10">
        <f>SUBTOTAL(103,Mars[23])</f>
        <v>0</v>
      </c>
      <c r="Z12" s="10">
        <f>SUBTOTAL(103,Mars[24])</f>
        <v>0</v>
      </c>
      <c r="AA12" s="10">
        <f>SUBTOTAL(103,Mars[25])</f>
        <v>0</v>
      </c>
      <c r="AB12" s="10">
        <f>SUBTOTAL(103,Mars[26])</f>
        <v>0</v>
      </c>
      <c r="AC12" s="10">
        <f>SUBTOTAL(103,Mars[27])</f>
        <v>0</v>
      </c>
      <c r="AD12" s="10">
        <f>SUBTOTAL(103,Mars[28])</f>
        <v>0</v>
      </c>
      <c r="AE12" s="10">
        <f>SUBTOTAL(103,Mars[29])</f>
        <v>0</v>
      </c>
      <c r="AF12" s="10">
        <f>SUBTOTAL(109,Mars[30])</f>
        <v>0</v>
      </c>
      <c r="AG12" s="10">
        <f>SUBTOTAL(109,Mars[31])</f>
        <v>0</v>
      </c>
      <c r="AH12" s="10">
        <f>SUBTOTAL(109,Mars[Total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49" priority="3" stopIfTrue="1">
      <formula>C7=CléPersonnalisée2</formula>
    </cfRule>
    <cfRule type="expression" dxfId="48" priority="4" stopIfTrue="1">
      <formula>C7=CléPersonnalisée1</formula>
    </cfRule>
    <cfRule type="expression" dxfId="47" priority="5" stopIfTrue="1">
      <formula>C7=CléMaladie</formula>
    </cfRule>
    <cfRule type="expression" dxfId="46" priority="6" stopIfTrue="1">
      <formula>C7=CléPersonnel</formula>
    </cfRule>
    <cfRule type="expression" dxfId="45"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{B457E6E8-B542-4C37-A34A-83CA10EC59CE}</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300-000000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300-000001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300-000002000000}"/>
    <dataValidation allowBlank="1" showInputMessage="1" showErrorMessage="1" prompt="Cette ligne définit les clés utilisées dans le tableau : Congé en C2, Personnel en F2 et Congé maladie en J2. Les cellules M2 et R2 sont personnalisables " sqref="B2" xr:uid="{00000000-0002-0000-0300-000003000000}"/>
    <dataValidation allowBlank="1" showInputMessage="1" showErrorMessage="1" prompt="Entrez une étiquette pour décrire la clé personnalisée à gauche" sqref="N2 S2" xr:uid="{00000000-0002-0000-0300-000004000000}"/>
    <dataValidation allowBlank="1" showInputMessage="1" showErrorMessage="1" prompt="Entrez une lettre et personnalisez l’étiquette à droite pour ajouter un élément de clé" sqref="M2 R2" xr:uid="{00000000-0002-0000-0300-000005000000}"/>
    <dataValidation allowBlank="1" showInputMessage="1" showErrorMessage="1" prompt="La lettre « M » indique une absence pour cause de maladie" sqref="J2" xr:uid="{00000000-0002-0000-0300-000006000000}"/>
    <dataValidation allowBlank="1" showInputMessage="1" showErrorMessage="1" prompt="La lettre « P » indique une absence pour motifs personnels" sqref="F2" xr:uid="{00000000-0002-0000-0300-000007000000}"/>
    <dataValidation allowBlank="1" showInputMessage="1" showErrorMessage="1" prompt="La lettre « C » indique une absence pour cause de congé" sqref="C2" xr:uid="{00000000-0002-0000-0300-000008000000}"/>
    <dataValidation allowBlank="1" showInputMessage="1" showErrorMessage="1" prompt="Le titre mis à jour automatiquement figure dans cette cellule. Pour modifier le titre, mettez à jour la cellule B1 de la feuille de calcul Janvier" sqref="B1" xr:uid="{00000000-0002-0000-0300-000009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300-00000A000000}"/>
    <dataValidation allowBlank="1" showInputMessage="1" showErrorMessage="1" prompt="Suivez les absences du mois de mars dans cette feuille de calcul" sqref="A1" xr:uid="{00000000-0002-0000-0300-00000B000000}"/>
    <dataValidation allowBlank="1" showInputMessage="1" showErrorMessage="1" prompt="Calcule automatiquement le nombre total de jours d’absence d’un employé durant ce mois dans cette colonne" sqref="AH6" xr:uid="{00000000-0002-0000-0300-00000C000000}"/>
    <dataValidation allowBlank="1" showInputMessage="1" showErrorMessage="1" prompt="Année mise à jour automatiquement en fonction de l’année entrée dans la feuille de calcul Janvier" sqref="AH4" xr:uid="{00000000-0002-0000-0300-00000D000000}"/>
    <dataValidation type="list" allowBlank="1" showInputMessage="1" showErrorMessage="1" sqref="B7:B11" xr:uid="{00000000-0002-0000-0300-00000E000000}">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B457E6E8-B542-4C37-A34A-83CA10EC59CE}">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2" tint="-0.249977111117893"/>
    <pageSetUpPr fitToPage="1"/>
  </sheetPr>
  <dimension ref="B1:AH12"/>
  <sheetViews>
    <sheetView showGridLines="0" zoomScaleNormal="100" workbookViewId="0">
      <selection activeCell="I16" sqref="I16"/>
    </sheetView>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2" t="s">
        <v>11</v>
      </c>
      <c r="E2" s="22"/>
      <c r="F2" s="3" t="s">
        <v>14</v>
      </c>
      <c r="G2" s="22" t="s">
        <v>18</v>
      </c>
      <c r="H2" s="22"/>
      <c r="I2" s="22"/>
      <c r="J2" s="4" t="s">
        <v>16</v>
      </c>
      <c r="K2" s="22" t="s">
        <v>23</v>
      </c>
      <c r="L2" s="22"/>
      <c r="M2" s="5"/>
      <c r="N2" s="22" t="s">
        <v>27</v>
      </c>
      <c r="O2" s="22"/>
      <c r="P2" s="22"/>
      <c r="Q2" s="22"/>
      <c r="R2" s="6"/>
      <c r="S2" s="22" t="s">
        <v>32</v>
      </c>
      <c r="T2" s="22"/>
      <c r="U2" s="22"/>
      <c r="V2" s="22"/>
    </row>
    <row r="3" spans="2:34" ht="15" customHeight="1" x14ac:dyDescent="0.25">
      <c r="B3" s="11"/>
    </row>
    <row r="4" spans="2:34" ht="30" customHeight="1" x14ac:dyDescent="0.25">
      <c r="B4" s="9" t="s">
        <v>54</v>
      </c>
      <c r="C4" s="21" t="s">
        <v>9</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9">
        <f>AnnéeCalendrier</f>
        <v>2023</v>
      </c>
    </row>
    <row r="5" spans="2:34" ht="15" customHeight="1" x14ac:dyDescent="0.25">
      <c r="B5" s="9"/>
      <c r="C5" s="1" t="str">
        <f>TEXT(WEEKDAY(DATE(AnnéeCalendrier,4,1),1),"jjj")</f>
        <v>sam</v>
      </c>
      <c r="D5" s="1" t="str">
        <f>TEXT(WEEKDAY(DATE(AnnéeCalendrier,4,2),1),"jjj")</f>
        <v>dim</v>
      </c>
      <c r="E5" s="1" t="str">
        <f>TEXT(WEEKDAY(DATE(AnnéeCalendrier,4,3),1),"jjj")</f>
        <v>lun</v>
      </c>
      <c r="F5" s="1" t="str">
        <f>TEXT(WEEKDAY(DATE(AnnéeCalendrier,4,4),1),"jjj")</f>
        <v>mar</v>
      </c>
      <c r="G5" s="1" t="str">
        <f>TEXT(WEEKDAY(DATE(AnnéeCalendrier,4,5),1),"jjj")</f>
        <v>mer</v>
      </c>
      <c r="H5" s="1" t="str">
        <f>TEXT(WEEKDAY(DATE(AnnéeCalendrier,4,6),1),"jjj")</f>
        <v>jeu</v>
      </c>
      <c r="I5" s="1" t="str">
        <f>TEXT(WEEKDAY(DATE(AnnéeCalendrier,4,7),1),"jjj")</f>
        <v>ven</v>
      </c>
      <c r="J5" s="1" t="str">
        <f>TEXT(WEEKDAY(DATE(AnnéeCalendrier,4,8),1),"jjj")</f>
        <v>sam</v>
      </c>
      <c r="K5" s="1" t="str">
        <f>TEXT(WEEKDAY(DATE(AnnéeCalendrier,4,9),1),"jjj")</f>
        <v>dim</v>
      </c>
      <c r="L5" s="1" t="str">
        <f>TEXT(WEEKDAY(DATE(AnnéeCalendrier,4,10),1),"jjj")</f>
        <v>lun</v>
      </c>
      <c r="M5" s="1" t="str">
        <f>TEXT(WEEKDAY(DATE(AnnéeCalendrier,4,11),1),"jjj")</f>
        <v>mar</v>
      </c>
      <c r="N5" s="1" t="str">
        <f>TEXT(WEEKDAY(DATE(AnnéeCalendrier,4,12),1),"jjj")</f>
        <v>mer</v>
      </c>
      <c r="O5" s="1" t="str">
        <f>TEXT(WEEKDAY(DATE(AnnéeCalendrier,4,13),1),"jjj")</f>
        <v>jeu</v>
      </c>
      <c r="P5" s="1" t="str">
        <f>TEXT(WEEKDAY(DATE(AnnéeCalendrier,4,14),1),"jjj")</f>
        <v>ven</v>
      </c>
      <c r="Q5" s="1" t="str">
        <f>TEXT(WEEKDAY(DATE(AnnéeCalendrier,4,15),1),"jjj")</f>
        <v>sam</v>
      </c>
      <c r="R5" s="1" t="str">
        <f>TEXT(WEEKDAY(DATE(AnnéeCalendrier,4,16),1),"jjj")</f>
        <v>dim</v>
      </c>
      <c r="S5" s="1" t="str">
        <f>TEXT(WEEKDAY(DATE(AnnéeCalendrier,4,17),1),"jjj")</f>
        <v>lun</v>
      </c>
      <c r="T5" s="1" t="str">
        <f>TEXT(WEEKDAY(DATE(AnnéeCalendrier,4,18),1),"jjj")</f>
        <v>mar</v>
      </c>
      <c r="U5" s="1" t="str">
        <f>TEXT(WEEKDAY(DATE(AnnéeCalendrier,4,19),1),"jjj")</f>
        <v>mer</v>
      </c>
      <c r="V5" s="1" t="str">
        <f>TEXT(WEEKDAY(DATE(AnnéeCalendrier,4,20),1),"jjj")</f>
        <v>jeu</v>
      </c>
      <c r="W5" s="1" t="str">
        <f>TEXT(WEEKDAY(DATE(AnnéeCalendrier,4,21),1),"jjj")</f>
        <v>ven</v>
      </c>
      <c r="X5" s="1" t="str">
        <f>TEXT(WEEKDAY(DATE(AnnéeCalendrier,4,22),1),"jjj")</f>
        <v>sam</v>
      </c>
      <c r="Y5" s="1" t="str">
        <f>TEXT(WEEKDAY(DATE(AnnéeCalendrier,4,23),1),"jjj")</f>
        <v>dim</v>
      </c>
      <c r="Z5" s="1" t="str">
        <f>TEXT(WEEKDAY(DATE(AnnéeCalendrier,4,24),1),"jjj")</f>
        <v>lun</v>
      </c>
      <c r="AA5" s="1" t="str">
        <f>TEXT(WEEKDAY(DATE(AnnéeCalendrier,4,25),1),"jjj")</f>
        <v>mar</v>
      </c>
      <c r="AB5" s="1" t="str">
        <f>TEXT(WEEKDAY(DATE(AnnéeCalendrier,4,26),1),"jjj")</f>
        <v>mer</v>
      </c>
      <c r="AC5" s="1" t="str">
        <f>TEXT(WEEKDAY(DATE(AnnéeCalendrier,4,27),1),"jjj")</f>
        <v>jeu</v>
      </c>
      <c r="AD5" s="1" t="str">
        <f>TEXT(WEEKDAY(DATE(AnnéeCalendrier,4,28),1),"jjj")</f>
        <v>ven</v>
      </c>
      <c r="AE5" s="1" t="str">
        <f>TEXT(WEEKDAY(DATE(AnnéeCalendrier,4,29),1),"jjj")</f>
        <v>sam</v>
      </c>
      <c r="AF5" s="1" t="str">
        <f>TEXT(WEEKDAY(DATE(AnnéeCalendrier,4,30),1),"jjj")</f>
        <v>dim</v>
      </c>
      <c r="AG5" s="1"/>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COUNTA(Avril[[#This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COUNTA(Avril[[#This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COUNTA(Avril[[#This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COUNTA(Avril[[#This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COUNTA(Avril[[#This Row],[1]:[31]])</f>
        <v>0</v>
      </c>
    </row>
    <row r="12" spans="2:34" ht="30" customHeight="1" x14ac:dyDescent="0.25">
      <c r="B12" s="17" t="str">
        <f>NomMois&amp;" Total"</f>
        <v>Avril Total</v>
      </c>
      <c r="C12" s="10">
        <f>SUBTOTAL(103,Avril[1])</f>
        <v>0</v>
      </c>
      <c r="D12" s="10">
        <f>SUBTOTAL(103,Avril[2])</f>
        <v>0</v>
      </c>
      <c r="E12" s="10">
        <f>SUBTOTAL(103,Avril[3])</f>
        <v>0</v>
      </c>
      <c r="F12" s="10">
        <f>SUBTOTAL(103,Avril[4])</f>
        <v>0</v>
      </c>
      <c r="G12" s="10">
        <f>SUBTOTAL(103,Avril[5])</f>
        <v>0</v>
      </c>
      <c r="H12" s="10">
        <f>SUBTOTAL(103,Avril[6])</f>
        <v>0</v>
      </c>
      <c r="I12" s="10">
        <f>SUBTOTAL(103,Avril[7])</f>
        <v>0</v>
      </c>
      <c r="J12" s="10">
        <f>SUBTOTAL(103,Avril[8])</f>
        <v>0</v>
      </c>
      <c r="K12" s="10">
        <f>SUBTOTAL(103,Avril[9])</f>
        <v>0</v>
      </c>
      <c r="L12" s="10">
        <f>SUBTOTAL(103,Avril[10])</f>
        <v>0</v>
      </c>
      <c r="M12" s="10">
        <f>SUBTOTAL(103,Avril[11])</f>
        <v>0</v>
      </c>
      <c r="N12" s="10">
        <f>SUBTOTAL(103,Avril[12])</f>
        <v>0</v>
      </c>
      <c r="O12" s="10">
        <f>SUBTOTAL(103,Avril[13])</f>
        <v>0</v>
      </c>
      <c r="P12" s="10">
        <f>SUBTOTAL(103,Avril[14])</f>
        <v>0</v>
      </c>
      <c r="Q12" s="10">
        <f>SUBTOTAL(103,Avril[15])</f>
        <v>0</v>
      </c>
      <c r="R12" s="10">
        <f>SUBTOTAL(103,Avril[16])</f>
        <v>0</v>
      </c>
      <c r="S12" s="10">
        <f>SUBTOTAL(103,Avril[17])</f>
        <v>0</v>
      </c>
      <c r="T12" s="10">
        <f>SUBTOTAL(103,Avril[18])</f>
        <v>0</v>
      </c>
      <c r="U12" s="10">
        <f>SUBTOTAL(103,Avril[19])</f>
        <v>0</v>
      </c>
      <c r="V12" s="10">
        <f>SUBTOTAL(103,Avril[20])</f>
        <v>0</v>
      </c>
      <c r="W12" s="10">
        <f>SUBTOTAL(103,Avril[21])</f>
        <v>0</v>
      </c>
      <c r="X12" s="10">
        <f>SUBTOTAL(103,Avril[22])</f>
        <v>0</v>
      </c>
      <c r="Y12" s="10">
        <f>SUBTOTAL(103,Avril[23])</f>
        <v>0</v>
      </c>
      <c r="Z12" s="10">
        <f>SUBTOTAL(103,Avril[24])</f>
        <v>0</v>
      </c>
      <c r="AA12" s="10">
        <f>SUBTOTAL(103,Avril[25])</f>
        <v>0</v>
      </c>
      <c r="AB12" s="10">
        <f>SUBTOTAL(103,Avril[26])</f>
        <v>0</v>
      </c>
      <c r="AC12" s="10">
        <f>SUBTOTAL(103,Avril[27])</f>
        <v>0</v>
      </c>
      <c r="AD12" s="10">
        <f>SUBTOTAL(103,Avril[28])</f>
        <v>0</v>
      </c>
      <c r="AE12" s="10">
        <f>SUBTOTAL(103,Avril[29])</f>
        <v>0</v>
      </c>
      <c r="AF12" s="10">
        <f>SUBTOTAL(109,Avril[30])</f>
        <v>0</v>
      </c>
      <c r="AG12" s="10">
        <f>SUBTOTAL(109,Avril[31])</f>
        <v>0</v>
      </c>
      <c r="AH12" s="10">
        <f>SUBTOTAL(109,Avril[Total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44" priority="3" stopIfTrue="1">
      <formula>C7=CléPersonnalisée2</formula>
    </cfRule>
    <cfRule type="expression" dxfId="43" priority="4" stopIfTrue="1">
      <formula>C7=CléPersonnalisée1</formula>
    </cfRule>
    <cfRule type="expression" dxfId="42" priority="5" stopIfTrue="1">
      <formula>C7=CléMaladie</formula>
    </cfRule>
    <cfRule type="expression" dxfId="41" priority="6" stopIfTrue="1">
      <formula>C7=CléPersonnel</formula>
    </cfRule>
    <cfRule type="expression" dxfId="40"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{D2D1CBA7-CC8B-4540-90B5-A509447EF651}</x14:id>
        </ext>
      </extLst>
    </cfRule>
  </conditionalFormatting>
  <dataValidations count="15">
    <dataValidation allowBlank="1" showInputMessage="1" showErrorMessage="1" prompt="Année mise à jour automatiquement en fonction de l’année entrée dans la feuille de calcul Janvier" sqref="AH4" xr:uid="{00000000-0002-0000-0400-000000000000}"/>
    <dataValidation allowBlank="1" showInputMessage="1" showErrorMessage="1" prompt="Calcule automatiquement le nombre total de jours d’absence d’un employé durant ce mois dans cette colonne" sqref="AH6" xr:uid="{00000000-0002-0000-0400-000001000000}"/>
    <dataValidation allowBlank="1" showInputMessage="1" showErrorMessage="1" prompt="Suivez les absences du mois d’avril dans cette feuille de calcul" sqref="A1" xr:uid="{00000000-0002-0000-0400-000002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400-000003000000}"/>
    <dataValidation allowBlank="1" showInputMessage="1" showErrorMessage="1" prompt="Le titre mis à jour automatiquement figure dans cette cellule. Pour modifier le titre, mettez à jour la cellule B1 de la feuille de calcul Janvier" sqref="B1" xr:uid="{00000000-0002-0000-0400-000004000000}"/>
    <dataValidation allowBlank="1" showInputMessage="1" showErrorMessage="1" prompt="La lettre « C » indique une absence pour cause de congé" sqref="C2" xr:uid="{00000000-0002-0000-0400-000005000000}"/>
    <dataValidation allowBlank="1" showInputMessage="1" showErrorMessage="1" prompt="La lettre « P » indique une absence pour motifs personnels" sqref="F2" xr:uid="{00000000-0002-0000-0400-000006000000}"/>
    <dataValidation allowBlank="1" showInputMessage="1" showErrorMessage="1" prompt="La lettre « M » indique une absence pour cause de maladie" sqref="J2" xr:uid="{00000000-0002-0000-0400-000007000000}"/>
    <dataValidation allowBlank="1" showInputMessage="1" showErrorMessage="1" prompt="Entrez une lettre et personnalisez l’étiquette à droite pour ajouter un élément de clé" sqref="M2 R2" xr:uid="{00000000-0002-0000-0400-000008000000}"/>
    <dataValidation allowBlank="1" showInputMessage="1" showErrorMessage="1" prompt="Entrez une étiquette pour décrire la clé personnalisée à gauche" sqref="N2 S2" xr:uid="{00000000-0002-0000-0400-000009000000}"/>
    <dataValidation allowBlank="1" showInputMessage="1" showErrorMessage="1" prompt="Cette ligne définit les clés utilisées dans le tableau : Congé en C2, Personnel en F2 et Congé maladie en J2. Les cellules M2 et R2 sont personnalisables " sqref="B2" xr:uid="{00000000-0002-0000-0400-00000A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400-00000B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4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400-00000D000000}"/>
    <dataValidation type="list" allowBlank="1" showInputMessage="1" showErrorMessage="1" sqref="B7:B11" xr:uid="{00000000-0002-0000-0400-00000E000000}">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D2D1CBA7-CC8B-4540-90B5-A509447EF651}">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2" tint="-9.9978637043366805E-2"/>
    <pageSetUpPr fitToPage="1"/>
  </sheetPr>
  <dimension ref="B1:AH12"/>
  <sheetViews>
    <sheetView showGridLines="0" zoomScaleNormal="100" workbookViewId="0"/>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2" t="s">
        <v>11</v>
      </c>
      <c r="E2" s="22"/>
      <c r="F2" s="3" t="s">
        <v>14</v>
      </c>
      <c r="G2" s="22" t="s">
        <v>18</v>
      </c>
      <c r="H2" s="22"/>
      <c r="I2" s="22"/>
      <c r="J2" s="4" t="s">
        <v>16</v>
      </c>
      <c r="K2" s="22" t="s">
        <v>23</v>
      </c>
      <c r="L2" s="22"/>
      <c r="M2" s="5"/>
      <c r="N2" s="22" t="s">
        <v>27</v>
      </c>
      <c r="O2" s="22"/>
      <c r="P2" s="22"/>
      <c r="Q2" s="22"/>
      <c r="R2" s="6"/>
      <c r="S2" s="22" t="s">
        <v>32</v>
      </c>
      <c r="T2" s="22"/>
      <c r="U2" s="22"/>
      <c r="V2" s="22"/>
    </row>
    <row r="3" spans="2:34" ht="15" customHeight="1" x14ac:dyDescent="0.25">
      <c r="B3" s="11"/>
    </row>
    <row r="4" spans="2:34" ht="30" customHeight="1" x14ac:dyDescent="0.25">
      <c r="B4" s="9" t="s">
        <v>55</v>
      </c>
      <c r="C4" s="21" t="s">
        <v>9</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9">
        <f>AnnéeCalendrier</f>
        <v>2023</v>
      </c>
    </row>
    <row r="5" spans="2:34" ht="15" customHeight="1" x14ac:dyDescent="0.25">
      <c r="B5" s="9"/>
      <c r="C5" s="1" t="str">
        <f>TEXT(WEEKDAY(DATE(AnnéeCalendrier,5,1),1),"jjj")</f>
        <v>lun</v>
      </c>
      <c r="D5" s="1" t="str">
        <f>TEXT(WEEKDAY(DATE(AnnéeCalendrier,5,2),1),"jjj")</f>
        <v>mar</v>
      </c>
      <c r="E5" s="1" t="str">
        <f>TEXT(WEEKDAY(DATE(AnnéeCalendrier,5,3),1),"jjj")</f>
        <v>mer</v>
      </c>
      <c r="F5" s="1" t="str">
        <f>TEXT(WEEKDAY(DATE(AnnéeCalendrier,5,4),1),"jjj")</f>
        <v>jeu</v>
      </c>
      <c r="G5" s="1" t="str">
        <f>TEXT(WEEKDAY(DATE(AnnéeCalendrier,5,5),1),"jjj")</f>
        <v>ven</v>
      </c>
      <c r="H5" s="1" t="str">
        <f>TEXT(WEEKDAY(DATE(AnnéeCalendrier,5,6),1),"jjj")</f>
        <v>sam</v>
      </c>
      <c r="I5" s="1" t="str">
        <f>TEXT(WEEKDAY(DATE(AnnéeCalendrier,5,7),1),"jjj")</f>
        <v>dim</v>
      </c>
      <c r="J5" s="1" t="str">
        <f>TEXT(WEEKDAY(DATE(AnnéeCalendrier,5,8),1),"jjj")</f>
        <v>lun</v>
      </c>
      <c r="K5" s="1" t="str">
        <f>TEXT(WEEKDAY(DATE(AnnéeCalendrier,5,9),1),"jjj")</f>
        <v>mar</v>
      </c>
      <c r="L5" s="1" t="str">
        <f>TEXT(WEEKDAY(DATE(AnnéeCalendrier,5,10),1),"jjj")</f>
        <v>mer</v>
      </c>
      <c r="M5" s="1" t="str">
        <f>TEXT(WEEKDAY(DATE(AnnéeCalendrier,5,11),1),"jjj")</f>
        <v>jeu</v>
      </c>
      <c r="N5" s="1" t="str">
        <f>TEXT(WEEKDAY(DATE(AnnéeCalendrier,5,12),1),"jjj")</f>
        <v>ven</v>
      </c>
      <c r="O5" s="1" t="str">
        <f>TEXT(WEEKDAY(DATE(AnnéeCalendrier,5,13),1),"jjj")</f>
        <v>sam</v>
      </c>
      <c r="P5" s="1" t="str">
        <f>TEXT(WEEKDAY(DATE(AnnéeCalendrier,5,14),1),"jjj")</f>
        <v>dim</v>
      </c>
      <c r="Q5" s="1" t="str">
        <f>TEXT(WEEKDAY(DATE(AnnéeCalendrier,5,15),1),"jjj")</f>
        <v>lun</v>
      </c>
      <c r="R5" s="1" t="str">
        <f>TEXT(WEEKDAY(DATE(AnnéeCalendrier,5,16),1),"jjj")</f>
        <v>mar</v>
      </c>
      <c r="S5" s="1" t="str">
        <f>TEXT(WEEKDAY(DATE(AnnéeCalendrier,5,17),1),"jjj")</f>
        <v>mer</v>
      </c>
      <c r="T5" s="1" t="str">
        <f>TEXT(WEEKDAY(DATE(AnnéeCalendrier,5,18),1),"jjj")</f>
        <v>jeu</v>
      </c>
      <c r="U5" s="1" t="str">
        <f>TEXT(WEEKDAY(DATE(AnnéeCalendrier,5,19),1),"jjj")</f>
        <v>ven</v>
      </c>
      <c r="V5" s="1" t="str">
        <f>TEXT(WEEKDAY(DATE(AnnéeCalendrier,5,20),1),"jjj")</f>
        <v>sam</v>
      </c>
      <c r="W5" s="1" t="str">
        <f>TEXT(WEEKDAY(DATE(AnnéeCalendrier,5,21),1),"jjj")</f>
        <v>dim</v>
      </c>
      <c r="X5" s="1" t="str">
        <f>TEXT(WEEKDAY(DATE(AnnéeCalendrier,5,22),1),"jjj")</f>
        <v>lun</v>
      </c>
      <c r="Y5" s="1" t="str">
        <f>TEXT(WEEKDAY(DATE(AnnéeCalendrier,5,23),1),"jjj")</f>
        <v>mar</v>
      </c>
      <c r="Z5" s="1" t="str">
        <f>TEXT(WEEKDAY(DATE(AnnéeCalendrier,5,24),1),"jjj")</f>
        <v>mer</v>
      </c>
      <c r="AA5" s="1" t="str">
        <f>TEXT(WEEKDAY(DATE(AnnéeCalendrier,5,25),1),"jjj")</f>
        <v>jeu</v>
      </c>
      <c r="AB5" s="1" t="str">
        <f>TEXT(WEEKDAY(DATE(AnnéeCalendrier,5,26),1),"jjj")</f>
        <v>ven</v>
      </c>
      <c r="AC5" s="1" t="str">
        <f>TEXT(WEEKDAY(DATE(AnnéeCalendrier,5,27),1),"jjj")</f>
        <v>sam</v>
      </c>
      <c r="AD5" s="1" t="str">
        <f>TEXT(WEEKDAY(DATE(AnnéeCalendrier,5,28),1),"jjj")</f>
        <v>dim</v>
      </c>
      <c r="AE5" s="1" t="str">
        <f>TEXT(WEEKDAY(DATE(AnnéeCalendrier,5,29),1),"jjj")</f>
        <v>lun</v>
      </c>
      <c r="AF5" s="1" t="str">
        <f>TEXT(WEEKDAY(DATE(AnnéeCalendrier,5,30),1),"jjj")</f>
        <v>mar</v>
      </c>
      <c r="AG5" s="1" t="str">
        <f>TEXT(WEEKDAY(DATE(AnnéeCalendrier,5,31),1),"jjj")</f>
        <v>mer</v>
      </c>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COUNTA(Mai[[#This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COUNTA(Mai[[#This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COUNTA(Mai[[#This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COUNTA(Mai[[#This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COUNTA(Mai[[#This Row],[1]:[31]])</f>
        <v>0</v>
      </c>
    </row>
    <row r="12" spans="2:34" ht="30" customHeight="1" x14ac:dyDescent="0.25">
      <c r="B12" s="17" t="str">
        <f>NomMois&amp;" Total"</f>
        <v>Mai Total</v>
      </c>
      <c r="C12" s="10">
        <f>SUBTOTAL(103,Mai[1])</f>
        <v>0</v>
      </c>
      <c r="D12" s="10">
        <f>SUBTOTAL(103,Mai[2])</f>
        <v>0</v>
      </c>
      <c r="E12" s="10">
        <f>SUBTOTAL(103,Mai[3])</f>
        <v>0</v>
      </c>
      <c r="F12" s="10">
        <f>SUBTOTAL(103,Mai[4])</f>
        <v>0</v>
      </c>
      <c r="G12" s="10">
        <f>SUBTOTAL(103,Mai[5])</f>
        <v>0</v>
      </c>
      <c r="H12" s="10">
        <f>SUBTOTAL(103,Mai[6])</f>
        <v>0</v>
      </c>
      <c r="I12" s="10">
        <f>SUBTOTAL(103,Mai[7])</f>
        <v>0</v>
      </c>
      <c r="J12" s="10">
        <f>SUBTOTAL(103,Mai[8])</f>
        <v>0</v>
      </c>
      <c r="K12" s="10">
        <f>SUBTOTAL(103,Mai[9])</f>
        <v>0</v>
      </c>
      <c r="L12" s="10">
        <f>SUBTOTAL(103,Mai[10])</f>
        <v>0</v>
      </c>
      <c r="M12" s="10">
        <f>SUBTOTAL(103,Mai[11])</f>
        <v>0</v>
      </c>
      <c r="N12" s="10">
        <f>SUBTOTAL(103,Mai[12])</f>
        <v>0</v>
      </c>
      <c r="O12" s="10">
        <f>SUBTOTAL(103,Mai[13])</f>
        <v>0</v>
      </c>
      <c r="P12" s="10">
        <f>SUBTOTAL(103,Mai[14])</f>
        <v>0</v>
      </c>
      <c r="Q12" s="10">
        <f>SUBTOTAL(103,Mai[15])</f>
        <v>0</v>
      </c>
      <c r="R12" s="10">
        <f>SUBTOTAL(103,Mai[16])</f>
        <v>0</v>
      </c>
      <c r="S12" s="10">
        <f>SUBTOTAL(103,Mai[17])</f>
        <v>0</v>
      </c>
      <c r="T12" s="10">
        <f>SUBTOTAL(103,Mai[18])</f>
        <v>0</v>
      </c>
      <c r="U12" s="10">
        <f>SUBTOTAL(103,Mai[19])</f>
        <v>0</v>
      </c>
      <c r="V12" s="10">
        <f>SUBTOTAL(103,Mai[20])</f>
        <v>0</v>
      </c>
      <c r="W12" s="10">
        <f>SUBTOTAL(103,Mai[21])</f>
        <v>0</v>
      </c>
      <c r="X12" s="10">
        <f>SUBTOTAL(103,Mai[22])</f>
        <v>0</v>
      </c>
      <c r="Y12" s="10">
        <f>SUBTOTAL(103,Mai[23])</f>
        <v>0</v>
      </c>
      <c r="Z12" s="10">
        <f>SUBTOTAL(103,Mai[24])</f>
        <v>0</v>
      </c>
      <c r="AA12" s="10">
        <f>SUBTOTAL(103,Mai[25])</f>
        <v>0</v>
      </c>
      <c r="AB12" s="10">
        <f>SUBTOTAL(103,Mai[26])</f>
        <v>0</v>
      </c>
      <c r="AC12" s="10">
        <f>SUBTOTAL(103,Mai[27])</f>
        <v>0</v>
      </c>
      <c r="AD12" s="10">
        <f>SUBTOTAL(103,Mai[28])</f>
        <v>0</v>
      </c>
      <c r="AE12" s="10">
        <f>SUBTOTAL(103,Mai[29])</f>
        <v>0</v>
      </c>
      <c r="AF12" s="10">
        <f>SUBTOTAL(109,Mai[30])</f>
        <v>0</v>
      </c>
      <c r="AG12" s="10">
        <f>SUBTOTAL(109,Mai[31])</f>
        <v>0</v>
      </c>
      <c r="AH12" s="10">
        <f>SUBTOTAL(109,Mai[Total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39" priority="3" stopIfTrue="1">
      <formula>C7=CléPersonnalisée2</formula>
    </cfRule>
    <cfRule type="expression" dxfId="38" priority="4" stopIfTrue="1">
      <formula>C7=CléPersonnalisée1</formula>
    </cfRule>
    <cfRule type="expression" dxfId="37" priority="5" stopIfTrue="1">
      <formula>C7=CléMaladie</formula>
    </cfRule>
    <cfRule type="expression" dxfId="36" priority="6" stopIfTrue="1">
      <formula>C7=CléPersonnel</formula>
    </cfRule>
    <cfRule type="expression" dxfId="35"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{ED406F68-2024-4284-8D00-B28A49F475F1}</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5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500-000001000000}"/>
    <dataValidation allowBlank="1" showInputMessage="1" showErrorMessage="1" prompt="Cette ligne définit les clés utilisées dans le tableau : Congé en C2, Personnel en F2 et Congé maladie en J2. Les cellules M2 et R2 sont personnalisables " sqref="B2" xr:uid="{00000000-0002-0000-0500-000002000000}"/>
    <dataValidation allowBlank="1" showInputMessage="1" showErrorMessage="1" prompt="Entrez une étiquette pour décrire la clé personnalisée à gauche" sqref="N2 S2" xr:uid="{00000000-0002-0000-0500-000003000000}"/>
    <dataValidation allowBlank="1" showInputMessage="1" showErrorMessage="1" prompt="Entrez une lettre et personnalisez l’étiquette à droite pour ajouter un élément de clé" sqref="M2 R2" xr:uid="{00000000-0002-0000-0500-000004000000}"/>
    <dataValidation allowBlank="1" showInputMessage="1" showErrorMessage="1" prompt="La lettre « M » indique une absence pour cause de maladie" sqref="J2" xr:uid="{00000000-0002-0000-0500-000005000000}"/>
    <dataValidation allowBlank="1" showInputMessage="1" showErrorMessage="1" prompt="La lettre « P » indique une absence pour motifs personnels" sqref="F2" xr:uid="{00000000-0002-0000-0500-000006000000}"/>
    <dataValidation allowBlank="1" showInputMessage="1" showErrorMessage="1" prompt="La lettre « C » indique une absence pour cause de congé" sqref="C2" xr:uid="{00000000-0002-0000-0500-000007000000}"/>
    <dataValidation allowBlank="1" showInputMessage="1" showErrorMessage="1" prompt="Le titre mis à jour automatiquement figure dans cette cellule. Pour modifier le titre, mettez à jour la cellule B1 de la feuille de calcul Janvier" sqref="B1" xr:uid="{00000000-0002-0000-05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500-000009000000}"/>
    <dataValidation allowBlank="1" showInputMessage="1" showErrorMessage="1" prompt="Suivez les absences du mois de mai dans cette feuille de calcul" sqref="A1" xr:uid="{00000000-0002-0000-0500-00000A000000}"/>
    <dataValidation allowBlank="1" showInputMessage="1" showErrorMessage="1" prompt="Calcule automatiquement le nombre total de jours d’absence d’un employé durant ce mois dans cette colonne" sqref="AH6" xr:uid="{00000000-0002-0000-0500-00000B000000}"/>
    <dataValidation allowBlank="1" showInputMessage="1" showErrorMessage="1" prompt="Année mise à jour automatiquement en fonction de l’année entrée dans la feuille de calcul Janvier" sqref="AH4" xr:uid="{00000000-0002-0000-05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500-00000D000000}"/>
    <dataValidation type="list" allowBlank="1" showInputMessage="1" showErrorMessage="1" sqref="B7:B11" xr:uid="{00000000-0002-0000-0500-00000E000000}">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D406F68-2024-4284-8D00-B28A49F475F1}">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2"/>
    <pageSetUpPr fitToPage="1"/>
  </sheetPr>
  <dimension ref="B1:AH12"/>
  <sheetViews>
    <sheetView showGridLines="0" zoomScaleNormal="100" workbookViewId="0"/>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2" t="s">
        <v>11</v>
      </c>
      <c r="E2" s="22"/>
      <c r="F2" s="3" t="s">
        <v>14</v>
      </c>
      <c r="G2" s="22" t="s">
        <v>18</v>
      </c>
      <c r="H2" s="22"/>
      <c r="I2" s="22"/>
      <c r="J2" s="4" t="s">
        <v>16</v>
      </c>
      <c r="K2" s="22" t="s">
        <v>23</v>
      </c>
      <c r="L2" s="22"/>
      <c r="M2" s="5"/>
      <c r="N2" s="22" t="s">
        <v>27</v>
      </c>
      <c r="O2" s="22"/>
      <c r="P2" s="22"/>
      <c r="Q2" s="22"/>
      <c r="R2" s="6"/>
      <c r="S2" s="22" t="s">
        <v>32</v>
      </c>
      <c r="T2" s="22"/>
      <c r="U2" s="22"/>
      <c r="V2" s="22"/>
    </row>
    <row r="3" spans="2:34" ht="15" customHeight="1" x14ac:dyDescent="0.25">
      <c r="B3" s="11"/>
    </row>
    <row r="4" spans="2:34" ht="30" customHeight="1" x14ac:dyDescent="0.25">
      <c r="B4" s="9" t="s">
        <v>56</v>
      </c>
      <c r="C4" s="21" t="s">
        <v>9</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9">
        <f>AnnéeCalendrier</f>
        <v>2023</v>
      </c>
    </row>
    <row r="5" spans="2:34" ht="15" customHeight="1" x14ac:dyDescent="0.25">
      <c r="B5" s="9"/>
      <c r="C5" s="1" t="str">
        <f>TEXT(WEEKDAY(DATE(AnnéeCalendrier,6,1),1),"jjj")</f>
        <v>jeu</v>
      </c>
      <c r="D5" s="1" t="str">
        <f>TEXT(WEEKDAY(DATE(AnnéeCalendrier,6,2),1),"jjj")</f>
        <v>ven</v>
      </c>
      <c r="E5" s="1" t="str">
        <f>TEXT(WEEKDAY(DATE(AnnéeCalendrier,6,3),1),"jjj")</f>
        <v>sam</v>
      </c>
      <c r="F5" s="1" t="str">
        <f>TEXT(WEEKDAY(DATE(AnnéeCalendrier,6,4),1),"jjj")</f>
        <v>dim</v>
      </c>
      <c r="G5" s="1" t="str">
        <f>TEXT(WEEKDAY(DATE(AnnéeCalendrier,6,5),1),"jjj")</f>
        <v>lun</v>
      </c>
      <c r="H5" s="1" t="str">
        <f>TEXT(WEEKDAY(DATE(AnnéeCalendrier,6,6),1),"jjj")</f>
        <v>mar</v>
      </c>
      <c r="I5" s="1" t="str">
        <f>TEXT(WEEKDAY(DATE(AnnéeCalendrier,6,7),1),"jjj")</f>
        <v>mer</v>
      </c>
      <c r="J5" s="1" t="str">
        <f>TEXT(WEEKDAY(DATE(AnnéeCalendrier,6,8),1),"jjj")</f>
        <v>jeu</v>
      </c>
      <c r="K5" s="1" t="str">
        <f>TEXT(WEEKDAY(DATE(AnnéeCalendrier,6,9),1),"jjj")</f>
        <v>ven</v>
      </c>
      <c r="L5" s="1" t="str">
        <f>TEXT(WEEKDAY(DATE(AnnéeCalendrier,6,10),1),"jjj")</f>
        <v>sam</v>
      </c>
      <c r="M5" s="1" t="str">
        <f>TEXT(WEEKDAY(DATE(AnnéeCalendrier,6,11),1),"jjj")</f>
        <v>dim</v>
      </c>
      <c r="N5" s="1" t="str">
        <f>TEXT(WEEKDAY(DATE(AnnéeCalendrier,6,12),1),"jjj")</f>
        <v>lun</v>
      </c>
      <c r="O5" s="1" t="str">
        <f>TEXT(WEEKDAY(DATE(AnnéeCalendrier,6,13),1),"jjj")</f>
        <v>mar</v>
      </c>
      <c r="P5" s="1" t="str">
        <f>TEXT(WEEKDAY(DATE(AnnéeCalendrier,6,14),1),"jjj")</f>
        <v>mer</v>
      </c>
      <c r="Q5" s="1" t="str">
        <f>TEXT(WEEKDAY(DATE(AnnéeCalendrier,6,15),1),"jjj")</f>
        <v>jeu</v>
      </c>
      <c r="R5" s="1" t="str">
        <f>TEXT(WEEKDAY(DATE(AnnéeCalendrier,6,16),1),"jjj")</f>
        <v>ven</v>
      </c>
      <c r="S5" s="1" t="str">
        <f>TEXT(WEEKDAY(DATE(AnnéeCalendrier,6,17),1),"jjj")</f>
        <v>sam</v>
      </c>
      <c r="T5" s="1" t="str">
        <f>TEXT(WEEKDAY(DATE(AnnéeCalendrier,6,18),1),"jjj")</f>
        <v>dim</v>
      </c>
      <c r="U5" s="1" t="str">
        <f>TEXT(WEEKDAY(DATE(AnnéeCalendrier,6,19),1),"jjj")</f>
        <v>lun</v>
      </c>
      <c r="V5" s="1" t="str">
        <f>TEXT(WEEKDAY(DATE(AnnéeCalendrier,6,20),1),"jjj")</f>
        <v>mar</v>
      </c>
      <c r="W5" s="1" t="str">
        <f>TEXT(WEEKDAY(DATE(AnnéeCalendrier,6,21),1),"jjj")</f>
        <v>mer</v>
      </c>
      <c r="X5" s="1" t="str">
        <f>TEXT(WEEKDAY(DATE(AnnéeCalendrier,6,22),1),"jjj")</f>
        <v>jeu</v>
      </c>
      <c r="Y5" s="1" t="str">
        <f>TEXT(WEEKDAY(DATE(AnnéeCalendrier,6,23),1),"jjj")</f>
        <v>ven</v>
      </c>
      <c r="Z5" s="1" t="str">
        <f>TEXT(WEEKDAY(DATE(AnnéeCalendrier,6,24),1),"jjj")</f>
        <v>sam</v>
      </c>
      <c r="AA5" s="1" t="str">
        <f>TEXT(WEEKDAY(DATE(AnnéeCalendrier,6,25),1),"jjj")</f>
        <v>dim</v>
      </c>
      <c r="AB5" s="1" t="str">
        <f>TEXT(WEEKDAY(DATE(AnnéeCalendrier,6,26),1),"jjj")</f>
        <v>lun</v>
      </c>
      <c r="AC5" s="1" t="str">
        <f>TEXT(WEEKDAY(DATE(AnnéeCalendrier,6,27),1),"jjj")</f>
        <v>mar</v>
      </c>
      <c r="AD5" s="1" t="str">
        <f>TEXT(WEEKDAY(DATE(AnnéeCalendrier,6,28),1),"jjj")</f>
        <v>mer</v>
      </c>
      <c r="AE5" s="1" t="str">
        <f>TEXT(WEEKDAY(DATE(AnnéeCalendrier,6,29),1),"jjj")</f>
        <v>jeu</v>
      </c>
      <c r="AF5" s="1" t="str">
        <f>TEXT(WEEKDAY(DATE(AnnéeCalendrier,6,30),1),"jjj")</f>
        <v>ven</v>
      </c>
      <c r="AG5" s="1"/>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COUNTA(Juin[[#This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COUNTA(Juin[[#This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COUNTA(Juin[[#This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COUNTA(Juin[[#This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COUNTA(Juin[[#This Row],[1]:[31]])</f>
        <v>0</v>
      </c>
    </row>
    <row r="12" spans="2:34" ht="30" customHeight="1" x14ac:dyDescent="0.25">
      <c r="B12" s="17" t="str">
        <f>NomMois&amp;" Total"</f>
        <v>Juin Total</v>
      </c>
      <c r="C12" s="10">
        <f>SUBTOTAL(103,Juin[1])</f>
        <v>0</v>
      </c>
      <c r="D12" s="10">
        <f>SUBTOTAL(103,Juin[2])</f>
        <v>0</v>
      </c>
      <c r="E12" s="10">
        <f>SUBTOTAL(103,Juin[3])</f>
        <v>0</v>
      </c>
      <c r="F12" s="10">
        <f>SUBTOTAL(103,Juin[4])</f>
        <v>0</v>
      </c>
      <c r="G12" s="10">
        <f>SUBTOTAL(103,Juin[5])</f>
        <v>0</v>
      </c>
      <c r="H12" s="10">
        <f>SUBTOTAL(103,Juin[6])</f>
        <v>0</v>
      </c>
      <c r="I12" s="10">
        <f>SUBTOTAL(103,Juin[7])</f>
        <v>0</v>
      </c>
      <c r="J12" s="10">
        <f>SUBTOTAL(103,Juin[8])</f>
        <v>0</v>
      </c>
      <c r="K12" s="10">
        <f>SUBTOTAL(103,Juin[9])</f>
        <v>0</v>
      </c>
      <c r="L12" s="10">
        <f>SUBTOTAL(103,Juin[10])</f>
        <v>0</v>
      </c>
      <c r="M12" s="10">
        <f>SUBTOTAL(103,Juin[11])</f>
        <v>0</v>
      </c>
      <c r="N12" s="10">
        <f>SUBTOTAL(103,Juin[12])</f>
        <v>0</v>
      </c>
      <c r="O12" s="10">
        <f>SUBTOTAL(103,Juin[13])</f>
        <v>0</v>
      </c>
      <c r="P12" s="10">
        <f>SUBTOTAL(103,Juin[14])</f>
        <v>0</v>
      </c>
      <c r="Q12" s="10">
        <f>SUBTOTAL(103,Juin[15])</f>
        <v>0</v>
      </c>
      <c r="R12" s="10">
        <f>SUBTOTAL(103,Juin[16])</f>
        <v>0</v>
      </c>
      <c r="S12" s="10">
        <f>SUBTOTAL(103,Juin[17])</f>
        <v>0</v>
      </c>
      <c r="T12" s="10">
        <f>SUBTOTAL(103,Juin[18])</f>
        <v>0</v>
      </c>
      <c r="U12" s="10">
        <f>SUBTOTAL(103,Juin[19])</f>
        <v>0</v>
      </c>
      <c r="V12" s="10">
        <f>SUBTOTAL(103,Juin[20])</f>
        <v>0</v>
      </c>
      <c r="W12" s="10">
        <f>SUBTOTAL(103,Juin[21])</f>
        <v>0</v>
      </c>
      <c r="X12" s="10">
        <f>SUBTOTAL(103,Juin[22])</f>
        <v>0</v>
      </c>
      <c r="Y12" s="10">
        <f>SUBTOTAL(103,Juin[23])</f>
        <v>0</v>
      </c>
      <c r="Z12" s="10">
        <f>SUBTOTAL(103,Juin[24])</f>
        <v>0</v>
      </c>
      <c r="AA12" s="10">
        <f>SUBTOTAL(103,Juin[25])</f>
        <v>0</v>
      </c>
      <c r="AB12" s="10">
        <f>SUBTOTAL(103,Juin[26])</f>
        <v>0</v>
      </c>
      <c r="AC12" s="10">
        <f>SUBTOTAL(103,Juin[27])</f>
        <v>0</v>
      </c>
      <c r="AD12" s="10">
        <f>SUBTOTAL(103,Juin[28])</f>
        <v>0</v>
      </c>
      <c r="AE12" s="10">
        <f>SUBTOTAL(103,Juin[29])</f>
        <v>0</v>
      </c>
      <c r="AF12" s="10">
        <f>SUBTOTAL(109,Juin[30])</f>
        <v>0</v>
      </c>
      <c r="AG12" s="10">
        <f>SUBTOTAL(109,Juin[31])</f>
        <v>0</v>
      </c>
      <c r="AH12" s="10">
        <f>SUBTOTAL(109,Juin[Total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34" priority="3" stopIfTrue="1">
      <formula>C7=CléPersonnalisée2</formula>
    </cfRule>
    <cfRule type="expression" dxfId="33" priority="4" stopIfTrue="1">
      <formula>C7=CléPersonnalisée1</formula>
    </cfRule>
    <cfRule type="expression" dxfId="32" priority="5" stopIfTrue="1">
      <formula>C7=CléMaladie</formula>
    </cfRule>
    <cfRule type="expression" dxfId="31" priority="6" stopIfTrue="1">
      <formula>C7=CléPersonnel</formula>
    </cfRule>
    <cfRule type="expression" dxfId="30"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{064AC7B8-DB47-44D7-82CD-3AF2EE09B715}</x14:id>
        </ext>
      </extLst>
    </cfRule>
  </conditionalFormatting>
  <dataValidations count="1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600-000000000000}"/>
    <dataValidation allowBlank="1" showInputMessage="1" showErrorMessage="1" prompt="Année mise à jour automatiquement en fonction de l’année entrée dans la feuille de calcul Janvier" sqref="AH4" xr:uid="{00000000-0002-0000-0600-000001000000}"/>
    <dataValidation allowBlank="1" showInputMessage="1" showErrorMessage="1" prompt="Calcule automatiquement le nombre total de jours d’absence d’un employé durant ce mois dans cette colonne" sqref="AH6" xr:uid="{00000000-0002-0000-0600-000002000000}"/>
    <dataValidation allowBlank="1" showInputMessage="1" showErrorMessage="1" prompt="Suivez les absences du mois de juin dans cette feuille de calcul" sqref="A1" xr:uid="{00000000-0002-0000-0600-000003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600-000004000000}"/>
    <dataValidation allowBlank="1" showInputMessage="1" showErrorMessage="1" prompt="Le titre mis à jour automatiquement figure dans cette cellule. Pour modifier le titre, mettez à jour la cellule B1 de la feuille de calcul Janvier" sqref="B1" xr:uid="{00000000-0002-0000-0600-000005000000}"/>
    <dataValidation allowBlank="1" showInputMessage="1" showErrorMessage="1" prompt="La lettre « C » indique une absence pour cause de congé" sqref="C2" xr:uid="{00000000-0002-0000-0600-000006000000}"/>
    <dataValidation allowBlank="1" showInputMessage="1" showErrorMessage="1" prompt="La lettre « P » indique une absence pour motifs personnels" sqref="F2" xr:uid="{00000000-0002-0000-0600-000007000000}"/>
    <dataValidation allowBlank="1" showInputMessage="1" showErrorMessage="1" prompt="La lettre « M » indique une absence pour cause de maladie" sqref="J2" xr:uid="{00000000-0002-0000-0600-000008000000}"/>
    <dataValidation allowBlank="1" showInputMessage="1" showErrorMessage="1" prompt="Entrez une lettre et personnalisez l’étiquette à droite pour ajouter un élément de clé" sqref="M2 R2" xr:uid="{00000000-0002-0000-0600-000009000000}"/>
    <dataValidation allowBlank="1" showInputMessage="1" showErrorMessage="1" prompt="Entrez une étiquette pour décrire la clé personnalisée à gauche" sqref="N2 S2" xr:uid="{00000000-0002-0000-0600-00000A000000}"/>
    <dataValidation allowBlank="1" showInputMessage="1" showErrorMessage="1" prompt="Cette ligne définit les clés utilisées dans le tableau : Congé en C2, Personnel en F2 et Congé maladie en J2. Les cellules M2 et R2 sont personnalisables " sqref="B2" xr:uid="{00000000-0002-0000-0600-00000B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6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600-00000D000000}"/>
    <dataValidation type="list" allowBlank="1" showInputMessage="1" showErrorMessage="1" sqref="B7:B11" xr:uid="{00000000-0002-0000-0600-00000E000000}">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064AC7B8-DB47-44D7-82CD-3AF2EE09B715}">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1"/>
    <pageSetUpPr fitToPage="1"/>
  </sheetPr>
  <dimension ref="B1:AH12"/>
  <sheetViews>
    <sheetView showGridLines="0" zoomScaleNormal="100" workbookViewId="0"/>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2" t="s">
        <v>11</v>
      </c>
      <c r="E2" s="22"/>
      <c r="F2" s="3" t="s">
        <v>14</v>
      </c>
      <c r="G2" s="22" t="s">
        <v>18</v>
      </c>
      <c r="H2" s="22"/>
      <c r="I2" s="22"/>
      <c r="J2" s="4" t="s">
        <v>16</v>
      </c>
      <c r="K2" s="22" t="s">
        <v>23</v>
      </c>
      <c r="L2" s="22"/>
      <c r="M2" s="5"/>
      <c r="N2" s="22" t="s">
        <v>27</v>
      </c>
      <c r="O2" s="22"/>
      <c r="P2" s="22"/>
      <c r="Q2" s="22"/>
      <c r="R2" s="6"/>
      <c r="S2" s="22" t="s">
        <v>32</v>
      </c>
      <c r="T2" s="22"/>
      <c r="U2" s="22"/>
      <c r="V2" s="22"/>
    </row>
    <row r="3" spans="2:34" ht="15" customHeight="1" x14ac:dyDescent="0.25">
      <c r="B3" s="11"/>
    </row>
    <row r="4" spans="2:34" ht="30" customHeight="1" x14ac:dyDescent="0.25">
      <c r="B4" s="9" t="s">
        <v>57</v>
      </c>
      <c r="C4" s="21" t="s">
        <v>9</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9">
        <f>AnnéeCalendrier</f>
        <v>2023</v>
      </c>
    </row>
    <row r="5" spans="2:34" ht="15" customHeight="1" x14ac:dyDescent="0.25">
      <c r="B5" s="9"/>
      <c r="C5" s="1" t="str">
        <f>TEXT(WEEKDAY(DATE(AnnéeCalendrier,7,1),1),"jjj")</f>
        <v>sam</v>
      </c>
      <c r="D5" s="1" t="str">
        <f>TEXT(WEEKDAY(DATE(AnnéeCalendrier,7,2),1),"jjj")</f>
        <v>dim</v>
      </c>
      <c r="E5" s="1" t="str">
        <f>TEXT(WEEKDAY(DATE(AnnéeCalendrier,7,3),1),"jjj")</f>
        <v>lun</v>
      </c>
      <c r="F5" s="1" t="str">
        <f>TEXT(WEEKDAY(DATE(AnnéeCalendrier,7,4),1),"jjj")</f>
        <v>mar</v>
      </c>
      <c r="G5" s="1" t="str">
        <f>TEXT(WEEKDAY(DATE(AnnéeCalendrier,7,5),1),"jjj")</f>
        <v>mer</v>
      </c>
      <c r="H5" s="1" t="str">
        <f>TEXT(WEEKDAY(DATE(AnnéeCalendrier,7,6),1),"jjj")</f>
        <v>jeu</v>
      </c>
      <c r="I5" s="1" t="str">
        <f>TEXT(WEEKDAY(DATE(AnnéeCalendrier,7,7),1),"jjj")</f>
        <v>ven</v>
      </c>
      <c r="J5" s="1" t="str">
        <f>TEXT(WEEKDAY(DATE(AnnéeCalendrier,7,8),1),"jjj")</f>
        <v>sam</v>
      </c>
      <c r="K5" s="1" t="str">
        <f>TEXT(WEEKDAY(DATE(AnnéeCalendrier,7,9),1),"jjj")</f>
        <v>dim</v>
      </c>
      <c r="L5" s="1" t="str">
        <f>TEXT(WEEKDAY(DATE(AnnéeCalendrier,7,10),1),"jjj")</f>
        <v>lun</v>
      </c>
      <c r="M5" s="1" t="str">
        <f>TEXT(WEEKDAY(DATE(AnnéeCalendrier,7,11),1),"jjj")</f>
        <v>mar</v>
      </c>
      <c r="N5" s="1" t="str">
        <f>TEXT(WEEKDAY(DATE(AnnéeCalendrier,7,12),1),"jjj")</f>
        <v>mer</v>
      </c>
      <c r="O5" s="1" t="str">
        <f>TEXT(WEEKDAY(DATE(AnnéeCalendrier,7,13),1),"jjj")</f>
        <v>jeu</v>
      </c>
      <c r="P5" s="1" t="str">
        <f>TEXT(WEEKDAY(DATE(AnnéeCalendrier,7,14),1),"jjj")</f>
        <v>ven</v>
      </c>
      <c r="Q5" s="1" t="str">
        <f>TEXT(WEEKDAY(DATE(AnnéeCalendrier,7,15),1),"jjj")</f>
        <v>sam</v>
      </c>
      <c r="R5" s="1" t="str">
        <f>TEXT(WEEKDAY(DATE(AnnéeCalendrier,7,16),1),"jjj")</f>
        <v>dim</v>
      </c>
      <c r="S5" s="1" t="str">
        <f>TEXT(WEEKDAY(DATE(AnnéeCalendrier,7,17),1),"jjj")</f>
        <v>lun</v>
      </c>
      <c r="T5" s="1" t="str">
        <f>TEXT(WEEKDAY(DATE(AnnéeCalendrier,7,18),1),"jjj")</f>
        <v>mar</v>
      </c>
      <c r="U5" s="1" t="str">
        <f>TEXT(WEEKDAY(DATE(AnnéeCalendrier,7,19),1),"jjj")</f>
        <v>mer</v>
      </c>
      <c r="V5" s="1" t="str">
        <f>TEXT(WEEKDAY(DATE(AnnéeCalendrier,7,20),1),"jjj")</f>
        <v>jeu</v>
      </c>
      <c r="W5" s="1" t="str">
        <f>TEXT(WEEKDAY(DATE(AnnéeCalendrier,7,21),1),"jjj")</f>
        <v>ven</v>
      </c>
      <c r="X5" s="1" t="str">
        <f>TEXT(WEEKDAY(DATE(AnnéeCalendrier,7,22),1),"jjj")</f>
        <v>sam</v>
      </c>
      <c r="Y5" s="1" t="str">
        <f>TEXT(WEEKDAY(DATE(AnnéeCalendrier,7,23),1),"jjj")</f>
        <v>dim</v>
      </c>
      <c r="Z5" s="1" t="str">
        <f>TEXT(WEEKDAY(DATE(AnnéeCalendrier,7,24),1),"jjj")</f>
        <v>lun</v>
      </c>
      <c r="AA5" s="1" t="str">
        <f>TEXT(WEEKDAY(DATE(AnnéeCalendrier,7,25),1),"jjj")</f>
        <v>mar</v>
      </c>
      <c r="AB5" s="1" t="str">
        <f>TEXT(WEEKDAY(DATE(AnnéeCalendrier,7,26),1),"jjj")</f>
        <v>mer</v>
      </c>
      <c r="AC5" s="1" t="str">
        <f>TEXT(WEEKDAY(DATE(AnnéeCalendrier,7,27),1),"jjj")</f>
        <v>jeu</v>
      </c>
      <c r="AD5" s="1" t="str">
        <f>TEXT(WEEKDAY(DATE(AnnéeCalendrier,7,28),1),"jjj")</f>
        <v>ven</v>
      </c>
      <c r="AE5" s="1" t="str">
        <f>TEXT(WEEKDAY(DATE(AnnéeCalendrier,7,29),1),"jjj")</f>
        <v>sam</v>
      </c>
      <c r="AF5" s="1" t="str">
        <f>TEXT(WEEKDAY(DATE(AnnéeCalendrier,7,30),1),"jjj")</f>
        <v>dim</v>
      </c>
      <c r="AG5" s="1" t="str">
        <f>TEXT(WEEKDAY(DATE(AnnéeCalendrier,7,31),1),"jjj")</f>
        <v>lun</v>
      </c>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COUNTA(Juillet[[#This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COUNTA(Juillet[[#This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COUNTA(Juillet[[#This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COUNTA(Juillet[[#This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COUNTA(Juillet[[#This Row],[1]:[31]])</f>
        <v>0</v>
      </c>
    </row>
    <row r="12" spans="2:34" ht="30" customHeight="1" x14ac:dyDescent="0.25">
      <c r="B12" s="17" t="str">
        <f>NomMois&amp;" Total"</f>
        <v>Juillet Total</v>
      </c>
      <c r="C12" s="10">
        <f>SUBTOTAL(103,Juillet[1])</f>
        <v>0</v>
      </c>
      <c r="D12" s="10">
        <f>SUBTOTAL(103,Juillet[2])</f>
        <v>0</v>
      </c>
      <c r="E12" s="10">
        <f>SUBTOTAL(103,Juillet[3])</f>
        <v>0</v>
      </c>
      <c r="F12" s="10">
        <f>SUBTOTAL(103,Juillet[4])</f>
        <v>0</v>
      </c>
      <c r="G12" s="10">
        <f>SUBTOTAL(103,Juillet[5])</f>
        <v>0</v>
      </c>
      <c r="H12" s="10">
        <f>SUBTOTAL(103,Juillet[6])</f>
        <v>0</v>
      </c>
      <c r="I12" s="10">
        <f>SUBTOTAL(103,Juillet[7])</f>
        <v>0</v>
      </c>
      <c r="J12" s="10">
        <f>SUBTOTAL(103,Juillet[8])</f>
        <v>0</v>
      </c>
      <c r="K12" s="10">
        <f>SUBTOTAL(103,Juillet[9])</f>
        <v>0</v>
      </c>
      <c r="L12" s="10">
        <f>SUBTOTAL(103,Juillet[10])</f>
        <v>0</v>
      </c>
      <c r="M12" s="10">
        <f>SUBTOTAL(103,Juillet[11])</f>
        <v>0</v>
      </c>
      <c r="N12" s="10">
        <f>SUBTOTAL(103,Juillet[12])</f>
        <v>0</v>
      </c>
      <c r="O12" s="10">
        <f>SUBTOTAL(103,Juillet[13])</f>
        <v>0</v>
      </c>
      <c r="P12" s="10">
        <f>SUBTOTAL(103,Juillet[14])</f>
        <v>0</v>
      </c>
      <c r="Q12" s="10">
        <f>SUBTOTAL(103,Juillet[15])</f>
        <v>0</v>
      </c>
      <c r="R12" s="10">
        <f>SUBTOTAL(103,Juillet[16])</f>
        <v>0</v>
      </c>
      <c r="S12" s="10">
        <f>SUBTOTAL(103,Juillet[17])</f>
        <v>0</v>
      </c>
      <c r="T12" s="10">
        <f>SUBTOTAL(103,Juillet[18])</f>
        <v>0</v>
      </c>
      <c r="U12" s="10">
        <f>SUBTOTAL(103,Juillet[19])</f>
        <v>0</v>
      </c>
      <c r="V12" s="10">
        <f>SUBTOTAL(103,Juillet[20])</f>
        <v>0</v>
      </c>
      <c r="W12" s="10">
        <f>SUBTOTAL(103,Juillet[21])</f>
        <v>0</v>
      </c>
      <c r="X12" s="10">
        <f>SUBTOTAL(103,Juillet[22])</f>
        <v>0</v>
      </c>
      <c r="Y12" s="10">
        <f>SUBTOTAL(103,Juillet[23])</f>
        <v>0</v>
      </c>
      <c r="Z12" s="10">
        <f>SUBTOTAL(103,Juillet[24])</f>
        <v>0</v>
      </c>
      <c r="AA12" s="10">
        <f>SUBTOTAL(103,Juillet[25])</f>
        <v>0</v>
      </c>
      <c r="AB12" s="10">
        <f>SUBTOTAL(103,Juillet[26])</f>
        <v>0</v>
      </c>
      <c r="AC12" s="10">
        <f>SUBTOTAL(103,Juillet[27])</f>
        <v>0</v>
      </c>
      <c r="AD12" s="10">
        <f>SUBTOTAL(103,Juillet[28])</f>
        <v>0</v>
      </c>
      <c r="AE12" s="10">
        <f>SUBTOTAL(103,Juillet[29])</f>
        <v>0</v>
      </c>
      <c r="AF12" s="10">
        <f>SUBTOTAL(109,Juillet[30])</f>
        <v>0</v>
      </c>
      <c r="AG12" s="10">
        <f>SUBTOTAL(109,Juillet[31])</f>
        <v>0</v>
      </c>
      <c r="AH12" s="10">
        <f>SUBTOTAL(109,Juillet[Total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29" priority="3" stopIfTrue="1">
      <formula>C7=CléPersonnalisée2</formula>
    </cfRule>
    <cfRule type="expression" dxfId="28" priority="4" stopIfTrue="1">
      <formula>C7=CléPersonnalisée1</formula>
    </cfRule>
    <cfRule type="expression" dxfId="27" priority="5" stopIfTrue="1">
      <formula>C7=CléMaladie</formula>
    </cfRule>
    <cfRule type="expression" dxfId="26" priority="6" stopIfTrue="1">
      <formula>C7=CléPersonnel</formula>
    </cfRule>
    <cfRule type="expression" dxfId="25"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{776BCF5D-7EB5-4A7D-90A0-1F68B0A1CCB0}</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7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700-000001000000}"/>
    <dataValidation allowBlank="1" showInputMessage="1" showErrorMessage="1" prompt="Cette ligne définit les clés utilisées dans le tableau : Congé en C2, Personnel en F2 et Congé maladie en J2. Les cellules M2 et R2 sont personnalisables " sqref="B2" xr:uid="{00000000-0002-0000-0700-000002000000}"/>
    <dataValidation allowBlank="1" showInputMessage="1" showErrorMessage="1" prompt="Entrez une étiquette pour décrire la clé personnalisée à gauche" sqref="N2 S2" xr:uid="{00000000-0002-0000-0700-000003000000}"/>
    <dataValidation allowBlank="1" showInputMessage="1" showErrorMessage="1" prompt="Entrez une lettre et personnalisez l’étiquette à droite pour ajouter un élément de clé" sqref="M2 R2" xr:uid="{00000000-0002-0000-0700-000004000000}"/>
    <dataValidation allowBlank="1" showInputMessage="1" showErrorMessage="1" prompt="La lettre « M » indique une absence pour cause de maladie" sqref="J2" xr:uid="{00000000-0002-0000-0700-000005000000}"/>
    <dataValidation allowBlank="1" showInputMessage="1" showErrorMessage="1" prompt="La lettre « P » indique une absence pour motifs personnels" sqref="F2" xr:uid="{00000000-0002-0000-0700-000006000000}"/>
    <dataValidation allowBlank="1" showInputMessage="1" showErrorMessage="1" prompt="La lettre « C » indique une absence pour cause de congé" sqref="C2" xr:uid="{00000000-0002-0000-0700-000007000000}"/>
    <dataValidation allowBlank="1" showInputMessage="1" showErrorMessage="1" prompt="Le titre mis à jour automatiquement figure dans cette cellule. Pour modifier le titre, mettez à jour la cellule B1 de la feuille de calcul Janvier" sqref="B1" xr:uid="{00000000-0002-0000-07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700-000009000000}"/>
    <dataValidation allowBlank="1" showInputMessage="1" showErrorMessage="1" prompt="Suivez les absences du mois de juillet dans cette feuille de calcul" sqref="A1" xr:uid="{00000000-0002-0000-0700-00000A000000}"/>
    <dataValidation allowBlank="1" showInputMessage="1" showErrorMessage="1" prompt="Calcule automatiquement le nombre total de jours d’absence d’un employé durant ce mois dans cette colonne" sqref="AH6" xr:uid="{00000000-0002-0000-0700-00000B000000}"/>
    <dataValidation allowBlank="1" showInputMessage="1" showErrorMessage="1" prompt="Année mise à jour automatiquement en fonction de l’année entrée dans la feuille de calcul Janvier" sqref="AH4" xr:uid="{00000000-0002-0000-07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700-00000D000000}"/>
    <dataValidation type="list" allowBlank="1" showInputMessage="1" showErrorMessage="1" sqref="B7:B11" xr:uid="{00000000-0002-0000-0700-00000E000000}">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76BCF5D-7EB5-4A7D-90A0-1F68B0A1CCB0}">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749992370372631"/>
    <pageSetUpPr fitToPage="1"/>
  </sheetPr>
  <dimension ref="B1:AH12"/>
  <sheetViews>
    <sheetView showGridLines="0" zoomScaleNormal="100" workbookViewId="0">
      <selection activeCell="J9" sqref="J9"/>
    </sheetView>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2" t="s">
        <v>11</v>
      </c>
      <c r="E2" s="22"/>
      <c r="F2" s="3" t="s">
        <v>14</v>
      </c>
      <c r="G2" s="22" t="s">
        <v>18</v>
      </c>
      <c r="H2" s="22"/>
      <c r="I2" s="22"/>
      <c r="J2" s="4" t="s">
        <v>16</v>
      </c>
      <c r="K2" s="22" t="s">
        <v>23</v>
      </c>
      <c r="L2" s="22"/>
      <c r="M2" s="5"/>
      <c r="N2" s="22" t="s">
        <v>27</v>
      </c>
      <c r="O2" s="22"/>
      <c r="P2" s="22"/>
      <c r="Q2" s="22"/>
      <c r="R2" s="6"/>
      <c r="S2" s="22" t="s">
        <v>32</v>
      </c>
      <c r="T2" s="22"/>
      <c r="U2" s="22"/>
      <c r="V2" s="22"/>
    </row>
    <row r="3" spans="2:34" ht="15" customHeight="1" x14ac:dyDescent="0.25">
      <c r="B3" s="11"/>
    </row>
    <row r="4" spans="2:34" ht="30" customHeight="1" x14ac:dyDescent="0.25">
      <c r="B4" s="9" t="s">
        <v>58</v>
      </c>
      <c r="C4" s="21" t="s">
        <v>9</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9">
        <f>AnnéeCalendrier</f>
        <v>2023</v>
      </c>
    </row>
    <row r="5" spans="2:34" ht="15" customHeight="1" x14ac:dyDescent="0.25">
      <c r="B5" s="9"/>
      <c r="C5" s="1" t="str">
        <f>TEXT(WEEKDAY(DATE(AnnéeCalendrier,8,1),1),"jjj")</f>
        <v>mar</v>
      </c>
      <c r="D5" s="1" t="str">
        <f>TEXT(WEEKDAY(DATE(AnnéeCalendrier,8,2),1),"jjj")</f>
        <v>mer</v>
      </c>
      <c r="E5" s="1" t="str">
        <f>TEXT(WEEKDAY(DATE(AnnéeCalendrier,8,3),1),"jjj")</f>
        <v>jeu</v>
      </c>
      <c r="F5" s="1" t="str">
        <f>TEXT(WEEKDAY(DATE(AnnéeCalendrier,8,4),1),"jjj")</f>
        <v>ven</v>
      </c>
      <c r="G5" s="1" t="str">
        <f>TEXT(WEEKDAY(DATE(AnnéeCalendrier,8,5),1),"jjj")</f>
        <v>sam</v>
      </c>
      <c r="H5" s="1" t="str">
        <f>TEXT(WEEKDAY(DATE(AnnéeCalendrier,8,6),1),"jjj")</f>
        <v>dim</v>
      </c>
      <c r="I5" s="1" t="str">
        <f>TEXT(WEEKDAY(DATE(AnnéeCalendrier,8,7),1),"jjj")</f>
        <v>lun</v>
      </c>
      <c r="J5" s="1" t="str">
        <f>TEXT(WEEKDAY(DATE(AnnéeCalendrier,8,8),1),"jjj")</f>
        <v>mar</v>
      </c>
      <c r="K5" s="1" t="str">
        <f>TEXT(WEEKDAY(DATE(AnnéeCalendrier,8,9),1),"jjj")</f>
        <v>mer</v>
      </c>
      <c r="L5" s="1" t="str">
        <f>TEXT(WEEKDAY(DATE(AnnéeCalendrier,8,10),1),"jjj")</f>
        <v>jeu</v>
      </c>
      <c r="M5" s="1" t="str">
        <f>TEXT(WEEKDAY(DATE(AnnéeCalendrier,8,11),1),"jjj")</f>
        <v>ven</v>
      </c>
      <c r="N5" s="1" t="str">
        <f>TEXT(WEEKDAY(DATE(AnnéeCalendrier,8,12),1),"jjj")</f>
        <v>sam</v>
      </c>
      <c r="O5" s="1" t="str">
        <f>TEXT(WEEKDAY(DATE(AnnéeCalendrier,8,13),1),"jjj")</f>
        <v>dim</v>
      </c>
      <c r="P5" s="1" t="str">
        <f>TEXT(WEEKDAY(DATE(AnnéeCalendrier,8,14),1),"jjj")</f>
        <v>lun</v>
      </c>
      <c r="Q5" s="1" t="str">
        <f>TEXT(WEEKDAY(DATE(AnnéeCalendrier,8,15),1),"jjj")</f>
        <v>mar</v>
      </c>
      <c r="R5" s="1" t="str">
        <f>TEXT(WEEKDAY(DATE(AnnéeCalendrier,8,16),1),"jjj")</f>
        <v>mer</v>
      </c>
      <c r="S5" s="1" t="str">
        <f>TEXT(WEEKDAY(DATE(AnnéeCalendrier,8,17),1),"jjj")</f>
        <v>jeu</v>
      </c>
      <c r="T5" s="1" t="str">
        <f>TEXT(WEEKDAY(DATE(AnnéeCalendrier,8,18),1),"jjj")</f>
        <v>ven</v>
      </c>
      <c r="U5" s="1" t="str">
        <f>TEXT(WEEKDAY(DATE(AnnéeCalendrier,8,19),1),"jjj")</f>
        <v>sam</v>
      </c>
      <c r="V5" s="1" t="str">
        <f>TEXT(WEEKDAY(DATE(AnnéeCalendrier,8,20),1),"jjj")</f>
        <v>dim</v>
      </c>
      <c r="W5" s="1" t="str">
        <f>TEXT(WEEKDAY(DATE(AnnéeCalendrier,8,21),1),"jjj")</f>
        <v>lun</v>
      </c>
      <c r="X5" s="1" t="str">
        <f>TEXT(WEEKDAY(DATE(AnnéeCalendrier,8,22),1),"jjj")</f>
        <v>mar</v>
      </c>
      <c r="Y5" s="1" t="str">
        <f>TEXT(WEEKDAY(DATE(AnnéeCalendrier,8,23),1),"jjj")</f>
        <v>mer</v>
      </c>
      <c r="Z5" s="1" t="str">
        <f>TEXT(WEEKDAY(DATE(AnnéeCalendrier,8,24),1),"jjj")</f>
        <v>jeu</v>
      </c>
      <c r="AA5" s="1" t="str">
        <f>TEXT(WEEKDAY(DATE(AnnéeCalendrier,8,25),1),"jjj")</f>
        <v>ven</v>
      </c>
      <c r="AB5" s="1" t="str">
        <f>TEXT(WEEKDAY(DATE(AnnéeCalendrier,8,26),1),"jjj")</f>
        <v>sam</v>
      </c>
      <c r="AC5" s="1" t="str">
        <f>TEXT(WEEKDAY(DATE(AnnéeCalendrier,8,27),1),"jjj")</f>
        <v>dim</v>
      </c>
      <c r="AD5" s="1" t="str">
        <f>TEXT(WEEKDAY(DATE(AnnéeCalendrier,8,28),1),"jjj")</f>
        <v>lun</v>
      </c>
      <c r="AE5" s="1" t="str">
        <f>TEXT(WEEKDAY(DATE(AnnéeCalendrier,8,29),1),"jjj")</f>
        <v>mar</v>
      </c>
      <c r="AF5" s="1" t="str">
        <f>TEXT(WEEKDAY(DATE(AnnéeCalendrier,8,30),1),"jjj")</f>
        <v>mer</v>
      </c>
      <c r="AG5" s="1" t="str">
        <f>TEXT(WEEKDAY(DATE(AnnéeCalendrier,8,31),1),"jjj")</f>
        <v>jeu</v>
      </c>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COUNTA(Août[[#This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COUNTA(Août[[#This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COUNTA(Août[[#This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COUNTA(Août[[#This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COUNTA(Août[[#This Row],[1]:[31]])</f>
        <v>0</v>
      </c>
    </row>
    <row r="12" spans="2:34" ht="30" customHeight="1" x14ac:dyDescent="0.25">
      <c r="B12" s="17" t="str">
        <f>NomMois&amp;" Total"</f>
        <v>Août Total</v>
      </c>
      <c r="C12" s="10">
        <f>SUBTOTAL(103,Août[1])</f>
        <v>0</v>
      </c>
      <c r="D12" s="10">
        <f>SUBTOTAL(103,Août[2])</f>
        <v>0</v>
      </c>
      <c r="E12" s="10">
        <f>SUBTOTAL(103,Août[3])</f>
        <v>0</v>
      </c>
      <c r="F12" s="10">
        <f>SUBTOTAL(103,Août[4])</f>
        <v>0</v>
      </c>
      <c r="G12" s="10">
        <f>SUBTOTAL(103,Août[5])</f>
        <v>0</v>
      </c>
      <c r="H12" s="10">
        <f>SUBTOTAL(103,Août[6])</f>
        <v>0</v>
      </c>
      <c r="I12" s="10">
        <f>SUBTOTAL(103,Août[7])</f>
        <v>0</v>
      </c>
      <c r="J12" s="10">
        <f>SUBTOTAL(103,Août[8])</f>
        <v>0</v>
      </c>
      <c r="K12" s="10">
        <f>SUBTOTAL(103,Août[9])</f>
        <v>0</v>
      </c>
      <c r="L12" s="10">
        <f>SUBTOTAL(103,Août[10])</f>
        <v>0</v>
      </c>
      <c r="M12" s="10">
        <f>SUBTOTAL(103,Août[11])</f>
        <v>0</v>
      </c>
      <c r="N12" s="10">
        <f>SUBTOTAL(103,Août[12])</f>
        <v>0</v>
      </c>
      <c r="O12" s="10">
        <f>SUBTOTAL(103,Août[13])</f>
        <v>0</v>
      </c>
      <c r="P12" s="10">
        <f>SUBTOTAL(103,Août[14])</f>
        <v>0</v>
      </c>
      <c r="Q12" s="10">
        <f>SUBTOTAL(103,Août[15])</f>
        <v>0</v>
      </c>
      <c r="R12" s="10">
        <f>SUBTOTAL(103,Août[16])</f>
        <v>0</v>
      </c>
      <c r="S12" s="10">
        <f>SUBTOTAL(103,Août[17])</f>
        <v>0</v>
      </c>
      <c r="T12" s="10">
        <f>SUBTOTAL(103,Août[18])</f>
        <v>0</v>
      </c>
      <c r="U12" s="10">
        <f>SUBTOTAL(103,Août[19])</f>
        <v>0</v>
      </c>
      <c r="V12" s="10">
        <f>SUBTOTAL(103,Août[20])</f>
        <v>0</v>
      </c>
      <c r="W12" s="10">
        <f>SUBTOTAL(103,Août[21])</f>
        <v>0</v>
      </c>
      <c r="X12" s="10">
        <f>SUBTOTAL(103,Août[22])</f>
        <v>0</v>
      </c>
      <c r="Y12" s="10">
        <f>SUBTOTAL(103,Août[23])</f>
        <v>0</v>
      </c>
      <c r="Z12" s="10">
        <f>SUBTOTAL(103,Août[24])</f>
        <v>0</v>
      </c>
      <c r="AA12" s="10">
        <f>SUBTOTAL(103,Août[25])</f>
        <v>0</v>
      </c>
      <c r="AB12" s="10">
        <f>SUBTOTAL(103,Août[26])</f>
        <v>0</v>
      </c>
      <c r="AC12" s="10">
        <f>SUBTOTAL(103,Août[27])</f>
        <v>0</v>
      </c>
      <c r="AD12" s="10">
        <f>SUBTOTAL(103,Août[28])</f>
        <v>0</v>
      </c>
      <c r="AE12" s="10">
        <f>SUBTOTAL(103,Août[29])</f>
        <v>0</v>
      </c>
      <c r="AF12" s="10">
        <f>SUBTOTAL(109,Août[30])</f>
        <v>0</v>
      </c>
      <c r="AG12" s="10">
        <f>SUBTOTAL(109,Août[31])</f>
        <v>0</v>
      </c>
      <c r="AH12" s="10">
        <f>SUBTOTAL(109,Août[Total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24" priority="3" stopIfTrue="1">
      <formula>C7=CléPersonnalisée2</formula>
    </cfRule>
    <cfRule type="expression" dxfId="23" priority="4" stopIfTrue="1">
      <formula>C7=CléPersonnalisée1</formula>
    </cfRule>
    <cfRule type="expression" dxfId="22" priority="5" stopIfTrue="1">
      <formula>C7=CléMaladie</formula>
    </cfRule>
    <cfRule type="expression" dxfId="21" priority="6" stopIfTrue="1">
      <formula>C7=CléPersonnel</formula>
    </cfRule>
    <cfRule type="expression" dxfId="20"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{33E3DFD5-36C1-4F78-8A00-7E33A1DF1DCF}</x14:id>
        </ext>
      </extLst>
    </cfRule>
  </conditionalFormatting>
  <dataValidations count="1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800-000000000000}"/>
    <dataValidation allowBlank="1" showInputMessage="1" showErrorMessage="1" prompt="Année mise à jour automatiquement en fonction de l’année entrée dans la feuille de calcul Janvier" sqref="AH4" xr:uid="{00000000-0002-0000-0800-000001000000}"/>
    <dataValidation allowBlank="1" showInputMessage="1" showErrorMessage="1" prompt="Calcule automatiquement le nombre total de jours d’absence d’un employé durant ce mois dans cette colonne" sqref="AH6" xr:uid="{00000000-0002-0000-0800-000002000000}"/>
    <dataValidation allowBlank="1" showInputMessage="1" showErrorMessage="1" prompt="Suivez les absences du mois d’août dans cette feuille de calcul" sqref="A1" xr:uid="{00000000-0002-0000-0800-000003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800-000004000000}"/>
    <dataValidation allowBlank="1" showInputMessage="1" showErrorMessage="1" prompt="Le titre mis à jour automatiquement figure dans cette cellule. Pour modifier le titre, mettez à jour la cellule B1 de la feuille de calcul Janvier" sqref="B1" xr:uid="{00000000-0002-0000-0800-000005000000}"/>
    <dataValidation allowBlank="1" showInputMessage="1" showErrorMessage="1" prompt="La lettre « C » indique une absence pour cause de congé" sqref="C2" xr:uid="{00000000-0002-0000-0800-000006000000}"/>
    <dataValidation allowBlank="1" showInputMessage="1" showErrorMessage="1" prompt="La lettre « P » indique une absence pour motifs personnels" sqref="F2" xr:uid="{00000000-0002-0000-0800-000007000000}"/>
    <dataValidation allowBlank="1" showInputMessage="1" showErrorMessage="1" prompt="La lettre « M » indique une absence pour cause de maladie" sqref="J2" xr:uid="{00000000-0002-0000-0800-000008000000}"/>
    <dataValidation allowBlank="1" showInputMessage="1" showErrorMessage="1" prompt="Entrez une lettre et personnalisez l’étiquette à droite pour ajouter un élément de clé" sqref="M2 R2" xr:uid="{00000000-0002-0000-0800-000009000000}"/>
    <dataValidation allowBlank="1" showInputMessage="1" showErrorMessage="1" prompt="Entrez une étiquette pour décrire la clé personnalisée à gauche" sqref="N2 S2" xr:uid="{00000000-0002-0000-0800-00000A000000}"/>
    <dataValidation allowBlank="1" showInputMessage="1" showErrorMessage="1" prompt="Cette ligne définit les clés utilisées dans le tableau : Congé en C2, Personnel en F2 et Congé maladie en J2. Les cellules M2 et R2 sont personnalisables  " sqref="B2" xr:uid="{00000000-0002-0000-0800-00000B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8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800-00000D000000}"/>
    <dataValidation type="list" allowBlank="1" showInputMessage="1" showErrorMessage="1" sqref="B7:B11" xr:uid="{00000000-0002-0000-0800-00000E000000}">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3E3DFD5-36C1-4F78-8A00-7E33A1DF1DCF}">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499984740745262"/>
    <pageSetUpPr fitToPage="1"/>
  </sheetPr>
  <dimension ref="B1:AH12"/>
  <sheetViews>
    <sheetView showGridLines="0" zoomScaleNormal="100" workbookViewId="0"/>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2" t="s">
        <v>11</v>
      </c>
      <c r="E2" s="22"/>
      <c r="F2" s="3" t="s">
        <v>14</v>
      </c>
      <c r="G2" s="22" t="s">
        <v>18</v>
      </c>
      <c r="H2" s="22"/>
      <c r="I2" s="22"/>
      <c r="J2" s="4" t="s">
        <v>16</v>
      </c>
      <c r="K2" s="22" t="s">
        <v>23</v>
      </c>
      <c r="L2" s="22"/>
      <c r="M2" s="5"/>
      <c r="N2" s="22" t="s">
        <v>27</v>
      </c>
      <c r="O2" s="22"/>
      <c r="P2" s="22"/>
      <c r="Q2" s="22"/>
      <c r="R2" s="6"/>
      <c r="S2" s="22" t="s">
        <v>32</v>
      </c>
      <c r="T2" s="22"/>
      <c r="U2" s="22"/>
      <c r="V2" s="22"/>
    </row>
    <row r="3" spans="2:34" ht="15" customHeight="1" x14ac:dyDescent="0.25">
      <c r="B3" s="11"/>
    </row>
    <row r="4" spans="2:34" ht="30" customHeight="1" x14ac:dyDescent="0.25">
      <c r="B4" s="9" t="s">
        <v>59</v>
      </c>
      <c r="C4" s="21" t="s">
        <v>9</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9">
        <f>AnnéeCalendrier</f>
        <v>2023</v>
      </c>
    </row>
    <row r="5" spans="2:34" ht="15" customHeight="1" x14ac:dyDescent="0.25">
      <c r="B5" s="9"/>
      <c r="C5" s="1" t="str">
        <f>TEXT(WEEKDAY(DATE(AnnéeCalendrier,9,1),1),"jjj")</f>
        <v>ven</v>
      </c>
      <c r="D5" s="1" t="str">
        <f>TEXT(WEEKDAY(DATE(AnnéeCalendrier,9,2),1),"jjj")</f>
        <v>sam</v>
      </c>
      <c r="E5" s="1" t="str">
        <f>TEXT(WEEKDAY(DATE(AnnéeCalendrier,9,3),1),"jjj")</f>
        <v>dim</v>
      </c>
      <c r="F5" s="1" t="str">
        <f>TEXT(WEEKDAY(DATE(AnnéeCalendrier,9,4),1),"jjj")</f>
        <v>lun</v>
      </c>
      <c r="G5" s="1" t="str">
        <f>TEXT(WEEKDAY(DATE(AnnéeCalendrier,9,5),1),"jjj")</f>
        <v>mar</v>
      </c>
      <c r="H5" s="1" t="str">
        <f>TEXT(WEEKDAY(DATE(AnnéeCalendrier,9,6),1),"jjj")</f>
        <v>mer</v>
      </c>
      <c r="I5" s="1" t="str">
        <f>TEXT(WEEKDAY(DATE(AnnéeCalendrier,9,7),1),"jjj")</f>
        <v>jeu</v>
      </c>
      <c r="J5" s="1" t="str">
        <f>TEXT(WEEKDAY(DATE(AnnéeCalendrier,9,8),1),"jjj")</f>
        <v>ven</v>
      </c>
      <c r="K5" s="1" t="str">
        <f>TEXT(WEEKDAY(DATE(AnnéeCalendrier,9,9),1),"jjj")</f>
        <v>sam</v>
      </c>
      <c r="L5" s="1" t="str">
        <f>TEXT(WEEKDAY(DATE(AnnéeCalendrier,9,10),1),"jjj")</f>
        <v>dim</v>
      </c>
      <c r="M5" s="1" t="str">
        <f>TEXT(WEEKDAY(DATE(AnnéeCalendrier,9,11),1),"jjj")</f>
        <v>lun</v>
      </c>
      <c r="N5" s="1" t="str">
        <f>TEXT(WEEKDAY(DATE(AnnéeCalendrier,9,12),1),"jjj")</f>
        <v>mar</v>
      </c>
      <c r="O5" s="1" t="str">
        <f>TEXT(WEEKDAY(DATE(AnnéeCalendrier,9,13),1),"jjj")</f>
        <v>mer</v>
      </c>
      <c r="P5" s="1" t="str">
        <f>TEXT(WEEKDAY(DATE(AnnéeCalendrier,9,14),1),"jjj")</f>
        <v>jeu</v>
      </c>
      <c r="Q5" s="1" t="str">
        <f>TEXT(WEEKDAY(DATE(AnnéeCalendrier,9,15),1),"jjj")</f>
        <v>ven</v>
      </c>
      <c r="R5" s="1" t="str">
        <f>TEXT(WEEKDAY(DATE(AnnéeCalendrier,9,16),1),"jjj")</f>
        <v>sam</v>
      </c>
      <c r="S5" s="1" t="str">
        <f>TEXT(WEEKDAY(DATE(AnnéeCalendrier,9,17),1),"jjj")</f>
        <v>dim</v>
      </c>
      <c r="T5" s="1" t="str">
        <f>TEXT(WEEKDAY(DATE(AnnéeCalendrier,9,18),1),"jjj")</f>
        <v>lun</v>
      </c>
      <c r="U5" s="1" t="str">
        <f>TEXT(WEEKDAY(DATE(AnnéeCalendrier,9,19),1),"jjj")</f>
        <v>mar</v>
      </c>
      <c r="V5" s="1" t="str">
        <f>TEXT(WEEKDAY(DATE(AnnéeCalendrier,9,20),1),"jjj")</f>
        <v>mer</v>
      </c>
      <c r="W5" s="1" t="str">
        <f>TEXT(WEEKDAY(DATE(AnnéeCalendrier,9,21),1),"jjj")</f>
        <v>jeu</v>
      </c>
      <c r="X5" s="1" t="str">
        <f>TEXT(WEEKDAY(DATE(AnnéeCalendrier,9,22),1),"jjj")</f>
        <v>ven</v>
      </c>
      <c r="Y5" s="1" t="str">
        <f>TEXT(WEEKDAY(DATE(AnnéeCalendrier,9,23),1),"jjj")</f>
        <v>sam</v>
      </c>
      <c r="Z5" s="1" t="str">
        <f>TEXT(WEEKDAY(DATE(AnnéeCalendrier,9,24),1),"jjj")</f>
        <v>dim</v>
      </c>
      <c r="AA5" s="1" t="str">
        <f>TEXT(WEEKDAY(DATE(AnnéeCalendrier,9,25),1),"jjj")</f>
        <v>lun</v>
      </c>
      <c r="AB5" s="1" t="str">
        <f>TEXT(WEEKDAY(DATE(AnnéeCalendrier,9,26),1),"jjj")</f>
        <v>mar</v>
      </c>
      <c r="AC5" s="1" t="str">
        <f>TEXT(WEEKDAY(DATE(AnnéeCalendrier,9,27),1),"jjj")</f>
        <v>mer</v>
      </c>
      <c r="AD5" s="1" t="str">
        <f>TEXT(WEEKDAY(DATE(AnnéeCalendrier,9,28),1),"jjj")</f>
        <v>jeu</v>
      </c>
      <c r="AE5" s="1" t="str">
        <f>TEXT(WEEKDAY(DATE(AnnéeCalendrier,9,29),1),"jjj")</f>
        <v>ven</v>
      </c>
      <c r="AF5" s="1" t="str">
        <f>TEXT(WEEKDAY(DATE(AnnéeCalendrier,9,30),1),"jjj")</f>
        <v>sam</v>
      </c>
      <c r="AG5" s="1"/>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COUNTA(Septembre[[#This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COUNTA(Septembre[[#This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COUNTA(Septembre[[#This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COUNTA(Septembre[[#This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COUNTA(Septembre[[#This Row],[1]:[31]])</f>
        <v>0</v>
      </c>
    </row>
    <row r="12" spans="2:34" ht="30" customHeight="1" x14ac:dyDescent="0.25">
      <c r="B12" s="17" t="str">
        <f>NomMois&amp;" Total"</f>
        <v>Septembre Total</v>
      </c>
      <c r="C12" s="10">
        <f>SUBTOTAL(103,Septembre[1])</f>
        <v>0</v>
      </c>
      <c r="D12" s="10">
        <f>SUBTOTAL(103,Septembre[2])</f>
        <v>0</v>
      </c>
      <c r="E12" s="10">
        <f>SUBTOTAL(103,Septembre[3])</f>
        <v>0</v>
      </c>
      <c r="F12" s="10">
        <f>SUBTOTAL(103,Septembre[4])</f>
        <v>0</v>
      </c>
      <c r="G12" s="10">
        <f>SUBTOTAL(103,Septembre[5])</f>
        <v>0</v>
      </c>
      <c r="H12" s="10">
        <f>SUBTOTAL(103,Septembre[6])</f>
        <v>0</v>
      </c>
      <c r="I12" s="10">
        <f>SUBTOTAL(103,Septembre[7])</f>
        <v>0</v>
      </c>
      <c r="J12" s="10">
        <f>SUBTOTAL(103,Septembre[8])</f>
        <v>0</v>
      </c>
      <c r="K12" s="10">
        <f>SUBTOTAL(103,Septembre[9])</f>
        <v>0</v>
      </c>
      <c r="L12" s="10">
        <f>SUBTOTAL(103,Septembre[10])</f>
        <v>0</v>
      </c>
      <c r="M12" s="10">
        <f>SUBTOTAL(103,Septembre[11])</f>
        <v>0</v>
      </c>
      <c r="N12" s="10">
        <f>SUBTOTAL(103,Septembre[12])</f>
        <v>0</v>
      </c>
      <c r="O12" s="10">
        <f>SUBTOTAL(103,Septembre[13])</f>
        <v>0</v>
      </c>
      <c r="P12" s="10">
        <f>SUBTOTAL(103,Septembre[14])</f>
        <v>0</v>
      </c>
      <c r="Q12" s="10">
        <f>SUBTOTAL(103,Septembre[15])</f>
        <v>0</v>
      </c>
      <c r="R12" s="10">
        <f>SUBTOTAL(103,Septembre[16])</f>
        <v>0</v>
      </c>
      <c r="S12" s="10">
        <f>SUBTOTAL(103,Septembre[17])</f>
        <v>0</v>
      </c>
      <c r="T12" s="10">
        <f>SUBTOTAL(103,Septembre[18])</f>
        <v>0</v>
      </c>
      <c r="U12" s="10">
        <f>SUBTOTAL(103,Septembre[19])</f>
        <v>0</v>
      </c>
      <c r="V12" s="10">
        <f>SUBTOTAL(103,Septembre[20])</f>
        <v>0</v>
      </c>
      <c r="W12" s="10">
        <f>SUBTOTAL(103,Septembre[21])</f>
        <v>0</v>
      </c>
      <c r="X12" s="10">
        <f>SUBTOTAL(103,Septembre[22])</f>
        <v>0</v>
      </c>
      <c r="Y12" s="10">
        <f>SUBTOTAL(103,Septembre[23])</f>
        <v>0</v>
      </c>
      <c r="Z12" s="10">
        <f>SUBTOTAL(103,Septembre[24])</f>
        <v>0</v>
      </c>
      <c r="AA12" s="10">
        <f>SUBTOTAL(103,Septembre[25])</f>
        <v>0</v>
      </c>
      <c r="AB12" s="10">
        <f>SUBTOTAL(103,Septembre[26])</f>
        <v>0</v>
      </c>
      <c r="AC12" s="10">
        <f>SUBTOTAL(103,Septembre[27])</f>
        <v>0</v>
      </c>
      <c r="AD12" s="10">
        <f>SUBTOTAL(103,Septembre[28])</f>
        <v>0</v>
      </c>
      <c r="AE12" s="10">
        <f>SUBTOTAL(103,Septembre[29])</f>
        <v>0</v>
      </c>
      <c r="AF12" s="10">
        <f>SUBTOTAL(109,Septembre[30])</f>
        <v>0</v>
      </c>
      <c r="AG12" s="10">
        <f>SUBTOTAL(109,Septembre[31])</f>
        <v>0</v>
      </c>
      <c r="AH12" s="10">
        <f>SUBTOTAL(109,Septembre[Total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19" priority="3" stopIfTrue="1">
      <formula>C7=CléPersonnalisée2</formula>
    </cfRule>
    <cfRule type="expression" dxfId="18" priority="4" stopIfTrue="1">
      <formula>C7=CléPersonnalisée1</formula>
    </cfRule>
    <cfRule type="expression" dxfId="17" priority="5" stopIfTrue="1">
      <formula>C7=CléMaladie</formula>
    </cfRule>
    <cfRule type="expression" dxfId="16" priority="6" stopIfTrue="1">
      <formula>C7=CléPersonnel</formula>
    </cfRule>
    <cfRule type="expression" dxfId="15"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{816C23A8-04A5-40E7-A7CC-B3061D959CCD}</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9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900-000001000000}"/>
    <dataValidation allowBlank="1" showInputMessage="1" showErrorMessage="1" prompt="Cette ligne définit les clés utilisées dans le tableau : Congé en C2, Personnel en F2 et Congé maladie en J2. Les cellules M2 et R2 sont personnalisables " sqref="B2" xr:uid="{00000000-0002-0000-0900-000002000000}"/>
    <dataValidation allowBlank="1" showInputMessage="1" showErrorMessage="1" prompt="Entrez une étiquette pour décrire la clé personnalisée à gauche" sqref="N2 S2" xr:uid="{00000000-0002-0000-0900-000003000000}"/>
    <dataValidation allowBlank="1" showInputMessage="1" showErrorMessage="1" prompt="Entrez une lettre et personnalisez l’étiquette à droite pour ajouter un élément de clé" sqref="M2 R2" xr:uid="{00000000-0002-0000-0900-000004000000}"/>
    <dataValidation allowBlank="1" showInputMessage="1" showErrorMessage="1" prompt="La lettre « M » indique une absence pour cause de maladie" sqref="J2" xr:uid="{00000000-0002-0000-0900-000005000000}"/>
    <dataValidation allowBlank="1" showInputMessage="1" showErrorMessage="1" prompt="La lettre « P » indique une absence pour motifs personnels" sqref="F2" xr:uid="{00000000-0002-0000-0900-000006000000}"/>
    <dataValidation allowBlank="1" showInputMessage="1" showErrorMessage="1" prompt="La lettre « C » indique une absence pour cause de congé" sqref="C2" xr:uid="{00000000-0002-0000-0900-000007000000}"/>
    <dataValidation allowBlank="1" showInputMessage="1" showErrorMessage="1" prompt="Le titre mis à jour automatiquement figure dans cette cellule. Pour modifier le titre, mettez à jour la cellule B1 de la feuille de calcul Janvier" sqref="B1" xr:uid="{00000000-0002-0000-09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900-000009000000}"/>
    <dataValidation allowBlank="1" showInputMessage="1" showErrorMessage="1" prompt="Suivez les absences du mois de septembre dans cette feuille de calcul" sqref="A1" xr:uid="{00000000-0002-0000-0900-00000A000000}"/>
    <dataValidation allowBlank="1" showInputMessage="1" showErrorMessage="1" prompt="Calcule automatiquement le nombre total de jours d’absence d’un employé durant ce mois dans cette colonne" sqref="AH6" xr:uid="{00000000-0002-0000-0900-00000B000000}"/>
    <dataValidation allowBlank="1" showInputMessage="1" showErrorMessage="1" prompt="Année mise à jour automatiquement en fonction de l’année entrée dans la feuille de calcul Janvier" sqref="AH4" xr:uid="{00000000-0002-0000-09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900-00000D000000}"/>
    <dataValidation type="list" allowBlank="1" showInputMessage="1" showErrorMessage="1" sqref="B7:B11" xr:uid="{00000000-0002-0000-0900-00000E000000}">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816C23A8-04A5-40E7-A7CC-B3061D959CCD}">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2" tint="-0.249977111117893"/>
    <pageSetUpPr fitToPage="1"/>
  </sheetPr>
  <dimension ref="B1:AH12"/>
  <sheetViews>
    <sheetView showGridLines="0" zoomScaleNormal="100" workbookViewId="0"/>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2" t="s">
        <v>11</v>
      </c>
      <c r="E2" s="22"/>
      <c r="F2" s="3" t="s">
        <v>14</v>
      </c>
      <c r="G2" s="22" t="s">
        <v>18</v>
      </c>
      <c r="H2" s="22"/>
      <c r="I2" s="22"/>
      <c r="J2" s="4" t="s">
        <v>16</v>
      </c>
      <c r="K2" s="22" t="s">
        <v>23</v>
      </c>
      <c r="L2" s="22"/>
      <c r="M2" s="5"/>
      <c r="N2" s="22" t="s">
        <v>27</v>
      </c>
      <c r="O2" s="22"/>
      <c r="P2" s="22"/>
      <c r="Q2" s="22"/>
      <c r="R2" s="6"/>
      <c r="S2" s="22" t="s">
        <v>32</v>
      </c>
      <c r="T2" s="22"/>
      <c r="U2" s="22"/>
      <c r="V2" s="22"/>
    </row>
    <row r="3" spans="2:34" ht="15" customHeight="1" x14ac:dyDescent="0.25">
      <c r="B3" s="11"/>
    </row>
    <row r="4" spans="2:34" ht="30" customHeight="1" x14ac:dyDescent="0.25">
      <c r="B4" s="9" t="s">
        <v>60</v>
      </c>
      <c r="C4" s="21" t="s">
        <v>9</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9">
        <f>AnnéeCalendrier</f>
        <v>2023</v>
      </c>
    </row>
    <row r="5" spans="2:34" ht="15" customHeight="1" x14ac:dyDescent="0.25">
      <c r="B5" s="9"/>
      <c r="C5" s="1" t="str">
        <f>TEXT(WEEKDAY(DATE(AnnéeCalendrier,10,1),1),"jjj")</f>
        <v>dim</v>
      </c>
      <c r="D5" s="1" t="str">
        <f>TEXT(WEEKDAY(DATE(AnnéeCalendrier,10,2),1),"jjj")</f>
        <v>lun</v>
      </c>
      <c r="E5" s="1" t="str">
        <f>TEXT(WEEKDAY(DATE(AnnéeCalendrier,10,3),1),"jjj")</f>
        <v>mar</v>
      </c>
      <c r="F5" s="1" t="str">
        <f>TEXT(WEEKDAY(DATE(AnnéeCalendrier,10,4),1),"jjj")</f>
        <v>mer</v>
      </c>
      <c r="G5" s="1" t="str">
        <f>TEXT(WEEKDAY(DATE(AnnéeCalendrier,10,5),1),"jjj")</f>
        <v>jeu</v>
      </c>
      <c r="H5" s="1" t="str">
        <f>TEXT(WEEKDAY(DATE(AnnéeCalendrier,10,6),1),"jjj")</f>
        <v>ven</v>
      </c>
      <c r="I5" s="1" t="str">
        <f>TEXT(WEEKDAY(DATE(AnnéeCalendrier,10,7),1),"jjj")</f>
        <v>sam</v>
      </c>
      <c r="J5" s="1" t="str">
        <f>TEXT(WEEKDAY(DATE(AnnéeCalendrier,10,8),1),"jjj")</f>
        <v>dim</v>
      </c>
      <c r="K5" s="1" t="str">
        <f>TEXT(WEEKDAY(DATE(AnnéeCalendrier,10,9),1),"jjj")</f>
        <v>lun</v>
      </c>
      <c r="L5" s="1" t="str">
        <f>TEXT(WEEKDAY(DATE(AnnéeCalendrier,10,10),1),"jjj")</f>
        <v>mar</v>
      </c>
      <c r="M5" s="1" t="str">
        <f>TEXT(WEEKDAY(DATE(AnnéeCalendrier,10,11),1),"jjj")</f>
        <v>mer</v>
      </c>
      <c r="N5" s="1" t="str">
        <f>TEXT(WEEKDAY(DATE(AnnéeCalendrier,10,12),1),"jjj")</f>
        <v>jeu</v>
      </c>
      <c r="O5" s="1" t="str">
        <f>TEXT(WEEKDAY(DATE(AnnéeCalendrier,10,13),1),"jjj")</f>
        <v>ven</v>
      </c>
      <c r="P5" s="1" t="str">
        <f>TEXT(WEEKDAY(DATE(AnnéeCalendrier,10,14),1),"jjj")</f>
        <v>sam</v>
      </c>
      <c r="Q5" s="1" t="str">
        <f>TEXT(WEEKDAY(DATE(AnnéeCalendrier,10,15),1),"jjj")</f>
        <v>dim</v>
      </c>
      <c r="R5" s="1" t="str">
        <f>TEXT(WEEKDAY(DATE(AnnéeCalendrier,10,16),1),"jjj")</f>
        <v>lun</v>
      </c>
      <c r="S5" s="1" t="str">
        <f>TEXT(WEEKDAY(DATE(AnnéeCalendrier,10,17),1),"jjj")</f>
        <v>mar</v>
      </c>
      <c r="T5" s="1" t="str">
        <f>TEXT(WEEKDAY(DATE(AnnéeCalendrier,10,18),1),"jjj")</f>
        <v>mer</v>
      </c>
      <c r="U5" s="1" t="str">
        <f>TEXT(WEEKDAY(DATE(AnnéeCalendrier,10,19),1),"jjj")</f>
        <v>jeu</v>
      </c>
      <c r="V5" s="1" t="str">
        <f>TEXT(WEEKDAY(DATE(AnnéeCalendrier,10,20),1),"jjj")</f>
        <v>ven</v>
      </c>
      <c r="W5" s="1" t="str">
        <f>TEXT(WEEKDAY(DATE(AnnéeCalendrier,10,21),1),"jjj")</f>
        <v>sam</v>
      </c>
      <c r="X5" s="1" t="str">
        <f>TEXT(WEEKDAY(DATE(AnnéeCalendrier,10,22),1),"jjj")</f>
        <v>dim</v>
      </c>
      <c r="Y5" s="1" t="str">
        <f>TEXT(WEEKDAY(DATE(AnnéeCalendrier,10,23),1),"jjj")</f>
        <v>lun</v>
      </c>
      <c r="Z5" s="1" t="str">
        <f>TEXT(WEEKDAY(DATE(AnnéeCalendrier,10,24),1),"jjj")</f>
        <v>mar</v>
      </c>
      <c r="AA5" s="1" t="str">
        <f>TEXT(WEEKDAY(DATE(AnnéeCalendrier,10,25),1),"jjj")</f>
        <v>mer</v>
      </c>
      <c r="AB5" s="1" t="str">
        <f>TEXT(WEEKDAY(DATE(AnnéeCalendrier,10,26),1),"jjj")</f>
        <v>jeu</v>
      </c>
      <c r="AC5" s="1" t="str">
        <f>TEXT(WEEKDAY(DATE(AnnéeCalendrier,10,27),1),"jjj")</f>
        <v>ven</v>
      </c>
      <c r="AD5" s="1" t="str">
        <f>TEXT(WEEKDAY(DATE(AnnéeCalendrier,10,28),1),"jjj")</f>
        <v>sam</v>
      </c>
      <c r="AE5" s="1" t="str">
        <f>TEXT(WEEKDAY(DATE(AnnéeCalendrier,10,29),1),"jjj")</f>
        <v>dim</v>
      </c>
      <c r="AF5" s="1" t="str">
        <f>TEXT(WEEKDAY(DATE(AnnéeCalendrier,10,30),1),"jjj")</f>
        <v>lun</v>
      </c>
      <c r="AG5" s="1" t="str">
        <f>TEXT(WEEKDAY(DATE(AnnéeCalendrier,10,31),1),"jjj")</f>
        <v>mar</v>
      </c>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COUNTA(Octobre[[#This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COUNTA(Octobre[[#This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COUNTA(Octobre[[#This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COUNTA(Octobre[[#This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COUNTA(Octobre[[#This Row],[1]:[31]])</f>
        <v>0</v>
      </c>
    </row>
    <row r="12" spans="2:34" ht="30" customHeight="1" x14ac:dyDescent="0.25">
      <c r="B12" s="17" t="str">
        <f>NomMois&amp;" Total"</f>
        <v>Octobre Total</v>
      </c>
      <c r="C12" s="10">
        <f>SUBTOTAL(103,Octobre[1])</f>
        <v>0</v>
      </c>
      <c r="D12" s="10">
        <f>SUBTOTAL(103,Octobre[2])</f>
        <v>0</v>
      </c>
      <c r="E12" s="10">
        <f>SUBTOTAL(103,Octobre[3])</f>
        <v>0</v>
      </c>
      <c r="F12" s="10">
        <f>SUBTOTAL(103,Octobre[4])</f>
        <v>0</v>
      </c>
      <c r="G12" s="10">
        <f>SUBTOTAL(103,Octobre[5])</f>
        <v>0</v>
      </c>
      <c r="H12" s="10">
        <f>SUBTOTAL(103,Octobre[6])</f>
        <v>0</v>
      </c>
      <c r="I12" s="10">
        <f>SUBTOTAL(103,Octobre[7])</f>
        <v>0</v>
      </c>
      <c r="J12" s="10">
        <f>SUBTOTAL(103,Octobre[8])</f>
        <v>0</v>
      </c>
      <c r="K12" s="10">
        <f>SUBTOTAL(103,Octobre[9])</f>
        <v>0</v>
      </c>
      <c r="L12" s="10">
        <f>SUBTOTAL(103,Octobre[10])</f>
        <v>0</v>
      </c>
      <c r="M12" s="10">
        <f>SUBTOTAL(103,Octobre[11])</f>
        <v>0</v>
      </c>
      <c r="N12" s="10">
        <f>SUBTOTAL(103,Octobre[12])</f>
        <v>0</v>
      </c>
      <c r="O12" s="10">
        <f>SUBTOTAL(103,Octobre[13])</f>
        <v>0</v>
      </c>
      <c r="P12" s="10">
        <f>SUBTOTAL(103,Octobre[14])</f>
        <v>0</v>
      </c>
      <c r="Q12" s="10">
        <f>SUBTOTAL(103,Octobre[15])</f>
        <v>0</v>
      </c>
      <c r="R12" s="10">
        <f>SUBTOTAL(103,Octobre[16])</f>
        <v>0</v>
      </c>
      <c r="S12" s="10">
        <f>SUBTOTAL(103,Octobre[17])</f>
        <v>0</v>
      </c>
      <c r="T12" s="10">
        <f>SUBTOTAL(103,Octobre[18])</f>
        <v>0</v>
      </c>
      <c r="U12" s="10">
        <f>SUBTOTAL(103,Octobre[19])</f>
        <v>0</v>
      </c>
      <c r="V12" s="10">
        <f>SUBTOTAL(103,Octobre[20])</f>
        <v>0</v>
      </c>
      <c r="W12" s="10">
        <f>SUBTOTAL(103,Octobre[21])</f>
        <v>0</v>
      </c>
      <c r="X12" s="10">
        <f>SUBTOTAL(103,Octobre[22])</f>
        <v>0</v>
      </c>
      <c r="Y12" s="10">
        <f>SUBTOTAL(103,Octobre[23])</f>
        <v>0</v>
      </c>
      <c r="Z12" s="10">
        <f>SUBTOTAL(103,Octobre[24])</f>
        <v>0</v>
      </c>
      <c r="AA12" s="10">
        <f>SUBTOTAL(103,Octobre[25])</f>
        <v>0</v>
      </c>
      <c r="AB12" s="10">
        <f>SUBTOTAL(103,Octobre[26])</f>
        <v>0</v>
      </c>
      <c r="AC12" s="10">
        <f>SUBTOTAL(103,Octobre[27])</f>
        <v>0</v>
      </c>
      <c r="AD12" s="10">
        <f>SUBTOTAL(103,Octobre[28])</f>
        <v>0</v>
      </c>
      <c r="AE12" s="10">
        <f>SUBTOTAL(103,Octobre[29])</f>
        <v>0</v>
      </c>
      <c r="AF12" s="10">
        <f>SUBTOTAL(109,Octobre[30])</f>
        <v>0</v>
      </c>
      <c r="AG12" s="10">
        <f>SUBTOTAL(109,Octobre[31])</f>
        <v>0</v>
      </c>
      <c r="AH12" s="10">
        <f>SUBTOTAL(109,Octobre[Total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14" priority="3" stopIfTrue="1">
      <formula>C7=CléPersonnalisée2</formula>
    </cfRule>
    <cfRule type="expression" dxfId="13" priority="4" stopIfTrue="1">
      <formula>C7=CléPersonnalisée1</formula>
    </cfRule>
    <cfRule type="expression" dxfId="12" priority="5" stopIfTrue="1">
      <formula>C7=CléMaladie</formula>
    </cfRule>
    <cfRule type="expression" dxfId="11" priority="6" stopIfTrue="1">
      <formula>C7=CléPersonnel</formula>
    </cfRule>
    <cfRule type="expression" dxfId="10"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{31803008-8F39-4690-A7DF-9562F0563633}</x14:id>
        </ext>
      </extLst>
    </cfRule>
  </conditionalFormatting>
  <dataValidations count="1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A00-000000000000}"/>
    <dataValidation allowBlank="1" showInputMessage="1" showErrorMessage="1" prompt="Année mise à jour automatiquement en fonction de l’année entrée dans la feuille de calcul Janvier" sqref="AH4" xr:uid="{00000000-0002-0000-0A00-000001000000}"/>
    <dataValidation allowBlank="1" showInputMessage="1" showErrorMessage="1" prompt="Calcule automatiquement le nombre total de jours d’absence d’un employé durant ce mois dans cette colonne" sqref="AH6" xr:uid="{00000000-0002-0000-0A00-000002000000}"/>
    <dataValidation allowBlank="1" showInputMessage="1" showErrorMessage="1" prompt="Suivez les absences du mois d’octobre dans cette feuille de calcul" sqref="A1" xr:uid="{00000000-0002-0000-0A00-000003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A00-000004000000}"/>
    <dataValidation allowBlank="1" showInputMessage="1" showErrorMessage="1" prompt="Le titre mis à jour automatiquement figure dans cette cellule. Pour modifier le titre, mettez à jour la cellule B1 de la feuille de calcul Janvier" sqref="B1" xr:uid="{00000000-0002-0000-0A00-000005000000}"/>
    <dataValidation allowBlank="1" showInputMessage="1" showErrorMessage="1" prompt="La lettre « C » indique une absence pour cause de congé" sqref="C2" xr:uid="{00000000-0002-0000-0A00-000006000000}"/>
    <dataValidation allowBlank="1" showInputMessage="1" showErrorMessage="1" prompt="La lettre « P » indique une absence pour motifs personnels" sqref="F2" xr:uid="{00000000-0002-0000-0A00-000007000000}"/>
    <dataValidation allowBlank="1" showInputMessage="1" showErrorMessage="1" prompt="La lettre « M » indique une absence pour cause de maladie" sqref="J2" xr:uid="{00000000-0002-0000-0A00-000008000000}"/>
    <dataValidation allowBlank="1" showInputMessage="1" showErrorMessage="1" prompt="Entrez une lettre et personnalisez l’étiquette à droite pour ajouter un élément de clé" sqref="M2 R2" xr:uid="{00000000-0002-0000-0A00-000009000000}"/>
    <dataValidation allowBlank="1" showInputMessage="1" showErrorMessage="1" prompt="Entrez une étiquette pour décrire la clé personnalisée à gauche" sqref="N2 S2" xr:uid="{00000000-0002-0000-0A00-00000A000000}"/>
    <dataValidation allowBlank="1" showInputMessage="1" showErrorMessage="1" prompt="Cette ligne définit les clés utilisées dans le tableau : Congé en C2, Personnel en F2 et Congé maladie en J2. Les cellules M2 et R2 sont personnalisables " sqref="B2" xr:uid="{00000000-0002-0000-0A00-00000B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A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A00-00000D000000}"/>
    <dataValidation type="list" allowBlank="1" showInputMessage="1" showErrorMessage="1" sqref="B7:B11" xr:uid="{00000000-0002-0000-0A00-00000E000000}">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1803008-8F39-4690-A7DF-9562F0563633}">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2" tint="-0.249977111117893"/>
    <pageSetUpPr fitToPage="1"/>
  </sheetPr>
  <dimension ref="B1:AH12"/>
  <sheetViews>
    <sheetView showGridLines="0" zoomScaleNormal="100" workbookViewId="0"/>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2" t="s">
        <v>11</v>
      </c>
      <c r="E2" s="22"/>
      <c r="F2" s="3" t="s">
        <v>14</v>
      </c>
      <c r="G2" s="22" t="s">
        <v>18</v>
      </c>
      <c r="H2" s="22"/>
      <c r="I2" s="22"/>
      <c r="J2" s="4" t="s">
        <v>16</v>
      </c>
      <c r="K2" s="22" t="s">
        <v>23</v>
      </c>
      <c r="L2" s="22"/>
      <c r="M2" s="5"/>
      <c r="N2" s="22" t="s">
        <v>27</v>
      </c>
      <c r="O2" s="22"/>
      <c r="P2" s="22"/>
      <c r="Q2" s="22"/>
      <c r="R2" s="6"/>
      <c r="S2" s="22" t="s">
        <v>32</v>
      </c>
      <c r="T2" s="22"/>
      <c r="U2" s="22"/>
      <c r="V2" s="22"/>
    </row>
    <row r="3" spans="2:34" ht="15" customHeight="1" x14ac:dyDescent="0.25">
      <c r="B3" s="11"/>
    </row>
    <row r="4" spans="2:34" ht="30" customHeight="1" x14ac:dyDescent="0.25">
      <c r="B4" s="9" t="s">
        <v>61</v>
      </c>
      <c r="C4" s="21" t="s">
        <v>9</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9">
        <f>AnnéeCalendrier</f>
        <v>2023</v>
      </c>
    </row>
    <row r="5" spans="2:34" ht="15" customHeight="1" x14ac:dyDescent="0.25">
      <c r="B5" s="9"/>
      <c r="C5" s="1" t="str">
        <f>TEXT(WEEKDAY(DATE(AnnéeCalendrier,11,1),1),"jjj")</f>
        <v>mer</v>
      </c>
      <c r="D5" s="1" t="str">
        <f>TEXT(WEEKDAY(DATE(AnnéeCalendrier,11,2),1),"jjj")</f>
        <v>jeu</v>
      </c>
      <c r="E5" s="1" t="str">
        <f>TEXT(WEEKDAY(DATE(AnnéeCalendrier,11,3),1),"jjj")</f>
        <v>ven</v>
      </c>
      <c r="F5" s="1" t="str">
        <f>TEXT(WEEKDAY(DATE(AnnéeCalendrier,11,4),1),"jjj")</f>
        <v>sam</v>
      </c>
      <c r="G5" s="1" t="str">
        <f>TEXT(WEEKDAY(DATE(AnnéeCalendrier,11,5),1),"jjj")</f>
        <v>dim</v>
      </c>
      <c r="H5" s="1" t="str">
        <f>TEXT(WEEKDAY(DATE(AnnéeCalendrier,11,6),1),"jjj")</f>
        <v>lun</v>
      </c>
      <c r="I5" s="1" t="str">
        <f>TEXT(WEEKDAY(DATE(AnnéeCalendrier,11,7),1),"jjj")</f>
        <v>mar</v>
      </c>
      <c r="J5" s="1" t="str">
        <f>TEXT(WEEKDAY(DATE(AnnéeCalendrier,11,8),1),"jjj")</f>
        <v>mer</v>
      </c>
      <c r="K5" s="1" t="str">
        <f>TEXT(WEEKDAY(DATE(AnnéeCalendrier,11,9),1),"jjj")</f>
        <v>jeu</v>
      </c>
      <c r="L5" s="1" t="str">
        <f>TEXT(WEEKDAY(DATE(AnnéeCalendrier,11,10),1),"jjj")</f>
        <v>ven</v>
      </c>
      <c r="M5" s="1" t="str">
        <f>TEXT(WEEKDAY(DATE(AnnéeCalendrier,11,11),1),"jjj")</f>
        <v>sam</v>
      </c>
      <c r="N5" s="1" t="str">
        <f>TEXT(WEEKDAY(DATE(AnnéeCalendrier,11,12),1),"jjj")</f>
        <v>dim</v>
      </c>
      <c r="O5" s="1" t="str">
        <f>TEXT(WEEKDAY(DATE(AnnéeCalendrier,11,13),1),"jjj")</f>
        <v>lun</v>
      </c>
      <c r="P5" s="1" t="str">
        <f>TEXT(WEEKDAY(DATE(AnnéeCalendrier,11,14),1),"jjj")</f>
        <v>mar</v>
      </c>
      <c r="Q5" s="1" t="str">
        <f>TEXT(WEEKDAY(DATE(AnnéeCalendrier,11,15),1),"jjj")</f>
        <v>mer</v>
      </c>
      <c r="R5" s="1" t="str">
        <f>TEXT(WEEKDAY(DATE(AnnéeCalendrier,11,16),1),"jjj")</f>
        <v>jeu</v>
      </c>
      <c r="S5" s="1" t="str">
        <f>TEXT(WEEKDAY(DATE(AnnéeCalendrier,11,17),1),"jjj")</f>
        <v>ven</v>
      </c>
      <c r="T5" s="1" t="str">
        <f>TEXT(WEEKDAY(DATE(AnnéeCalendrier,11,18),1),"jjj")</f>
        <v>sam</v>
      </c>
      <c r="U5" s="1" t="str">
        <f>TEXT(WEEKDAY(DATE(AnnéeCalendrier,11,19),1),"jjj")</f>
        <v>dim</v>
      </c>
      <c r="V5" s="1" t="str">
        <f>TEXT(WEEKDAY(DATE(AnnéeCalendrier,11,20),1),"jjj")</f>
        <v>lun</v>
      </c>
      <c r="W5" s="1" t="str">
        <f>TEXT(WEEKDAY(DATE(AnnéeCalendrier,11,21),1),"jjj")</f>
        <v>mar</v>
      </c>
      <c r="X5" s="1" t="str">
        <f>TEXT(WEEKDAY(DATE(AnnéeCalendrier,11,22),1),"jjj")</f>
        <v>mer</v>
      </c>
      <c r="Y5" s="1" t="str">
        <f>TEXT(WEEKDAY(DATE(AnnéeCalendrier,11,23),1),"jjj")</f>
        <v>jeu</v>
      </c>
      <c r="Z5" s="1" t="str">
        <f>TEXT(WEEKDAY(DATE(AnnéeCalendrier,11,24),1),"jjj")</f>
        <v>ven</v>
      </c>
      <c r="AA5" s="1" t="str">
        <f>TEXT(WEEKDAY(DATE(AnnéeCalendrier,11,25),1),"jjj")</f>
        <v>sam</v>
      </c>
      <c r="AB5" s="1" t="str">
        <f>TEXT(WEEKDAY(DATE(AnnéeCalendrier,11,26),1),"jjj")</f>
        <v>dim</v>
      </c>
      <c r="AC5" s="1" t="str">
        <f>TEXT(WEEKDAY(DATE(AnnéeCalendrier,11,27),1),"jjj")</f>
        <v>lun</v>
      </c>
      <c r="AD5" s="1" t="str">
        <f>TEXT(WEEKDAY(DATE(AnnéeCalendrier,11,28),1),"jjj")</f>
        <v>mar</v>
      </c>
      <c r="AE5" s="1" t="str">
        <f>TEXT(WEEKDAY(DATE(AnnéeCalendrier,11,29),1),"jjj")</f>
        <v>mer</v>
      </c>
      <c r="AF5" s="1" t="str">
        <f>TEXT(WEEKDAY(DATE(AnnéeCalendrier,11,30),1),"jjj")</f>
        <v>jeu</v>
      </c>
      <c r="AG5" s="1"/>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COUNTA(Novembre[[#This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COUNTA(Novembre[[#This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COUNTA(Novembre[[#This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COUNTA(Novembre[[#This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COUNTA(Novembre[[#This Row],[1]:[31]])</f>
        <v>0</v>
      </c>
    </row>
    <row r="12" spans="2:34" ht="30" customHeight="1" x14ac:dyDescent="0.25">
      <c r="B12" s="17" t="str">
        <f>NomMois&amp;" Total"</f>
        <v>Novembre Total</v>
      </c>
      <c r="C12" s="10">
        <f>SUBTOTAL(103,Novembre[1])</f>
        <v>0</v>
      </c>
      <c r="D12" s="10">
        <f>SUBTOTAL(103,Novembre[2])</f>
        <v>0</v>
      </c>
      <c r="E12" s="10">
        <f>SUBTOTAL(103,Novembre[3])</f>
        <v>0</v>
      </c>
      <c r="F12" s="10">
        <f>SUBTOTAL(103,Novembre[4])</f>
        <v>0</v>
      </c>
      <c r="G12" s="10">
        <f>SUBTOTAL(103,Novembre[5])</f>
        <v>0</v>
      </c>
      <c r="H12" s="10">
        <f>SUBTOTAL(103,Novembre[6])</f>
        <v>0</v>
      </c>
      <c r="I12" s="10">
        <f>SUBTOTAL(103,Novembre[7])</f>
        <v>0</v>
      </c>
      <c r="J12" s="10">
        <f>SUBTOTAL(103,Novembre[8])</f>
        <v>0</v>
      </c>
      <c r="K12" s="10">
        <f>SUBTOTAL(103,Novembre[9])</f>
        <v>0</v>
      </c>
      <c r="L12" s="10">
        <f>SUBTOTAL(103,Novembre[10])</f>
        <v>0</v>
      </c>
      <c r="M12" s="10">
        <f>SUBTOTAL(103,Novembre[11])</f>
        <v>0</v>
      </c>
      <c r="N12" s="10">
        <f>SUBTOTAL(103,Novembre[12])</f>
        <v>0</v>
      </c>
      <c r="O12" s="10">
        <f>SUBTOTAL(103,Novembre[13])</f>
        <v>0</v>
      </c>
      <c r="P12" s="10">
        <f>SUBTOTAL(103,Novembre[14])</f>
        <v>0</v>
      </c>
      <c r="Q12" s="10">
        <f>SUBTOTAL(103,Novembre[15])</f>
        <v>0</v>
      </c>
      <c r="R12" s="10">
        <f>SUBTOTAL(103,Novembre[16])</f>
        <v>0</v>
      </c>
      <c r="S12" s="10">
        <f>SUBTOTAL(103,Novembre[17])</f>
        <v>0</v>
      </c>
      <c r="T12" s="10">
        <f>SUBTOTAL(103,Novembre[18])</f>
        <v>0</v>
      </c>
      <c r="U12" s="10">
        <f>SUBTOTAL(103,Novembre[19])</f>
        <v>0</v>
      </c>
      <c r="V12" s="10">
        <f>SUBTOTAL(103,Novembre[20])</f>
        <v>0</v>
      </c>
      <c r="W12" s="10">
        <f>SUBTOTAL(103,Novembre[21])</f>
        <v>0</v>
      </c>
      <c r="X12" s="10">
        <f>SUBTOTAL(103,Novembre[22])</f>
        <v>0</v>
      </c>
      <c r="Y12" s="10">
        <f>SUBTOTAL(103,Novembre[23])</f>
        <v>0</v>
      </c>
      <c r="Z12" s="10">
        <f>SUBTOTAL(103,Novembre[24])</f>
        <v>0</v>
      </c>
      <c r="AA12" s="10">
        <f>SUBTOTAL(103,Novembre[25])</f>
        <v>0</v>
      </c>
      <c r="AB12" s="10">
        <f>SUBTOTAL(103,Novembre[26])</f>
        <v>0</v>
      </c>
      <c r="AC12" s="10">
        <f>SUBTOTAL(103,Novembre[27])</f>
        <v>0</v>
      </c>
      <c r="AD12" s="10">
        <f>SUBTOTAL(103,Novembre[28])</f>
        <v>0</v>
      </c>
      <c r="AE12" s="10">
        <f>SUBTOTAL(103,Novembre[29])</f>
        <v>0</v>
      </c>
      <c r="AF12" s="10">
        <f>SUBTOTAL(109,Novembre[30])</f>
        <v>0</v>
      </c>
      <c r="AG12" s="10">
        <f>SUBTOTAL(109,Novembre[31])</f>
        <v>0</v>
      </c>
      <c r="AH12" s="10">
        <f>SUBTOTAL(109,Novembre[Total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9" priority="3" stopIfTrue="1">
      <formula>C7=CléPersonnalisée2</formula>
    </cfRule>
    <cfRule type="expression" dxfId="8" priority="4" stopIfTrue="1">
      <formula>C7=CléPersonnalisée1</formula>
    </cfRule>
    <cfRule type="expression" dxfId="7" priority="5" stopIfTrue="1">
      <formula>C7=CléMaladie</formula>
    </cfRule>
    <cfRule type="expression" dxfId="6" priority="6" stopIfTrue="1">
      <formula>C7=CléPersonnel</formula>
    </cfRule>
    <cfRule type="expression" dxfId="5"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{378A5472-3281-40BC-8F01-49A29F3DB383}</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B00-000000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B00-000001000000}"/>
    <dataValidation allowBlank="1" showInputMessage="1" showErrorMessage="1" prompt="Cette ligne définit les clés utilisées dans le tableau : Congé en C2, Personnel en F2 et Congé maladie en J2. Les cellules M2 et R2 sont personnalisables " sqref="B2" xr:uid="{00000000-0002-0000-0B00-000002000000}"/>
    <dataValidation allowBlank="1" showInputMessage="1" showErrorMessage="1" prompt="Entrez une étiquette pour décrire la clé personnalisée à gauche" sqref="N2 S2" xr:uid="{00000000-0002-0000-0B00-000003000000}"/>
    <dataValidation allowBlank="1" showInputMessage="1" showErrorMessage="1" prompt="Entrez une lettre et personnalisez l’étiquette à droite pour ajouter un élément de clé" sqref="M2 R2" xr:uid="{00000000-0002-0000-0B00-000004000000}"/>
    <dataValidation allowBlank="1" showInputMessage="1" showErrorMessage="1" prompt="La lettre « M » indique une absence pour cause de maladie" sqref="J2" xr:uid="{00000000-0002-0000-0B00-000005000000}"/>
    <dataValidation allowBlank="1" showInputMessage="1" showErrorMessage="1" prompt="La lettre « P » indique une absence pour motifs personnels" sqref="F2" xr:uid="{00000000-0002-0000-0B00-000006000000}"/>
    <dataValidation allowBlank="1" showInputMessage="1" showErrorMessage="1" prompt="La lettre « C » indique une absence pour cause de congé" sqref="C2" xr:uid="{00000000-0002-0000-0B00-000007000000}"/>
    <dataValidation allowBlank="1" showInputMessage="1" showErrorMessage="1" prompt="Le titre mis à jour automatiquement figure dans cette cellule. Pour modifier le titre, mettez à jour la cellule B1 de la feuille de calcul Janvier" sqref="B1" xr:uid="{00000000-0002-0000-0B00-000008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B00-000009000000}"/>
    <dataValidation allowBlank="1" showInputMessage="1" showErrorMessage="1" prompt="Suivez les absences du mois de novembre dans cette feuille de calcul" sqref="A1" xr:uid="{00000000-0002-0000-0B00-00000A000000}"/>
    <dataValidation allowBlank="1" showInputMessage="1" showErrorMessage="1" prompt="Calcule automatiquement le nombre total de jours d’absence d’un employé durant ce mois dans cette colonne" sqref="AH6" xr:uid="{00000000-0002-0000-0B00-00000B000000}"/>
    <dataValidation allowBlank="1" showInputMessage="1" showErrorMessage="1" prompt="Année mise à jour automatiquement en fonction de l’année entrée dans la feuille de calcul Janvier" sqref="AH4" xr:uid="{00000000-0002-0000-0B00-00000C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B00-00000D000000}"/>
    <dataValidation type="list" allowBlank="1" showInputMessage="1" showErrorMessage="1" sqref="B7:B11" xr:uid="{00000000-0002-0000-0B00-00000E000000}">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78A5472-3281-40BC-8F01-49A29F3DB383}">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7" tint="0.79998168889431442"/>
    <pageSetUpPr fitToPage="1"/>
  </sheetPr>
  <dimension ref="B1:AH12"/>
  <sheetViews>
    <sheetView showGridLines="0" zoomScaleNormal="100" workbookViewId="0">
      <selection activeCell="C14" sqref="C14"/>
    </sheetView>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2" t="s">
        <v>11</v>
      </c>
      <c r="E2" s="22"/>
      <c r="F2" s="3" t="s">
        <v>14</v>
      </c>
      <c r="G2" s="22" t="s">
        <v>18</v>
      </c>
      <c r="H2" s="22"/>
      <c r="I2" s="22"/>
      <c r="J2" s="4" t="s">
        <v>16</v>
      </c>
      <c r="K2" s="22" t="s">
        <v>23</v>
      </c>
      <c r="L2" s="22"/>
      <c r="M2" s="5"/>
      <c r="N2" s="22" t="s">
        <v>27</v>
      </c>
      <c r="O2" s="22"/>
      <c r="P2" s="22"/>
      <c r="Q2" s="22"/>
      <c r="R2" s="6"/>
      <c r="S2" s="22" t="s">
        <v>32</v>
      </c>
      <c r="T2" s="22"/>
      <c r="U2" s="22"/>
      <c r="V2" s="22"/>
    </row>
    <row r="3" spans="2:34" ht="15" customHeight="1" x14ac:dyDescent="0.25">
      <c r="B3" s="11"/>
    </row>
    <row r="4" spans="2:34" ht="30" customHeight="1" x14ac:dyDescent="0.25">
      <c r="B4" s="9" t="s">
        <v>62</v>
      </c>
      <c r="C4" s="21" t="s">
        <v>9</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9">
        <f>AnnéeCalendrier</f>
        <v>2023</v>
      </c>
    </row>
    <row r="5" spans="2:34" ht="15" customHeight="1" x14ac:dyDescent="0.25">
      <c r="B5" s="9"/>
      <c r="C5" s="1" t="str">
        <f>TEXT(WEEKDAY(DATE(AnnéeCalendrier,12,1),1),"jjj")</f>
        <v>ven</v>
      </c>
      <c r="D5" s="1" t="str">
        <f>TEXT(WEEKDAY(DATE(AnnéeCalendrier,12,2),1),"jjj")</f>
        <v>sam</v>
      </c>
      <c r="E5" s="1" t="str">
        <f>TEXT(WEEKDAY(DATE(AnnéeCalendrier,12,3),1),"jjj")</f>
        <v>dim</v>
      </c>
      <c r="F5" s="1" t="str">
        <f>TEXT(WEEKDAY(DATE(AnnéeCalendrier,12,4),1),"jjj")</f>
        <v>lun</v>
      </c>
      <c r="G5" s="1" t="str">
        <f>TEXT(WEEKDAY(DATE(AnnéeCalendrier,12,5),1),"jjj")</f>
        <v>mar</v>
      </c>
      <c r="H5" s="1" t="str">
        <f>TEXT(WEEKDAY(DATE(AnnéeCalendrier,12,6),1),"jjj")</f>
        <v>mer</v>
      </c>
      <c r="I5" s="1" t="str">
        <f>TEXT(WEEKDAY(DATE(AnnéeCalendrier,12,7),1),"jjj")</f>
        <v>jeu</v>
      </c>
      <c r="J5" s="1" t="str">
        <f>TEXT(WEEKDAY(DATE(AnnéeCalendrier,12,8),1),"jjj")</f>
        <v>ven</v>
      </c>
      <c r="K5" s="1" t="str">
        <f>TEXT(WEEKDAY(DATE(AnnéeCalendrier,12,9),1),"jjj")</f>
        <v>sam</v>
      </c>
      <c r="L5" s="1" t="str">
        <f>TEXT(WEEKDAY(DATE(AnnéeCalendrier,12,10),1),"jjj")</f>
        <v>dim</v>
      </c>
      <c r="M5" s="1" t="str">
        <f>TEXT(WEEKDAY(DATE(AnnéeCalendrier,12,11),1),"jjj")</f>
        <v>lun</v>
      </c>
      <c r="N5" s="1" t="str">
        <f>TEXT(WEEKDAY(DATE(AnnéeCalendrier,12,12),1),"jjj")</f>
        <v>mar</v>
      </c>
      <c r="O5" s="1" t="str">
        <f>TEXT(WEEKDAY(DATE(AnnéeCalendrier,12,13),1),"jjj")</f>
        <v>mer</v>
      </c>
      <c r="P5" s="1" t="str">
        <f>TEXT(WEEKDAY(DATE(AnnéeCalendrier,12,14),1),"jjj")</f>
        <v>jeu</v>
      </c>
      <c r="Q5" s="1" t="str">
        <f>TEXT(WEEKDAY(DATE(AnnéeCalendrier,12,15),1),"jjj")</f>
        <v>ven</v>
      </c>
      <c r="R5" s="1" t="str">
        <f>TEXT(WEEKDAY(DATE(AnnéeCalendrier,12,16),1),"jjj")</f>
        <v>sam</v>
      </c>
      <c r="S5" s="1" t="str">
        <f>TEXT(WEEKDAY(DATE(AnnéeCalendrier,12,17),1),"jjj")</f>
        <v>dim</v>
      </c>
      <c r="T5" s="1" t="str">
        <f>TEXT(WEEKDAY(DATE(AnnéeCalendrier,12,18),1),"jjj")</f>
        <v>lun</v>
      </c>
      <c r="U5" s="1" t="str">
        <f>TEXT(WEEKDAY(DATE(AnnéeCalendrier,12,19),1),"jjj")</f>
        <v>mar</v>
      </c>
      <c r="V5" s="1" t="str">
        <f>TEXT(WEEKDAY(DATE(AnnéeCalendrier,12,20),1),"jjj")</f>
        <v>mer</v>
      </c>
      <c r="W5" s="1" t="str">
        <f>TEXT(WEEKDAY(DATE(AnnéeCalendrier,12,21),1),"jjj")</f>
        <v>jeu</v>
      </c>
      <c r="X5" s="1" t="str">
        <f>TEXT(WEEKDAY(DATE(AnnéeCalendrier,12,22),1),"jjj")</f>
        <v>ven</v>
      </c>
      <c r="Y5" s="1" t="str">
        <f>TEXT(WEEKDAY(DATE(AnnéeCalendrier,12,23),1),"jjj")</f>
        <v>sam</v>
      </c>
      <c r="Z5" s="1" t="str">
        <f>TEXT(WEEKDAY(DATE(AnnéeCalendrier,12,24),1),"jjj")</f>
        <v>dim</v>
      </c>
      <c r="AA5" s="1" t="str">
        <f>TEXT(WEEKDAY(DATE(AnnéeCalendrier,12,25),1),"jjj")</f>
        <v>lun</v>
      </c>
      <c r="AB5" s="1" t="str">
        <f>TEXT(WEEKDAY(DATE(AnnéeCalendrier,12,26),1),"jjj")</f>
        <v>mar</v>
      </c>
      <c r="AC5" s="1" t="str">
        <f>TEXT(WEEKDAY(DATE(AnnéeCalendrier,12,27),1),"jjj")</f>
        <v>mer</v>
      </c>
      <c r="AD5" s="1" t="str">
        <f>TEXT(WEEKDAY(DATE(AnnéeCalendrier,12,28),1),"jjj")</f>
        <v>jeu</v>
      </c>
      <c r="AE5" s="1" t="str">
        <f>TEXT(WEEKDAY(DATE(AnnéeCalendrier,12,29),1),"jjj")</f>
        <v>ven</v>
      </c>
      <c r="AF5" s="1" t="str">
        <f>TEXT(WEEKDAY(DATE(AnnéeCalendrier,12,30),1),"jjj")</f>
        <v>sam</v>
      </c>
      <c r="AG5" s="1" t="str">
        <f>TEXT(WEEKDAY(DATE(AnnéeCalendrier,12,31),1),"jjj")</f>
        <v>dim</v>
      </c>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COUNTA(Décembre[[#This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COUNTA(Décembre[[#This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COUNTA(Décembre[[#This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COUNTA(Décembre[[#This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COUNTA(Décembre[[#This Row],[1]:[31]])</f>
        <v>0</v>
      </c>
    </row>
    <row r="12" spans="2:34" ht="30" customHeight="1" x14ac:dyDescent="0.25">
      <c r="B12" s="17" t="str">
        <f>NomMois&amp;" Total"</f>
        <v>Décembre Total</v>
      </c>
      <c r="C12" s="10">
        <f>SUBTOTAL(103,Décembre[1])</f>
        <v>0</v>
      </c>
      <c r="D12" s="10">
        <f>SUBTOTAL(103,Décembre[2])</f>
        <v>0</v>
      </c>
      <c r="E12" s="10">
        <f>SUBTOTAL(103,Décembre[3])</f>
        <v>0</v>
      </c>
      <c r="F12" s="10">
        <f>SUBTOTAL(103,Décembre[4])</f>
        <v>0</v>
      </c>
      <c r="G12" s="10">
        <f>SUBTOTAL(103,Décembre[5])</f>
        <v>0</v>
      </c>
      <c r="H12" s="10">
        <f>SUBTOTAL(103,Décembre[6])</f>
        <v>0</v>
      </c>
      <c r="I12" s="10">
        <f>SUBTOTAL(103,Décembre[7])</f>
        <v>0</v>
      </c>
      <c r="J12" s="10">
        <f>SUBTOTAL(103,Décembre[8])</f>
        <v>0</v>
      </c>
      <c r="K12" s="10">
        <f>SUBTOTAL(103,Décembre[9])</f>
        <v>0</v>
      </c>
      <c r="L12" s="10">
        <f>SUBTOTAL(103,Décembre[10])</f>
        <v>0</v>
      </c>
      <c r="M12" s="10">
        <f>SUBTOTAL(103,Décembre[11])</f>
        <v>0</v>
      </c>
      <c r="N12" s="10">
        <f>SUBTOTAL(103,Décembre[12])</f>
        <v>0</v>
      </c>
      <c r="O12" s="10">
        <f>SUBTOTAL(103,Décembre[13])</f>
        <v>0</v>
      </c>
      <c r="P12" s="10">
        <f>SUBTOTAL(103,Décembre[14])</f>
        <v>0</v>
      </c>
      <c r="Q12" s="10">
        <f>SUBTOTAL(103,Décembre[15])</f>
        <v>0</v>
      </c>
      <c r="R12" s="10">
        <f>SUBTOTAL(103,Décembre[16])</f>
        <v>0</v>
      </c>
      <c r="S12" s="10">
        <f>SUBTOTAL(103,Décembre[17])</f>
        <v>0</v>
      </c>
      <c r="T12" s="10">
        <f>SUBTOTAL(103,Décembre[18])</f>
        <v>0</v>
      </c>
      <c r="U12" s="10">
        <f>SUBTOTAL(103,Décembre[19])</f>
        <v>0</v>
      </c>
      <c r="V12" s="10">
        <f>SUBTOTAL(103,Décembre[20])</f>
        <v>0</v>
      </c>
      <c r="W12" s="10">
        <f>SUBTOTAL(103,Décembre[21])</f>
        <v>0</v>
      </c>
      <c r="X12" s="10">
        <f>SUBTOTAL(103,Décembre[22])</f>
        <v>0</v>
      </c>
      <c r="Y12" s="10">
        <f>SUBTOTAL(103,Décembre[23])</f>
        <v>0</v>
      </c>
      <c r="Z12" s="10">
        <f>SUBTOTAL(103,Décembre[24])</f>
        <v>0</v>
      </c>
      <c r="AA12" s="10">
        <f>SUBTOTAL(103,Décembre[25])</f>
        <v>0</v>
      </c>
      <c r="AB12" s="10">
        <f>SUBTOTAL(103,Décembre[26])</f>
        <v>0</v>
      </c>
      <c r="AC12" s="10">
        <f>SUBTOTAL(103,Décembre[27])</f>
        <v>0</v>
      </c>
      <c r="AD12" s="10">
        <f>SUBTOTAL(103,Décembre[28])</f>
        <v>0</v>
      </c>
      <c r="AE12" s="10">
        <f>SUBTOTAL(103,Décembre[29])</f>
        <v>0</v>
      </c>
      <c r="AF12" s="10">
        <f>SUBTOTAL(109,Décembre[30])</f>
        <v>0</v>
      </c>
      <c r="AG12" s="10">
        <f>SUBTOTAL(109,Décembre[31])</f>
        <v>0</v>
      </c>
      <c r="AH12" s="10">
        <f>SUBTOTAL(109,Décembre[Total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4" priority="3" stopIfTrue="1">
      <formula>C7=CléPersonnalisée2</formula>
    </cfRule>
    <cfRule type="expression" dxfId="3" priority="4" stopIfTrue="1">
      <formula>C7=CléPersonnalisée1</formula>
    </cfRule>
    <cfRule type="expression" dxfId="2" priority="5" stopIfTrue="1">
      <formula>C7=CléMaladie</formula>
    </cfRule>
    <cfRule type="expression" dxfId="1" priority="6" stopIfTrue="1">
      <formula>C7=CléPersonnel</formula>
    </cfRule>
    <cfRule type="expression" dxfId="0"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{E3DDA731-F95C-4301-8642-6DFF7BE32238}</x14:id>
        </ext>
      </extLst>
    </cfRule>
  </conditionalFormatting>
  <dataValidations count="15">
    <dataValidation allowBlank="1" showInputMessage="1" showErrorMessage="1" prompt="Année mise à jour automatiquement en fonction de l’année entrée dans la feuille de calcul Janvier" sqref="AH4" xr:uid="{00000000-0002-0000-0C00-000000000000}"/>
    <dataValidation allowBlank="1" showInputMessage="1" showErrorMessage="1" prompt="Calcule automatiquement le nombre total de jours d’absence d’un employé durant ce mois dans cette colonne" sqref="AH6" xr:uid="{00000000-0002-0000-0C00-000001000000}"/>
    <dataValidation allowBlank="1" showInputMessage="1" showErrorMessage="1" prompt="Suivez les absences du mois de décembre dans cette feuille de calcul" sqref="A1" xr:uid="{00000000-0002-0000-0C00-000002000000}"/>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xr:uid="{00000000-0002-0000-0C00-000003000000}"/>
    <dataValidation allowBlank="1" showInputMessage="1" showErrorMessage="1" prompt="Le titre mis à jour automatiquement figure dans cette cellule. Pour modifier le titre, mettez à jour la cellule B1 de la feuille de calcul Janvier" sqref="B1" xr:uid="{00000000-0002-0000-0C00-000004000000}"/>
    <dataValidation allowBlank="1" showInputMessage="1" showErrorMessage="1" prompt="La lettre « C » indique une absence pour cause de congé" sqref="C2" xr:uid="{00000000-0002-0000-0C00-000005000000}"/>
    <dataValidation allowBlank="1" showInputMessage="1" showErrorMessage="1" prompt="La lettre « P » indique une absence pour motifs personnels" sqref="F2" xr:uid="{00000000-0002-0000-0C00-000006000000}"/>
    <dataValidation allowBlank="1" showInputMessage="1" showErrorMessage="1" prompt="La lettre « M » indique une absence pour cause de maladie" sqref="J2" xr:uid="{00000000-0002-0000-0C00-000007000000}"/>
    <dataValidation allowBlank="1" showInputMessage="1" showErrorMessage="1" prompt="Entrez une lettre et personnalisez l’étiquette à droite pour ajouter un élément de clé" sqref="M2 R2" xr:uid="{00000000-0002-0000-0C00-000008000000}"/>
    <dataValidation allowBlank="1" showInputMessage="1" showErrorMessage="1" prompt="Entrez une étiquette pour décrire la clé personnalisée à gauche" sqref="N2 S2" xr:uid="{00000000-0002-0000-0C00-000009000000}"/>
    <dataValidation allowBlank="1" showInputMessage="1" showErrorMessage="1" prompt="Cette ligne définit les clés utilisées dans le tableau : Congé en C2, Personnel en F2 et Congé maladie en J2. Les cellules M2 et R2 sont personnalisables " sqref="B2" xr:uid="{00000000-0002-0000-0C00-00000A000000}"/>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xr:uid="{00000000-0002-0000-0C00-00000B000000}"/>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xr:uid="{00000000-0002-0000-0C00-00000C000000}"/>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xr:uid="{00000000-0002-0000-0C00-00000D000000}"/>
    <dataValidation type="list" allowBlank="1" showInputMessage="1" showErrorMessage="1" sqref="B7:B11" xr:uid="{00000000-0002-0000-0C00-00000E000000}">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3DDA731-F95C-4301-8642-6DFF7BE32238}">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49</vt:i4>
      </vt:variant>
    </vt:vector>
  </HeadingPairs>
  <TitlesOfParts>
    <vt:vector size="62" baseType="lpstr">
      <vt:lpstr>Collègue</vt:lpstr>
      <vt:lpstr>Janvier</vt:lpstr>
      <vt:lpstr>Février</vt:lpstr>
      <vt:lpstr>Mars</vt:lpstr>
      <vt:lpstr>Avril</vt:lpstr>
      <vt:lpstr>Mai</vt:lpstr>
      <vt:lpstr>Juin</vt:lpstr>
      <vt:lpstr>Juillet</vt:lpstr>
      <vt:lpstr>Août</vt:lpstr>
      <vt:lpstr>Septembre</vt:lpstr>
      <vt:lpstr>Octobre</vt:lpstr>
      <vt:lpstr>Novembre</vt:lpstr>
      <vt:lpstr>Décembre</vt:lpstr>
      <vt:lpstr>AnnéeCalendrier</vt:lpstr>
      <vt:lpstr>CléCongé</vt:lpstr>
      <vt:lpstr>CléMaladie</vt:lpstr>
      <vt:lpstr>CléPersonnalisée1</vt:lpstr>
      <vt:lpstr>CléPersonnalisée2</vt:lpstr>
      <vt:lpstr>CléPersonnel</vt:lpstr>
      <vt:lpstr>ÉtiquetteCléCongé</vt:lpstr>
      <vt:lpstr>ÉtiquetteCléMaladie</vt:lpstr>
      <vt:lpstr>ÉtiquetteCléPersonnalisée1</vt:lpstr>
      <vt:lpstr>ÉtiquetteCléPersonnalisée2</vt:lpstr>
      <vt:lpstr>ÉtiquetteCléPersonnel</vt:lpstr>
      <vt:lpstr>Août!Impression_des_titres</vt:lpstr>
      <vt:lpstr>Avril!Impression_des_titres</vt:lpstr>
      <vt:lpstr>Décembre!Impression_des_titres</vt:lpstr>
      <vt:lpstr>Février!Impression_des_titres</vt:lpstr>
      <vt:lpstr>Janvier!Impression_des_titres</vt:lpstr>
      <vt:lpstr>Juillet!Impression_des_titres</vt:lpstr>
      <vt:lpstr>Juin!Impression_des_titres</vt:lpstr>
      <vt:lpstr>Mai!Impression_des_titres</vt:lpstr>
      <vt:lpstr>Mars!Impression_des_titres</vt:lpstr>
      <vt:lpstr>Novembre!Impression_des_titres</vt:lpstr>
      <vt:lpstr>Octobre!Impression_des_titres</vt:lpstr>
      <vt:lpstr>Septembre!Impression_des_titres</vt:lpstr>
      <vt:lpstr>Nom_clé</vt:lpstr>
      <vt:lpstr>Août!NomMois</vt:lpstr>
      <vt:lpstr>Avril!NomMois</vt:lpstr>
      <vt:lpstr>Décembre!NomMois</vt:lpstr>
      <vt:lpstr>Février!NomMois</vt:lpstr>
      <vt:lpstr>Janvier!NomMois</vt:lpstr>
      <vt:lpstr>Juillet!NomMois</vt:lpstr>
      <vt:lpstr>Juin!NomMois</vt:lpstr>
      <vt:lpstr>Mai!NomMois</vt:lpstr>
      <vt:lpstr>Mars!NomMois</vt:lpstr>
      <vt:lpstr>Novembre!NomMois</vt:lpstr>
      <vt:lpstr>Octobre!NomMois</vt:lpstr>
      <vt:lpstr>Septembre!NomMois</vt:lpstr>
      <vt:lpstr>Titre_Absence_Employé</vt:lpstr>
      <vt:lpstr>Titre1</vt:lpstr>
      <vt:lpstr>Titre10</vt:lpstr>
      <vt:lpstr>Titre11</vt:lpstr>
      <vt:lpstr>Titre12</vt:lpstr>
      <vt:lpstr>Titre2</vt:lpstr>
      <vt:lpstr>Titre3</vt:lpstr>
      <vt:lpstr>Titre4</vt:lpstr>
      <vt:lpstr>Titre5</vt:lpstr>
      <vt:lpstr>Titre6</vt:lpstr>
      <vt:lpstr>Titre7</vt:lpstr>
      <vt:lpstr>Titre8</vt:lpstr>
      <vt:lpstr>Titre9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Kamal Achouri</dc:creator>
  <cp:lastModifiedBy>Cylfo</cp:lastModifiedBy>
  <dcterms:created xsi:type="dcterms:W3CDTF">2016-12-06T04:52:27Z</dcterms:created>
  <dcterms:modified xsi:type="dcterms:W3CDTF">2023-06-03T08:50:40Z</dcterms:modified>
</cp:coreProperties>
</file>