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ager\Desktop\Marie-Soleil\"/>
    </mc:Choice>
  </mc:AlternateContent>
  <xr:revisionPtr revIDLastSave="0" documentId="8_{61EE93A8-8787-4B51-8C20-6BAAEB61DFA0}" xr6:coauthVersionLast="47" xr6:coauthVersionMax="47" xr10:uidLastSave="{00000000-0000-0000-0000-000000000000}"/>
  <bookViews>
    <workbookView xWindow="-120" yWindow="-120" windowWidth="29040" windowHeight="15840" xr2:uid="{4C43990C-4E7D-4704-A7F2-3F91A36EC9A6}"/>
  </bookViews>
  <sheets>
    <sheet name="Emyx" sheetId="1" r:id="rId1"/>
    <sheet name="COST-Écobrick" sheetId="2" r:id="rId2"/>
    <sheet name="COST-Nawkaw" sheetId="3" r:id="rId3"/>
  </sheets>
  <externalReferences>
    <externalReference r:id="rId4"/>
  </externalReferences>
  <definedNames>
    <definedName name="ADD_Projet_L1">'[1]INFO-Projet'!$A$6</definedName>
    <definedName name="carte_manoeuvre">[1]Salaires!$A$6:$A$10</definedName>
    <definedName name="carte_peintre">[1]Salaires!$A$17:$A$28</definedName>
    <definedName name="CHr_Projet">'[1]INFO-Contrat'!$E$15</definedName>
    <definedName name="CHr_Projet_CELL">'[1]INFO-Contrat'!$H$15</definedName>
    <definedName name="CHr_Projet_MAIL">'[1]INFO-Contrat'!$I$15</definedName>
    <definedName name="CHr_Projet_Poste">'[1]INFO-Contrat'!$G$15</definedName>
    <definedName name="CHr_Projet_TEL">'[1]INFO-Contrat'!$F$15</definedName>
    <definedName name="DATE_Aujourdhui">[1]variables!$D$4</definedName>
    <definedName name="DATE_BSDQ">'[1]INFO-Projet'!$I$5</definedName>
    <definedName name="DATE_DÉBUT">'[1]INFO-Contrat'!$I$3</definedName>
    <definedName name="DATE_FIN">'[1]INFO-Contrat'!$I$5</definedName>
    <definedName name="DATE_Généraux">'[1]INFO-Projet'!$I$3</definedName>
    <definedName name="DATE_Visite">'[1]INFO-Projet'!$I$7</definedName>
    <definedName name="Livraison_nacelle">'[1]Liste de Prix'!$M$97:$M$101</definedName>
    <definedName name="Nacelle">'COST-Écobrick'!$E$44</definedName>
    <definedName name="nacelles">'[1]Liste de Prix'!$M$58:$M$90</definedName>
    <definedName name="nom_matrice">'[1]Liste de Prix'!$AD$5:$AD$231</definedName>
    <definedName name="NOM_Projet">'[1]INFO-Projet'!$A$2</definedName>
    <definedName name="NUM_Contrat">'[1]INFO-Contrat'!$E$8</definedName>
    <definedName name="NUM_Soumission">'[1]INFO-Contrat'!$E$6</definedName>
    <definedName name="oui_non">[1]variables!$F$9:$F$10</definedName>
    <definedName name="Primes_Manoeuvre">[1]Salaires!$H$5:$H$13</definedName>
    <definedName name="Primes_Peintre">[1]Salaires!$H$16:$H$25</definedName>
    <definedName name="Print_Area_BT_Nettoyage" localSheetId="0">Emyx!#REF!</definedName>
    <definedName name="produits_nettoyage">'[1]Liste de Prix'!$D$4:$D$82</definedName>
    <definedName name="Produits_reckli">'[1]Liste de Prix'!$AF$5:$AF$45</definedName>
    <definedName name="produits_teinture">'[1]Liste de Prix'!$M$4:$M$23</definedName>
    <definedName name="rendement">[1]variables!$F$13:$F$15</definedName>
    <definedName name="RESP_Chantier">'[1]INFO-Contrat'!$E$16</definedName>
    <definedName name="RESP_Chantier_CELL">'[1]INFO-Contrat'!$H$16</definedName>
    <definedName name="RESP_Chantier_MAIL">'[1]INFO-Contrat'!$I$16</definedName>
    <definedName name="RESP_Chantier_Poste">'[1]INFO-Contrat'!$G$16</definedName>
    <definedName name="RESP_Chantier_TEL">'[1]INFO-Contrat'!$F$16</definedName>
    <definedName name="service_nettoyage">[1]variables!$A$22:$A$35</definedName>
    <definedName name="services_teinture">[1]variables!$A$40:$A$46</definedName>
    <definedName name="temps_nacelle">[1]variables!$F$18:$F$20</definedName>
    <definedName name="utilisations_matrice">[1]variables!$G$13:$G$20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2" i="3" l="1"/>
  <c r="D82" i="3"/>
  <c r="T81" i="3"/>
  <c r="R81" i="3"/>
  <c r="P81" i="3"/>
  <c r="J81" i="3"/>
  <c r="H81" i="3"/>
  <c r="F81" i="3"/>
  <c r="T80" i="3"/>
  <c r="R80" i="3"/>
  <c r="P80" i="3"/>
  <c r="J80" i="3"/>
  <c r="B80" i="3" s="1"/>
  <c r="H80" i="3"/>
  <c r="F80" i="3"/>
  <c r="T79" i="3"/>
  <c r="R79" i="3"/>
  <c r="P79" i="3"/>
  <c r="J79" i="3"/>
  <c r="H79" i="3"/>
  <c r="F79" i="3"/>
  <c r="T78" i="3"/>
  <c r="R78" i="3"/>
  <c r="P78" i="3"/>
  <c r="J78" i="3"/>
  <c r="B78" i="3" s="1"/>
  <c r="H78" i="3"/>
  <c r="F78" i="3"/>
  <c r="T77" i="3"/>
  <c r="R77" i="3"/>
  <c r="P77" i="3"/>
  <c r="J77" i="3"/>
  <c r="J82" i="3" s="1"/>
  <c r="H77" i="3"/>
  <c r="F77" i="3"/>
  <c r="T73" i="3"/>
  <c r="R73" i="3"/>
  <c r="O73" i="3"/>
  <c r="J73" i="3"/>
  <c r="H73" i="3"/>
  <c r="E73" i="3"/>
  <c r="O72" i="3"/>
  <c r="E72" i="3"/>
  <c r="O71" i="3"/>
  <c r="E71" i="3"/>
  <c r="O70" i="3"/>
  <c r="E70" i="3"/>
  <c r="T66" i="3"/>
  <c r="R66" i="3"/>
  <c r="P66" i="3"/>
  <c r="N66" i="3"/>
  <c r="J66" i="3"/>
  <c r="H66" i="3"/>
  <c r="F66" i="3"/>
  <c r="D66" i="3"/>
  <c r="T65" i="3"/>
  <c r="R65" i="3"/>
  <c r="P65" i="3"/>
  <c r="N65" i="3"/>
  <c r="J65" i="3"/>
  <c r="H65" i="3"/>
  <c r="F65" i="3"/>
  <c r="D65" i="3"/>
  <c r="T64" i="3"/>
  <c r="R64" i="3"/>
  <c r="T71" i="3" s="1"/>
  <c r="P64" i="3"/>
  <c r="J64" i="3"/>
  <c r="H64" i="3"/>
  <c r="J71" i="3" s="1"/>
  <c r="F64" i="3"/>
  <c r="R60" i="3"/>
  <c r="R91" i="3" s="1"/>
  <c r="Q91" i="3" s="1"/>
  <c r="P60" i="3"/>
  <c r="N60" i="3"/>
  <c r="M60" i="3"/>
  <c r="J60" i="3"/>
  <c r="F60" i="3"/>
  <c r="D60" i="3"/>
  <c r="C60" i="3"/>
  <c r="R58" i="3"/>
  <c r="H58" i="3"/>
  <c r="R57" i="3"/>
  <c r="H57" i="3"/>
  <c r="H60" i="3" s="1"/>
  <c r="R56" i="3"/>
  <c r="H56" i="3"/>
  <c r="T50" i="3"/>
  <c r="N50" i="3"/>
  <c r="J50" i="3"/>
  <c r="D50" i="3"/>
  <c r="T49" i="3"/>
  <c r="N49" i="3"/>
  <c r="J49" i="3"/>
  <c r="D49" i="3"/>
  <c r="W35" i="3"/>
  <c r="N35" i="3"/>
  <c r="D35" i="3"/>
  <c r="AC34" i="3"/>
  <c r="AA34" i="3"/>
  <c r="Y34" i="3"/>
  <c r="T34" i="3"/>
  <c r="R34" i="3"/>
  <c r="P34" i="3"/>
  <c r="J34" i="3"/>
  <c r="H34" i="3"/>
  <c r="F34" i="3"/>
  <c r="AC33" i="3"/>
  <c r="AA33" i="3"/>
  <c r="Y33" i="3"/>
  <c r="T33" i="3"/>
  <c r="R33" i="3"/>
  <c r="P33" i="3"/>
  <c r="J33" i="3"/>
  <c r="H33" i="3"/>
  <c r="F33" i="3"/>
  <c r="AC32" i="3"/>
  <c r="AA32" i="3"/>
  <c r="Y32" i="3"/>
  <c r="T32" i="3"/>
  <c r="R32" i="3"/>
  <c r="P32" i="3"/>
  <c r="J32" i="3"/>
  <c r="H32" i="3"/>
  <c r="F32" i="3"/>
  <c r="AC31" i="3"/>
  <c r="AA31" i="3"/>
  <c r="Y31" i="3"/>
  <c r="T31" i="3"/>
  <c r="R31" i="3"/>
  <c r="P31" i="3"/>
  <c r="J31" i="3"/>
  <c r="H31" i="3"/>
  <c r="F31" i="3"/>
  <c r="AA30" i="3"/>
  <c r="T30" i="3"/>
  <c r="R30" i="3"/>
  <c r="P30" i="3"/>
  <c r="J30" i="3"/>
  <c r="J35" i="3" s="1"/>
  <c r="H30" i="3"/>
  <c r="F30" i="3"/>
  <c r="AC26" i="3"/>
  <c r="X26" i="3"/>
  <c r="T26" i="3"/>
  <c r="R26" i="3"/>
  <c r="O26" i="3"/>
  <c r="J26" i="3"/>
  <c r="H26" i="3"/>
  <c r="E26" i="3"/>
  <c r="X25" i="3"/>
  <c r="O25" i="3"/>
  <c r="E25" i="3"/>
  <c r="X24" i="3"/>
  <c r="O24" i="3"/>
  <c r="E24" i="3"/>
  <c r="X23" i="3"/>
  <c r="O23" i="3"/>
  <c r="E23" i="3"/>
  <c r="AC19" i="3"/>
  <c r="AA19" i="3"/>
  <c r="Y19" i="3"/>
  <c r="W19" i="3"/>
  <c r="T19" i="3"/>
  <c r="R19" i="3"/>
  <c r="T24" i="3" s="1"/>
  <c r="P19" i="3"/>
  <c r="N19" i="3"/>
  <c r="H19" i="3"/>
  <c r="D19" i="3"/>
  <c r="AC18" i="3"/>
  <c r="AA18" i="3"/>
  <c r="Y18" i="3"/>
  <c r="W18" i="3"/>
  <c r="T18" i="3"/>
  <c r="R18" i="3"/>
  <c r="P18" i="3"/>
  <c r="N18" i="3"/>
  <c r="J18" i="3"/>
  <c r="H18" i="3"/>
  <c r="F18" i="3"/>
  <c r="D18" i="3"/>
  <c r="AC17" i="3"/>
  <c r="Y17" i="3"/>
  <c r="T17" i="3"/>
  <c r="R17" i="3"/>
  <c r="P17" i="3"/>
  <c r="J17" i="3"/>
  <c r="F17" i="3"/>
  <c r="Y13" i="3"/>
  <c r="W13" i="3"/>
  <c r="Y30" i="3" s="1"/>
  <c r="AC30" i="3" s="1"/>
  <c r="V13" i="3"/>
  <c r="T13" i="3"/>
  <c r="P13" i="3"/>
  <c r="N13" i="3"/>
  <c r="M13" i="3"/>
  <c r="F13" i="3"/>
  <c r="D13" i="3"/>
  <c r="C13" i="3"/>
  <c r="AA11" i="3"/>
  <c r="R11" i="3"/>
  <c r="H11" i="3"/>
  <c r="AA10" i="3"/>
  <c r="R10" i="3"/>
  <c r="H10" i="3"/>
  <c r="AA9" i="3"/>
  <c r="AA13" i="3" s="1"/>
  <c r="R9" i="3"/>
  <c r="R13" i="3" s="1"/>
  <c r="H9" i="3"/>
  <c r="H13" i="3" s="1"/>
  <c r="AC3" i="3"/>
  <c r="W3" i="3"/>
  <c r="T3" i="3"/>
  <c r="N3" i="3"/>
  <c r="J3" i="3"/>
  <c r="D3" i="3"/>
  <c r="AC2" i="3"/>
  <c r="AA17" i="3" s="1"/>
  <c r="W2" i="3"/>
  <c r="T2" i="3"/>
  <c r="N2" i="3"/>
  <c r="J2" i="3"/>
  <c r="H17" i="3" s="1"/>
  <c r="D2" i="3"/>
  <c r="N82" i="2"/>
  <c r="D82" i="2"/>
  <c r="T81" i="2"/>
  <c r="R81" i="2"/>
  <c r="P81" i="2"/>
  <c r="J81" i="2"/>
  <c r="H81" i="2"/>
  <c r="F81" i="2"/>
  <c r="T80" i="2"/>
  <c r="R80" i="2"/>
  <c r="P80" i="2"/>
  <c r="J80" i="2"/>
  <c r="H80" i="2"/>
  <c r="F80" i="2"/>
  <c r="T79" i="2"/>
  <c r="R79" i="2"/>
  <c r="P79" i="2"/>
  <c r="J79" i="2"/>
  <c r="H79" i="2"/>
  <c r="F79" i="2"/>
  <c r="T78" i="2"/>
  <c r="R78" i="2"/>
  <c r="P78" i="2"/>
  <c r="J78" i="2"/>
  <c r="H78" i="2"/>
  <c r="F78" i="2"/>
  <c r="T77" i="2"/>
  <c r="T82" i="2" s="1"/>
  <c r="R77" i="2"/>
  <c r="P77" i="2"/>
  <c r="J77" i="2"/>
  <c r="J82" i="2" s="1"/>
  <c r="H77" i="2"/>
  <c r="F77" i="2"/>
  <c r="T73" i="2"/>
  <c r="R73" i="2"/>
  <c r="O73" i="2"/>
  <c r="J73" i="2"/>
  <c r="H73" i="2"/>
  <c r="E73" i="2"/>
  <c r="O72" i="2"/>
  <c r="E72" i="2"/>
  <c r="O71" i="2"/>
  <c r="E71" i="2"/>
  <c r="O70" i="2"/>
  <c r="E70" i="2"/>
  <c r="T66" i="2"/>
  <c r="R66" i="2"/>
  <c r="P66" i="2"/>
  <c r="N66" i="2"/>
  <c r="J66" i="2"/>
  <c r="H66" i="2"/>
  <c r="F66" i="2"/>
  <c r="D66" i="2"/>
  <c r="T65" i="2"/>
  <c r="R65" i="2"/>
  <c r="P65" i="2"/>
  <c r="N65" i="2"/>
  <c r="J65" i="2"/>
  <c r="H65" i="2"/>
  <c r="F65" i="2"/>
  <c r="D65" i="2"/>
  <c r="T64" i="2"/>
  <c r="R64" i="2"/>
  <c r="T71" i="2" s="1"/>
  <c r="P64" i="2"/>
  <c r="J64" i="2"/>
  <c r="H64" i="2"/>
  <c r="J71" i="2" s="1"/>
  <c r="F64" i="2"/>
  <c r="R60" i="2"/>
  <c r="R91" i="2" s="1"/>
  <c r="Q91" i="2" s="1"/>
  <c r="P60" i="2"/>
  <c r="N60" i="2"/>
  <c r="M60" i="2"/>
  <c r="J60" i="2"/>
  <c r="F60" i="2"/>
  <c r="D60" i="2"/>
  <c r="C60" i="2"/>
  <c r="R58" i="2"/>
  <c r="H58" i="2"/>
  <c r="R57" i="2"/>
  <c r="H57" i="2"/>
  <c r="H60" i="2" s="1"/>
  <c r="R56" i="2"/>
  <c r="H56" i="2"/>
  <c r="T50" i="2"/>
  <c r="N50" i="2"/>
  <c r="J50" i="2"/>
  <c r="D50" i="2"/>
  <c r="T49" i="2"/>
  <c r="N49" i="2"/>
  <c r="J49" i="2"/>
  <c r="D49" i="2"/>
  <c r="W35" i="2"/>
  <c r="N35" i="2"/>
  <c r="D35" i="2"/>
  <c r="AC34" i="2"/>
  <c r="AA34" i="2"/>
  <c r="Y34" i="2"/>
  <c r="T34" i="2"/>
  <c r="R34" i="2"/>
  <c r="P34" i="2"/>
  <c r="J34" i="2"/>
  <c r="H34" i="2"/>
  <c r="F34" i="2"/>
  <c r="AC33" i="2"/>
  <c r="AA33" i="2"/>
  <c r="Y33" i="2"/>
  <c r="T33" i="2"/>
  <c r="R33" i="2"/>
  <c r="P33" i="2"/>
  <c r="J33" i="2"/>
  <c r="B33" i="2" s="1"/>
  <c r="H33" i="2"/>
  <c r="F33" i="2"/>
  <c r="AC32" i="2"/>
  <c r="AA32" i="2"/>
  <c r="Y32" i="2"/>
  <c r="T32" i="2"/>
  <c r="R32" i="2"/>
  <c r="P32" i="2"/>
  <c r="J32" i="2"/>
  <c r="H32" i="2"/>
  <c r="F32" i="2"/>
  <c r="AC31" i="2"/>
  <c r="U31" i="2" s="1"/>
  <c r="AA31" i="2"/>
  <c r="Y31" i="2"/>
  <c r="T31" i="2"/>
  <c r="R31" i="2"/>
  <c r="P31" i="2"/>
  <c r="J31" i="2"/>
  <c r="H31" i="2"/>
  <c r="F31" i="2"/>
  <c r="AC30" i="2"/>
  <c r="AC35" i="2" s="1"/>
  <c r="AA30" i="2"/>
  <c r="Y30" i="2"/>
  <c r="T30" i="2"/>
  <c r="T35" i="2" s="1"/>
  <c r="R30" i="2"/>
  <c r="P30" i="2"/>
  <c r="J30" i="2"/>
  <c r="J35" i="2" s="1"/>
  <c r="H30" i="2"/>
  <c r="F30" i="2"/>
  <c r="AC26" i="2"/>
  <c r="X26" i="2"/>
  <c r="T26" i="2"/>
  <c r="R26" i="2"/>
  <c r="O26" i="2"/>
  <c r="J26" i="2"/>
  <c r="H26" i="2"/>
  <c r="E26" i="2"/>
  <c r="X25" i="2"/>
  <c r="O25" i="2"/>
  <c r="E25" i="2"/>
  <c r="X24" i="2"/>
  <c r="O24" i="2"/>
  <c r="E24" i="2"/>
  <c r="X23" i="2"/>
  <c r="O23" i="2"/>
  <c r="E23" i="2"/>
  <c r="AC19" i="2"/>
  <c r="AA19" i="2"/>
  <c r="Y19" i="2"/>
  <c r="W19" i="2"/>
  <c r="T19" i="2"/>
  <c r="R19" i="2"/>
  <c r="P19" i="2"/>
  <c r="N19" i="2"/>
  <c r="J19" i="2"/>
  <c r="H19" i="2"/>
  <c r="F19" i="2"/>
  <c r="D19" i="2"/>
  <c r="AC18" i="2"/>
  <c r="AA18" i="2"/>
  <c r="Y18" i="2"/>
  <c r="W18" i="2"/>
  <c r="T18" i="2"/>
  <c r="R18" i="2"/>
  <c r="P18" i="2"/>
  <c r="N18" i="2"/>
  <c r="J18" i="2"/>
  <c r="H18" i="2"/>
  <c r="F18" i="2"/>
  <c r="D18" i="2"/>
  <c r="AC17" i="2"/>
  <c r="AA17" i="2"/>
  <c r="AC24" i="2" s="1"/>
  <c r="Y17" i="2"/>
  <c r="T17" i="2"/>
  <c r="R17" i="2"/>
  <c r="T24" i="2" s="1"/>
  <c r="P17" i="2"/>
  <c r="J17" i="2"/>
  <c r="H17" i="2"/>
  <c r="J13" i="2" s="1"/>
  <c r="F17" i="2"/>
  <c r="Y13" i="2"/>
  <c r="W13" i="2"/>
  <c r="V13" i="2"/>
  <c r="T13" i="2"/>
  <c r="P13" i="2"/>
  <c r="N13" i="2"/>
  <c r="M13" i="2"/>
  <c r="F13" i="2"/>
  <c r="D13" i="2"/>
  <c r="C13" i="2"/>
  <c r="AA11" i="2"/>
  <c r="R11" i="2"/>
  <c r="H11" i="2"/>
  <c r="AA10" i="2"/>
  <c r="R10" i="2"/>
  <c r="H10" i="2"/>
  <c r="AA9" i="2"/>
  <c r="AA13" i="2" s="1"/>
  <c r="R9" i="2"/>
  <c r="R13" i="2" s="1"/>
  <c r="H9" i="2"/>
  <c r="H13" i="2" s="1"/>
  <c r="AC3" i="2"/>
  <c r="W3" i="2"/>
  <c r="T3" i="2"/>
  <c r="N3" i="2"/>
  <c r="J3" i="2"/>
  <c r="D3" i="2"/>
  <c r="AC2" i="2"/>
  <c r="W2" i="2"/>
  <c r="T2" i="2"/>
  <c r="N2" i="2"/>
  <c r="J2" i="2"/>
  <c r="D2" i="2"/>
  <c r="C105" i="1"/>
  <c r="K105" i="1" s="1"/>
  <c r="C104" i="1"/>
  <c r="F104" i="1" s="1"/>
  <c r="N104" i="1" s="1"/>
  <c r="C103" i="1"/>
  <c r="F103" i="1" s="1"/>
  <c r="N103" i="1" s="1"/>
  <c r="B101" i="1"/>
  <c r="J101" i="1" s="1"/>
  <c r="D99" i="1"/>
  <c r="L98" i="1"/>
  <c r="D98" i="1"/>
  <c r="F97" i="1"/>
  <c r="N97" i="1" s="1"/>
  <c r="C96" i="1"/>
  <c r="K96" i="1" s="1"/>
  <c r="C95" i="1"/>
  <c r="K95" i="1" s="1"/>
  <c r="C94" i="1"/>
  <c r="K94" i="1" s="1"/>
  <c r="J92" i="1"/>
  <c r="B92" i="1"/>
  <c r="D90" i="1"/>
  <c r="L89" i="1"/>
  <c r="D89" i="1"/>
  <c r="N88" i="1"/>
  <c r="F88" i="1"/>
  <c r="N87" i="1"/>
  <c r="K87" i="1"/>
  <c r="F87" i="1"/>
  <c r="C87" i="1"/>
  <c r="N86" i="1"/>
  <c r="K86" i="1"/>
  <c r="F86" i="1"/>
  <c r="C86" i="1"/>
  <c r="N85" i="1"/>
  <c r="K85" i="1"/>
  <c r="F85" i="1"/>
  <c r="C85" i="1"/>
  <c r="B83" i="1"/>
  <c r="J83" i="1" s="1"/>
  <c r="D81" i="1"/>
  <c r="L80" i="1" s="1"/>
  <c r="D80" i="1"/>
  <c r="N79" i="1"/>
  <c r="F79" i="1"/>
  <c r="K78" i="1"/>
  <c r="F78" i="1"/>
  <c r="N78" i="1" s="1"/>
  <c r="C78" i="1"/>
  <c r="K77" i="1"/>
  <c r="F77" i="1"/>
  <c r="N77" i="1" s="1"/>
  <c r="C77" i="1"/>
  <c r="K76" i="1"/>
  <c r="F76" i="1"/>
  <c r="N76" i="1" s="1"/>
  <c r="C76" i="1"/>
  <c r="B74" i="1"/>
  <c r="J74" i="1" s="1"/>
  <c r="D72" i="1"/>
  <c r="L71" i="1" s="1"/>
  <c r="D71" i="1"/>
  <c r="F70" i="1"/>
  <c r="N70" i="1" s="1"/>
  <c r="N69" i="1"/>
  <c r="K69" i="1"/>
  <c r="C69" i="1"/>
  <c r="F69" i="1" s="1"/>
  <c r="N68" i="1"/>
  <c r="K68" i="1"/>
  <c r="C68" i="1"/>
  <c r="F68" i="1" s="1"/>
  <c r="N67" i="1"/>
  <c r="K67" i="1"/>
  <c r="C67" i="1"/>
  <c r="F67" i="1" s="1"/>
  <c r="J65" i="1"/>
  <c r="B65" i="1" s="1"/>
  <c r="D63" i="1"/>
  <c r="L62" i="1"/>
  <c r="D62" i="1"/>
  <c r="N61" i="1"/>
  <c r="F61" i="1"/>
  <c r="N60" i="1"/>
  <c r="K60" i="1"/>
  <c r="C60" i="1"/>
  <c r="F60" i="1" s="1"/>
  <c r="N59" i="1"/>
  <c r="K59" i="1"/>
  <c r="C59" i="1"/>
  <c r="F59" i="1" s="1"/>
  <c r="N58" i="1"/>
  <c r="K58" i="1"/>
  <c r="C58" i="1"/>
  <c r="F58" i="1" s="1"/>
  <c r="J56" i="1"/>
  <c r="B56" i="1" s="1"/>
  <c r="D54" i="1"/>
  <c r="L53" i="1"/>
  <c r="D53" i="1"/>
  <c r="N52" i="1"/>
  <c r="F52" i="1"/>
  <c r="N51" i="1"/>
  <c r="K51" i="1"/>
  <c r="F51" i="1"/>
  <c r="C51" i="1"/>
  <c r="N50" i="1"/>
  <c r="K50" i="1"/>
  <c r="F50" i="1"/>
  <c r="C50" i="1"/>
  <c r="N49" i="1"/>
  <c r="K49" i="1"/>
  <c r="F49" i="1"/>
  <c r="C49" i="1"/>
  <c r="B47" i="1"/>
  <c r="J47" i="1" s="1"/>
  <c r="D45" i="1"/>
  <c r="L44" i="1" s="1"/>
  <c r="D44" i="1"/>
  <c r="N43" i="1"/>
  <c r="F43" i="1"/>
  <c r="K42" i="1"/>
  <c r="N42" i="1" s="1"/>
  <c r="F42" i="1"/>
  <c r="C42" i="1"/>
  <c r="K41" i="1"/>
  <c r="N41" i="1" s="1"/>
  <c r="F41" i="1"/>
  <c r="C41" i="1"/>
  <c r="K40" i="1"/>
  <c r="N40" i="1" s="1"/>
  <c r="F40" i="1"/>
  <c r="C40" i="1"/>
  <c r="B38" i="1"/>
  <c r="J38" i="1" s="1"/>
  <c r="D36" i="1"/>
  <c r="L35" i="1"/>
  <c r="D35" i="1"/>
  <c r="N34" i="1"/>
  <c r="F34" i="1"/>
  <c r="N33" i="1"/>
  <c r="K33" i="1"/>
  <c r="C33" i="1"/>
  <c r="F33" i="1" s="1"/>
  <c r="N32" i="1"/>
  <c r="K32" i="1"/>
  <c r="C32" i="1"/>
  <c r="F32" i="1" s="1"/>
  <c r="N31" i="1"/>
  <c r="K31" i="1"/>
  <c r="C31" i="1"/>
  <c r="F31" i="1" s="1"/>
  <c r="J29" i="1"/>
  <c r="B29" i="1"/>
  <c r="D27" i="1"/>
  <c r="L26" i="1"/>
  <c r="D26" i="1"/>
  <c r="N25" i="1"/>
  <c r="F25" i="1"/>
  <c r="C24" i="1"/>
  <c r="K24" i="1" s="1"/>
  <c r="C23" i="1"/>
  <c r="K23" i="1" s="1"/>
  <c r="C22" i="1"/>
  <c r="K22" i="1" s="1"/>
  <c r="J20" i="1"/>
  <c r="B20" i="1"/>
  <c r="D18" i="1"/>
  <c r="L17" i="1"/>
  <c r="D17" i="1"/>
  <c r="N16" i="1"/>
  <c r="F16" i="1"/>
  <c r="D14" i="1"/>
  <c r="D12" i="1"/>
  <c r="C11" i="1"/>
  <c r="C10" i="1"/>
  <c r="B10" i="1"/>
  <c r="J9" i="1" s="1"/>
  <c r="K9" i="1"/>
  <c r="C8" i="1"/>
  <c r="J7" i="1"/>
  <c r="C7" i="1"/>
  <c r="K7" i="1" s="1"/>
  <c r="B7" i="1"/>
  <c r="K5" i="1"/>
  <c r="C5" i="1"/>
  <c r="N4" i="1"/>
  <c r="F4" i="1"/>
  <c r="B3" i="1"/>
  <c r="B1" i="1"/>
  <c r="B32" i="3" l="1"/>
  <c r="H44" i="3"/>
  <c r="G44" i="3" s="1"/>
  <c r="D17" i="3"/>
  <c r="B33" i="3"/>
  <c r="S92" i="3"/>
  <c r="S93" i="3" s="1"/>
  <c r="P92" i="3"/>
  <c r="J13" i="3"/>
  <c r="J24" i="3"/>
  <c r="AC13" i="3"/>
  <c r="AC24" i="3"/>
  <c r="R44" i="3"/>
  <c r="Q44" i="3" s="1"/>
  <c r="N17" i="3"/>
  <c r="AC35" i="3"/>
  <c r="B34" i="3"/>
  <c r="D64" i="3"/>
  <c r="H91" i="3"/>
  <c r="G91" i="3" s="1"/>
  <c r="B79" i="3"/>
  <c r="B81" i="3"/>
  <c r="AA26" i="3"/>
  <c r="AA44" i="3"/>
  <c r="Z44" i="3" s="1"/>
  <c r="W17" i="3"/>
  <c r="L30" i="3"/>
  <c r="B31" i="3"/>
  <c r="L80" i="3"/>
  <c r="T35" i="3"/>
  <c r="L33" i="3" s="1"/>
  <c r="T82" i="3"/>
  <c r="L77" i="3" s="1"/>
  <c r="B30" i="3"/>
  <c r="T60" i="3"/>
  <c r="N64" i="3"/>
  <c r="B77" i="3"/>
  <c r="R44" i="2"/>
  <c r="Q44" i="2" s="1"/>
  <c r="N17" i="2"/>
  <c r="B32" i="2"/>
  <c r="L33" i="2"/>
  <c r="U34" i="2"/>
  <c r="S92" i="2"/>
  <c r="P92" i="2"/>
  <c r="S93" i="2"/>
  <c r="L81" i="2"/>
  <c r="L80" i="2"/>
  <c r="L79" i="2"/>
  <c r="L78" i="2"/>
  <c r="L77" i="2"/>
  <c r="L31" i="2"/>
  <c r="U32" i="2"/>
  <c r="B34" i="2"/>
  <c r="D64" i="2"/>
  <c r="H91" i="2"/>
  <c r="G91" i="2" s="1"/>
  <c r="B81" i="2"/>
  <c r="B80" i="2"/>
  <c r="B79" i="2"/>
  <c r="B78" i="2"/>
  <c r="B77" i="2"/>
  <c r="AA44" i="2"/>
  <c r="Z44" i="2" s="1"/>
  <c r="AA26" i="2"/>
  <c r="W17" i="2"/>
  <c r="L34" i="2"/>
  <c r="H44" i="2"/>
  <c r="G44" i="2" s="1"/>
  <c r="D17" i="2"/>
  <c r="B31" i="2"/>
  <c r="L32" i="2"/>
  <c r="U33" i="2"/>
  <c r="AC13" i="2"/>
  <c r="J24" i="2"/>
  <c r="B30" i="2"/>
  <c r="L30" i="2"/>
  <c r="U30" i="2"/>
  <c r="T60" i="2"/>
  <c r="N64" i="2"/>
  <c r="F105" i="1"/>
  <c r="N105" i="1" s="1"/>
  <c r="F22" i="1"/>
  <c r="N22" i="1" s="1"/>
  <c r="F23" i="1"/>
  <c r="N23" i="1" s="1"/>
  <c r="F24" i="1"/>
  <c r="N24" i="1" s="1"/>
  <c r="F94" i="1"/>
  <c r="N94" i="1" s="1"/>
  <c r="F95" i="1"/>
  <c r="N95" i="1" s="1"/>
  <c r="F96" i="1"/>
  <c r="N96" i="1" s="1"/>
  <c r="K103" i="1"/>
  <c r="K104" i="1"/>
  <c r="L79" i="3" l="1"/>
  <c r="F26" i="3"/>
  <c r="F25" i="3"/>
  <c r="J23" i="3" s="1"/>
  <c r="F24" i="3"/>
  <c r="F23" i="3"/>
  <c r="L78" i="3"/>
  <c r="U34" i="3"/>
  <c r="U32" i="3"/>
  <c r="P25" i="3"/>
  <c r="P24" i="3"/>
  <c r="P23" i="3"/>
  <c r="P26" i="3"/>
  <c r="L34" i="3"/>
  <c r="I45" i="3"/>
  <c r="F45" i="3"/>
  <c r="I46" i="3"/>
  <c r="I92" i="3"/>
  <c r="I93" i="3" s="1"/>
  <c r="F92" i="3"/>
  <c r="L31" i="3"/>
  <c r="S46" i="3"/>
  <c r="S45" i="3"/>
  <c r="P45" i="3"/>
  <c r="U33" i="3"/>
  <c r="Y25" i="3"/>
  <c r="Y24" i="3"/>
  <c r="Y23" i="3"/>
  <c r="Y26" i="3"/>
  <c r="P73" i="3"/>
  <c r="P72" i="3"/>
  <c r="P71" i="3"/>
  <c r="P70" i="3"/>
  <c r="L32" i="3"/>
  <c r="AB45" i="3"/>
  <c r="Y45" i="3"/>
  <c r="AB46" i="3" s="1"/>
  <c r="F73" i="3"/>
  <c r="F72" i="3"/>
  <c r="F71" i="3"/>
  <c r="F70" i="3"/>
  <c r="U30" i="3"/>
  <c r="L81" i="3"/>
  <c r="U31" i="3"/>
  <c r="AB45" i="2"/>
  <c r="Y45" i="2"/>
  <c r="AB46" i="2" s="1"/>
  <c r="I45" i="2"/>
  <c r="I46" i="2" s="1"/>
  <c r="F45" i="2"/>
  <c r="F73" i="2"/>
  <c r="F72" i="2"/>
  <c r="F71" i="2"/>
  <c r="F70" i="2"/>
  <c r="J70" i="2" s="1"/>
  <c r="F26" i="2"/>
  <c r="F25" i="2"/>
  <c r="F24" i="2"/>
  <c r="F23" i="2"/>
  <c r="J23" i="2" s="1"/>
  <c r="Y25" i="2"/>
  <c r="Y24" i="2"/>
  <c r="Y23" i="2"/>
  <c r="Y26" i="2"/>
  <c r="I92" i="2"/>
  <c r="I93" i="2" s="1"/>
  <c r="F92" i="2"/>
  <c r="P25" i="2"/>
  <c r="P24" i="2"/>
  <c r="P23" i="2"/>
  <c r="P26" i="2"/>
  <c r="P73" i="2"/>
  <c r="T70" i="2"/>
  <c r="P72" i="2"/>
  <c r="P71" i="2"/>
  <c r="P70" i="2"/>
  <c r="P45" i="2"/>
  <c r="S45" i="2"/>
  <c r="S46" i="2" s="1"/>
  <c r="J25" i="3" l="1"/>
  <c r="J27" i="3" s="1"/>
  <c r="J70" i="3"/>
  <c r="T70" i="3"/>
  <c r="T23" i="3"/>
  <c r="AC23" i="3"/>
  <c r="J72" i="2"/>
  <c r="J74" i="2"/>
  <c r="B70" i="2"/>
  <c r="J27" i="2"/>
  <c r="J25" i="2"/>
  <c r="T72" i="2"/>
  <c r="T74" i="2" s="1"/>
  <c r="T23" i="2"/>
  <c r="AC23" i="2"/>
  <c r="J36" i="3" l="1"/>
  <c r="B22" i="3"/>
  <c r="B23" i="3"/>
  <c r="B24" i="3"/>
  <c r="B26" i="3"/>
  <c r="B25" i="3"/>
  <c r="T72" i="3"/>
  <c r="T74" i="3" s="1"/>
  <c r="AC25" i="3"/>
  <c r="AC27" i="3" s="1"/>
  <c r="T25" i="3"/>
  <c r="T27" i="3" s="1"/>
  <c r="J72" i="3"/>
  <c r="J74" i="3"/>
  <c r="T83" i="2"/>
  <c r="L69" i="2"/>
  <c r="L70" i="2"/>
  <c r="L72" i="2"/>
  <c r="L71" i="2"/>
  <c r="L73" i="2"/>
  <c r="J36" i="2"/>
  <c r="B22" i="2"/>
  <c r="B26" i="2"/>
  <c r="B24" i="2"/>
  <c r="T25" i="2"/>
  <c r="T27" i="2" s="1"/>
  <c r="B23" i="2"/>
  <c r="J83" i="2"/>
  <c r="B69" i="2"/>
  <c r="B73" i="2"/>
  <c r="B71" i="2"/>
  <c r="AC25" i="2"/>
  <c r="AC27" i="2" s="1"/>
  <c r="B25" i="2"/>
  <c r="B72" i="2"/>
  <c r="AC36" i="3" l="1"/>
  <c r="U22" i="3"/>
  <c r="U23" i="3"/>
  <c r="U24" i="3"/>
  <c r="U25" i="3"/>
  <c r="U26" i="3"/>
  <c r="T83" i="3"/>
  <c r="L69" i="3"/>
  <c r="L72" i="3"/>
  <c r="L70" i="3"/>
  <c r="L71" i="3"/>
  <c r="L73" i="3"/>
  <c r="T36" i="3"/>
  <c r="L26" i="3"/>
  <c r="L23" i="3"/>
  <c r="L24" i="3"/>
  <c r="L25" i="3"/>
  <c r="J83" i="3"/>
  <c r="B69" i="3"/>
  <c r="B72" i="3"/>
  <c r="B73" i="3"/>
  <c r="B70" i="3"/>
  <c r="B71" i="3"/>
  <c r="J38" i="3"/>
  <c r="J39" i="3"/>
  <c r="B28" i="3"/>
  <c r="T36" i="2"/>
  <c r="L23" i="2"/>
  <c r="L26" i="2"/>
  <c r="L25" i="2"/>
  <c r="L24" i="2"/>
  <c r="AC36" i="2"/>
  <c r="U22" i="2"/>
  <c r="U24" i="2"/>
  <c r="U26" i="2"/>
  <c r="U23" i="2"/>
  <c r="U25" i="2"/>
  <c r="J38" i="2"/>
  <c r="J39" i="2"/>
  <c r="B28" i="2"/>
  <c r="J85" i="2"/>
  <c r="J86" i="2"/>
  <c r="B75" i="2"/>
  <c r="T85" i="2"/>
  <c r="T86" i="2"/>
  <c r="L75" i="2"/>
  <c r="T85" i="3" l="1"/>
  <c r="T86" i="3"/>
  <c r="L75" i="3"/>
  <c r="T38" i="3"/>
  <c r="T39" i="3"/>
  <c r="L28" i="3"/>
  <c r="J85" i="3"/>
  <c r="J86" i="3"/>
  <c r="B75" i="3"/>
  <c r="J40" i="3"/>
  <c r="J37" i="3"/>
  <c r="L22" i="3"/>
  <c r="AC38" i="3"/>
  <c r="AC39" i="3"/>
  <c r="U28" i="3"/>
  <c r="J87" i="2"/>
  <c r="J84" i="2"/>
  <c r="T38" i="2"/>
  <c r="T39" i="2"/>
  <c r="L28" i="2"/>
  <c r="T87" i="2"/>
  <c r="T84" i="2"/>
  <c r="AC38" i="2"/>
  <c r="AC39" i="2"/>
  <c r="U28" i="2"/>
  <c r="J40" i="2"/>
  <c r="J37" i="2"/>
  <c r="L22" i="2"/>
  <c r="J87" i="3" l="1"/>
  <c r="J84" i="3"/>
  <c r="C47" i="3"/>
  <c r="C43" i="3"/>
  <c r="C44" i="3"/>
  <c r="T37" i="3"/>
  <c r="T40" i="3"/>
  <c r="AC40" i="3"/>
  <c r="AC37" i="3"/>
  <c r="T87" i="3"/>
  <c r="T84" i="3"/>
  <c r="T37" i="2"/>
  <c r="T40" i="2"/>
  <c r="AC37" i="2"/>
  <c r="AC40" i="2"/>
  <c r="M94" i="2"/>
  <c r="M91" i="2"/>
  <c r="M90" i="2"/>
  <c r="C47" i="2"/>
  <c r="C43" i="2"/>
  <c r="C44" i="2"/>
  <c r="C94" i="2"/>
  <c r="C91" i="2"/>
  <c r="C90" i="2"/>
  <c r="V44" i="3" l="1"/>
  <c r="V47" i="3"/>
  <c r="V43" i="3"/>
  <c r="M43" i="3"/>
  <c r="M47" i="3"/>
  <c r="M44" i="3"/>
  <c r="M94" i="3"/>
  <c r="M91" i="3"/>
  <c r="M90" i="3"/>
  <c r="C94" i="3"/>
  <c r="C91" i="3"/>
  <c r="C90" i="3"/>
  <c r="V44" i="2"/>
  <c r="V43" i="2"/>
  <c r="V47" i="2"/>
  <c r="M43" i="2"/>
  <c r="M47" i="2"/>
  <c r="M44" i="2"/>
</calcChain>
</file>

<file path=xl/sharedStrings.xml><?xml version="1.0" encoding="utf-8"?>
<sst xmlns="http://schemas.openxmlformats.org/spreadsheetml/2006/main" count="901" uniqueCount="108">
  <si>
    <t xml:space="preserve">Nom du projet : </t>
  </si>
  <si>
    <t>Code du projet système :</t>
  </si>
  <si>
    <t>Description :</t>
  </si>
  <si>
    <t xml:space="preserve"> ---Intervenants---</t>
  </si>
  <si>
    <t xml:space="preserve">SOUMISSION PAR : </t>
  </si>
  <si>
    <t>Notes aux employés :</t>
  </si>
  <si>
    <t>Entreprise :</t>
  </si>
  <si>
    <t>Chargé de Projet :</t>
  </si>
  <si>
    <t>Responsable au Chantier :</t>
  </si>
  <si>
    <t>Note Nettoyage :</t>
  </si>
  <si>
    <t xml:space="preserve">Note de Teinture : </t>
  </si>
  <si>
    <t xml:space="preserve"> ---( Échantillon)Division Nettoyage 5---</t>
  </si>
  <si>
    <t>P2:</t>
  </si>
  <si>
    <t xml:space="preserve"> -- ( Échantillon)Division Nettoyage 5 --</t>
  </si>
  <si>
    <t>Nombre d'hommes :</t>
  </si>
  <si>
    <t>Accès en hauteur :</t>
  </si>
  <si>
    <t xml:space="preserve"> *Description des travaux :*</t>
  </si>
  <si>
    <t>Produits Suggérés :</t>
  </si>
  <si>
    <t xml:space="preserve">/ </t>
  </si>
  <si>
    <t>Qté estimée</t>
  </si>
  <si>
    <t>1.</t>
  </si>
  <si>
    <t>2.</t>
  </si>
  <si>
    <t>3.</t>
  </si>
  <si>
    <t>/</t>
  </si>
  <si>
    <t xml:space="preserve"> ---Division Nettoyage 1---</t>
  </si>
  <si>
    <t xml:space="preserve"> -----=== Nettoyage info 1 ===-----</t>
  </si>
  <si>
    <t xml:space="preserve"> ---Division Nettoyage 2---</t>
  </si>
  <si>
    <t xml:space="preserve"> -----=== Nettoyage info 2 ===-----</t>
  </si>
  <si>
    <t xml:space="preserve"> ---( Échantillon)Division Teinture 5---</t>
  </si>
  <si>
    <t xml:space="preserve"> -- ( Échantillon)Division Teinture 5 --</t>
  </si>
  <si>
    <t xml:space="preserve"> ---Division Teinture 1---</t>
  </si>
  <si>
    <t xml:space="preserve"> -----=== Teinture info 1 ===-----</t>
  </si>
  <si>
    <t>Nombre d'hommes:</t>
  </si>
  <si>
    <t xml:space="preserve"> ---Division Teinture 2---</t>
  </si>
  <si>
    <t xml:space="preserve"> -----=== Teinture info 2 ===-----</t>
  </si>
  <si>
    <t xml:space="preserve"> ---Division Nettoyage 3---</t>
  </si>
  <si>
    <t xml:space="preserve"> -----=== Nettoyage info 3 ===-----</t>
  </si>
  <si>
    <t xml:space="preserve"> ---Division Nettoyage 4---</t>
  </si>
  <si>
    <t xml:space="preserve"> -----=== Nettoyage info 4 ===-----</t>
  </si>
  <si>
    <t xml:space="preserve"> ---Division Teinture 3---</t>
  </si>
  <si>
    <t xml:space="preserve"> -----=== Teinture info 3 ===-----</t>
  </si>
  <si>
    <t xml:space="preserve"> ---Division Teinture 4---</t>
  </si>
  <si>
    <t xml:space="preserve"> -----=== Teinture info 4 ===-----</t>
  </si>
  <si>
    <t>Informations sur le projet 1</t>
  </si>
  <si>
    <t>Informations sur le projet 2</t>
  </si>
  <si>
    <t>(ÉCHANTILLON) Informations sur le projet 5</t>
  </si>
  <si>
    <t>Nom du projet:</t>
  </si>
  <si>
    <t>Adresse des travaux:</t>
  </si>
  <si>
    <t>Description des travaux:</t>
  </si>
  <si>
    <t>Pour les employés* remplir  la soumission</t>
  </si>
  <si>
    <t>Pour les employés* remplir la soumission</t>
  </si>
  <si>
    <t>Type de travail</t>
  </si>
  <si>
    <t>Surface à traiter</t>
  </si>
  <si>
    <t>Rendement</t>
  </si>
  <si>
    <t>Nombre de jour</t>
  </si>
  <si>
    <t>Substrat</t>
  </si>
  <si>
    <t>Échantillon</t>
  </si>
  <si>
    <t>Vue d'ensemble</t>
  </si>
  <si>
    <t>Total de Surface</t>
  </si>
  <si>
    <t>Rendement Moyen</t>
  </si>
  <si>
    <t>Jours de travail</t>
  </si>
  <si>
    <t>Jours de transport</t>
  </si>
  <si>
    <t>EMPLOYÉS</t>
  </si>
  <si>
    <t>HEURES CHANTIER</t>
  </si>
  <si>
    <t>SALAIRE CHANTIER</t>
  </si>
  <si>
    <t>HEURES TRANSPORT</t>
  </si>
  <si>
    <t>SALAIRE TRANSPORT</t>
  </si>
  <si>
    <t>Manœuvre (C3)</t>
  </si>
  <si>
    <t>%</t>
  </si>
  <si>
    <t>COÛTS ESTIMÉS</t>
  </si>
  <si>
    <t>Primes</t>
  </si>
  <si>
    <t>Main d'œuvre</t>
  </si>
  <si>
    <t>Main d'œuvre au chantier + Primes</t>
  </si>
  <si>
    <t>Main d'œuvre en transport</t>
  </si>
  <si>
    <t>Perte de temps</t>
  </si>
  <si>
    <t>Pensions</t>
  </si>
  <si>
    <t>Non</t>
  </si>
  <si>
    <t>TOTAL MAIN D'ŒUVRE</t>
  </si>
  <si>
    <t>Achats de produits et matériaux</t>
  </si>
  <si>
    <t>Produit</t>
  </si>
  <si>
    <t>Quantité</t>
  </si>
  <si>
    <t>Coût unitaire</t>
  </si>
  <si>
    <t>Total</t>
  </si>
  <si>
    <t>Moyen</t>
  </si>
  <si>
    <t>Nombre de produits</t>
  </si>
  <si>
    <t>TOTAL ACHAT</t>
  </si>
  <si>
    <t>SOUS-TOTAL</t>
  </si>
  <si>
    <t>FRAIS FIXES</t>
  </si>
  <si>
    <t>COÛT DES MARCHANDISES VENDUES</t>
  </si>
  <si>
    <t>PROFITS</t>
  </si>
  <si>
    <t>TOTAL</t>
  </si>
  <si>
    <t>MOYENNES</t>
  </si>
  <si>
    <t>Location Nacelle</t>
  </si>
  <si>
    <t>$ / JOUR</t>
  </si>
  <si>
    <t>Modèle</t>
  </si>
  <si>
    <t>Coût</t>
  </si>
  <si>
    <t>Temps</t>
  </si>
  <si>
    <t>Livraison</t>
  </si>
  <si>
    <t>$ / PI2</t>
  </si>
  <si>
    <t>Essence</t>
  </si>
  <si>
    <t>Profit &amp; Frais</t>
  </si>
  <si>
    <t>Commission potentielle</t>
  </si>
  <si>
    <t xml:space="preserve">Total : </t>
  </si>
  <si>
    <t>Informations sur le projet 3</t>
  </si>
  <si>
    <t>Informations sur le projet 4</t>
  </si>
  <si>
    <t>(Échantillon) Informations sur le projet 5</t>
  </si>
  <si>
    <t>Peintre (C3)</t>
  </si>
  <si>
    <t>NawTone (1 gallon)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</si>
</sst>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[&lt;=9999999]###\-####;###\-###\-####"/>
    <numFmt numFmtId="165" formatCode="h:mm;@"/>
    <numFmt numFmtId="166" formatCode="000&quot; Km&quot;"/>
    <numFmt numFmtId="167" formatCode="0.0"/>
    <numFmt numFmtId="168" formatCode="#,##0.00\ &quot;$&quot;;[Red]#,##0.00\ &quot;$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73A441"/>
      <name val="Calibri"/>
      <family val="2"/>
      <scheme val="minor"/>
    </font>
    <font>
      <b/>
      <sz val="11"/>
      <color rgb="FF235BA8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9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/>
      <top style="dash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theme="2"/>
      </bottom>
      <diagonal/>
    </border>
    <border>
      <left/>
      <right style="medium">
        <color auto="1"/>
      </right>
      <top style="medium">
        <color auto="1"/>
      </top>
      <bottom style="thin">
        <color theme="2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thin">
        <color theme="2"/>
      </top>
      <bottom style="thin">
        <color theme="2"/>
      </bottom>
      <diagonal/>
    </border>
    <border>
      <left/>
      <right style="medium">
        <color auto="1"/>
      </right>
      <top style="thin">
        <color theme="2"/>
      </top>
      <bottom style="thin">
        <color theme="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thin">
        <color theme="2"/>
      </top>
      <bottom style="medium">
        <color auto="1"/>
      </bottom>
      <diagonal/>
    </border>
    <border>
      <left/>
      <right style="medium">
        <color auto="1"/>
      </right>
      <top style="thin">
        <color theme="2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2"/>
      </bottom>
      <diagonal/>
    </border>
    <border>
      <left/>
      <right style="medium">
        <color auto="1"/>
      </right>
      <top/>
      <bottom style="thin">
        <color theme="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/>
  </cellStyleXfs>
  <cellXfs count="36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2" fillId="0" borderId="2" xfId="3" applyFont="1" applyBorder="1" applyAlignment="1">
      <alignment horizontal="center" vertical="center"/>
    </xf>
    <xf numFmtId="0" fontId="2" fillId="0" borderId="3" xfId="3" applyFont="1" applyBorder="1" applyAlignment="1">
      <alignment horizontal="center" vertical="center"/>
    </xf>
    <xf numFmtId="0" fontId="2" fillId="0" borderId="4" xfId="3" applyFont="1" applyBorder="1" applyAlignment="1">
      <alignment horizontal="center" vertical="center"/>
    </xf>
    <xf numFmtId="0" fontId="2" fillId="0" borderId="5" xfId="3" applyFont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49" fontId="2" fillId="0" borderId="6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2" fillId="0" borderId="10" xfId="0" applyFont="1" applyBorder="1"/>
    <xf numFmtId="0" fontId="3" fillId="2" borderId="1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0" fillId="0" borderId="10" xfId="0" applyBorder="1"/>
    <xf numFmtId="0" fontId="2" fillId="0" borderId="12" xfId="0" applyFont="1" applyBorder="1"/>
    <xf numFmtId="0" fontId="2" fillId="0" borderId="0" xfId="0" applyFont="1" applyAlignment="1">
      <alignment horizontal="left"/>
    </xf>
    <xf numFmtId="0" fontId="2" fillId="0" borderId="13" xfId="0" applyFont="1" applyBorder="1" applyAlignment="1">
      <alignment horizontal="left"/>
    </xf>
    <xf numFmtId="0" fontId="3" fillId="2" borderId="14" xfId="0" applyFont="1" applyFill="1" applyBorder="1" applyAlignment="1">
      <alignment horizontal="center" vertical="center"/>
    </xf>
    <xf numFmtId="0" fontId="2" fillId="0" borderId="12" xfId="3" applyFont="1" applyBorder="1"/>
    <xf numFmtId="0" fontId="2" fillId="0" borderId="0" xfId="3" applyFont="1"/>
    <xf numFmtId="0" fontId="2" fillId="0" borderId="0" xfId="3" applyFont="1" applyAlignment="1">
      <alignment horizontal="center"/>
    </xf>
    <xf numFmtId="0" fontId="2" fillId="0" borderId="13" xfId="3" applyFont="1" applyBorder="1" applyAlignment="1">
      <alignment horizontal="center"/>
    </xf>
    <xf numFmtId="0" fontId="0" fillId="0" borderId="13" xfId="0" applyBorder="1"/>
    <xf numFmtId="0" fontId="2" fillId="0" borderId="12" xfId="3" applyFont="1" applyBorder="1" applyAlignment="1">
      <alignment horizontal="left" indent="1"/>
    </xf>
    <xf numFmtId="164" fontId="2" fillId="0" borderId="0" xfId="3" applyNumberFormat="1" applyFont="1" applyAlignment="1">
      <alignment horizontal="center"/>
    </xf>
    <xf numFmtId="164" fontId="2" fillId="0" borderId="13" xfId="3" applyNumberFormat="1" applyFont="1" applyBorder="1" applyAlignment="1">
      <alignment horizontal="center"/>
    </xf>
    <xf numFmtId="164" fontId="5" fillId="0" borderId="0" xfId="4" applyNumberFormat="1" applyFont="1" applyBorder="1" applyAlignment="1">
      <alignment horizontal="center" vertical="top"/>
    </xf>
    <xf numFmtId="0" fontId="2" fillId="0" borderId="13" xfId="0" applyFont="1" applyBorder="1"/>
    <xf numFmtId="0" fontId="2" fillId="0" borderId="0" xfId="3" applyFont="1" applyAlignment="1">
      <alignment horizontal="center"/>
    </xf>
    <xf numFmtId="0" fontId="2" fillId="0" borderId="13" xfId="3" applyFont="1" applyBorder="1" applyAlignment="1">
      <alignment horizontal="center"/>
    </xf>
    <xf numFmtId="164" fontId="5" fillId="0" borderId="0" xfId="4" applyNumberFormat="1" applyFont="1" applyBorder="1" applyAlignment="1">
      <alignment horizontal="center" vertical="top"/>
    </xf>
    <xf numFmtId="0" fontId="0" fillId="0" borderId="12" xfId="0" applyBorder="1"/>
    <xf numFmtId="0" fontId="2" fillId="0" borderId="12" xfId="3" applyFont="1" applyBorder="1" applyAlignment="1">
      <alignment horizontal="left"/>
    </xf>
    <xf numFmtId="0" fontId="2" fillId="0" borderId="0" xfId="3" applyFont="1" applyAlignment="1">
      <alignment horizontal="left"/>
    </xf>
    <xf numFmtId="164" fontId="2" fillId="0" borderId="0" xfId="4" applyNumberFormat="1" applyFont="1" applyBorder="1" applyAlignment="1">
      <alignment horizontal="left" vertical="top"/>
    </xf>
    <xf numFmtId="164" fontId="2" fillId="0" borderId="13" xfId="4" applyNumberFormat="1" applyFont="1" applyBorder="1" applyAlignment="1">
      <alignment horizontal="left" vertical="top"/>
    </xf>
    <xf numFmtId="164" fontId="5" fillId="0" borderId="0" xfId="4" applyNumberFormat="1" applyFont="1" applyBorder="1" applyAlignment="1">
      <alignment vertical="top"/>
    </xf>
    <xf numFmtId="0" fontId="2" fillId="0" borderId="12" xfId="0" applyFont="1" applyBorder="1" applyAlignment="1">
      <alignment horizontal="left"/>
    </xf>
    <xf numFmtId="0" fontId="2" fillId="0" borderId="0" xfId="4" quotePrefix="1" applyNumberFormat="1" applyFont="1" applyBorder="1" applyAlignment="1">
      <alignment horizontal="left" vertical="top"/>
    </xf>
    <xf numFmtId="0" fontId="2" fillId="0" borderId="0" xfId="4" applyNumberFormat="1" applyFont="1" applyBorder="1" applyAlignment="1">
      <alignment horizontal="left" vertical="top"/>
    </xf>
    <xf numFmtId="0" fontId="2" fillId="0" borderId="13" xfId="4" applyNumberFormat="1" applyFont="1" applyBorder="1" applyAlignment="1">
      <alignment horizontal="left" vertical="top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19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3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13" xfId="0" applyBorder="1" applyAlignment="1">
      <alignment horizontal="left"/>
    </xf>
    <xf numFmtId="0" fontId="0" fillId="0" borderId="16" xfId="0" applyBorder="1" applyAlignment="1">
      <alignment horizontal="center"/>
    </xf>
    <xf numFmtId="0" fontId="1" fillId="0" borderId="0" xfId="3"/>
    <xf numFmtId="0" fontId="7" fillId="0" borderId="18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21" xfId="0" applyBorder="1"/>
    <xf numFmtId="0" fontId="0" fillId="0" borderId="5" xfId="0" applyBorder="1"/>
    <xf numFmtId="0" fontId="0" fillId="0" borderId="21" xfId="0" applyBorder="1" applyAlignment="1">
      <alignment horizontal="left"/>
    </xf>
    <xf numFmtId="0" fontId="8" fillId="0" borderId="6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165" fontId="0" fillId="3" borderId="25" xfId="0" applyNumberForma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166" fontId="0" fillId="3" borderId="30" xfId="0" applyNumberForma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0" xfId="0" applyFill="1"/>
    <xf numFmtId="0" fontId="9" fillId="4" borderId="28" xfId="0" applyFont="1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9" fillId="4" borderId="30" xfId="0" applyFont="1" applyFill="1" applyBorder="1" applyAlignment="1">
      <alignment horizontal="center"/>
    </xf>
    <xf numFmtId="0" fontId="0" fillId="6" borderId="3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1" xfId="0" applyBorder="1"/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167" fontId="0" fillId="0" borderId="36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167" fontId="0" fillId="0" borderId="34" xfId="0" applyNumberFormat="1" applyBorder="1" applyAlignment="1">
      <alignment horizontal="center"/>
    </xf>
    <xf numFmtId="167" fontId="0" fillId="0" borderId="35" xfId="0" applyNumberFormat="1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32" xfId="0" applyBorder="1"/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167" fontId="0" fillId="0" borderId="39" xfId="0" applyNumberFormat="1" applyBorder="1" applyAlignment="1">
      <alignment horizontal="center"/>
    </xf>
    <xf numFmtId="0" fontId="0" fillId="0" borderId="39" xfId="0" applyBorder="1" applyAlignment="1">
      <alignment horizontal="center"/>
    </xf>
    <xf numFmtId="167" fontId="0" fillId="0" borderId="37" xfId="0" applyNumberFormat="1" applyBorder="1" applyAlignment="1">
      <alignment horizontal="center"/>
    </xf>
    <xf numFmtId="167" fontId="0" fillId="0" borderId="38" xfId="0" applyNumberFormat="1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33" xfId="0" applyBorder="1"/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167" fontId="0" fillId="0" borderId="42" xfId="0" applyNumberFormat="1" applyBorder="1" applyAlignment="1">
      <alignment horizontal="center"/>
    </xf>
    <xf numFmtId="0" fontId="0" fillId="0" borderId="42" xfId="0" applyBorder="1" applyAlignment="1">
      <alignment horizontal="center"/>
    </xf>
    <xf numFmtId="167" fontId="0" fillId="0" borderId="40" xfId="0" applyNumberFormat="1" applyBorder="1" applyAlignment="1">
      <alignment horizontal="center"/>
    </xf>
    <xf numFmtId="167" fontId="0" fillId="0" borderId="41" xfId="0" applyNumberFormat="1" applyBorder="1" applyAlignment="1">
      <alignment horizontal="center"/>
    </xf>
    <xf numFmtId="0" fontId="0" fillId="6" borderId="43" xfId="0" applyFill="1" applyBorder="1"/>
    <xf numFmtId="0" fontId="0" fillId="6" borderId="4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67" fontId="0" fillId="0" borderId="31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67" fontId="0" fillId="0" borderId="33" xfId="0" applyNumberFormat="1" applyBorder="1" applyAlignment="1">
      <alignment horizontal="center" vertical="center"/>
    </xf>
    <xf numFmtId="0" fontId="0" fillId="0" borderId="22" xfId="0" applyBorder="1"/>
    <xf numFmtId="0" fontId="11" fillId="0" borderId="22" xfId="0" applyFont="1" applyBorder="1"/>
    <xf numFmtId="0" fontId="0" fillId="0" borderId="2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1" xfId="0" applyBorder="1" applyAlignment="1">
      <alignment horizontal="center"/>
    </xf>
    <xf numFmtId="44" fontId="0" fillId="0" borderId="31" xfId="0" applyNumberFormat="1" applyBorder="1" applyAlignment="1">
      <alignment horizontal="center"/>
    </xf>
    <xf numFmtId="44" fontId="0" fillId="0" borderId="31" xfId="1" applyFont="1" applyBorder="1"/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44" fontId="0" fillId="0" borderId="2" xfId="0" applyNumberFormat="1" applyBorder="1" applyAlignment="1">
      <alignment horizontal="center"/>
    </xf>
    <xf numFmtId="44" fontId="0" fillId="0" borderId="10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2" xfId="0" applyBorder="1" applyAlignment="1">
      <alignment horizontal="center"/>
    </xf>
    <xf numFmtId="44" fontId="0" fillId="0" borderId="32" xfId="1" applyFont="1" applyBorder="1" applyAlignment="1">
      <alignment horizontal="center"/>
    </xf>
    <xf numFmtId="44" fontId="0" fillId="0" borderId="32" xfId="1" applyFont="1" applyBorder="1" applyAlignment="1">
      <alignment horizontal="right"/>
    </xf>
    <xf numFmtId="44" fontId="0" fillId="0" borderId="12" xfId="1" applyFont="1" applyBorder="1" applyAlignment="1">
      <alignment horizontal="center"/>
    </xf>
    <xf numFmtId="44" fontId="0" fillId="0" borderId="13" xfId="1" applyFont="1" applyBorder="1" applyAlignment="1">
      <alignment horizontal="center"/>
    </xf>
    <xf numFmtId="44" fontId="0" fillId="0" borderId="32" xfId="1" applyFont="1" applyBorder="1"/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center"/>
    </xf>
    <xf numFmtId="44" fontId="0" fillId="0" borderId="33" xfId="1" applyFont="1" applyBorder="1" applyAlignment="1">
      <alignment horizontal="center"/>
    </xf>
    <xf numFmtId="44" fontId="0" fillId="0" borderId="33" xfId="1" applyFont="1" applyBorder="1"/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44" fontId="0" fillId="0" borderId="4" xfId="1" applyFont="1" applyBorder="1" applyAlignment="1">
      <alignment horizontal="center"/>
    </xf>
    <xf numFmtId="44" fontId="0" fillId="0" borderId="21" xfId="1" applyFont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12" fillId="6" borderId="2" xfId="0" applyFont="1" applyFill="1" applyBorder="1" applyAlignment="1">
      <alignment horizontal="center"/>
    </xf>
    <xf numFmtId="0" fontId="12" fillId="6" borderId="3" xfId="0" applyFont="1" applyFill="1" applyBorder="1" applyAlignment="1">
      <alignment horizontal="center"/>
    </xf>
    <xf numFmtId="0" fontId="12" fillId="6" borderId="10" xfId="0" applyFont="1" applyFill="1" applyBorder="1" applyAlignment="1">
      <alignment horizontal="center"/>
    </xf>
    <xf numFmtId="0" fontId="12" fillId="6" borderId="44" xfId="0" applyFont="1" applyFill="1" applyBorder="1" applyAlignment="1">
      <alignment horizontal="center"/>
    </xf>
    <xf numFmtId="0" fontId="12" fillId="6" borderId="45" xfId="0" applyFont="1" applyFill="1" applyBorder="1" applyAlignment="1">
      <alignment horizontal="center"/>
    </xf>
    <xf numFmtId="0" fontId="12" fillId="6" borderId="46" xfId="0" applyFont="1" applyFill="1" applyBorder="1" applyAlignment="1">
      <alignment horizontal="center"/>
    </xf>
    <xf numFmtId="9" fontId="0" fillId="7" borderId="47" xfId="2" applyFont="1" applyFill="1" applyBorder="1" applyAlignment="1">
      <alignment horizontal="center"/>
    </xf>
    <xf numFmtId="0" fontId="13" fillId="7" borderId="6" xfId="0" applyFont="1" applyFill="1" applyBorder="1" applyAlignment="1">
      <alignment horizontal="center"/>
    </xf>
    <xf numFmtId="0" fontId="13" fillId="7" borderId="22" xfId="0" applyFont="1" applyFill="1" applyBorder="1" applyAlignment="1">
      <alignment horizontal="center"/>
    </xf>
    <xf numFmtId="0" fontId="13" fillId="7" borderId="7" xfId="0" applyFont="1" applyFill="1" applyBorder="1" applyAlignment="1">
      <alignment horizontal="center"/>
    </xf>
    <xf numFmtId="9" fontId="0" fillId="7" borderId="48" xfId="2" applyFont="1" applyFill="1" applyBorder="1" applyAlignment="1">
      <alignment horizontal="center"/>
    </xf>
    <xf numFmtId="0" fontId="13" fillId="7" borderId="11" xfId="0" applyFont="1" applyFill="1" applyBorder="1" applyAlignment="1">
      <alignment horizontal="center"/>
    </xf>
    <xf numFmtId="0" fontId="13" fillId="7" borderId="19" xfId="0" applyFont="1" applyFill="1" applyBorder="1" applyAlignment="1">
      <alignment horizontal="center"/>
    </xf>
    <xf numFmtId="0" fontId="13" fillId="7" borderId="20" xfId="0" applyFont="1" applyFill="1" applyBorder="1" applyAlignment="1">
      <alignment horizontal="center"/>
    </xf>
    <xf numFmtId="0" fontId="13" fillId="7" borderId="49" xfId="0" applyFont="1" applyFill="1" applyBorder="1" applyAlignment="1">
      <alignment horizontal="center"/>
    </xf>
    <xf numFmtId="0" fontId="13" fillId="7" borderId="50" xfId="0" applyFont="1" applyFill="1" applyBorder="1" applyAlignment="1">
      <alignment horizontal="center"/>
    </xf>
    <xf numFmtId="0" fontId="13" fillId="7" borderId="47" xfId="0" applyFont="1" applyFill="1" applyBorder="1" applyAlignment="1">
      <alignment horizontal="center"/>
    </xf>
    <xf numFmtId="9" fontId="0" fillId="0" borderId="12" xfId="2" applyFont="1" applyBorder="1" applyAlignment="1">
      <alignment horizontal="center"/>
    </xf>
    <xf numFmtId="0" fontId="0" fillId="8" borderId="51" xfId="0" applyFill="1" applyBorder="1" applyAlignment="1">
      <alignment horizontal="center"/>
    </xf>
    <xf numFmtId="0" fontId="0" fillId="8" borderId="52" xfId="0" applyFill="1" applyBorder="1" applyAlignment="1">
      <alignment horizontal="center"/>
    </xf>
    <xf numFmtId="44" fontId="14" fillId="0" borderId="0" xfId="1" applyFont="1" applyBorder="1" applyAlignment="1"/>
    <xf numFmtId="44" fontId="10" fillId="0" borderId="53" xfId="1" applyFont="1" applyBorder="1" applyAlignment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54" xfId="0" applyBorder="1" applyAlignment="1">
      <alignment horizontal="left"/>
    </xf>
    <xf numFmtId="44" fontId="0" fillId="0" borderId="13" xfId="0" applyNumberFormat="1" applyBorder="1"/>
    <xf numFmtId="44" fontId="14" fillId="0" borderId="55" xfId="1" applyFont="1" applyBorder="1" applyAlignment="1"/>
    <xf numFmtId="44" fontId="10" fillId="0" borderId="20" xfId="1" applyFont="1" applyBorder="1" applyAlignment="1"/>
    <xf numFmtId="0" fontId="0" fillId="0" borderId="19" xfId="1" applyNumberFormat="1" applyFont="1" applyBorder="1" applyAlignment="1">
      <alignment horizontal="left"/>
    </xf>
    <xf numFmtId="0" fontId="0" fillId="0" borderId="56" xfId="1" applyNumberFormat="1" applyFont="1" applyBorder="1" applyAlignment="1">
      <alignment horizontal="left"/>
    </xf>
    <xf numFmtId="0" fontId="0" fillId="0" borderId="18" xfId="1" applyNumberFormat="1" applyFont="1" applyBorder="1" applyAlignment="1">
      <alignment horizontal="left"/>
    </xf>
    <xf numFmtId="0" fontId="0" fillId="8" borderId="57" xfId="0" applyFill="1" applyBorder="1" applyAlignment="1">
      <alignment horizontal="center"/>
    </xf>
    <xf numFmtId="0" fontId="0" fillId="8" borderId="58" xfId="0" applyFill="1" applyBorder="1" applyAlignment="1">
      <alignment horizontal="center"/>
    </xf>
    <xf numFmtId="44" fontId="14" fillId="0" borderId="59" xfId="1" applyFont="1" applyBorder="1" applyAlignment="1"/>
    <xf numFmtId="0" fontId="0" fillId="0" borderId="0" xfId="1" applyNumberFormat="1" applyFont="1" applyBorder="1" applyAlignment="1">
      <alignment horizontal="left"/>
    </xf>
    <xf numFmtId="0" fontId="0" fillId="0" borderId="60" xfId="1" applyNumberFormat="1" applyFont="1" applyBorder="1" applyAlignment="1">
      <alignment horizontal="left"/>
    </xf>
    <xf numFmtId="44" fontId="10" fillId="0" borderId="13" xfId="1" applyFont="1" applyBorder="1" applyAlignment="1"/>
    <xf numFmtId="0" fontId="0" fillId="0" borderId="0" xfId="1" applyNumberFormat="1" applyFont="1" applyAlignment="1">
      <alignment horizontal="left"/>
    </xf>
    <xf numFmtId="0" fontId="0" fillId="0" borderId="12" xfId="1" applyNumberFormat="1" applyFont="1" applyBorder="1" applyAlignment="1">
      <alignment horizontal="left"/>
    </xf>
    <xf numFmtId="9" fontId="0" fillId="8" borderId="8" xfId="1" applyNumberFormat="1" applyFont="1" applyFill="1" applyBorder="1" applyAlignment="1">
      <alignment horizontal="center"/>
    </xf>
    <xf numFmtId="9" fontId="0" fillId="8" borderId="61" xfId="2" applyFont="1" applyFill="1" applyBorder="1" applyAlignment="1">
      <alignment horizontal="center"/>
    </xf>
    <xf numFmtId="0" fontId="0" fillId="8" borderId="62" xfId="0" applyFill="1" applyBorder="1" applyAlignment="1">
      <alignment horizontal="center"/>
    </xf>
    <xf numFmtId="0" fontId="0" fillId="8" borderId="63" xfId="0" applyFill="1" applyBorder="1" applyAlignment="1">
      <alignment horizontal="center"/>
    </xf>
    <xf numFmtId="44" fontId="14" fillId="0" borderId="16" xfId="1" applyFont="1" applyBorder="1" applyAlignment="1"/>
    <xf numFmtId="44" fontId="10" fillId="0" borderId="64" xfId="1" applyFont="1" applyBorder="1" applyAlignment="1"/>
    <xf numFmtId="7" fontId="0" fillId="0" borderId="16" xfId="1" applyNumberFormat="1" applyFont="1" applyBorder="1" applyAlignment="1"/>
    <xf numFmtId="0" fontId="0" fillId="0" borderId="16" xfId="1" applyNumberFormat="1" applyFont="1" applyBorder="1" applyAlignment="1">
      <alignment horizontal="center"/>
    </xf>
    <xf numFmtId="0" fontId="0" fillId="8" borderId="65" xfId="1" applyNumberFormat="1" applyFont="1" applyFill="1" applyBorder="1" applyAlignment="1">
      <alignment horizontal="center"/>
    </xf>
    <xf numFmtId="44" fontId="0" fillId="0" borderId="13" xfId="1" applyFont="1" applyBorder="1"/>
    <xf numFmtId="44" fontId="14" fillId="0" borderId="66" xfId="1" applyFont="1" applyBorder="1" applyAlignment="1"/>
    <xf numFmtId="44" fontId="10" fillId="0" borderId="17" xfId="1" applyFont="1" applyBorder="1" applyAlignment="1"/>
    <xf numFmtId="0" fontId="0" fillId="8" borderId="8" xfId="0" applyFill="1" applyBorder="1" applyAlignment="1">
      <alignment horizontal="center"/>
    </xf>
    <xf numFmtId="9" fontId="0" fillId="0" borderId="4" xfId="2" applyFont="1" applyBorder="1" applyAlignment="1">
      <alignment horizontal="center"/>
    </xf>
    <xf numFmtId="9" fontId="0" fillId="0" borderId="5" xfId="2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44" fontId="3" fillId="0" borderId="67" xfId="0" applyNumberFormat="1" applyFont="1" applyBorder="1"/>
    <xf numFmtId="9" fontId="0" fillId="0" borderId="12" xfId="2" applyFont="1" applyBorder="1"/>
    <xf numFmtId="0" fontId="0" fillId="0" borderId="68" xfId="0" applyBorder="1"/>
    <xf numFmtId="0" fontId="3" fillId="0" borderId="19" xfId="0" applyFont="1" applyBorder="1"/>
    <xf numFmtId="0" fontId="3" fillId="0" borderId="69" xfId="0" applyFont="1" applyBorder="1" applyAlignment="1">
      <alignment horizontal="center"/>
    </xf>
    <xf numFmtId="0" fontId="3" fillId="0" borderId="70" xfId="0" applyFont="1" applyBorder="1" applyAlignment="1">
      <alignment horizontal="center"/>
    </xf>
    <xf numFmtId="9" fontId="0" fillId="7" borderId="2" xfId="2" applyFont="1" applyFill="1" applyBorder="1" applyAlignment="1">
      <alignment horizontal="center"/>
    </xf>
    <xf numFmtId="0" fontId="0" fillId="7" borderId="71" xfId="0" applyFill="1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0" fillId="7" borderId="46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0" borderId="68" xfId="0" applyBorder="1" applyAlignment="1">
      <alignment horizontal="center"/>
    </xf>
    <xf numFmtId="1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60" xfId="1" applyFont="1" applyBorder="1" applyAlignment="1">
      <alignment horizontal="center"/>
    </xf>
    <xf numFmtId="0" fontId="0" fillId="0" borderId="19" xfId="0" applyBorder="1" applyAlignment="1">
      <alignment horizontal="center"/>
    </xf>
    <xf numFmtId="1" fontId="0" fillId="0" borderId="19" xfId="0" applyNumberFormat="1" applyBorder="1" applyAlignment="1">
      <alignment horizontal="center"/>
    </xf>
    <xf numFmtId="44" fontId="0" fillId="0" borderId="19" xfId="1" applyFont="1" applyBorder="1" applyAlignment="1">
      <alignment horizontal="center"/>
    </xf>
    <xf numFmtId="44" fontId="0" fillId="0" borderId="56" xfId="1" applyFont="1" applyBorder="1" applyAlignment="1">
      <alignment horizontal="center"/>
    </xf>
    <xf numFmtId="0" fontId="0" fillId="0" borderId="14" xfId="0" applyBorder="1" applyAlignment="1">
      <alignment horizontal="center"/>
    </xf>
    <xf numFmtId="1" fontId="0" fillId="0" borderId="16" xfId="0" applyNumberFormat="1" applyBorder="1" applyAlignment="1">
      <alignment horizontal="center"/>
    </xf>
    <xf numFmtId="44" fontId="0" fillId="0" borderId="16" xfId="1" applyFont="1" applyBorder="1" applyAlignment="1">
      <alignment horizontal="center"/>
    </xf>
    <xf numFmtId="44" fontId="0" fillId="0" borderId="72" xfId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/>
    <xf numFmtId="0" fontId="0" fillId="0" borderId="49" xfId="0" applyBorder="1" applyAlignment="1">
      <alignment horizontal="center"/>
    </xf>
    <xf numFmtId="0" fontId="0" fillId="0" borderId="73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49" xfId="0" applyFont="1" applyBorder="1" applyAlignment="1">
      <alignment horizontal="center"/>
    </xf>
    <xf numFmtId="0" fontId="3" fillId="0" borderId="73" xfId="0" applyFont="1" applyBorder="1" applyAlignment="1">
      <alignment horizontal="center"/>
    </xf>
    <xf numFmtId="44" fontId="3" fillId="0" borderId="50" xfId="1" applyFont="1" applyBorder="1"/>
    <xf numFmtId="0" fontId="0" fillId="0" borderId="11" xfId="0" applyBorder="1"/>
    <xf numFmtId="9" fontId="0" fillId="0" borderId="4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9" fontId="0" fillId="0" borderId="73" xfId="0" applyNumberFormat="1" applyBorder="1" applyAlignment="1">
      <alignment horizontal="center"/>
    </xf>
    <xf numFmtId="0" fontId="0" fillId="0" borderId="48" xfId="0" applyBorder="1" applyAlignment="1">
      <alignment horizontal="center"/>
    </xf>
    <xf numFmtId="0" fontId="3" fillId="0" borderId="68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60" xfId="0" applyFont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5" xfId="0" applyBorder="1" applyAlignment="1">
      <alignment horizontal="center"/>
    </xf>
    <xf numFmtId="0" fontId="3" fillId="0" borderId="7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77" xfId="0" applyFont="1" applyBorder="1" applyAlignment="1">
      <alignment horizontal="center"/>
    </xf>
    <xf numFmtId="44" fontId="0" fillId="0" borderId="21" xfId="1" applyFont="1" applyBorder="1"/>
    <xf numFmtId="0" fontId="0" fillId="6" borderId="2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3" fillId="9" borderId="78" xfId="0" applyFont="1" applyFill="1" applyBorder="1" applyAlignment="1">
      <alignment horizontal="center"/>
    </xf>
    <xf numFmtId="0" fontId="0" fillId="9" borderId="79" xfId="0" applyFill="1" applyBorder="1" applyAlignment="1">
      <alignment horizontal="center"/>
    </xf>
    <xf numFmtId="0" fontId="0" fillId="9" borderId="80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6" xfId="0" applyFill="1" applyBorder="1" applyAlignment="1">
      <alignment horizontal="center"/>
    </xf>
    <xf numFmtId="0" fontId="3" fillId="9" borderId="44" xfId="0" applyFont="1" applyFill="1" applyBorder="1" applyAlignment="1">
      <alignment horizontal="center"/>
    </xf>
    <xf numFmtId="0" fontId="3" fillId="9" borderId="45" xfId="0" applyFont="1" applyFill="1" applyBorder="1" applyAlignment="1">
      <alignment horizontal="center"/>
    </xf>
    <xf numFmtId="0" fontId="3" fillId="9" borderId="46" xfId="0" applyFont="1" applyFill="1" applyBorder="1" applyAlignment="1">
      <alignment horizontal="center"/>
    </xf>
    <xf numFmtId="0" fontId="0" fillId="0" borderId="81" xfId="0" applyBorder="1" applyAlignment="1">
      <alignment horizontal="center"/>
    </xf>
    <xf numFmtId="44" fontId="0" fillId="0" borderId="81" xfId="1" applyFont="1" applyBorder="1" applyAlignment="1">
      <alignment horizontal="center"/>
    </xf>
    <xf numFmtId="44" fontId="0" fillId="0" borderId="12" xfId="1" applyFont="1" applyBorder="1" applyAlignment="1">
      <alignment horizontal="center"/>
    </xf>
    <xf numFmtId="0" fontId="0" fillId="7" borderId="48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82" xfId="0" applyFill="1" applyBorder="1" applyAlignment="1">
      <alignment horizontal="center"/>
    </xf>
    <xf numFmtId="0" fontId="0" fillId="7" borderId="47" xfId="0" applyFill="1" applyBorder="1" applyAlignment="1">
      <alignment horizontal="center"/>
    </xf>
    <xf numFmtId="0" fontId="0" fillId="7" borderId="73" xfId="0" applyFill="1" applyBorder="1" applyAlignment="1">
      <alignment horizontal="center"/>
    </xf>
    <xf numFmtId="0" fontId="0" fillId="0" borderId="83" xfId="0" applyBorder="1" applyAlignment="1">
      <alignment horizontal="center"/>
    </xf>
    <xf numFmtId="44" fontId="0" fillId="0" borderId="83" xfId="1" applyFont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61" xfId="0" applyBorder="1" applyAlignment="1">
      <alignment horizontal="center"/>
    </xf>
    <xf numFmtId="44" fontId="0" fillId="0" borderId="8" xfId="1" applyFont="1" applyBorder="1"/>
    <xf numFmtId="0" fontId="0" fillId="0" borderId="8" xfId="0" applyBorder="1" applyAlignment="1">
      <alignment horizontal="center"/>
    </xf>
    <xf numFmtId="44" fontId="0" fillId="0" borderId="82" xfId="1" applyFont="1" applyBorder="1"/>
    <xf numFmtId="0" fontId="0" fillId="0" borderId="84" xfId="0" applyBorder="1" applyAlignment="1">
      <alignment horizontal="center"/>
    </xf>
    <xf numFmtId="0" fontId="0" fillId="0" borderId="85" xfId="0" applyBorder="1" applyAlignment="1">
      <alignment horizontal="center"/>
    </xf>
    <xf numFmtId="0" fontId="0" fillId="7" borderId="74" xfId="0" applyFill="1" applyBorder="1" applyAlignment="1">
      <alignment horizontal="center"/>
    </xf>
    <xf numFmtId="44" fontId="10" fillId="0" borderId="85" xfId="1" applyFont="1" applyBorder="1" applyAlignment="1">
      <alignment horizontal="right"/>
    </xf>
    <xf numFmtId="0" fontId="0" fillId="7" borderId="69" xfId="0" applyFill="1" applyBorder="1"/>
    <xf numFmtId="9" fontId="0" fillId="7" borderId="85" xfId="2" applyFont="1" applyFill="1" applyBorder="1" applyAlignment="1">
      <alignment horizontal="center"/>
    </xf>
    <xf numFmtId="44" fontId="0" fillId="0" borderId="50" xfId="1" applyFont="1" applyBorder="1" applyAlignment="1">
      <alignment horizontal="center"/>
    </xf>
    <xf numFmtId="0" fontId="0" fillId="7" borderId="74" xfId="0" applyFill="1" applyBorder="1"/>
    <xf numFmtId="44" fontId="0" fillId="0" borderId="50" xfId="1" applyFont="1" applyBorder="1"/>
    <xf numFmtId="0" fontId="0" fillId="4" borderId="78" xfId="0" applyFill="1" applyBorder="1" applyAlignment="1">
      <alignment horizontal="center"/>
    </xf>
    <xf numFmtId="0" fontId="0" fillId="4" borderId="80" xfId="0" applyFill="1" applyBorder="1" applyAlignment="1">
      <alignment horizontal="center"/>
    </xf>
    <xf numFmtId="0" fontId="0" fillId="7" borderId="86" xfId="0" applyFill="1" applyBorder="1" applyAlignment="1">
      <alignment horizontal="center"/>
    </xf>
    <xf numFmtId="44" fontId="0" fillId="0" borderId="87" xfId="1" applyFont="1" applyBorder="1"/>
    <xf numFmtId="0" fontId="0" fillId="4" borderId="44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0" borderId="84" xfId="0" applyBorder="1"/>
    <xf numFmtId="44" fontId="0" fillId="10" borderId="88" xfId="0" applyNumberFormat="1" applyFill="1" applyBorder="1"/>
    <xf numFmtId="167" fontId="0" fillId="0" borderId="2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21" xfId="0" applyNumberFormat="1" applyBorder="1" applyAlignment="1">
      <alignment horizontal="center" vertical="center"/>
    </xf>
    <xf numFmtId="0" fontId="12" fillId="6" borderId="6" xfId="0" applyFont="1" applyFill="1" applyBorder="1" applyAlignment="1">
      <alignment horizontal="center"/>
    </xf>
    <xf numFmtId="0" fontId="12" fillId="6" borderId="22" xfId="0" applyFont="1" applyFill="1" applyBorder="1" applyAlignment="1">
      <alignment horizontal="center"/>
    </xf>
    <xf numFmtId="0" fontId="12" fillId="6" borderId="7" xfId="0" applyFont="1" applyFill="1" applyBorder="1" applyAlignment="1">
      <alignment horizontal="center"/>
    </xf>
    <xf numFmtId="44" fontId="14" fillId="0" borderId="87" xfId="1" applyFont="1" applyBorder="1"/>
    <xf numFmtId="0" fontId="0" fillId="0" borderId="29" xfId="0" applyBorder="1" applyAlignment="1">
      <alignment horizontal="center"/>
    </xf>
    <xf numFmtId="0" fontId="13" fillId="7" borderId="43" xfId="0" applyFont="1" applyFill="1" applyBorder="1" applyAlignment="1">
      <alignment horizontal="center"/>
    </xf>
    <xf numFmtId="0" fontId="0" fillId="8" borderId="89" xfId="0" applyFill="1" applyBorder="1" applyAlignment="1">
      <alignment horizontal="center"/>
    </xf>
    <xf numFmtId="0" fontId="0" fillId="8" borderId="90" xfId="0" applyFill="1" applyBorder="1" applyAlignment="1">
      <alignment horizontal="center"/>
    </xf>
    <xf numFmtId="44" fontId="14" fillId="0" borderId="91" xfId="1" applyFont="1" applyBorder="1" applyAlignment="1"/>
    <xf numFmtId="44" fontId="14" fillId="0" borderId="92" xfId="1" applyFont="1" applyBorder="1" applyAlignment="1"/>
    <xf numFmtId="44" fontId="14" fillId="0" borderId="0" xfId="1" applyFont="1" applyAlignment="1"/>
    <xf numFmtId="44" fontId="14" fillId="0" borderId="53" xfId="1" applyFont="1" applyBorder="1" applyAlignment="1"/>
    <xf numFmtId="9" fontId="0" fillId="8" borderId="8" xfId="2" applyFont="1" applyFill="1" applyBorder="1" applyAlignment="1">
      <alignment horizontal="center"/>
    </xf>
    <xf numFmtId="44" fontId="14" fillId="0" borderId="0" xfId="1" applyFont="1"/>
    <xf numFmtId="44" fontId="14" fillId="0" borderId="64" xfId="1" applyFont="1" applyBorder="1" applyAlignment="1"/>
    <xf numFmtId="168" fontId="0" fillId="0" borderId="16" xfId="1" applyNumberFormat="1" applyFont="1" applyBorder="1" applyAlignment="1"/>
    <xf numFmtId="44" fontId="14" fillId="0" borderId="66" xfId="1" applyFont="1" applyBorder="1"/>
    <xf numFmtId="0" fontId="0" fillId="0" borderId="16" xfId="1" applyNumberFormat="1" applyFont="1" applyBorder="1" applyAlignment="1">
      <alignment horizontal="left"/>
    </xf>
    <xf numFmtId="0" fontId="3" fillId="7" borderId="86" xfId="0" applyFont="1" applyFill="1" applyBorder="1" applyAlignment="1">
      <alignment horizontal="center"/>
    </xf>
    <xf numFmtId="0" fontId="0" fillId="0" borderId="2" xfId="1" applyNumberFormat="1" applyFont="1" applyBorder="1" applyAlignment="1">
      <alignment horizontal="left"/>
    </xf>
    <xf numFmtId="0" fontId="0" fillId="0" borderId="3" xfId="1" applyNumberFormat="1" applyFont="1" applyBorder="1" applyAlignment="1">
      <alignment horizontal="left"/>
    </xf>
    <xf numFmtId="0" fontId="0" fillId="0" borderId="54" xfId="1" applyNumberFormat="1" applyFont="1" applyBorder="1" applyAlignment="1">
      <alignment horizontal="left"/>
    </xf>
    <xf numFmtId="44" fontId="0" fillId="0" borderId="85" xfId="1" applyFont="1" applyBorder="1" applyAlignment="1">
      <alignment horizontal="right"/>
    </xf>
  </cellXfs>
  <cellStyles count="5">
    <cellStyle name="Lien hypertexte 2" xfId="4" xr:uid="{7C6918E2-FAAA-4D05-A5FD-C13294F5A07E}"/>
    <cellStyle name="Monétaire" xfId="1" builtinId="4"/>
    <cellStyle name="Normal" xfId="0" builtinId="0"/>
    <cellStyle name="Normal 2" xfId="3" xr:uid="{C74280E0-62E7-44A3-B563-3075A7299661}"/>
    <cellStyle name="Pourcentage" xfId="2" builtinId="5"/>
  </cellStyles>
  <dxfs count="178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>
          <bgColor theme="7" tint="0.7999816888943144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>
          <bgColor theme="7" tint="0.7999816888943144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>
          <bgColor theme="7" tint="0.7999816888943144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161925</xdr:rowOff>
    </xdr:from>
    <xdr:to>
      <xdr:col>0</xdr:col>
      <xdr:colOff>1492566</xdr:colOff>
      <xdr:row>7</xdr:row>
      <xdr:rowOff>123825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649C246-23B8-4409-B915-12ABA2E351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57250"/>
          <a:ext cx="1492566" cy="2667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ager\Desktop\Marie-Soleil\Formule%20de%20Soumission%20V2.40%20(EMYX)1-test.xlsm" TargetMode="External"/><Relationship Id="rId1" Type="http://schemas.openxmlformats.org/officeDocument/2006/relationships/externalLinkPath" Target="Formule%20de%20Soumission%20V2.40%20(EMYX)1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FO-Projet"/>
      <sheetName val="INFO-Contrat"/>
      <sheetName val="Emyx"/>
      <sheetName val="COST-Écobrick"/>
      <sheetName val="COST-Nawkaw"/>
      <sheetName val="COST-RECKLI"/>
      <sheetName val="Visite"/>
      <sheetName val="Phrases"/>
      <sheetName val="Garanties"/>
      <sheetName val="outils"/>
      <sheetName val="Liste de Prix"/>
      <sheetName val="Salaires"/>
      <sheetName val="variables"/>
      <sheetName val="MÀJ"/>
      <sheetName val="Suivi"/>
      <sheetName val="(Archive)Bon de Travail - Nett"/>
      <sheetName val="(Archive)Bon de Travail - Teint"/>
    </sheetNames>
    <sheetDataSet>
      <sheetData sheetId="0">
        <row r="7">
          <cell r="E7" t="str">
            <v>de Jour</v>
          </cell>
        </row>
      </sheetData>
      <sheetData sheetId="1">
        <row r="12">
          <cell r="A12">
            <v>0</v>
          </cell>
        </row>
        <row r="15"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</sheetData>
      <sheetData sheetId="2"/>
      <sheetData sheetId="3">
        <row r="13">
          <cell r="D13">
            <v>0</v>
          </cell>
          <cell r="H13">
            <v>0</v>
          </cell>
          <cell r="N13">
            <v>0</v>
          </cell>
          <cell r="R13">
            <v>0</v>
          </cell>
          <cell r="W13">
            <v>25</v>
          </cell>
          <cell r="AA13">
            <v>1.2500000000000001E-2</v>
          </cell>
        </row>
        <row r="17">
          <cell r="V17" t="str">
            <v>Manœuvre (C3)</v>
          </cell>
        </row>
        <row r="30">
          <cell r="F30" t="str">
            <v/>
          </cell>
          <cell r="P30" t="str">
            <v/>
          </cell>
          <cell r="Y30" t="str">
            <v/>
          </cell>
        </row>
        <row r="31">
          <cell r="F31" t="str">
            <v/>
          </cell>
          <cell r="P31" t="str">
            <v/>
          </cell>
          <cell r="Y31" t="str">
            <v/>
          </cell>
        </row>
        <row r="32">
          <cell r="F32" t="str">
            <v/>
          </cell>
          <cell r="P32" t="str">
            <v/>
          </cell>
          <cell r="Y32" t="str">
            <v/>
          </cell>
        </row>
        <row r="40">
          <cell r="J40">
            <v>0</v>
          </cell>
          <cell r="T40">
            <v>0</v>
          </cell>
          <cell r="AC40">
            <v>625</v>
          </cell>
        </row>
        <row r="60">
          <cell r="D60">
            <v>0</v>
          </cell>
          <cell r="H60">
            <v>0</v>
          </cell>
          <cell r="N60">
            <v>0</v>
          </cell>
          <cell r="R60">
            <v>0</v>
          </cell>
        </row>
        <row r="77">
          <cell r="F77" t="str">
            <v/>
          </cell>
          <cell r="P77" t="str">
            <v/>
          </cell>
        </row>
        <row r="78">
          <cell r="F78" t="str">
            <v/>
          </cell>
          <cell r="P78" t="str">
            <v/>
          </cell>
        </row>
        <row r="79">
          <cell r="F79" t="str">
            <v/>
          </cell>
          <cell r="P79" t="str">
            <v/>
          </cell>
        </row>
        <row r="87">
          <cell r="J87">
            <v>0</v>
          </cell>
          <cell r="T87">
            <v>0</v>
          </cell>
        </row>
      </sheetData>
      <sheetData sheetId="4">
        <row r="4">
          <cell r="W4">
            <v>5</v>
          </cell>
        </row>
        <row r="13">
          <cell r="D13">
            <v>0</v>
          </cell>
          <cell r="H13">
            <v>0</v>
          </cell>
          <cell r="N13">
            <v>0</v>
          </cell>
          <cell r="R13">
            <v>0</v>
          </cell>
          <cell r="W13">
            <v>25</v>
          </cell>
          <cell r="AA13">
            <v>2.5000000000000001E-2</v>
          </cell>
        </row>
        <row r="17">
          <cell r="V17" t="str">
            <v>Peintre (C3)</v>
          </cell>
        </row>
        <row r="30">
          <cell r="F30" t="str">
            <v/>
          </cell>
          <cell r="P30" t="str">
            <v/>
          </cell>
          <cell r="V30" t="str">
            <v>NawTone (1 gallon)</v>
          </cell>
          <cell r="Y30">
            <v>1</v>
          </cell>
        </row>
        <row r="31">
          <cell r="F31" t="str">
            <v/>
          </cell>
          <cell r="P31" t="str">
            <v/>
          </cell>
          <cell r="Y31" t="str">
            <v/>
          </cell>
        </row>
        <row r="32">
          <cell r="F32" t="str">
            <v/>
          </cell>
          <cell r="P32" t="str">
            <v/>
          </cell>
          <cell r="Y32" t="str">
            <v/>
          </cell>
        </row>
        <row r="40">
          <cell r="J40">
            <v>0</v>
          </cell>
          <cell r="T40">
            <v>0</v>
          </cell>
          <cell r="AC40">
            <v>935</v>
          </cell>
        </row>
        <row r="60">
          <cell r="D60">
            <v>0</v>
          </cell>
          <cell r="H60">
            <v>0</v>
          </cell>
          <cell r="N60">
            <v>0</v>
          </cell>
          <cell r="R60">
            <v>0</v>
          </cell>
        </row>
        <row r="77">
          <cell r="F77" t="str">
            <v/>
          </cell>
          <cell r="P77" t="str">
            <v/>
          </cell>
        </row>
        <row r="78">
          <cell r="F78" t="str">
            <v/>
          </cell>
          <cell r="P78" t="str">
            <v/>
          </cell>
        </row>
        <row r="79">
          <cell r="F79" t="str">
            <v/>
          </cell>
          <cell r="P79" t="str">
            <v/>
          </cell>
        </row>
        <row r="87">
          <cell r="J87">
            <v>0</v>
          </cell>
          <cell r="T87">
            <v>0</v>
          </cell>
        </row>
      </sheetData>
      <sheetData sheetId="5"/>
      <sheetData sheetId="6"/>
      <sheetData sheetId="7"/>
      <sheetData sheetId="8"/>
      <sheetData sheetId="9"/>
      <sheetData sheetId="10">
        <row r="3">
          <cell r="D3" t="str">
            <v>Produits (Quantité)</v>
          </cell>
          <cell r="E3" t="str">
            <v>Prix</v>
          </cell>
          <cell r="F3" t="str">
            <v>COV min.</v>
          </cell>
          <cell r="G3" t="str">
            <v>COV max.</v>
          </cell>
          <cell r="H3" t="str">
            <v>COV Moyen</v>
          </cell>
          <cell r="M3" t="str">
            <v>Produits (Quantité)</v>
          </cell>
          <cell r="N3" t="str">
            <v>Prix</v>
          </cell>
          <cell r="O3" t="str">
            <v>COV min.</v>
          </cell>
          <cell r="P3" t="str">
            <v>COV max.</v>
          </cell>
          <cell r="Q3" t="str">
            <v>COV Moyen</v>
          </cell>
        </row>
        <row r="4">
          <cell r="M4" t="str">
            <v xml:space="preserve"> --Teinture--</v>
          </cell>
        </row>
        <row r="5">
          <cell r="D5" t="str">
            <v>­­­Diedrich­­­</v>
          </cell>
          <cell r="M5" t="str">
            <v>NawTone (1 gallon)</v>
          </cell>
          <cell r="N5">
            <v>85</v>
          </cell>
          <cell r="O5">
            <v>50</v>
          </cell>
          <cell r="P5">
            <v>130</v>
          </cell>
          <cell r="Q5">
            <v>90</v>
          </cell>
          <cell r="AD5" t="str">
            <v>2/20 Ahr</v>
          </cell>
          <cell r="AF5" t="str">
            <v>Artico Standard</v>
          </cell>
        </row>
        <row r="6">
          <cell r="D6" t="str">
            <v>101 (5 Gallons)</v>
          </cell>
          <cell r="E6">
            <v>168.67</v>
          </cell>
          <cell r="F6">
            <v>1000</v>
          </cell>
          <cell r="G6">
            <v>2000</v>
          </cell>
          <cell r="H6">
            <v>1500</v>
          </cell>
          <cell r="M6" t="str">
            <v>NawTone+Plus (1 gallon)</v>
          </cell>
          <cell r="N6">
            <v>90.5</v>
          </cell>
          <cell r="O6">
            <v>50</v>
          </cell>
          <cell r="P6">
            <v>130</v>
          </cell>
          <cell r="Q6">
            <v>90</v>
          </cell>
          <cell r="AD6" t="str">
            <v>2/21 Aller</v>
          </cell>
          <cell r="AF6" t="str">
            <v>Artico Custom</v>
          </cell>
        </row>
        <row r="7">
          <cell r="D7" t="str">
            <v>101G (5 Gallons)</v>
          </cell>
          <cell r="E7">
            <v>126.65</v>
          </cell>
          <cell r="F7">
            <v>1500</v>
          </cell>
          <cell r="G7">
            <v>3000</v>
          </cell>
          <cell r="H7">
            <v>2250</v>
          </cell>
          <cell r="M7" t="str">
            <v>NawTone G (1 gallon)</v>
          </cell>
          <cell r="N7">
            <v>95</v>
          </cell>
          <cell r="O7">
            <v>50</v>
          </cell>
          <cell r="P7">
            <v>130</v>
          </cell>
          <cell r="Q7">
            <v>90</v>
          </cell>
          <cell r="AD7" t="str">
            <v>2/22 Altmühl</v>
          </cell>
        </row>
        <row r="8">
          <cell r="D8" t="str">
            <v>202 (5 Gallons)</v>
          </cell>
          <cell r="E8">
            <v>94.03</v>
          </cell>
          <cell r="F8">
            <v>1000</v>
          </cell>
          <cell r="G8">
            <v>3000</v>
          </cell>
          <cell r="H8">
            <v>2000</v>
          </cell>
          <cell r="M8" t="str">
            <v>NawTone K (1gallon)</v>
          </cell>
          <cell r="N8">
            <v>92</v>
          </cell>
          <cell r="O8">
            <v>50</v>
          </cell>
          <cell r="P8">
            <v>130</v>
          </cell>
          <cell r="Q8">
            <v>90</v>
          </cell>
          <cell r="AD8" t="str">
            <v>2/23 Alster</v>
          </cell>
          <cell r="AF8" t="str">
            <v>USF Platinum Liquid Rubber (48.4lb/22 kg kit)</v>
          </cell>
        </row>
        <row r="9">
          <cell r="D9" t="str">
            <v>202V (5 Gallons)</v>
          </cell>
          <cell r="E9">
            <v>103.24</v>
          </cell>
          <cell r="F9">
            <v>1000</v>
          </cell>
          <cell r="G9">
            <v>3000</v>
          </cell>
          <cell r="H9">
            <v>2000</v>
          </cell>
          <cell r="M9" t="str">
            <v>NawTone KO (1 gallon)</v>
          </cell>
          <cell r="N9">
            <v>95</v>
          </cell>
          <cell r="O9">
            <v>50</v>
          </cell>
          <cell r="P9">
            <v>120</v>
          </cell>
          <cell r="Q9">
            <v>85</v>
          </cell>
          <cell r="AD9" t="str">
            <v>2/24 Donau</v>
          </cell>
          <cell r="AF9" t="str">
            <v>USF Platinum Liquid Rubber (3267lb/1485kg drum kit)</v>
          </cell>
        </row>
        <row r="10">
          <cell r="D10" t="str">
            <v>505 (1 Gallon)</v>
          </cell>
          <cell r="E10">
            <v>54.69</v>
          </cell>
          <cell r="F10">
            <v>50</v>
          </cell>
          <cell r="G10">
            <v>100</v>
          </cell>
          <cell r="H10">
            <v>75</v>
          </cell>
          <cell r="M10" t="str">
            <v>NawThinz M (1 gallon)</v>
          </cell>
          <cell r="N10">
            <v>45</v>
          </cell>
          <cell r="Q10" t="e">
            <v>#DIV/0!</v>
          </cell>
          <cell r="AD10" t="str">
            <v>2/25 Eder</v>
          </cell>
        </row>
        <row r="11">
          <cell r="D11" t="str">
            <v>606 (5 Gallons)</v>
          </cell>
          <cell r="E11">
            <v>193.77</v>
          </cell>
          <cell r="F11">
            <v>250</v>
          </cell>
          <cell r="G11">
            <v>500</v>
          </cell>
          <cell r="H11">
            <v>375</v>
          </cell>
          <cell r="M11" t="str">
            <v>NawThinz C (1 gallon)</v>
          </cell>
          <cell r="N11">
            <v>45</v>
          </cell>
          <cell r="Q11" t="e">
            <v>#DIV/0!</v>
          </cell>
          <cell r="AD11" t="str">
            <v>2/26 Elbe</v>
          </cell>
          <cell r="AF11" t="str">
            <v>Stripping Wax TL-W (52.8lb/24kg)</v>
          </cell>
        </row>
        <row r="12">
          <cell r="D12" t="str">
            <v>707N (5 Gallons)</v>
          </cell>
          <cell r="E12">
            <v>165</v>
          </cell>
          <cell r="F12">
            <v>1000</v>
          </cell>
          <cell r="G12">
            <v>2000</v>
          </cell>
          <cell r="H12">
            <v>1500</v>
          </cell>
          <cell r="M12" t="str">
            <v>WinterMix A (1 gallon)</v>
          </cell>
          <cell r="N12">
            <v>21</v>
          </cell>
          <cell r="Q12" t="e">
            <v>#DIV/0!</v>
          </cell>
          <cell r="AD12" t="str">
            <v>2/29 Fulda</v>
          </cell>
          <cell r="AF12" t="str">
            <v>Stripping Wax TL-SO (6.6gallon/25litres)</v>
          </cell>
        </row>
        <row r="13">
          <cell r="D13" t="str">
            <v>808X (5 Gallons)</v>
          </cell>
          <cell r="E13">
            <v>124.4</v>
          </cell>
          <cell r="F13">
            <v>250</v>
          </cell>
          <cell r="G13">
            <v>500</v>
          </cell>
          <cell r="H13">
            <v>375</v>
          </cell>
          <cell r="M13" t="str">
            <v>WinterMix B (1 gallon)</v>
          </cell>
          <cell r="N13">
            <v>34</v>
          </cell>
          <cell r="Q13" t="e">
            <v>#DIV/0!</v>
          </cell>
          <cell r="AD13" t="str">
            <v>2/30 B Havel</v>
          </cell>
          <cell r="AF13" t="str">
            <v>Stripping Wax TL-ECO (6.6gallon/25litres)</v>
          </cell>
        </row>
        <row r="14">
          <cell r="D14" t="str">
            <v>940 (5 Gallons)</v>
          </cell>
          <cell r="E14">
            <v>163.22999999999999</v>
          </cell>
          <cell r="F14">
            <v>500</v>
          </cell>
          <cell r="G14">
            <v>1000</v>
          </cell>
          <cell r="H14">
            <v>750</v>
          </cell>
          <cell r="M14" t="str">
            <v>NawKote GT (1 gallon)</v>
          </cell>
          <cell r="N14">
            <v>45</v>
          </cell>
          <cell r="Q14" t="e">
            <v>#DIV/0!</v>
          </cell>
          <cell r="AD14" t="str">
            <v>2/31 Iller</v>
          </cell>
          <cell r="AF14" t="str">
            <v>Formliner Adhesive SO (10lb/5kg kit)</v>
          </cell>
        </row>
        <row r="15">
          <cell r="D15" t="str">
            <v>950 (5 Gallons)</v>
          </cell>
          <cell r="E15">
            <v>106.46</v>
          </cell>
          <cell r="F15">
            <v>750</v>
          </cell>
          <cell r="H15">
            <v>750</v>
          </cell>
          <cell r="M15" t="str">
            <v>NawBinder (1 gallon)</v>
          </cell>
          <cell r="N15">
            <v>55</v>
          </cell>
          <cell r="Q15" t="e">
            <v>#DIV/0!</v>
          </cell>
          <cell r="AD15" t="str">
            <v>2/32 Inn</v>
          </cell>
          <cell r="AF15" t="str">
            <v>Stop-Off Paste (12.1lb/5.5kg kit)</v>
          </cell>
        </row>
        <row r="16">
          <cell r="D16" t="str">
            <v>960 (5 Gallons)</v>
          </cell>
          <cell r="F16">
            <v>1000</v>
          </cell>
          <cell r="G16">
            <v>2000</v>
          </cell>
          <cell r="H16">
            <v>1500</v>
          </cell>
          <cell r="M16" t="str">
            <v>NawKote WR concentrate (1 gallon)</v>
          </cell>
          <cell r="N16">
            <v>300</v>
          </cell>
          <cell r="Q16" t="e">
            <v>#DIV/0!</v>
          </cell>
          <cell r="AD16" t="str">
            <v>2/34 Lahn</v>
          </cell>
        </row>
        <row r="17">
          <cell r="D17" t="str">
            <v>Aspir-Solv (1 Gallon)</v>
          </cell>
          <cell r="E17">
            <v>42.38</v>
          </cell>
          <cell r="F17">
            <v>150</v>
          </cell>
          <cell r="G17">
            <v>350</v>
          </cell>
          <cell r="H17">
            <v>250</v>
          </cell>
          <cell r="M17" t="str">
            <v xml:space="preserve"> --Sherwin-Williams--</v>
          </cell>
          <cell r="Q17" t="e">
            <v>#DIV/0!</v>
          </cell>
          <cell r="AD17" t="str">
            <v>2/37 Lenne</v>
          </cell>
          <cell r="AF17" t="str">
            <v>Mold Wax (1 gallon)</v>
          </cell>
        </row>
        <row r="18">
          <cell r="M18" t="str">
            <v>Bonding Primer (1 Gallon)</v>
          </cell>
          <cell r="N18">
            <v>57</v>
          </cell>
          <cell r="O18">
            <v>135</v>
          </cell>
          <cell r="P18">
            <v>190</v>
          </cell>
          <cell r="Q18">
            <v>162.5</v>
          </cell>
          <cell r="AD18" t="str">
            <v>2/40 Möhne</v>
          </cell>
          <cell r="AF18" t="str">
            <v>Mold Wax (7,93gallon/30litres)</v>
          </cell>
        </row>
        <row r="19">
          <cell r="D19" t="str">
            <v>Aircraft paint and coating remover</v>
          </cell>
          <cell r="E19">
            <v>105.25</v>
          </cell>
          <cell r="F19">
            <v>50</v>
          </cell>
          <cell r="G19">
            <v>100</v>
          </cell>
          <cell r="H19">
            <v>75</v>
          </cell>
          <cell r="M19" t="str">
            <v>AG 1K (5 Gallons)</v>
          </cell>
          <cell r="N19">
            <v>676</v>
          </cell>
          <cell r="O19">
            <v>640</v>
          </cell>
          <cell r="P19">
            <v>960</v>
          </cell>
          <cell r="Q19">
            <v>800</v>
          </cell>
          <cell r="AD19" t="str">
            <v>2/41 Mosel</v>
          </cell>
        </row>
        <row r="20">
          <cell r="D20" t="str">
            <v xml:space="preserve"> ---Prosoco---</v>
          </cell>
          <cell r="M20" t="str">
            <v>BondPlex (1 Gallon)</v>
          </cell>
          <cell r="N20">
            <v>67.86</v>
          </cell>
          <cell r="O20">
            <v>135</v>
          </cell>
          <cell r="P20">
            <v>190</v>
          </cell>
          <cell r="Q20">
            <v>162.5</v>
          </cell>
          <cell r="AD20" t="str">
            <v>2/42 Naab</v>
          </cell>
          <cell r="AF20" t="str">
            <v>SURFACE TREATMENT PRODUCTS</v>
          </cell>
        </row>
        <row r="21">
          <cell r="D21" t="str">
            <v>Biowash (5 Gallons)</v>
          </cell>
          <cell r="E21">
            <v>230</v>
          </cell>
          <cell r="F21">
            <v>400</v>
          </cell>
          <cell r="G21">
            <v>1200</v>
          </cell>
          <cell r="H21">
            <v>800</v>
          </cell>
          <cell r="N21">
            <v>308.45</v>
          </cell>
          <cell r="O21">
            <v>675</v>
          </cell>
          <cell r="P21">
            <v>950</v>
          </cell>
          <cell r="Q21">
            <v>812.5</v>
          </cell>
          <cell r="AD21" t="str">
            <v>2/45 Oder</v>
          </cell>
          <cell r="AF21" t="str">
            <v>OS-D Impregnation Sealer (6.6gallons/25litres)</v>
          </cell>
        </row>
        <row r="22">
          <cell r="D22" t="str">
            <v>Ferrous Stain Remover (1 Gallon)</v>
          </cell>
          <cell r="E22">
            <v>58.05</v>
          </cell>
          <cell r="F22">
            <v>150</v>
          </cell>
          <cell r="G22">
            <v>350</v>
          </cell>
          <cell r="H22">
            <v>250</v>
          </cell>
          <cell r="AD22" t="str">
            <v>2/47 Rhein</v>
          </cell>
          <cell r="AF22" t="str">
            <v>OS-HO Sealer (6.6gallons/25litres)</v>
          </cell>
        </row>
        <row r="23">
          <cell r="D23" t="str">
            <v>Vana-Trol (5 Gallons)</v>
          </cell>
          <cell r="E23">
            <v>174.41</v>
          </cell>
          <cell r="F23">
            <v>150</v>
          </cell>
          <cell r="G23">
            <v>350</v>
          </cell>
          <cell r="H23">
            <v>250</v>
          </cell>
          <cell r="M23" t="str">
            <v xml:space="preserve"> --Prix réels--</v>
          </cell>
          <cell r="N23" t="str">
            <v>&lt;100 gals</v>
          </cell>
          <cell r="O23" t="str">
            <v>100+ gals</v>
          </cell>
          <cell r="AD23" t="str">
            <v>2/48 Ruhr</v>
          </cell>
          <cell r="AF23" t="str">
            <v>Graffix Basic (6.6gallon/25litres)</v>
          </cell>
        </row>
        <row r="24">
          <cell r="D24" t="str">
            <v>T515 Copper Stain Remover</v>
          </cell>
          <cell r="E24">
            <v>416.5</v>
          </cell>
          <cell r="F24">
            <v>25</v>
          </cell>
          <cell r="G24">
            <v>75</v>
          </cell>
          <cell r="H24">
            <v>50</v>
          </cell>
          <cell r="N24">
            <v>67</v>
          </cell>
          <cell r="O24">
            <v>63.65</v>
          </cell>
          <cell r="AD24" t="str">
            <v>2/49 Saale</v>
          </cell>
          <cell r="AF24" t="str">
            <v>Graffix Cleaner (.26gallon/1litres)</v>
          </cell>
        </row>
        <row r="25">
          <cell r="D25" t="str">
            <v>SK Asphalte &amp; Tar Remover (1 gallon)</v>
          </cell>
          <cell r="E25">
            <v>130.5</v>
          </cell>
          <cell r="F25">
            <v>50</v>
          </cell>
          <cell r="G25">
            <v>150</v>
          </cell>
          <cell r="H25">
            <v>100</v>
          </cell>
          <cell r="N25">
            <v>69.959999999999994</v>
          </cell>
          <cell r="O25">
            <v>66.459999999999994</v>
          </cell>
          <cell r="AD25" t="str">
            <v>2/50 Sieg</v>
          </cell>
          <cell r="AF25" t="str">
            <v>CemGel KS (39.6lbs/18kg)</v>
          </cell>
        </row>
        <row r="26">
          <cell r="D26" t="str">
            <v>OH-100 (5 gallons)</v>
          </cell>
          <cell r="E26">
            <v>1065</v>
          </cell>
          <cell r="H26" t="e">
            <v>#DIV/0!</v>
          </cell>
          <cell r="N26">
            <v>72.239999999999995</v>
          </cell>
          <cell r="O26">
            <v>68.63</v>
          </cell>
          <cell r="AD26" t="str">
            <v>2/51 Spree</v>
          </cell>
          <cell r="AF26" t="str">
            <v>CemGel K (39.6lbs/18kg)</v>
          </cell>
        </row>
        <row r="27">
          <cell r="D27" t="str">
            <v xml:space="preserve"> ---ABR---</v>
          </cell>
          <cell r="N27">
            <v>75.19</v>
          </cell>
          <cell r="O27">
            <v>71.430000000000007</v>
          </cell>
          <cell r="AD27" t="str">
            <v>2/53 Weser</v>
          </cell>
          <cell r="AF27" t="str">
            <v>Negative Retarder (44lbs/20kg)</v>
          </cell>
        </row>
        <row r="28">
          <cell r="D28" t="str">
            <v>800FA</v>
          </cell>
          <cell r="E28">
            <v>450</v>
          </cell>
          <cell r="F28">
            <v>250</v>
          </cell>
          <cell r="G28">
            <v>750</v>
          </cell>
          <cell r="H28">
            <v>500</v>
          </cell>
          <cell r="N28">
            <v>77</v>
          </cell>
          <cell r="O28">
            <v>73.150000000000006</v>
          </cell>
          <cell r="AD28" t="str">
            <v>2/61 Thames</v>
          </cell>
          <cell r="AF28" t="str">
            <v>Positive Retarder (55lbs/25kg)</v>
          </cell>
        </row>
        <row r="29">
          <cell r="D29" t="str">
            <v xml:space="preserve"> ---Eacochem---</v>
          </cell>
          <cell r="N29">
            <v>79.959999999999994</v>
          </cell>
          <cell r="O29">
            <v>75.959999999999994</v>
          </cell>
          <cell r="AD29" t="str">
            <v>2/62 Tevere (Tiber)</v>
          </cell>
        </row>
        <row r="30">
          <cell r="D30" t="str">
            <v>One Restore (5 Gallons)</v>
          </cell>
          <cell r="E30">
            <v>230</v>
          </cell>
          <cell r="F30">
            <v>400</v>
          </cell>
          <cell r="G30">
            <v>1250</v>
          </cell>
          <cell r="H30">
            <v>825</v>
          </cell>
          <cell r="N30">
            <v>74.239999999999995</v>
          </cell>
          <cell r="O30">
            <v>70.53</v>
          </cell>
          <cell r="AD30" t="str">
            <v>2/63 Wisla (Weichsel)</v>
          </cell>
          <cell r="AF30" t="str">
            <v>Formliner Cleanser (1.32gallon/5litres)</v>
          </cell>
        </row>
        <row r="31">
          <cell r="D31" t="str">
            <v>One Restore (55 Gallons)</v>
          </cell>
          <cell r="E31">
            <v>1450</v>
          </cell>
          <cell r="F31">
            <v>4125</v>
          </cell>
          <cell r="G31">
            <v>13750</v>
          </cell>
          <cell r="H31">
            <v>8937.5</v>
          </cell>
          <cell r="N31">
            <v>77.19</v>
          </cell>
          <cell r="O31">
            <v>73.33</v>
          </cell>
          <cell r="AD31" t="str">
            <v>2/65 Drau</v>
          </cell>
          <cell r="AF31" t="str">
            <v>Elasto Filler (Repair Kit)(1,2lb/.55kg kit)</v>
          </cell>
        </row>
        <row r="32">
          <cell r="D32" t="str">
            <v>NMD-80 (5 Gallons)</v>
          </cell>
          <cell r="E32">
            <v>93.95</v>
          </cell>
          <cell r="F32">
            <v>500</v>
          </cell>
          <cell r="G32">
            <v>1000</v>
          </cell>
          <cell r="H32">
            <v>750</v>
          </cell>
          <cell r="M32" t="str">
            <v>NawThinz M</v>
          </cell>
          <cell r="N32">
            <v>38.5</v>
          </cell>
          <cell r="O32">
            <v>36.58</v>
          </cell>
          <cell r="AD32" t="str">
            <v>2/69 Marne</v>
          </cell>
          <cell r="AF32" t="str">
            <v>Epoxy Flex Filler (2.2lb/1kg kit)</v>
          </cell>
        </row>
        <row r="33">
          <cell r="D33" t="str">
            <v>Calcite Presoak (5 Gallons)</v>
          </cell>
          <cell r="E33">
            <v>175</v>
          </cell>
          <cell r="H33" t="e">
            <v>#DIV/0!</v>
          </cell>
          <cell r="M33" t="str">
            <v>NawThinz C</v>
          </cell>
          <cell r="N33">
            <v>38.5</v>
          </cell>
          <cell r="O33">
            <v>36.58</v>
          </cell>
          <cell r="AD33" t="str">
            <v>2/70 Po</v>
          </cell>
          <cell r="AF33" t="str">
            <v>EK-PU Thinner (1.32gallon/5litres)</v>
          </cell>
        </row>
        <row r="34">
          <cell r="D34" t="str">
            <v>White Scum Presoak (1 Gallon)</v>
          </cell>
          <cell r="E34">
            <v>55</v>
          </cell>
          <cell r="H34" t="e">
            <v>#DIV/0!</v>
          </cell>
          <cell r="M34" t="str">
            <v>WinterMix A</v>
          </cell>
          <cell r="N34">
            <v>11.28</v>
          </cell>
          <cell r="AD34" t="str">
            <v>2/71 Don</v>
          </cell>
          <cell r="AF34" t="str">
            <v>PUR Sealant (1.32gallon/5litres)</v>
          </cell>
        </row>
        <row r="35">
          <cell r="D35" t="str">
            <v xml:space="preserve"> --RECKLI--</v>
          </cell>
          <cell r="M35" t="str">
            <v>WinterMix B</v>
          </cell>
          <cell r="N35">
            <v>24.47</v>
          </cell>
          <cell r="AD35" t="str">
            <v>2/72 Ob</v>
          </cell>
        </row>
        <row r="36">
          <cell r="D36" t="str">
            <v>OS-HO (25L)</v>
          </cell>
          <cell r="E36">
            <v>775</v>
          </cell>
          <cell r="F36">
            <v>1000</v>
          </cell>
          <cell r="G36">
            <v>2750</v>
          </cell>
          <cell r="H36">
            <v>1875</v>
          </cell>
          <cell r="M36" t="str">
            <v>NawKote GT</v>
          </cell>
          <cell r="N36">
            <v>33.549999999999997</v>
          </cell>
          <cell r="AD36" t="str">
            <v>2/73 Tisa (Theiss)</v>
          </cell>
        </row>
        <row r="37">
          <cell r="D37" t="str">
            <v>OS-D (25L)</v>
          </cell>
          <cell r="E37">
            <v>775</v>
          </cell>
          <cell r="F37">
            <v>1000</v>
          </cell>
          <cell r="G37">
            <v>2750</v>
          </cell>
          <cell r="H37">
            <v>1875</v>
          </cell>
          <cell r="M37" t="str">
            <v>NawBinder</v>
          </cell>
          <cell r="N37">
            <v>44.36</v>
          </cell>
          <cell r="AD37" t="str">
            <v>2/74 Ural</v>
          </cell>
        </row>
        <row r="38">
          <cell r="D38" t="str">
            <v>Cemgel KS (18KG)</v>
          </cell>
          <cell r="E38">
            <v>110.02</v>
          </cell>
          <cell r="F38">
            <v>400</v>
          </cell>
          <cell r="G38">
            <v>925</v>
          </cell>
          <cell r="H38">
            <v>662.5</v>
          </cell>
          <cell r="N38">
            <v>272.57</v>
          </cell>
          <cell r="AD38" t="str">
            <v>2/75 Koecher</v>
          </cell>
        </row>
        <row r="39">
          <cell r="D39" t="str">
            <v xml:space="preserve"> --ZEP--</v>
          </cell>
          <cell r="H39" t="e">
            <v>#DIV/0!</v>
          </cell>
          <cell r="AD39" t="str">
            <v>2/76 Nil</v>
          </cell>
        </row>
        <row r="40">
          <cell r="D40" t="str">
            <v>Super Flash (5 Gallons)</v>
          </cell>
          <cell r="E40">
            <v>99.5</v>
          </cell>
          <cell r="G40">
            <v>200</v>
          </cell>
          <cell r="H40">
            <v>200</v>
          </cell>
          <cell r="N40">
            <v>94.5</v>
          </cell>
          <cell r="AD40" t="str">
            <v>2/77 Tigris</v>
          </cell>
        </row>
        <row r="41">
          <cell r="D41" t="str">
            <v>TNT (5 Gallons)</v>
          </cell>
          <cell r="E41">
            <v>79.5</v>
          </cell>
          <cell r="H41" t="e">
            <v>#DIV/0!</v>
          </cell>
          <cell r="AD41" t="str">
            <v>2/78 Ganges</v>
          </cell>
        </row>
        <row r="42">
          <cell r="D42" t="str">
            <v xml:space="preserve"> --BASF--</v>
          </cell>
          <cell r="AD42" t="str">
            <v>2/79 Mayenne</v>
          </cell>
        </row>
        <row r="43">
          <cell r="D43" t="str">
            <v>Master Protect 177 (5 Gallons)</v>
          </cell>
          <cell r="E43">
            <v>334.96</v>
          </cell>
          <cell r="F43">
            <v>500</v>
          </cell>
          <cell r="G43">
            <v>875</v>
          </cell>
          <cell r="H43">
            <v>687.5</v>
          </cell>
          <cell r="AD43" t="str">
            <v>2/80 Rasterfix</v>
          </cell>
        </row>
        <row r="44">
          <cell r="D44" t="str">
            <v>Master Protect 200 (5 Gallons)</v>
          </cell>
          <cell r="E44">
            <v>145.43</v>
          </cell>
          <cell r="F44">
            <v>500</v>
          </cell>
          <cell r="G44">
            <v>875</v>
          </cell>
          <cell r="H44">
            <v>687.5</v>
          </cell>
          <cell r="AD44" t="str">
            <v>2/81 Plafond</v>
          </cell>
        </row>
        <row r="45">
          <cell r="D45" t="str">
            <v>Master Protect 400 (5 Gallons)</v>
          </cell>
          <cell r="E45">
            <v>172.73</v>
          </cell>
          <cell r="F45">
            <v>500</v>
          </cell>
          <cell r="G45">
            <v>1000</v>
          </cell>
          <cell r="H45">
            <v>750</v>
          </cell>
          <cell r="AD45" t="str">
            <v>2/82 Colorado</v>
          </cell>
        </row>
        <row r="46">
          <cell r="D46" t="str">
            <v>Master Protect 1000 (5 Gallons)</v>
          </cell>
          <cell r="E46">
            <v>266.66000000000003</v>
          </cell>
          <cell r="F46">
            <v>1250</v>
          </cell>
          <cell r="G46">
            <v>2000</v>
          </cell>
          <cell r="H46">
            <v>1625</v>
          </cell>
          <cell r="AD46" t="str">
            <v>2/84 Missouri</v>
          </cell>
        </row>
        <row r="47">
          <cell r="D47" t="str">
            <v>Master Protect 8500CI (5 Gallons)</v>
          </cell>
          <cell r="E47">
            <v>995</v>
          </cell>
          <cell r="F47">
            <v>875</v>
          </cell>
          <cell r="G47">
            <v>1125</v>
          </cell>
          <cell r="H47">
            <v>1000</v>
          </cell>
          <cell r="AD47" t="str">
            <v>2/87 B Ohio</v>
          </cell>
        </row>
        <row r="48">
          <cell r="D48" t="str">
            <v xml:space="preserve"> --Sika--</v>
          </cell>
          <cell r="AD48" t="str">
            <v>2/89 Duero</v>
          </cell>
        </row>
        <row r="49">
          <cell r="D49" t="str">
            <v>SN40 Lo Voc (5 Gallons)</v>
          </cell>
          <cell r="E49">
            <v>271.89</v>
          </cell>
          <cell r="G49">
            <v>510</v>
          </cell>
          <cell r="H49">
            <v>510</v>
          </cell>
          <cell r="AD49" t="str">
            <v>2/90 Travertin</v>
          </cell>
        </row>
        <row r="50">
          <cell r="D50" t="str">
            <v>SN100 (5 Gallons)</v>
          </cell>
          <cell r="E50">
            <v>326.20999999999998</v>
          </cell>
          <cell r="G50">
            <v>990</v>
          </cell>
          <cell r="H50">
            <v>990</v>
          </cell>
          <cell r="AD50" t="str">
            <v>2/91 Rio Grande</v>
          </cell>
        </row>
        <row r="51">
          <cell r="D51" t="str">
            <v>Sikagard AG</v>
          </cell>
          <cell r="E51">
            <v>385.95</v>
          </cell>
          <cell r="F51">
            <v>504</v>
          </cell>
          <cell r="G51">
            <v>630</v>
          </cell>
          <cell r="H51">
            <v>567</v>
          </cell>
          <cell r="AD51" t="str">
            <v>2/92 Rio Bravo</v>
          </cell>
        </row>
        <row r="52">
          <cell r="D52" t="str">
            <v>Ferrogard 903+ (5 Gallons)</v>
          </cell>
          <cell r="E52">
            <v>410.74</v>
          </cell>
          <cell r="F52">
            <v>420</v>
          </cell>
          <cell r="G52">
            <v>700</v>
          </cell>
          <cell r="H52">
            <v>560</v>
          </cell>
          <cell r="AD52" t="str">
            <v>2/93 Red River</v>
          </cell>
        </row>
        <row r="53">
          <cell r="D53" t="str">
            <v>Ferrogard 908 (5 Gallons)</v>
          </cell>
          <cell r="E53">
            <v>616.23</v>
          </cell>
          <cell r="F53">
            <v>312.5</v>
          </cell>
          <cell r="H53">
            <v>312.5</v>
          </cell>
          <cell r="AD53" t="str">
            <v>2/94 Orinoco</v>
          </cell>
        </row>
        <row r="54">
          <cell r="D54" t="str">
            <v xml:space="preserve"> --Dumond--</v>
          </cell>
          <cell r="AD54" t="str">
            <v>2/95 Amazonas</v>
          </cell>
        </row>
        <row r="55">
          <cell r="D55" t="str">
            <v>Limestone Cleaner (5 Gallons)</v>
          </cell>
          <cell r="E55">
            <v>208.71</v>
          </cell>
          <cell r="G55">
            <v>875</v>
          </cell>
          <cell r="H55">
            <v>875</v>
          </cell>
          <cell r="AD55" t="str">
            <v>2/96 Niger</v>
          </cell>
        </row>
        <row r="56">
          <cell r="D56" t="str">
            <v xml:space="preserve"> --Sherwin Williams--</v>
          </cell>
          <cell r="AD56" t="str">
            <v>2/97 Kongo</v>
          </cell>
        </row>
        <row r="57">
          <cell r="D57" t="str">
            <v>Anti-graffiti Coating 1K (5 gallons)</v>
          </cell>
          <cell r="E57">
            <v>740</v>
          </cell>
          <cell r="F57">
            <v>640</v>
          </cell>
          <cell r="G57">
            <v>960</v>
          </cell>
          <cell r="H57">
            <v>800</v>
          </cell>
          <cell r="M57" t="str">
            <v>Modèle</v>
          </cell>
          <cell r="N57" t="str">
            <v>$ par jour</v>
          </cell>
          <cell r="O57" t="str">
            <v>$ par semaine</v>
          </cell>
          <cell r="P57" t="str">
            <v>$ par mois</v>
          </cell>
          <cell r="AD57" t="str">
            <v>2/98 Vlatva (Moldau)</v>
          </cell>
        </row>
        <row r="58">
          <cell r="D58" t="str">
            <v>Anti-graffiti Coating 2K (4 gallons)</v>
          </cell>
          <cell r="E58">
            <v>473.9</v>
          </cell>
          <cell r="F58">
            <v>816</v>
          </cell>
          <cell r="G58">
            <v>1632</v>
          </cell>
          <cell r="H58">
            <v>1224</v>
          </cell>
          <cell r="AD58" t="str">
            <v>2/99 Salzach</v>
          </cell>
        </row>
        <row r="59">
          <cell r="D59" t="str">
            <v xml:space="preserve"> --PSS Interservice--</v>
          </cell>
          <cell r="M59" t="str">
            <v>Ecobrick TMZ-50</v>
          </cell>
          <cell r="N59">
            <v>350</v>
          </cell>
          <cell r="O59">
            <v>575</v>
          </cell>
          <cell r="P59">
            <v>1700</v>
          </cell>
          <cell r="AD59" t="str">
            <v>2/100 Jahreszahl</v>
          </cell>
        </row>
        <row r="60">
          <cell r="D60" t="str">
            <v>Solution B (1 Gallon)</v>
          </cell>
          <cell r="E60">
            <v>115.39</v>
          </cell>
          <cell r="G60">
            <v>250</v>
          </cell>
          <cell r="H60">
            <v>250</v>
          </cell>
          <cell r="M60" t="str">
            <v xml:space="preserve"> --Mât Droit--</v>
          </cell>
          <cell r="AD60" t="str">
            <v>2/102 Parana</v>
          </cell>
        </row>
        <row r="61">
          <cell r="D61" t="str">
            <v>Solution C (1 Gallon)</v>
          </cell>
          <cell r="E61">
            <v>75</v>
          </cell>
          <cell r="G61">
            <v>325</v>
          </cell>
          <cell r="H61">
            <v>325</v>
          </cell>
          <cell r="M61" t="str">
            <v>JLG 400S</v>
          </cell>
          <cell r="N61">
            <v>445</v>
          </cell>
          <cell r="O61">
            <v>1105</v>
          </cell>
          <cell r="P61">
            <v>2720</v>
          </cell>
          <cell r="AD61" t="str">
            <v>2/103 Lena</v>
          </cell>
        </row>
        <row r="62">
          <cell r="D62" t="str">
            <v>Solution M + Step 2 (1 Gallon)</v>
          </cell>
          <cell r="E62">
            <v>200</v>
          </cell>
          <cell r="G62">
            <v>250</v>
          </cell>
          <cell r="H62">
            <v>250</v>
          </cell>
          <cell r="M62" t="str">
            <v>JLG 460SJ</v>
          </cell>
          <cell r="N62">
            <v>445</v>
          </cell>
          <cell r="O62">
            <v>1105</v>
          </cell>
          <cell r="P62">
            <v>2720</v>
          </cell>
          <cell r="AD62" t="str">
            <v>2/104 Sambesi</v>
          </cell>
        </row>
        <row r="63">
          <cell r="D63" t="str">
            <v>Faceal Oleo HD (6 Gallons)</v>
          </cell>
          <cell r="E63">
            <v>1125</v>
          </cell>
          <cell r="G63">
            <v>2000</v>
          </cell>
          <cell r="H63">
            <v>2000</v>
          </cell>
          <cell r="M63" t="str">
            <v>Genie S65</v>
          </cell>
          <cell r="N63">
            <v>700</v>
          </cell>
          <cell r="O63">
            <v>1785</v>
          </cell>
          <cell r="P63">
            <v>4405</v>
          </cell>
          <cell r="AD63" t="str">
            <v>2/105 Euphrat</v>
          </cell>
        </row>
        <row r="64">
          <cell r="D64" t="str">
            <v>PSS 20 (6 Gallons)</v>
          </cell>
          <cell r="E64">
            <v>625</v>
          </cell>
          <cell r="G64">
            <v>1500</v>
          </cell>
          <cell r="H64">
            <v>1500</v>
          </cell>
          <cell r="M64" t="str">
            <v>Genie S80</v>
          </cell>
          <cell r="N64">
            <v>1030</v>
          </cell>
          <cell r="O64">
            <v>2715</v>
          </cell>
          <cell r="P64">
            <v>6820</v>
          </cell>
          <cell r="AD64" t="str">
            <v>2/106 B Amur</v>
          </cell>
        </row>
        <row r="65">
          <cell r="D65" t="str">
            <v>GPA-300</v>
          </cell>
          <cell r="E65">
            <v>1500</v>
          </cell>
          <cell r="G65">
            <v>1500</v>
          </cell>
          <cell r="H65">
            <v>1500</v>
          </cell>
          <cell r="M65" t="str">
            <v>Genie S85</v>
          </cell>
          <cell r="N65">
            <v>1030</v>
          </cell>
          <cell r="O65">
            <v>2715</v>
          </cell>
          <cell r="P65">
            <v>6820</v>
          </cell>
          <cell r="AD65" t="str">
            <v>2/107 B Mekong</v>
          </cell>
        </row>
        <row r="66">
          <cell r="D66" t="str">
            <v>Hydroprotect G3 (6 Gallons)</v>
          </cell>
          <cell r="E66">
            <v>750</v>
          </cell>
          <cell r="G66">
            <v>2000</v>
          </cell>
          <cell r="H66">
            <v>2000</v>
          </cell>
          <cell r="M66" t="str">
            <v>Genie S105</v>
          </cell>
          <cell r="AD66" t="str">
            <v>2/108 B Indus</v>
          </cell>
        </row>
        <row r="67">
          <cell r="D67" t="str">
            <v xml:space="preserve"> --SEL Warwick--</v>
          </cell>
          <cell r="M67" t="str">
            <v>Genie NS125</v>
          </cell>
          <cell r="N67">
            <v>2095</v>
          </cell>
          <cell r="O67">
            <v>4840</v>
          </cell>
          <cell r="P67">
            <v>10325</v>
          </cell>
          <cell r="AD67" t="str">
            <v>2/109 Oriental 9</v>
          </cell>
        </row>
        <row r="68">
          <cell r="D68" t="str">
            <v>Sable Jet Mag 32-B4 (22,7 kg)</v>
          </cell>
          <cell r="E68">
            <v>6.37</v>
          </cell>
          <cell r="G68">
            <v>25</v>
          </cell>
          <cell r="H68">
            <v>25</v>
          </cell>
          <cell r="M68" t="str">
            <v>JLG 1350 SJP</v>
          </cell>
          <cell r="N68">
            <v>2380</v>
          </cell>
          <cell r="O68">
            <v>5270</v>
          </cell>
          <cell r="P68">
            <v>12555</v>
          </cell>
          <cell r="AD68" t="str">
            <v>2/111 Oriental 11</v>
          </cell>
        </row>
        <row r="69">
          <cell r="D69" t="str">
            <v>Sable Jet Mag 30-60 (22,7 kg)</v>
          </cell>
          <cell r="E69">
            <v>6.37</v>
          </cell>
          <cell r="G69">
            <v>25</v>
          </cell>
          <cell r="H69">
            <v>25</v>
          </cell>
          <cell r="M69" t="str">
            <v>JLG 1500 SJ</v>
          </cell>
          <cell r="N69">
            <v>2880</v>
          </cell>
          <cell r="O69">
            <v>6120</v>
          </cell>
          <cell r="P69">
            <v>14400</v>
          </cell>
          <cell r="AD69" t="str">
            <v>2/112 Oriental 12</v>
          </cell>
        </row>
        <row r="70">
          <cell r="D70" t="str">
            <v>Verre Recyclé 32-B4 (22,7 kg)</v>
          </cell>
          <cell r="E70">
            <v>5.28</v>
          </cell>
          <cell r="G70">
            <v>20</v>
          </cell>
          <cell r="H70">
            <v>20</v>
          </cell>
          <cell r="M70" t="str">
            <v>JLG 1860</v>
          </cell>
          <cell r="N70">
            <v>4140</v>
          </cell>
          <cell r="O70">
            <v>11710</v>
          </cell>
          <cell r="P70">
            <v>23120</v>
          </cell>
          <cell r="AD70" t="str">
            <v>2/115 Pastillen (Noppen)</v>
          </cell>
        </row>
        <row r="71">
          <cell r="D71" t="str">
            <v xml:space="preserve"> --PhilExpert--</v>
          </cell>
          <cell r="M71" t="str">
            <v xml:space="preserve"> --Articulées--</v>
          </cell>
          <cell r="AD71" t="str">
            <v>2/116 Ardeche</v>
          </cell>
        </row>
        <row r="72">
          <cell r="D72" t="str">
            <v>Hornet blend 30/60 (50lb)</v>
          </cell>
          <cell r="E72">
            <v>6.95</v>
          </cell>
          <cell r="G72">
            <v>25</v>
          </cell>
          <cell r="H72">
            <v>25</v>
          </cell>
          <cell r="M72" t="str">
            <v>JLG 450AJ</v>
          </cell>
          <cell r="N72">
            <v>450</v>
          </cell>
          <cell r="O72">
            <v>1105</v>
          </cell>
          <cell r="P72">
            <v>2720</v>
          </cell>
          <cell r="AD72" t="str">
            <v>2/117 Riffel 5-fach</v>
          </cell>
        </row>
        <row r="73">
          <cell r="D73" t="str">
            <v xml:space="preserve"> --Bellemare Abrasifs--</v>
          </cell>
          <cell r="M73" t="str">
            <v>Genie Z60/34</v>
          </cell>
          <cell r="N73">
            <v>700</v>
          </cell>
          <cell r="O73">
            <v>1785</v>
          </cell>
          <cell r="P73">
            <v>4405</v>
          </cell>
          <cell r="AD73" t="str">
            <v>2/118 Riffel 2-fach</v>
          </cell>
        </row>
        <row r="74">
          <cell r="D74" t="str">
            <v>Verre Recyclé 32-B4 (22,7 kg)</v>
          </cell>
          <cell r="E74">
            <v>3.95</v>
          </cell>
          <cell r="G74">
            <v>25</v>
          </cell>
          <cell r="H74">
            <v>25</v>
          </cell>
          <cell r="M74" t="str">
            <v>JLG 800AJ</v>
          </cell>
          <cell r="N74">
            <v>1030</v>
          </cell>
          <cell r="O74">
            <v>2705</v>
          </cell>
          <cell r="P74">
            <v>6820</v>
          </cell>
          <cell r="AD74" t="str">
            <v>2/119 Pikes (Warzen)</v>
          </cell>
        </row>
        <row r="75">
          <cell r="M75" t="str">
            <v>JLG 1250AJP</v>
          </cell>
          <cell r="AD75" t="str">
            <v>2/120 Rhombus (Rauten)</v>
          </cell>
        </row>
        <row r="76">
          <cell r="M76" t="str">
            <v>Genie Z135/70</v>
          </cell>
          <cell r="N76">
            <v>2380</v>
          </cell>
          <cell r="O76">
            <v>5270</v>
          </cell>
          <cell r="P76">
            <v>12560</v>
          </cell>
          <cell r="AD76" t="str">
            <v>2/121 Cheyenne 1-5</v>
          </cell>
        </row>
        <row r="77">
          <cell r="M77" t="str">
            <v xml:space="preserve"> --Ciseaux Lift--</v>
          </cell>
          <cell r="AD77" t="str">
            <v>2/122 Yukon</v>
          </cell>
        </row>
        <row r="78">
          <cell r="H78" t="e">
            <v>#DIV/0!</v>
          </cell>
          <cell r="M78" t="str">
            <v>SKYJACK 6826</v>
          </cell>
          <cell r="N78">
            <v>285</v>
          </cell>
          <cell r="O78">
            <v>425</v>
          </cell>
          <cell r="P78">
            <v>1015</v>
          </cell>
          <cell r="AD78" t="str">
            <v>2/123 Tennessee</v>
          </cell>
        </row>
        <row r="79">
          <cell r="H79" t="e">
            <v>#DIV/0!</v>
          </cell>
          <cell r="M79" t="str">
            <v>SKYJACK 7127</v>
          </cell>
          <cell r="N79">
            <v>285</v>
          </cell>
          <cell r="O79">
            <v>470</v>
          </cell>
          <cell r="P79">
            <v>1116.5</v>
          </cell>
          <cell r="AD79" t="str">
            <v>2/125 Dordogne</v>
          </cell>
        </row>
        <row r="80">
          <cell r="M80" t="str">
            <v>SKYJACK 6832</v>
          </cell>
          <cell r="N80">
            <v>305</v>
          </cell>
          <cell r="O80">
            <v>595</v>
          </cell>
          <cell r="P80">
            <v>1395</v>
          </cell>
          <cell r="AD80" t="str">
            <v>2/128 Hudson</v>
          </cell>
        </row>
        <row r="81">
          <cell r="M81" t="str">
            <v>SKYJACK 7135</v>
          </cell>
          <cell r="N81">
            <v>340</v>
          </cell>
          <cell r="O81">
            <v>675</v>
          </cell>
          <cell r="P81">
            <v>1575</v>
          </cell>
          <cell r="AD81" t="str">
            <v>2/130 Pommern</v>
          </cell>
        </row>
        <row r="82">
          <cell r="M82" t="str">
            <v>SKYJACK 8841</v>
          </cell>
          <cell r="N82">
            <v>415</v>
          </cell>
          <cell r="O82">
            <v>790</v>
          </cell>
          <cell r="P82">
            <v>2016</v>
          </cell>
          <cell r="AD82" t="str">
            <v>2/131 Lausitz</v>
          </cell>
        </row>
        <row r="83">
          <cell r="M83" t="str">
            <v>SKYJACK 9250</v>
          </cell>
          <cell r="N83">
            <v>460</v>
          </cell>
          <cell r="O83">
            <v>890</v>
          </cell>
          <cell r="P83">
            <v>2187.5</v>
          </cell>
          <cell r="AD83" t="str">
            <v>2/135 Provence</v>
          </cell>
        </row>
        <row r="84">
          <cell r="M84" t="str">
            <v>TITAN MEC60</v>
          </cell>
          <cell r="N84">
            <v>715</v>
          </cell>
          <cell r="O84">
            <v>1600</v>
          </cell>
          <cell r="P84">
            <v>4500</v>
          </cell>
          <cell r="AD84" t="str">
            <v>2/136 Bretagne</v>
          </cell>
        </row>
        <row r="85">
          <cell r="M85" t="str">
            <v>JLG 80 SL</v>
          </cell>
          <cell r="N85">
            <v>1485</v>
          </cell>
          <cell r="O85">
            <v>2900</v>
          </cell>
          <cell r="P85">
            <v>7600</v>
          </cell>
          <cell r="AD85" t="str">
            <v>2/139 Auvergne</v>
          </cell>
        </row>
        <row r="86">
          <cell r="M86" t="str">
            <v xml:space="preserve"> --PlafoLift--</v>
          </cell>
          <cell r="AD86" t="str">
            <v>2/140 Carmague</v>
          </cell>
        </row>
        <row r="87">
          <cell r="AD87" t="str">
            <v>2/141 Dachstein</v>
          </cell>
        </row>
        <row r="88">
          <cell r="AD88" t="str">
            <v>2/143 Solling</v>
          </cell>
        </row>
        <row r="89">
          <cell r="M89" t="str">
            <v>Passerelle</v>
          </cell>
          <cell r="N89">
            <v>140</v>
          </cell>
          <cell r="O89">
            <v>168.75</v>
          </cell>
          <cell r="P89">
            <v>262.5</v>
          </cell>
          <cell r="AD89" t="str">
            <v>2/144 Spessart</v>
          </cell>
        </row>
        <row r="90">
          <cell r="AD90" t="str">
            <v>2/147 Allgäu</v>
          </cell>
        </row>
        <row r="91">
          <cell r="AD91" t="str">
            <v>2/149 Tirol</v>
          </cell>
        </row>
        <row r="92">
          <cell r="AD92" t="str">
            <v>2/150 B Vosges</v>
          </cell>
        </row>
        <row r="93">
          <cell r="AD93" t="str">
            <v>2/151 Gironde</v>
          </cell>
        </row>
        <row r="94">
          <cell r="AD94" t="str">
            <v>2/152 Martinique</v>
          </cell>
        </row>
        <row r="95">
          <cell r="AD95" t="str">
            <v>2/154 Venta</v>
          </cell>
        </row>
        <row r="96">
          <cell r="M96" t="str">
            <v>Livraison</v>
          </cell>
          <cell r="AD96" t="str">
            <v>2/156 Steinwald</v>
          </cell>
        </row>
        <row r="97">
          <cell r="M97">
            <v>250</v>
          </cell>
          <cell r="AD97" t="str">
            <v>2/157 Fichtelberg</v>
          </cell>
        </row>
        <row r="98">
          <cell r="M98">
            <v>270</v>
          </cell>
          <cell r="AD98" t="str">
            <v>2/160 Via Appia</v>
          </cell>
        </row>
        <row r="99">
          <cell r="M99">
            <v>330</v>
          </cell>
          <cell r="AD99" t="str">
            <v>2/163 Fraser</v>
          </cell>
        </row>
        <row r="100">
          <cell r="M100">
            <v>370</v>
          </cell>
          <cell r="AD100" t="str">
            <v>2/164 Brabant</v>
          </cell>
        </row>
        <row r="101">
          <cell r="M101">
            <v>450</v>
          </cell>
          <cell r="AD101" t="str">
            <v>2/166 Cilento</v>
          </cell>
        </row>
        <row r="102">
          <cell r="AD102" t="str">
            <v>2/168 Somme</v>
          </cell>
        </row>
        <row r="103">
          <cell r="AD103" t="str">
            <v>2/169 Columbia</v>
          </cell>
        </row>
        <row r="104">
          <cell r="AD104" t="str">
            <v>2/170 Romanche</v>
          </cell>
        </row>
        <row r="105">
          <cell r="AD105" t="str">
            <v>2/173 Santa Cruz</v>
          </cell>
        </row>
        <row r="106">
          <cell r="AD106" t="str">
            <v>2/174 Breisgau</v>
          </cell>
        </row>
        <row r="107">
          <cell r="AD107" t="str">
            <v>2/175 Friesland</v>
          </cell>
        </row>
        <row r="108">
          <cell r="AD108" t="str">
            <v>2/177 Westfalia</v>
          </cell>
        </row>
        <row r="109">
          <cell r="AD109" t="str">
            <v>2/180 Steiermark</v>
          </cell>
        </row>
        <row r="110">
          <cell r="AD110" t="str">
            <v>2/181 Asturias</v>
          </cell>
        </row>
        <row r="111">
          <cell r="AD111" t="str">
            <v>2/183 Gelderland</v>
          </cell>
        </row>
        <row r="112">
          <cell r="AD112" t="str">
            <v>2/185 Simmental</v>
          </cell>
        </row>
        <row r="113">
          <cell r="AD113" t="str">
            <v>2/186 Dalarna</v>
          </cell>
        </row>
        <row r="114">
          <cell r="AD114" t="str">
            <v>2/187 Abruzzo</v>
          </cell>
        </row>
        <row r="115">
          <cell r="AD115" t="str">
            <v>2/188 Champagne</v>
          </cell>
        </row>
        <row r="116">
          <cell r="AD116" t="str">
            <v>2/190 Ardenne</v>
          </cell>
        </row>
        <row r="117">
          <cell r="AD117" t="str">
            <v>2/191 Burgenland</v>
          </cell>
        </row>
        <row r="118">
          <cell r="AD118" t="str">
            <v>2/194 Antislip (2010)</v>
          </cell>
        </row>
        <row r="119">
          <cell r="AD119" t="str">
            <v>2/195 Gysenberg</v>
          </cell>
        </row>
        <row r="120">
          <cell r="AD120" t="str">
            <v>2/197 Holledau</v>
          </cell>
        </row>
        <row r="121">
          <cell r="AD121" t="str">
            <v>2/198 Riffel 1-fach</v>
          </cell>
        </row>
        <row r="122">
          <cell r="AD122" t="str">
            <v>2/200 Sodingen</v>
          </cell>
        </row>
        <row r="123">
          <cell r="AD123" t="str">
            <v>2/201 Mecklenburg</v>
          </cell>
        </row>
        <row r="124">
          <cell r="AD124" t="str">
            <v>2/203 Samara</v>
          </cell>
        </row>
        <row r="125">
          <cell r="AD125" t="str">
            <v>2/208 Volta</v>
          </cell>
        </row>
        <row r="126">
          <cell r="AD126" t="str">
            <v>2/209 Newa</v>
          </cell>
        </row>
        <row r="127">
          <cell r="AD127" t="str">
            <v>2/210 Venetia</v>
          </cell>
        </row>
        <row r="128">
          <cell r="AD128" t="str">
            <v>2/217 Ribble</v>
          </cell>
        </row>
        <row r="129">
          <cell r="AD129" t="str">
            <v>2/219 Mersey</v>
          </cell>
        </row>
        <row r="130">
          <cell r="AD130" t="str">
            <v>2/222 Gobi</v>
          </cell>
        </row>
        <row r="131">
          <cell r="AD131" t="str">
            <v>2/227 Tirari</v>
          </cell>
        </row>
        <row r="132">
          <cell r="AD132" t="str">
            <v>2/231 Tauber</v>
          </cell>
        </row>
        <row r="133">
          <cell r="AD133" t="str">
            <v>2/232 Thuringia</v>
          </cell>
        </row>
        <row r="134">
          <cell r="AD134" t="str">
            <v>2/235 Kerry</v>
          </cell>
        </row>
        <row r="135">
          <cell r="AD135" t="str">
            <v>2/236 California</v>
          </cell>
        </row>
        <row r="136">
          <cell r="AD136" t="str">
            <v>2/237 Java</v>
          </cell>
        </row>
        <row r="137">
          <cell r="AD137" t="str">
            <v>2/238 Via Aurelia</v>
          </cell>
        </row>
        <row r="138">
          <cell r="AD138" t="str">
            <v>2/239 Sumatra</v>
          </cell>
        </row>
        <row r="139">
          <cell r="AD139" t="str">
            <v>2/240 Bali</v>
          </cell>
        </row>
        <row r="140">
          <cell r="AD140" t="str">
            <v>2/241 Hawaii</v>
          </cell>
        </row>
        <row r="141">
          <cell r="AD141" t="str">
            <v>2/242 Borneo</v>
          </cell>
        </row>
        <row r="142">
          <cell r="AD142" t="str">
            <v>2/244 Jamaica</v>
          </cell>
        </row>
        <row r="143">
          <cell r="AD143" t="str">
            <v>2/311 Zyklop</v>
          </cell>
        </row>
        <row r="144">
          <cell r="AD144" t="str">
            <v>2/312 Engadin</v>
          </cell>
        </row>
        <row r="145">
          <cell r="AD145" t="str">
            <v>2/318 Pierre de Sable</v>
          </cell>
        </row>
        <row r="146">
          <cell r="AD146" t="str">
            <v>2/337 Miramas</v>
          </cell>
        </row>
        <row r="147">
          <cell r="AD147" t="str">
            <v>2/353 Tarn</v>
          </cell>
        </row>
        <row r="148">
          <cell r="AD148" t="str">
            <v>2/374 La Reunion</v>
          </cell>
        </row>
        <row r="149">
          <cell r="AD149" t="str">
            <v>2/602 Saône</v>
          </cell>
        </row>
        <row r="150">
          <cell r="AD150" t="str">
            <v>2/701 Liberty</v>
          </cell>
        </row>
        <row r="151">
          <cell r="AD151" t="str">
            <v>2/801 Wire Cut Brick</v>
          </cell>
        </row>
        <row r="152">
          <cell r="AD152" t="str">
            <v>2/802 USF Standard Brick</v>
          </cell>
        </row>
        <row r="153">
          <cell r="AD153" t="str">
            <v>2/804 Split Face Block</v>
          </cell>
        </row>
        <row r="154">
          <cell r="AD154" t="str">
            <v>2/807 B Lukas Rib</v>
          </cell>
        </row>
        <row r="155">
          <cell r="AD155" t="str">
            <v xml:space="preserve"> ---SÉRIE 1---  ---SÉRIE 1---</v>
          </cell>
        </row>
        <row r="156">
          <cell r="AD156" t="str">
            <v>No. Name</v>
          </cell>
        </row>
        <row r="157">
          <cell r="AD157" t="str">
            <v>1/01 Amrum</v>
          </cell>
        </row>
        <row r="158">
          <cell r="AD158" t="str">
            <v>1/02 Borkum</v>
          </cell>
        </row>
        <row r="159">
          <cell r="AD159" t="str">
            <v>1/03 Fehmarn</v>
          </cell>
        </row>
        <row r="160">
          <cell r="AD160" t="str">
            <v>1/04 Föhr</v>
          </cell>
        </row>
        <row r="161">
          <cell r="AD161" t="str">
            <v>1/05 Helgoland</v>
          </cell>
        </row>
        <row r="162">
          <cell r="AD162" t="str">
            <v>1/06 Juist</v>
          </cell>
        </row>
        <row r="163">
          <cell r="AD163" t="str">
            <v>1/07 Langeoog</v>
          </cell>
        </row>
        <row r="164">
          <cell r="AD164" t="str">
            <v>1/08 Mainau</v>
          </cell>
        </row>
        <row r="165">
          <cell r="AD165" t="str">
            <v>1/09 B Norderney</v>
          </cell>
        </row>
        <row r="166">
          <cell r="AD166" t="str">
            <v>1/10 Pellworm</v>
          </cell>
        </row>
        <row r="167">
          <cell r="AD167" t="str">
            <v>1/11 Reichenau</v>
          </cell>
        </row>
        <row r="168">
          <cell r="AD168" t="str">
            <v>1/12 Rügen</v>
          </cell>
        </row>
        <row r="169">
          <cell r="AD169" t="str">
            <v>1/14 Sylt</v>
          </cell>
        </row>
        <row r="170">
          <cell r="AD170" t="str">
            <v>1/15 Usedom</v>
          </cell>
        </row>
        <row r="171">
          <cell r="AD171" t="str">
            <v>1/17 Wollin</v>
          </cell>
        </row>
        <row r="172">
          <cell r="AD172" t="str">
            <v>1/18 Bornholm</v>
          </cell>
        </row>
        <row r="173">
          <cell r="AD173" t="str">
            <v>1/20 Kerkyra (Korfu)</v>
          </cell>
        </row>
        <row r="174">
          <cell r="AD174" t="str">
            <v>1/21 B Malta</v>
          </cell>
        </row>
        <row r="175">
          <cell r="AD175" t="str">
            <v>1/24 Gotland</v>
          </cell>
        </row>
        <row r="176">
          <cell r="AD176" t="str">
            <v>1/25 Baltrum</v>
          </cell>
        </row>
        <row r="177">
          <cell r="AD177" t="str">
            <v>1/26 Ameland</v>
          </cell>
        </row>
        <row r="178">
          <cell r="AD178" t="str">
            <v>1/27 Seeland</v>
          </cell>
        </row>
        <row r="179">
          <cell r="AD179" t="str">
            <v>1/28 Lolland</v>
          </cell>
        </row>
        <row r="180">
          <cell r="AD180" t="str">
            <v>1/29 Krete</v>
          </cell>
        </row>
        <row r="181">
          <cell r="AD181" t="str">
            <v>1/30 Rib Type A</v>
          </cell>
        </row>
        <row r="182">
          <cell r="AD182" t="str">
            <v>1/31 Rib Type C</v>
          </cell>
        </row>
        <row r="183">
          <cell r="AD183" t="str">
            <v>1/32 Rib Type D</v>
          </cell>
        </row>
        <row r="184">
          <cell r="AD184" t="str">
            <v>1/33 Rib Type E</v>
          </cell>
        </row>
        <row r="185">
          <cell r="AD185" t="str">
            <v>1/34 Rib Type F</v>
          </cell>
        </row>
        <row r="186">
          <cell r="AD186" t="str">
            <v>1/35 Rib Type G</v>
          </cell>
        </row>
        <row r="187">
          <cell r="AD187" t="str">
            <v>1/36 Rib Type H</v>
          </cell>
        </row>
        <row r="188">
          <cell r="AD188" t="str">
            <v>1/37 B Rib Type J</v>
          </cell>
        </row>
        <row r="189">
          <cell r="AD189" t="str">
            <v>1/38 B Rib Type K</v>
          </cell>
        </row>
        <row r="190">
          <cell r="AD190" t="str">
            <v>1/39 Rib Type L</v>
          </cell>
        </row>
        <row r="191">
          <cell r="AD191" t="str">
            <v>1/40 Rib Type M</v>
          </cell>
        </row>
        <row r="192">
          <cell r="AD192" t="str">
            <v>1/41 B Ibiza</v>
          </cell>
        </row>
        <row r="193">
          <cell r="AD193" t="str">
            <v>1/42 Madeira</v>
          </cell>
        </row>
        <row r="194">
          <cell r="AD194" t="str">
            <v>1/43 Corse</v>
          </cell>
        </row>
        <row r="195">
          <cell r="AD195" t="str">
            <v>1/44 B Sardegna</v>
          </cell>
        </row>
        <row r="196">
          <cell r="AD196" t="str">
            <v>1/45 B Sicilia</v>
          </cell>
        </row>
        <row r="197">
          <cell r="AD197" t="str">
            <v>1/46 Rib Type N</v>
          </cell>
        </row>
        <row r="198">
          <cell r="AD198" t="str">
            <v>1/47 Rib Type P</v>
          </cell>
        </row>
        <row r="199">
          <cell r="AD199" t="str">
            <v>1/124 B Taro</v>
          </cell>
        </row>
        <row r="200">
          <cell r="AD200" t="str">
            <v>1/126 B Larnaka</v>
          </cell>
        </row>
        <row r="201">
          <cell r="AD201" t="str">
            <v>1/127 Shannon</v>
          </cell>
        </row>
        <row r="202">
          <cell r="AD202" t="str">
            <v>1/134 Riviera</v>
          </cell>
        </row>
        <row r="203">
          <cell r="AD203" t="str">
            <v>1/138 Alsace (Elsass)</v>
          </cell>
        </row>
        <row r="204">
          <cell r="AD204" t="str">
            <v>1/148 Lanzarote (Malta)</v>
          </cell>
        </row>
        <row r="205">
          <cell r="AD205" t="str">
            <v>1/165 B Reno</v>
          </cell>
        </row>
        <row r="206">
          <cell r="AD206" t="str">
            <v>1/171 Sinus 18/76</v>
          </cell>
        </row>
        <row r="207">
          <cell r="AD207" t="str">
            <v>1/172 Sinus 27/100</v>
          </cell>
        </row>
        <row r="208">
          <cell r="AD208" t="str">
            <v>1/173 Thur</v>
          </cell>
        </row>
        <row r="209">
          <cell r="AD209" t="str">
            <v>1/174 Gascogne</v>
          </cell>
        </row>
        <row r="210">
          <cell r="AD210" t="str">
            <v>1/176 Raba</v>
          </cell>
        </row>
        <row r="211">
          <cell r="AD211" t="str">
            <v>1/198 Traun</v>
          </cell>
        </row>
        <row r="212">
          <cell r="AD212" t="str">
            <v>1/199 Bohemia</v>
          </cell>
        </row>
        <row r="213">
          <cell r="AD213" t="str">
            <v>1/316 B Pennsilva</v>
          </cell>
        </row>
        <row r="214">
          <cell r="AD214" t="str">
            <v>1/317 Rustic</v>
          </cell>
        </row>
        <row r="215">
          <cell r="AD215" t="str">
            <v>1/331 Etampes</v>
          </cell>
        </row>
        <row r="216">
          <cell r="AD216" t="str">
            <v>1/347 B Fort-De-France</v>
          </cell>
        </row>
        <row r="217">
          <cell r="AD217" t="str">
            <v>1/352 Embrun</v>
          </cell>
        </row>
        <row r="218">
          <cell r="AD218" t="str">
            <v>1/354 Durance</v>
          </cell>
        </row>
        <row r="219">
          <cell r="AD219" t="str">
            <v xml:space="preserve"> -Type spécial-</v>
          </cell>
        </row>
        <row r="221">
          <cell r="AD221" t="str">
            <v>Artico Custom + size</v>
          </cell>
        </row>
      </sheetData>
      <sheetData sheetId="11">
        <row r="5">
          <cell r="H5" t="str">
            <v>Type de prime</v>
          </cell>
        </row>
        <row r="7">
          <cell r="A7" t="str">
            <v>Manœuvre (C3)</v>
          </cell>
          <cell r="B7">
            <v>58.43</v>
          </cell>
          <cell r="C7">
            <v>58.43</v>
          </cell>
          <cell r="H7" t="str">
            <v>Prime de hauteur - CCQ</v>
          </cell>
          <cell r="I7">
            <v>0.98</v>
          </cell>
        </row>
        <row r="8">
          <cell r="A8" t="str">
            <v>Manœuvre (NR)</v>
          </cell>
          <cell r="B8">
            <v>44.31</v>
          </cell>
          <cell r="C8">
            <v>44.31</v>
          </cell>
          <cell r="H8" t="str">
            <v>Prime Temps Double - CCQ</v>
          </cell>
          <cell r="I8">
            <v>48.74</v>
          </cell>
        </row>
        <row r="9">
          <cell r="A9" t="str">
            <v>Manœuvre (Ontario)</v>
          </cell>
          <cell r="B9">
            <v>53</v>
          </cell>
          <cell r="C9">
            <v>53</v>
          </cell>
          <cell r="H9" t="str">
            <v>Prime de Jet de Sable - CCQ</v>
          </cell>
          <cell r="I9">
            <v>1.95</v>
          </cell>
        </row>
        <row r="10">
          <cell r="A10" t="str">
            <v>Transport sous 120km</v>
          </cell>
          <cell r="H10" t="str">
            <v>Prime casque ventilé (sable) -CCQ</v>
          </cell>
          <cell r="I10">
            <v>1.43</v>
          </cell>
        </row>
        <row r="11">
          <cell r="H11" t="str">
            <v>Prime de Soir - CCQ</v>
          </cell>
          <cell r="I11">
            <v>2.3372000000000002</v>
          </cell>
        </row>
        <row r="12">
          <cell r="H12" t="str">
            <v>Prime de Nuit - CCQ</v>
          </cell>
          <cell r="I12">
            <v>2.3372000000000002</v>
          </cell>
        </row>
        <row r="13">
          <cell r="B13">
            <v>150</v>
          </cell>
        </row>
        <row r="16">
          <cell r="H16" t="str">
            <v>Type de prime</v>
          </cell>
        </row>
        <row r="18">
          <cell r="A18" t="str">
            <v>Peintre (C3)</v>
          </cell>
          <cell r="B18">
            <v>63.68</v>
          </cell>
          <cell r="C18">
            <v>63.68</v>
          </cell>
          <cell r="H18" t="str">
            <v>Prime de hauteur - CCQ</v>
          </cell>
          <cell r="I18">
            <v>0.98</v>
          </cell>
        </row>
        <row r="19">
          <cell r="A19" t="str">
            <v>Coloriste (C3)</v>
          </cell>
          <cell r="B19">
            <v>63.68</v>
          </cell>
          <cell r="C19">
            <v>63.68</v>
          </cell>
          <cell r="H19" t="str">
            <v>Prime Temps Double - CCQ</v>
          </cell>
          <cell r="I19">
            <v>54.440000000000005</v>
          </cell>
        </row>
        <row r="20">
          <cell r="A20" t="str">
            <v>App. 3 (C3)</v>
          </cell>
          <cell r="B20">
            <v>54.62</v>
          </cell>
          <cell r="C20">
            <v>54.62</v>
          </cell>
          <cell r="H20" t="str">
            <v>Prime de Jet de Sable - CCQ</v>
          </cell>
          <cell r="I20">
            <v>1.95</v>
          </cell>
        </row>
        <row r="21">
          <cell r="A21" t="str">
            <v>App. 2 (C3)</v>
          </cell>
          <cell r="B21">
            <v>46.46</v>
          </cell>
          <cell r="C21">
            <v>46.46</v>
          </cell>
          <cell r="H21" t="str">
            <v>Prime de Jet au Spray - CCQ</v>
          </cell>
          <cell r="I21">
            <v>1.95</v>
          </cell>
        </row>
        <row r="22">
          <cell r="A22" t="str">
            <v>App. 1 (C3)</v>
          </cell>
          <cell r="B22">
            <v>41.01</v>
          </cell>
          <cell r="C22">
            <v>41.01</v>
          </cell>
          <cell r="H22" t="str">
            <v>Prime de Jet d'eau sous pression - CCQ</v>
          </cell>
          <cell r="I22">
            <v>1.95</v>
          </cell>
        </row>
        <row r="23">
          <cell r="H23" t="str">
            <v>Prime de Soir - CCQ</v>
          </cell>
          <cell r="I23">
            <v>2.5472000000000001</v>
          </cell>
        </row>
        <row r="24">
          <cell r="A24" t="str">
            <v>Coloriste (NR)</v>
          </cell>
          <cell r="B24">
            <v>50.870000000000005</v>
          </cell>
          <cell r="C24">
            <v>50.870000000000005</v>
          </cell>
          <cell r="H24" t="str">
            <v>Prime de Nuit - CCQ</v>
          </cell>
          <cell r="I24">
            <v>2.5472000000000001</v>
          </cell>
        </row>
        <row r="25">
          <cell r="A25" t="str">
            <v>Peintre (NR)</v>
          </cell>
          <cell r="B25">
            <v>47.99</v>
          </cell>
          <cell r="C25">
            <v>44.31</v>
          </cell>
        </row>
        <row r="27">
          <cell r="A27" t="str">
            <v>Transport sous 120km</v>
          </cell>
        </row>
        <row r="30">
          <cell r="B30">
            <v>150</v>
          </cell>
        </row>
      </sheetData>
      <sheetData sheetId="12">
        <row r="4">
          <cell r="D4">
            <v>44950</v>
          </cell>
        </row>
        <row r="9">
          <cell r="F9" t="str">
            <v>Oui</v>
          </cell>
        </row>
        <row r="10">
          <cell r="F10" t="str">
            <v>Non</v>
          </cell>
        </row>
        <row r="13">
          <cell r="F13" t="str">
            <v>Sécuritaire</v>
          </cell>
          <cell r="G13" t="str">
            <v>100x</v>
          </cell>
        </row>
        <row r="14">
          <cell r="F14" t="str">
            <v>Moyen</v>
          </cell>
          <cell r="G14" t="str">
            <v>10x</v>
          </cell>
        </row>
        <row r="15">
          <cell r="F15" t="str">
            <v>Élevé</v>
          </cell>
          <cell r="G15" t="str">
            <v>STY30</v>
          </cell>
        </row>
        <row r="16">
          <cell r="G16" t="str">
            <v>STY60</v>
          </cell>
        </row>
        <row r="17">
          <cell r="G17" t="str">
            <v>STY90</v>
          </cell>
        </row>
        <row r="18">
          <cell r="F18" t="str">
            <v>Jour</v>
          </cell>
          <cell r="G18" t="str">
            <v>STY150</v>
          </cell>
        </row>
        <row r="19">
          <cell r="F19" t="str">
            <v>Semaine</v>
          </cell>
          <cell r="G19" t="str">
            <v>ABS110</v>
          </cell>
        </row>
        <row r="20">
          <cell r="F20" t="str">
            <v>Mois</v>
          </cell>
          <cell r="G20" t="str">
            <v>ABS150</v>
          </cell>
        </row>
        <row r="23">
          <cell r="A23" t="str">
            <v>Préparation de surface</v>
          </cell>
        </row>
        <row r="24">
          <cell r="A24" t="str">
            <v>Pollution Atmosphérique</v>
          </cell>
        </row>
        <row r="25">
          <cell r="A25" t="str">
            <v>Mortier (Maçonnerie Neuve)</v>
          </cell>
        </row>
        <row r="26">
          <cell r="A26" t="str">
            <v>Efflorescence</v>
          </cell>
        </row>
        <row r="27">
          <cell r="A27" t="str">
            <v>Nébulisation</v>
          </cell>
        </row>
        <row r="28">
          <cell r="A28" t="str">
            <v>Décapage</v>
          </cell>
        </row>
        <row r="29">
          <cell r="A29" t="str">
            <v>Taches ponctuelles spécifique</v>
          </cell>
        </row>
        <row r="30">
          <cell r="A30" t="str">
            <v>Anti-graffiti</v>
          </cell>
        </row>
        <row r="31">
          <cell r="A31" t="str">
            <v>Imperméabilisation</v>
          </cell>
        </row>
        <row r="32">
          <cell r="A32" t="str">
            <v>Nettoyage (Taux horaire)</v>
          </cell>
        </row>
        <row r="33">
          <cell r="A33" t="str">
            <v>Jet de Sable (Taux horaire)</v>
          </cell>
        </row>
        <row r="34">
          <cell r="A34" t="str">
            <v>Déglaçage (Taux horaire)</v>
          </cell>
        </row>
        <row r="35">
          <cell r="A35" t="str">
            <v>Dégraissage / Tache d'huile</v>
          </cell>
        </row>
        <row r="41">
          <cell r="A41" t="str">
            <v>Briques et joints</v>
          </cell>
        </row>
        <row r="42">
          <cell r="A42" t="str">
            <v>Brique par Brique (face)</v>
          </cell>
        </row>
        <row r="43">
          <cell r="A43" t="str">
            <v>Joints seulement</v>
          </cell>
        </row>
        <row r="44">
          <cell r="A44" t="str">
            <v>Agencement de couleur</v>
          </cell>
        </row>
        <row r="45">
          <cell r="A45" t="str">
            <v>Frost 1 sur 5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17044-EB9B-4C01-AC09-C320729C7253}">
  <sheetPr codeName="Feuil3">
    <tabColor theme="7"/>
  </sheetPr>
  <dimension ref="A1:N105"/>
  <sheetViews>
    <sheetView tabSelected="1" view="pageLayout" zoomScaleNormal="100" workbookViewId="0">
      <selection activeCell="D17" sqref="D17:F17"/>
    </sheetView>
  </sheetViews>
  <sheetFormatPr baseColWidth="10" defaultRowHeight="15" x14ac:dyDescent="0.25"/>
  <cols>
    <col min="1" max="1" width="21.28515625" customWidth="1"/>
    <col min="6" max="6" width="11.42578125" customWidth="1"/>
    <col min="8" max="8" width="12" customWidth="1"/>
    <col min="9" max="9" width="18.7109375" customWidth="1"/>
  </cols>
  <sheetData>
    <row r="1" spans="1:14" ht="11.25" customHeight="1" x14ac:dyDescent="0.25">
      <c r="A1" s="1" t="s">
        <v>0</v>
      </c>
      <c r="B1" s="2" t="str">
        <f>IF(ADD_Projet_L1="",,ADD_Projet_L1&amp;" - ")&amp;IF(NOM_Projet="",,NOM_Projet&amp; " - ")&amp;IF(LEN(NUM_Contrat)&gt;4,NUM_Contrat,"CO2022-"&amp;IF(LEN(NUM_Contrat&lt;4),"0","")&amp;NUM_Contrat)&amp;IF(OR(ISBLANK('[1]INFO-Contrat'!$A$2),LEN('[1]INFO-Contrat'!$A$2)&lt;=1),"",IF(ISBLANK('[1]INFO-Projet'!$C$3),,))</f>
        <v>CO2022-0</v>
      </c>
      <c r="C1" s="3"/>
      <c r="D1" s="3"/>
      <c r="E1" s="3"/>
      <c r="F1" s="3"/>
      <c r="G1" s="3"/>
      <c r="H1" s="3"/>
    </row>
    <row r="2" spans="1:14" ht="11.25" customHeight="1" thickBot="1" x14ac:dyDescent="0.3">
      <c r="A2" s="1"/>
      <c r="B2" s="4"/>
      <c r="C2" s="5"/>
      <c r="D2" s="5"/>
      <c r="E2" s="5"/>
      <c r="F2" s="5"/>
      <c r="G2" s="5"/>
      <c r="H2" s="5"/>
    </row>
    <row r="3" spans="1:14" ht="11.25" customHeight="1" thickBot="1" x14ac:dyDescent="0.3">
      <c r="A3" s="6" t="s">
        <v>1</v>
      </c>
      <c r="B3" s="7">
        <f>'[1]INFO-Contrat'!E8</f>
        <v>0</v>
      </c>
      <c r="C3" s="8"/>
    </row>
    <row r="4" spans="1:14" ht="11.25" customHeight="1" x14ac:dyDescent="0.25">
      <c r="A4" s="9" t="s">
        <v>2</v>
      </c>
      <c r="B4" s="10" t="s">
        <v>3</v>
      </c>
      <c r="C4" s="11"/>
      <c r="D4" s="12" t="s">
        <v>4</v>
      </c>
      <c r="E4" s="12"/>
      <c r="F4" s="13" t="str">
        <f>IF(ISBLANK('[1]INFO-Projet'!$E$2),"",'[1]INFO-Projet'!$E$2)</f>
        <v/>
      </c>
      <c r="I4" s="14" t="s">
        <v>5</v>
      </c>
      <c r="J4" s="15" t="s">
        <v>3</v>
      </c>
      <c r="K4" s="11"/>
      <c r="L4" s="12" t="s">
        <v>4</v>
      </c>
      <c r="M4" s="12"/>
      <c r="N4" s="16" t="str">
        <f>F4</f>
        <v/>
      </c>
    </row>
    <row r="5" spans="1:14" ht="11.25" customHeight="1" x14ac:dyDescent="0.25">
      <c r="A5" s="9"/>
      <c r="B5" s="17" t="s">
        <v>6</v>
      </c>
      <c r="C5" s="18">
        <f>'[1]INFO-Contrat'!A12</f>
        <v>0</v>
      </c>
      <c r="D5" s="18"/>
      <c r="E5" s="18"/>
      <c r="F5" s="19"/>
      <c r="I5" s="20"/>
      <c r="J5" s="17" t="s">
        <v>6</v>
      </c>
      <c r="K5" s="18">
        <f>'[1]INFO-Contrat'!A12</f>
        <v>0</v>
      </c>
      <c r="L5" s="18"/>
      <c r="M5" s="18"/>
      <c r="N5" s="19"/>
    </row>
    <row r="6" spans="1:14" ht="11.25" customHeight="1" x14ac:dyDescent="0.25">
      <c r="B6" s="21" t="s">
        <v>7</v>
      </c>
      <c r="C6" s="22"/>
      <c r="D6" s="23"/>
      <c r="E6" s="23"/>
      <c r="F6" s="24"/>
      <c r="J6" s="21" t="s">
        <v>7</v>
      </c>
      <c r="N6" s="25"/>
    </row>
    <row r="7" spans="1:14" ht="11.25" customHeight="1" x14ac:dyDescent="0.25">
      <c r="B7" s="26">
        <f>IF(ISBLANK('[1]INFO-Contrat'!E15),"",'[1]INFO-Contrat'!E15)</f>
        <v>0</v>
      </c>
      <c r="C7" s="27" t="str">
        <f>IF(ISBLANK(CHr_Projet),"#","T: "&amp;CHr_Projet_TEL&amp;IF(ISBLANK(CHr_Projet_Poste),"","x"&amp;CHr_Projet_Poste))&amp;IF(ISBLANK(CHr_Projet_CELL),"",IF(OR(ISBLANK(CHr_Projet_TEL),ISBLANK(CHr_Projet_CELL)),""," / ")&amp;"C: "&amp;CHr_Projet_CELL)</f>
        <v>T: 0x0 / C: 0</v>
      </c>
      <c r="D7" s="27"/>
      <c r="E7" s="27"/>
      <c r="F7" s="28"/>
      <c r="J7" s="26">
        <f>B7</f>
        <v>0</v>
      </c>
      <c r="K7" s="27" t="str">
        <f>C7</f>
        <v>T: 0x0 / C: 0</v>
      </c>
      <c r="L7" s="27"/>
      <c r="M7" s="27"/>
      <c r="N7" s="28"/>
    </row>
    <row r="8" spans="1:14" ht="11.25" customHeight="1" x14ac:dyDescent="0.25">
      <c r="B8" s="26"/>
      <c r="C8" s="29">
        <f>IF(ISBLANK(CHr_Projet_MAIL),"",CHr_Projet_MAIL)</f>
        <v>0</v>
      </c>
      <c r="D8" s="29"/>
      <c r="E8" s="29"/>
      <c r="F8" s="30"/>
      <c r="J8" s="21" t="s">
        <v>8</v>
      </c>
      <c r="K8" s="22"/>
      <c r="L8" s="31"/>
      <c r="M8" s="31"/>
      <c r="N8" s="32"/>
    </row>
    <row r="9" spans="1:14" ht="11.25" customHeight="1" x14ac:dyDescent="0.25">
      <c r="B9" s="21" t="s">
        <v>8</v>
      </c>
      <c r="C9" s="22"/>
      <c r="D9" s="23"/>
      <c r="E9" s="23"/>
      <c r="F9" s="24"/>
      <c r="J9" s="26">
        <f>B10</f>
        <v>0</v>
      </c>
      <c r="K9" s="27" t="str">
        <f>C10</f>
        <v>T: 0x0 / C: 0</v>
      </c>
      <c r="L9" s="27"/>
      <c r="M9" s="27"/>
      <c r="N9" s="28"/>
    </row>
    <row r="10" spans="1:14" ht="11.25" customHeight="1" x14ac:dyDescent="0.25">
      <c r="B10" s="26">
        <f>IF(ISBLANK(RESP_Chantier),"",RESP_Chantier)</f>
        <v>0</v>
      </c>
      <c r="C10" s="27" t="str">
        <f>IF(ISBLANK(RESP_Chantier),"#","T: "&amp;RESP_Chantier_TEL&amp;IF(ISBLANK(RESP_Chantier_Poste),"","x"&amp;RESP_Chantier_Poste))&amp;IF(ISBLANK(RESP_Chantier_CELL),"",IF(OR(ISBLANK(RESP_Chantier_TEL),ISBLANK(RESP_Chantier_CELL)),""," / ")&amp;"C: "&amp;RESP_Chantier_CELL)</f>
        <v>T: 0x0 / C: 0</v>
      </c>
      <c r="D10" s="27"/>
      <c r="E10" s="27"/>
      <c r="F10" s="30"/>
      <c r="J10" s="26"/>
      <c r="K10" s="33"/>
      <c r="L10" s="33"/>
      <c r="M10" s="33"/>
      <c r="N10" s="30"/>
    </row>
    <row r="11" spans="1:14" ht="11.25" customHeight="1" x14ac:dyDescent="0.25">
      <c r="B11" s="26"/>
      <c r="C11" s="29">
        <f>IF(ISBLANK(RESP_Chantier_MAIL),"",RESP_Chantier_MAIL)</f>
        <v>0</v>
      </c>
      <c r="D11" s="29"/>
      <c r="E11" s="29"/>
      <c r="F11" s="30"/>
      <c r="J11" s="34"/>
      <c r="N11" s="25"/>
    </row>
    <row r="12" spans="1:14" ht="11.25" customHeight="1" x14ac:dyDescent="0.25">
      <c r="B12" s="35" t="s">
        <v>9</v>
      </c>
      <c r="C12" s="36"/>
      <c r="D12" s="37">
        <f>'[1]INFO-Projet'!K5</f>
        <v>0</v>
      </c>
      <c r="E12" s="37"/>
      <c r="F12" s="38"/>
      <c r="J12" s="34"/>
      <c r="N12" s="25"/>
    </row>
    <row r="13" spans="1:14" ht="11.25" customHeight="1" x14ac:dyDescent="0.25">
      <c r="B13" s="17"/>
      <c r="C13" s="39"/>
      <c r="D13" s="37"/>
      <c r="E13" s="37"/>
      <c r="F13" s="38"/>
      <c r="J13" s="34"/>
      <c r="N13" s="25"/>
    </row>
    <row r="14" spans="1:14" ht="11.25" customHeight="1" x14ac:dyDescent="0.25">
      <c r="B14" s="40" t="s">
        <v>10</v>
      </c>
      <c r="C14" s="18"/>
      <c r="D14" s="41">
        <f>'[1]INFO-Projet'!K16</f>
        <v>0</v>
      </c>
      <c r="E14" s="42"/>
      <c r="F14" s="43"/>
      <c r="J14" s="34"/>
      <c r="N14" s="25"/>
    </row>
    <row r="15" spans="1:14" ht="11.25" customHeight="1" x14ac:dyDescent="0.25">
      <c r="B15" s="17"/>
      <c r="C15" s="33"/>
      <c r="D15" s="42"/>
      <c r="E15" s="42"/>
      <c r="F15" s="43"/>
      <c r="J15" s="44"/>
      <c r="K15" s="45"/>
      <c r="L15" s="45"/>
      <c r="M15" s="45"/>
      <c r="N15" s="46"/>
    </row>
    <row r="16" spans="1:14" ht="11.25" customHeight="1" x14ac:dyDescent="0.25">
      <c r="B16" s="47" t="s">
        <v>11</v>
      </c>
      <c r="C16" s="48"/>
      <c r="D16" s="48"/>
      <c r="E16" s="49" t="s">
        <v>12</v>
      </c>
      <c r="F16" s="50">
        <f>IF('[1]COST-Écobrick'!AC40&gt;0,'[1]COST-Écobrick'!W13,"")</f>
        <v>25</v>
      </c>
      <c r="J16" s="47" t="s">
        <v>13</v>
      </c>
      <c r="K16" s="48"/>
      <c r="L16" s="48"/>
      <c r="M16" s="51" t="s">
        <v>12</v>
      </c>
      <c r="N16" s="50">
        <f>F16</f>
        <v>25</v>
      </c>
    </row>
    <row r="17" spans="1:14" ht="11.25" customHeight="1" x14ac:dyDescent="0.25">
      <c r="B17" s="52" t="s">
        <v>14</v>
      </c>
      <c r="C17" s="53"/>
      <c r="D17" s="53" t="str">
        <f>COUNTIF('[1]COST-Écobrick'!V17:V19,"&lt;&gt;")&amp;" pour "&amp;'[1]COST-Écobrick'!AA13&amp;" Jour(s) "</f>
        <v xml:space="preserve">1 pour 0,0125 Jour(s) </v>
      </c>
      <c r="E17" s="53"/>
      <c r="F17" s="54"/>
      <c r="J17" s="55" t="s">
        <v>15</v>
      </c>
      <c r="K17" s="56"/>
      <c r="L17" s="56" t="str">
        <f>D18</f>
        <v xml:space="preserve"> fournit par Le Client (si applicable)</v>
      </c>
      <c r="M17" s="56"/>
      <c r="N17" s="57"/>
    </row>
    <row r="18" spans="1:14" ht="11.25" customHeight="1" x14ac:dyDescent="0.25">
      <c r="B18" s="52" t="s">
        <v>15</v>
      </c>
      <c r="C18" s="53"/>
      <c r="D18" s="56" t="str">
        <f>IF(ISBLANK('[1]COST-Écobrick'!$X$44),"",'[1]COST-Écobrick'!$X$44)&amp;" fournit par "&amp;IF('[1]COST-Écobrick'!$X$44="","Le Client (si applicable)",IF('[1]COST-Écobrick'!$X$44="s/o","s/o",IF('[1]COST-Écobrick'!$X$44="Écobrick TMZ-50","Groupe Écobrick","Groupe Écobrick")))</f>
        <v xml:space="preserve"> fournit par Le Client (si applicable)</v>
      </c>
      <c r="E18" s="56"/>
      <c r="F18" s="57"/>
      <c r="J18" s="34"/>
      <c r="N18" s="25"/>
    </row>
    <row r="19" spans="1:14" ht="11.25" customHeight="1" x14ac:dyDescent="0.25">
      <c r="B19" s="55" t="s">
        <v>16</v>
      </c>
      <c r="C19" s="56"/>
      <c r="D19" s="58"/>
      <c r="E19" s="58"/>
      <c r="F19" s="59"/>
      <c r="J19" s="55" t="s">
        <v>16</v>
      </c>
      <c r="K19" s="56"/>
      <c r="N19" s="25"/>
    </row>
    <row r="20" spans="1:14" ht="11.25" customHeight="1" x14ac:dyDescent="0.25">
      <c r="B20" s="55">
        <f>'[1]COST-Écobrick'!W4</f>
        <v>0</v>
      </c>
      <c r="C20" s="56"/>
      <c r="D20" s="56"/>
      <c r="E20" s="56"/>
      <c r="F20" s="57"/>
      <c r="J20" s="55">
        <f>B20</f>
        <v>0</v>
      </c>
      <c r="K20" s="56"/>
      <c r="L20" s="56"/>
      <c r="M20" s="56"/>
      <c r="N20" s="57"/>
    </row>
    <row r="21" spans="1:14" ht="11.25" customHeight="1" x14ac:dyDescent="0.25">
      <c r="B21" s="34" t="s">
        <v>17</v>
      </c>
      <c r="E21" t="s">
        <v>18</v>
      </c>
      <c r="F21" s="25" t="s">
        <v>19</v>
      </c>
      <c r="J21" s="55" t="s">
        <v>17</v>
      </c>
      <c r="K21" s="56"/>
      <c r="M21" t="s">
        <v>18</v>
      </c>
      <c r="N21" s="25" t="s">
        <v>19</v>
      </c>
    </row>
    <row r="22" spans="1:14" ht="11.25" customHeight="1" x14ac:dyDescent="0.25">
      <c r="B22" s="60" t="s">
        <v>20</v>
      </c>
      <c r="C22" s="56" t="str">
        <f>IF(ISBLANK('[1]COST-Écobrick'!$V30),"",'[1]COST-Écobrick'!$V30)</f>
        <v/>
      </c>
      <c r="D22" s="56"/>
      <c r="E22" s="61" t="s">
        <v>18</v>
      </c>
      <c r="F22" s="25" t="str">
        <f>IF(ISBLANK(C22),"",'[1]COST-Écobrick'!$Y$30)</f>
        <v/>
      </c>
      <c r="J22" s="60" t="s">
        <v>20</v>
      </c>
      <c r="K22" s="56" t="str">
        <f>C22</f>
        <v/>
      </c>
      <c r="L22" s="56"/>
      <c r="M22" t="s">
        <v>18</v>
      </c>
      <c r="N22" s="62" t="str">
        <f>F22</f>
        <v/>
      </c>
    </row>
    <row r="23" spans="1:14" ht="11.25" customHeight="1" x14ac:dyDescent="0.25">
      <c r="B23" s="60" t="s">
        <v>21</v>
      </c>
      <c r="C23" s="56" t="str">
        <f>IF(ISBLANK('[1]COST-Écobrick'!$V31),"",'[1]COST-Écobrick'!$V31)</f>
        <v/>
      </c>
      <c r="D23" s="56"/>
      <c r="E23" s="61" t="s">
        <v>18</v>
      </c>
      <c r="F23" s="25" t="str">
        <f>IF(ISBLANK(C23),"",'[1]COST-Écobrick'!$Y$31)</f>
        <v/>
      </c>
      <c r="J23" s="60" t="s">
        <v>21</v>
      </c>
      <c r="K23" s="56" t="str">
        <f>C23</f>
        <v/>
      </c>
      <c r="L23" s="56"/>
      <c r="M23" t="s">
        <v>18</v>
      </c>
      <c r="N23" s="62" t="str">
        <f>F23</f>
        <v/>
      </c>
    </row>
    <row r="24" spans="1:14" ht="11.25" customHeight="1" x14ac:dyDescent="0.25">
      <c r="B24" s="60" t="s">
        <v>22</v>
      </c>
      <c r="C24" s="63" t="str">
        <f>IF(ISBLANK('[1]COST-Écobrick'!$V32),"",'[1]COST-Écobrick'!$V32)</f>
        <v/>
      </c>
      <c r="D24" s="63"/>
      <c r="E24" s="61" t="s">
        <v>23</v>
      </c>
      <c r="F24" s="25" t="str">
        <f>IF(ISBLANK(C24),"",'[1]COST-Écobrick'!$Y$32)</f>
        <v/>
      </c>
      <c r="J24" s="60" t="s">
        <v>22</v>
      </c>
      <c r="K24" s="63" t="str">
        <f>C24</f>
        <v/>
      </c>
      <c r="L24" s="63"/>
      <c r="M24" t="s">
        <v>18</v>
      </c>
      <c r="N24" s="62" t="str">
        <f>F24</f>
        <v/>
      </c>
    </row>
    <row r="25" spans="1:14" ht="11.25" customHeight="1" x14ac:dyDescent="0.25">
      <c r="B25" s="47" t="s">
        <v>24</v>
      </c>
      <c r="C25" s="48"/>
      <c r="D25" s="48"/>
      <c r="E25" s="49" t="s">
        <v>12</v>
      </c>
      <c r="F25" s="50" t="str">
        <f>IF('[1]COST-Écobrick'!J40&gt;0,'[1]COST-Écobrick'!D13,"")</f>
        <v/>
      </c>
      <c r="J25" s="47" t="s">
        <v>25</v>
      </c>
      <c r="K25" s="48"/>
      <c r="L25" s="48"/>
      <c r="M25" s="51" t="s">
        <v>12</v>
      </c>
      <c r="N25" s="50" t="str">
        <f>IF('[1]COST-Écobrick'!J40&gt;0,'[1]COST-Écobrick'!D13,"")</f>
        <v/>
      </c>
    </row>
    <row r="26" spans="1:14" ht="11.25" customHeight="1" x14ac:dyDescent="0.25">
      <c r="B26" s="52" t="s">
        <v>14</v>
      </c>
      <c r="C26" s="53"/>
      <c r="D26" s="53" t="str">
        <f>COUNTIF('[1]COST-Écobrick'!C17:C19,"&lt;&gt;")&amp;" pour "&amp;'[1]COST-Écobrick'!H13&amp;" Jour(s) "</f>
        <v xml:space="preserve">0 pour 0 Jour(s) </v>
      </c>
      <c r="E26" s="53"/>
      <c r="F26" s="54"/>
      <c r="J26" s="55" t="s">
        <v>15</v>
      </c>
      <c r="K26" s="56"/>
      <c r="L26" s="56" t="str">
        <f>IF(ISBLANK('[1]COST-Écobrick'!$E$44),"",'[1]COST-Écobrick'!$E$44)&amp;" fournit par "&amp;IF('[1]COST-Écobrick'!$E$44="","Le Client (si applicable)",IF('[1]COST-Écobrick'!$E$44="s/o","s/o",IF('[1]COST-Écobrick'!$E$44="Écobrick TMZ-50","Groupe Écobrick","Groupe Écobrick")))</f>
        <v xml:space="preserve"> fournit par Le Client (si applicable)</v>
      </c>
      <c r="M26" s="56"/>
      <c r="N26" s="57"/>
    </row>
    <row r="27" spans="1:14" ht="11.25" customHeight="1" x14ac:dyDescent="0.25">
      <c r="B27" s="52" t="s">
        <v>15</v>
      </c>
      <c r="C27" s="53"/>
      <c r="D27" s="56" t="str">
        <f>IF(ISBLANK('[1]COST-Écobrick'!$E$44),"",'[1]COST-Écobrick'!$E$44)&amp;" fournit par "&amp;IF('[1]COST-Écobrick'!$E$44="","Le Client (si applicable)",IF('[1]COST-Écobrick'!$E$44="s/o","s/o",IF('[1]COST-Écobrick'!$E$44="Écobrick TMZ-50","Groupe Écobrick","Groupe Écobrick")))</f>
        <v xml:space="preserve"> fournit par Le Client (si applicable)</v>
      </c>
      <c r="E27" s="56"/>
      <c r="F27" s="57"/>
      <c r="J27" s="34"/>
      <c r="N27" s="25"/>
    </row>
    <row r="28" spans="1:14" ht="11.25" customHeight="1" x14ac:dyDescent="0.25">
      <c r="B28" s="55" t="s">
        <v>16</v>
      </c>
      <c r="C28" s="56"/>
      <c r="D28" s="58"/>
      <c r="E28" s="58"/>
      <c r="F28" s="59"/>
      <c r="J28" s="55" t="s">
        <v>16</v>
      </c>
      <c r="K28" s="56"/>
      <c r="N28" s="25"/>
    </row>
    <row r="29" spans="1:14" ht="11.25" customHeight="1" x14ac:dyDescent="0.25">
      <c r="A29" s="64"/>
      <c r="B29" s="55">
        <f>'[1]COST-Écobrick'!D4</f>
        <v>0</v>
      </c>
      <c r="C29" s="56"/>
      <c r="D29" s="56"/>
      <c r="E29" s="56"/>
      <c r="F29" s="57"/>
      <c r="J29" s="55">
        <f>B29</f>
        <v>0</v>
      </c>
      <c r="K29" s="56"/>
      <c r="L29" s="56"/>
      <c r="M29" s="56"/>
      <c r="N29" s="57"/>
    </row>
    <row r="30" spans="1:14" ht="11.25" customHeight="1" x14ac:dyDescent="0.25">
      <c r="A30" s="64"/>
      <c r="B30" s="55" t="s">
        <v>17</v>
      </c>
      <c r="C30" s="56"/>
      <c r="E30" t="s">
        <v>18</v>
      </c>
      <c r="F30" s="25" t="s">
        <v>19</v>
      </c>
      <c r="J30" s="55" t="s">
        <v>17</v>
      </c>
      <c r="K30" s="56"/>
      <c r="M30" t="s">
        <v>18</v>
      </c>
      <c r="N30" s="25" t="s">
        <v>19</v>
      </c>
    </row>
    <row r="31" spans="1:14" ht="11.25" customHeight="1" x14ac:dyDescent="0.25">
      <c r="A31" s="64"/>
      <c r="B31" s="60" t="s">
        <v>20</v>
      </c>
      <c r="C31" s="56" t="str">
        <f>IF(ISBLANK('[1]COST-Écobrick'!$C30),"",'[1]COST-Écobrick'!$C30)</f>
        <v/>
      </c>
      <c r="D31" s="56"/>
      <c r="E31" s="61" t="s">
        <v>18</v>
      </c>
      <c r="F31" s="25" t="str">
        <f>IF(ISBLANK(C31),"",'[1]COST-Écobrick'!$F$30)</f>
        <v/>
      </c>
      <c r="J31" s="60" t="s">
        <v>20</v>
      </c>
      <c r="K31" s="56" t="str">
        <f>IF(ISBLANK('[1]COST-Écobrick'!$C30),"",'[1]COST-Écobrick'!$C30)</f>
        <v/>
      </c>
      <c r="L31" s="56"/>
      <c r="M31" t="s">
        <v>18</v>
      </c>
      <c r="N31" s="62" t="str">
        <f>IF(ISBLANK(K31),"",'[1]COST-Écobrick'!$F$30)</f>
        <v/>
      </c>
    </row>
    <row r="32" spans="1:14" ht="11.25" customHeight="1" x14ac:dyDescent="0.25">
      <c r="A32" s="64"/>
      <c r="B32" s="60" t="s">
        <v>21</v>
      </c>
      <c r="C32" s="56" t="str">
        <f>IF(ISBLANK('[1]COST-Écobrick'!$C31),"",'[1]COST-Écobrick'!$C31)</f>
        <v/>
      </c>
      <c r="D32" s="56"/>
      <c r="E32" s="61" t="s">
        <v>18</v>
      </c>
      <c r="F32" s="25" t="str">
        <f>IF(ISBLANK(C32),"",'[1]COST-Écobrick'!$F$31)</f>
        <v/>
      </c>
      <c r="J32" s="60" t="s">
        <v>21</v>
      </c>
      <c r="K32" s="56" t="str">
        <f>IF(ISBLANK('[1]COST-Écobrick'!$C31),"",'[1]COST-Écobrick'!$C31)</f>
        <v/>
      </c>
      <c r="L32" s="56"/>
      <c r="M32" t="s">
        <v>18</v>
      </c>
      <c r="N32" s="62" t="str">
        <f>IF(ISBLANK(K32),"",'[1]COST-Écobrick'!$F$31)</f>
        <v/>
      </c>
    </row>
    <row r="33" spans="2:14" ht="11.25" customHeight="1" x14ac:dyDescent="0.25">
      <c r="B33" s="60" t="s">
        <v>22</v>
      </c>
      <c r="C33" s="63" t="str">
        <f>IF(ISBLANK('[1]COST-Écobrick'!$C32),"",'[1]COST-Écobrick'!$C32)</f>
        <v/>
      </c>
      <c r="D33" s="63"/>
      <c r="E33" s="61" t="s">
        <v>23</v>
      </c>
      <c r="F33" s="25" t="str">
        <f>IF(ISBLANK(C33),"",'[1]COST-Écobrick'!$F$32)</f>
        <v/>
      </c>
      <c r="J33" s="60" t="s">
        <v>22</v>
      </c>
      <c r="K33" s="63" t="str">
        <f>IF(ISBLANK('[1]COST-Écobrick'!$C32),"",'[1]COST-Écobrick'!$C32)</f>
        <v/>
      </c>
      <c r="L33" s="63"/>
      <c r="M33" t="s">
        <v>18</v>
      </c>
      <c r="N33" s="62" t="str">
        <f>IF(ISBLANK(K33),"",'[1]COST-Écobrick'!$F$32)</f>
        <v/>
      </c>
    </row>
    <row r="34" spans="2:14" ht="11.25" customHeight="1" x14ac:dyDescent="0.25">
      <c r="B34" s="47" t="s">
        <v>26</v>
      </c>
      <c r="C34" s="48"/>
      <c r="D34" s="48"/>
      <c r="E34" s="49" t="s">
        <v>12</v>
      </c>
      <c r="F34" s="50" t="str">
        <f>IF('[1]COST-Écobrick'!T40&gt;0,'[1]COST-Écobrick'!N13,"")</f>
        <v/>
      </c>
      <c r="J34" s="47" t="s">
        <v>27</v>
      </c>
      <c r="K34" s="48"/>
      <c r="L34" s="48"/>
      <c r="M34" s="51" t="s">
        <v>12</v>
      </c>
      <c r="N34" s="50" t="str">
        <f>IF('[1]COST-Écobrick'!T40&gt;0,'[1]COST-Écobrick'!N13,"")</f>
        <v/>
      </c>
    </row>
    <row r="35" spans="2:14" ht="11.25" customHeight="1" x14ac:dyDescent="0.25">
      <c r="B35" s="52" t="s">
        <v>14</v>
      </c>
      <c r="C35" s="53"/>
      <c r="D35" s="61" t="str">
        <f>COUNTIF('[1]COST-Écobrick'!M17:M19,"&lt;&gt;")&amp;" pour "&amp;'[1]COST-Écobrick'!R13&amp;" Jour(s) "</f>
        <v xml:space="preserve">0 pour 0 Jour(s) </v>
      </c>
      <c r="F35" s="25"/>
      <c r="J35" s="55" t="s">
        <v>15</v>
      </c>
      <c r="K35" s="56"/>
      <c r="L35" s="56" t="str">
        <f>IF(ISBLANK('[1]COST-Écobrick'!$O$44),"",'[1]COST-Écobrick'!$O$44)&amp;" fournit par "&amp;IF('[1]COST-Écobrick'!$O$44="","Le Client (si applicable)",IF('[1]COST-Écobrick'!$O$44="s/o","s/o",IF('[1]COST-Écobrick'!$O$44="Écobrick TMZ-50","Groupe Écobrick","Groupe Écobrick")))</f>
        <v xml:space="preserve"> fournit par Le Client (si applicable)</v>
      </c>
      <c r="M35" s="56"/>
      <c r="N35" s="57"/>
    </row>
    <row r="36" spans="2:14" ht="11.25" customHeight="1" x14ac:dyDescent="0.25">
      <c r="B36" s="52" t="s">
        <v>15</v>
      </c>
      <c r="C36" s="53"/>
      <c r="D36" s="56" t="str">
        <f>IF(ISBLANK('[1]COST-Écobrick'!$O$44),"",'[1]COST-Écobrick'!$O$44)&amp;" fournit par "&amp;IF('[1]COST-Écobrick'!$O$44="","Le Client (si applicable)",IF('[1]COST-Écobrick'!$O$44="s/o","s/o",IF('[1]COST-Écobrick'!$O$44="Écobrick TMZ-50","Groupe Écobrick","Groupe Écobrick")))</f>
        <v xml:space="preserve"> fournit par Le Client (si applicable)</v>
      </c>
      <c r="E36" s="56"/>
      <c r="F36" s="57"/>
      <c r="J36" s="34"/>
      <c r="K36" s="58"/>
      <c r="L36" s="58"/>
      <c r="N36" s="25"/>
    </row>
    <row r="37" spans="2:14" ht="11.25" customHeight="1" x14ac:dyDescent="0.25">
      <c r="B37" s="55" t="s">
        <v>16</v>
      </c>
      <c r="C37" s="56"/>
      <c r="F37" s="25"/>
      <c r="J37" s="55" t="s">
        <v>16</v>
      </c>
      <c r="K37" s="56"/>
      <c r="N37" s="25"/>
    </row>
    <row r="38" spans="2:14" ht="11.25" customHeight="1" x14ac:dyDescent="0.25">
      <c r="B38" s="55">
        <f>'[1]COST-Écobrick'!N4</f>
        <v>0</v>
      </c>
      <c r="C38" s="56"/>
      <c r="D38" s="56"/>
      <c r="E38" s="56"/>
      <c r="F38" s="57"/>
      <c r="J38" s="55">
        <f>B38</f>
        <v>0</v>
      </c>
      <c r="K38" s="56"/>
      <c r="L38" s="56"/>
      <c r="M38" s="56"/>
      <c r="N38" s="57"/>
    </row>
    <row r="39" spans="2:14" ht="11.25" customHeight="1" x14ac:dyDescent="0.25">
      <c r="B39" s="55" t="s">
        <v>17</v>
      </c>
      <c r="C39" s="56"/>
      <c r="E39" t="s">
        <v>18</v>
      </c>
      <c r="F39" s="25" t="s">
        <v>19</v>
      </c>
      <c r="J39" s="55" t="s">
        <v>17</v>
      </c>
      <c r="K39" s="56"/>
      <c r="M39" t="s">
        <v>18</v>
      </c>
      <c r="N39" s="25" t="s">
        <v>19</v>
      </c>
    </row>
    <row r="40" spans="2:14" ht="11.25" customHeight="1" x14ac:dyDescent="0.25">
      <c r="B40" s="60" t="s">
        <v>20</v>
      </c>
      <c r="C40" s="56" t="str">
        <f>IF(ISBLANK('[1]COST-Écobrick'!$M30),"",'[1]COST-Écobrick'!$M30)</f>
        <v/>
      </c>
      <c r="D40" s="56"/>
      <c r="E40" t="s">
        <v>18</v>
      </c>
      <c r="F40" s="62" t="str">
        <f>IF(ISBLANK($C40),"",'[1]COST-Écobrick'!$P$30)</f>
        <v/>
      </c>
      <c r="J40" s="60" t="s">
        <v>20</v>
      </c>
      <c r="K40" s="56" t="str">
        <f>IF(ISBLANK('[1]COST-Écobrick'!$M30),"",'[1]COST-Écobrick'!$M30)</f>
        <v/>
      </c>
      <c r="L40" s="56"/>
      <c r="M40" t="s">
        <v>18</v>
      </c>
      <c r="N40" s="62" t="str">
        <f>IF(ISBLANK($K40),"",'[1]COST-Écobrick'!$P$30)</f>
        <v/>
      </c>
    </row>
    <row r="41" spans="2:14" ht="11.25" customHeight="1" x14ac:dyDescent="0.25">
      <c r="B41" s="60" t="s">
        <v>21</v>
      </c>
      <c r="C41" s="56" t="str">
        <f>IF(ISBLANK('[1]COST-Écobrick'!$M31),"",'[1]COST-Écobrick'!$M31)</f>
        <v/>
      </c>
      <c r="D41" s="56"/>
      <c r="E41" t="s">
        <v>18</v>
      </c>
      <c r="F41" s="62" t="str">
        <f>IF(ISBLANK($C41),"",'[1]COST-Écobrick'!$P$31)</f>
        <v/>
      </c>
      <c r="J41" s="60" t="s">
        <v>21</v>
      </c>
      <c r="K41" s="56" t="str">
        <f>IF(ISBLANK('[1]COST-Écobrick'!$M31),"",'[1]COST-Écobrick'!$M31)</f>
        <v/>
      </c>
      <c r="L41" s="56"/>
      <c r="M41" t="s">
        <v>18</v>
      </c>
      <c r="N41" s="62" t="str">
        <f>IF(ISBLANK($K41),"",'[1]COST-Écobrick'!$P$31)</f>
        <v/>
      </c>
    </row>
    <row r="42" spans="2:14" ht="11.25" customHeight="1" x14ac:dyDescent="0.25">
      <c r="B42" s="60" t="s">
        <v>22</v>
      </c>
      <c r="C42" s="63" t="str">
        <f>IF(ISBLANK('[1]COST-Écobrick'!$M32),"",'[1]COST-Écobrick'!$M32)</f>
        <v/>
      </c>
      <c r="D42" s="63"/>
      <c r="E42" t="s">
        <v>23</v>
      </c>
      <c r="F42" s="62" t="str">
        <f>IF(ISBLANK($C42),"",'[1]COST-Écobrick'!$P$32)</f>
        <v/>
      </c>
      <c r="J42" s="60" t="s">
        <v>22</v>
      </c>
      <c r="K42" s="63" t="str">
        <f>IF(ISBLANK('[1]COST-Écobrick'!$M32),"",'[1]COST-Écobrick'!$M32)</f>
        <v/>
      </c>
      <c r="L42" s="63"/>
      <c r="M42" t="s">
        <v>18</v>
      </c>
      <c r="N42" s="62" t="str">
        <f>IF(ISBLANK($K42),"",'[1]COST-Écobrick'!$P$32)</f>
        <v/>
      </c>
    </row>
    <row r="43" spans="2:14" ht="11.25" customHeight="1" x14ac:dyDescent="0.25">
      <c r="B43" s="65" t="s">
        <v>28</v>
      </c>
      <c r="C43" s="66"/>
      <c r="D43" s="66"/>
      <c r="E43" s="49" t="s">
        <v>12</v>
      </c>
      <c r="F43" s="50">
        <f>IF('[1]COST-Nawkaw'!AC40&gt;0,'[1]COST-Nawkaw'!W13,"")</f>
        <v>25</v>
      </c>
      <c r="J43" s="65" t="s">
        <v>29</v>
      </c>
      <c r="K43" s="66"/>
      <c r="L43" s="66"/>
      <c r="M43" s="51" t="s">
        <v>12</v>
      </c>
      <c r="N43" s="50">
        <f>F43</f>
        <v>25</v>
      </c>
    </row>
    <row r="44" spans="2:14" ht="11.25" customHeight="1" x14ac:dyDescent="0.25">
      <c r="B44" s="52" t="s">
        <v>14</v>
      </c>
      <c r="C44" s="53"/>
      <c r="D44" s="53" t="str">
        <f>COUNTIF('[1]COST-Nawkaw'!V17:V19,"&lt;&gt;")&amp;" pour "&amp;'[1]COST-Nawkaw'!AA13&amp;" Jour(s) "</f>
        <v xml:space="preserve">1 pour 0,025 Jour(s) </v>
      </c>
      <c r="E44" s="53"/>
      <c r="F44" s="54"/>
      <c r="J44" s="55" t="s">
        <v>15</v>
      </c>
      <c r="K44" s="56"/>
      <c r="L44" s="56" t="str">
        <f>D45</f>
        <v xml:space="preserve"> fournit par Le Client (si applicable)</v>
      </c>
      <c r="M44" s="56"/>
      <c r="N44" s="57"/>
    </row>
    <row r="45" spans="2:14" ht="11.25" customHeight="1" x14ac:dyDescent="0.25">
      <c r="B45" s="52" t="s">
        <v>15</v>
      </c>
      <c r="C45" s="53"/>
      <c r="D45" s="56" t="str">
        <f>IF(ISBLANK('[1]COST-Nawkaw'!$X$44),"",'[1]COST-Nawkaw'!$X$44)&amp;" fournit par "&amp;IF('[1]COST-Nawkaw'!$X$44="","Le Client (si applicable)",IF('[1]COST-Nawkaw'!$X$44="s/o","s/o",IF('[1]COST-Nawkaw'!$X$44="Nawkaw TMZ-50","Groupe Écobrick","Groupe Écobrick")))</f>
        <v xml:space="preserve"> fournit par Le Client (si applicable)</v>
      </c>
      <c r="E45" s="56"/>
      <c r="F45" s="57"/>
      <c r="J45" s="34"/>
      <c r="N45" s="25"/>
    </row>
    <row r="46" spans="2:14" ht="11.25" customHeight="1" x14ac:dyDescent="0.25">
      <c r="B46" s="55" t="s">
        <v>16</v>
      </c>
      <c r="C46" s="56"/>
      <c r="D46" s="58"/>
      <c r="E46" s="58"/>
      <c r="F46" s="59"/>
      <c r="J46" s="55" t="s">
        <v>16</v>
      </c>
      <c r="K46" s="56"/>
      <c r="N46" s="25"/>
    </row>
    <row r="47" spans="2:14" ht="11.25" customHeight="1" x14ac:dyDescent="0.25">
      <c r="B47" s="55">
        <f>'[1]COST-Nawkaw'!W4</f>
        <v>5</v>
      </c>
      <c r="C47" s="56"/>
      <c r="D47" s="56"/>
      <c r="E47" s="56"/>
      <c r="F47" s="57"/>
      <c r="J47" s="55">
        <f>B47</f>
        <v>5</v>
      </c>
      <c r="K47" s="56"/>
      <c r="L47" s="56"/>
      <c r="M47" s="56"/>
      <c r="N47" s="57"/>
    </row>
    <row r="48" spans="2:14" ht="11.25" customHeight="1" x14ac:dyDescent="0.25">
      <c r="B48" s="55" t="s">
        <v>17</v>
      </c>
      <c r="C48" s="56"/>
      <c r="E48" t="s">
        <v>18</v>
      </c>
      <c r="F48" s="25" t="s">
        <v>19</v>
      </c>
      <c r="J48" s="55" t="s">
        <v>17</v>
      </c>
      <c r="K48" s="56"/>
      <c r="M48" t="s">
        <v>18</v>
      </c>
      <c r="N48" s="25" t="s">
        <v>19</v>
      </c>
    </row>
    <row r="49" spans="1:14" ht="11.25" customHeight="1" x14ac:dyDescent="0.25">
      <c r="B49" s="60" t="s">
        <v>20</v>
      </c>
      <c r="C49" s="56" t="str">
        <f>IF(ISBLANK('[1]COST-Nawkaw'!$V30),"",'[1]COST-Nawkaw'!$V30)</f>
        <v>NawTone (1 gallon)</v>
      </c>
      <c r="D49" s="56"/>
      <c r="E49" s="61" t="s">
        <v>18</v>
      </c>
      <c r="F49" s="25">
        <f>IF(ISBLANK(C49),"",'[1]COST-Nawkaw'!$Y$30)</f>
        <v>1</v>
      </c>
      <c r="J49" s="60" t="s">
        <v>20</v>
      </c>
      <c r="K49" s="56" t="str">
        <f>C49</f>
        <v>NawTone (1 gallon)</v>
      </c>
      <c r="L49" s="56"/>
      <c r="M49" t="s">
        <v>18</v>
      </c>
      <c r="N49" s="62">
        <f>F49</f>
        <v>1</v>
      </c>
    </row>
    <row r="50" spans="1:14" ht="11.25" customHeight="1" x14ac:dyDescent="0.25">
      <c r="B50" s="60" t="s">
        <v>21</v>
      </c>
      <c r="C50" s="56" t="str">
        <f>IF(ISBLANK('[1]COST-Nawkaw'!$V31),"",'[1]COST-Nawkaw'!$V31)</f>
        <v/>
      </c>
      <c r="D50" s="56"/>
      <c r="E50" s="61" t="s">
        <v>18</v>
      </c>
      <c r="F50" s="25" t="str">
        <f>IF(ISBLANK(C50),"",'[1]COST-Nawkaw'!$Y$31)</f>
        <v/>
      </c>
      <c r="J50" s="60" t="s">
        <v>21</v>
      </c>
      <c r="K50" s="56" t="str">
        <f>C50</f>
        <v/>
      </c>
      <c r="L50" s="56"/>
      <c r="M50" t="s">
        <v>18</v>
      </c>
      <c r="N50" s="62" t="str">
        <f>F50</f>
        <v/>
      </c>
    </row>
    <row r="51" spans="1:14" ht="11.25" customHeight="1" x14ac:dyDescent="0.25">
      <c r="B51" s="60" t="s">
        <v>22</v>
      </c>
      <c r="C51" s="63" t="str">
        <f>IF(ISBLANK('[1]COST-Nawkaw'!$V32),"",'[1]COST-Nawkaw'!$V32)</f>
        <v/>
      </c>
      <c r="D51" s="63"/>
      <c r="E51" s="61" t="s">
        <v>23</v>
      </c>
      <c r="F51" s="25" t="str">
        <f>IF(ISBLANK(C51),"",'[1]COST-Nawkaw'!$Y$32)</f>
        <v/>
      </c>
      <c r="J51" s="60" t="s">
        <v>22</v>
      </c>
      <c r="K51" s="63" t="str">
        <f>C51</f>
        <v/>
      </c>
      <c r="L51" s="63"/>
      <c r="M51" t="s">
        <v>18</v>
      </c>
      <c r="N51" s="62" t="str">
        <f>F51</f>
        <v/>
      </c>
    </row>
    <row r="52" spans="1:14" ht="11.25" customHeight="1" x14ac:dyDescent="0.25">
      <c r="B52" s="65" t="s">
        <v>30</v>
      </c>
      <c r="C52" s="66"/>
      <c r="D52" s="66"/>
      <c r="E52" s="49" t="s">
        <v>12</v>
      </c>
      <c r="F52" s="50" t="str">
        <f>IF('[1]COST-Nawkaw'!J40&gt;0,'[1]COST-Nawkaw'!D13,"")</f>
        <v/>
      </c>
      <c r="J52" s="65" t="s">
        <v>31</v>
      </c>
      <c r="K52" s="66"/>
      <c r="L52" s="66"/>
      <c r="M52" s="51" t="s">
        <v>12</v>
      </c>
      <c r="N52" s="50" t="str">
        <f>IF('[1]COST-Nawkaw'!J40&gt;0,'[1]COST-Nawkaw'!D13,"")</f>
        <v/>
      </c>
    </row>
    <row r="53" spans="1:14" ht="11.25" customHeight="1" x14ac:dyDescent="0.25">
      <c r="B53" s="52" t="s">
        <v>32</v>
      </c>
      <c r="C53" s="53"/>
      <c r="D53" s="61" t="str">
        <f>COUNTIF('[1]COST-Nawkaw'!C17:C19,"&lt;&gt;")&amp;" pour "&amp;'[1]COST-Nawkaw'!H13&amp;" Jour(s) "</f>
        <v xml:space="preserve">0 pour 0 Jour(s) </v>
      </c>
      <c r="F53" s="25"/>
      <c r="J53" s="55" t="s">
        <v>15</v>
      </c>
      <c r="K53" s="56"/>
      <c r="L53" s="56" t="str">
        <f>IF(ISBLANK('[1]COST-Nawkaw'!$E$44),"",'[1]COST-Nawkaw'!$E$44)&amp;" fournit par "&amp;IF('[1]COST-Nawkaw'!$E$44="","Le Client (si applicable)",IF('[1]COST-Nawkaw'!$E$44="s/o","s/o",IF('[1]COST-Nawkaw'!$E$44="Écobrick TMZ-50","Nawkaw Quebec","Nawkaw Quebec")))</f>
        <v xml:space="preserve"> fournit par Le Client (si applicable)</v>
      </c>
      <c r="M53" s="56"/>
      <c r="N53" s="57"/>
    </row>
    <row r="54" spans="1:14" ht="11.25" customHeight="1" x14ac:dyDescent="0.25">
      <c r="B54" s="52" t="s">
        <v>15</v>
      </c>
      <c r="C54" s="53"/>
      <c r="D54" s="56" t="str">
        <f>IF(ISBLANK('[1]COST-Nawkaw'!$E$44),"",'[1]COST-Nawkaw'!$E$44)&amp;" fournit par "&amp;IF('[1]COST-Nawkaw'!$E$44="","Le Client (si applicable)",IF('[1]COST-Nawkaw'!$E$44="s/o","s/o",IF('[1]COST-Nawkaw'!$E$44="Écobrick TMZ-50","Nawkaw Quebec","Nawkaw Quebec")))</f>
        <v xml:space="preserve"> fournit par Le Client (si applicable)</v>
      </c>
      <c r="E54" s="56"/>
      <c r="F54" s="57"/>
      <c r="J54" s="34"/>
      <c r="K54" s="58"/>
      <c r="L54" s="58"/>
      <c r="N54" s="25"/>
    </row>
    <row r="55" spans="1:14" ht="11.25" customHeight="1" x14ac:dyDescent="0.25">
      <c r="B55" s="55" t="s">
        <v>16</v>
      </c>
      <c r="C55" s="56"/>
      <c r="F55" s="25"/>
      <c r="J55" s="55" t="s">
        <v>16</v>
      </c>
      <c r="K55" s="56"/>
      <c r="N55" s="25"/>
    </row>
    <row r="56" spans="1:14" ht="11.25" customHeight="1" x14ac:dyDescent="0.25">
      <c r="B56" s="55" t="str">
        <f>J56</f>
        <v/>
      </c>
      <c r="C56" s="56"/>
      <c r="D56" s="56"/>
      <c r="E56" s="56"/>
      <c r="F56" s="57"/>
      <c r="J56" s="55" t="str">
        <f>IF('[1]COST-Nawkaw'!J40&gt;0,'[1]COST-Nawkaw'!D4,"")</f>
        <v/>
      </c>
      <c r="K56" s="56"/>
      <c r="L56" s="56"/>
      <c r="M56" s="56"/>
      <c r="N56" s="57"/>
    </row>
    <row r="57" spans="1:14" ht="11.25" customHeight="1" x14ac:dyDescent="0.25">
      <c r="B57" s="55" t="s">
        <v>17</v>
      </c>
      <c r="C57" s="56"/>
      <c r="E57" t="s">
        <v>18</v>
      </c>
      <c r="F57" s="25" t="s">
        <v>19</v>
      </c>
      <c r="J57" s="55" t="s">
        <v>17</v>
      </c>
      <c r="K57" s="56"/>
      <c r="M57" t="s">
        <v>18</v>
      </c>
      <c r="N57" s="25" t="s">
        <v>19</v>
      </c>
    </row>
    <row r="58" spans="1:14" ht="11.25" customHeight="1" x14ac:dyDescent="0.25">
      <c r="B58" s="60" t="s">
        <v>20</v>
      </c>
      <c r="C58" s="56" t="str">
        <f>IF(ISBLANK('[1]COST-Nawkaw'!$C30),"",'[1]COST-Nawkaw'!$C30)</f>
        <v/>
      </c>
      <c r="D58" s="56"/>
      <c r="E58" t="s">
        <v>18</v>
      </c>
      <c r="F58" s="25" t="str">
        <f>IF(ISBLANK(C58),"",'[1]COST-Nawkaw'!$F$30)</f>
        <v/>
      </c>
      <c r="J58" s="60" t="s">
        <v>20</v>
      </c>
      <c r="K58" s="56" t="str">
        <f>IF(ISBLANK('[1]COST-Nawkaw'!$C30),"",'[1]COST-Nawkaw'!$C30)</f>
        <v/>
      </c>
      <c r="L58" s="56"/>
      <c r="M58" s="61" t="s">
        <v>18</v>
      </c>
      <c r="N58" s="25" t="str">
        <f>IF(ISBLANK(K58),"",'[1]COST-Nawkaw'!$F$30)</f>
        <v/>
      </c>
    </row>
    <row r="59" spans="1:14" ht="11.25" customHeight="1" x14ac:dyDescent="0.25">
      <c r="B59" s="60" t="s">
        <v>21</v>
      </c>
      <c r="C59" s="56" t="str">
        <f>IF(ISBLANK('[1]COST-Nawkaw'!$C31),"",'[1]COST-Nawkaw'!$C31)</f>
        <v/>
      </c>
      <c r="D59" s="56"/>
      <c r="E59" t="s">
        <v>18</v>
      </c>
      <c r="F59" s="25" t="str">
        <f>IF(ISBLANK($C59),"",'[1]COST-Nawkaw'!$F$31)</f>
        <v/>
      </c>
      <c r="J59" s="60" t="s">
        <v>21</v>
      </c>
      <c r="K59" s="56" t="str">
        <f>IF(ISBLANK('[1]COST-Nawkaw'!$C31),"",'[1]COST-Nawkaw'!$C31)</f>
        <v/>
      </c>
      <c r="L59" s="56"/>
      <c r="M59" s="61" t="s">
        <v>18</v>
      </c>
      <c r="N59" s="25" t="str">
        <f>IF(ISBLANK($K59),"",'[1]COST-Nawkaw'!$F$31)</f>
        <v/>
      </c>
    </row>
    <row r="60" spans="1:14" ht="11.25" customHeight="1" x14ac:dyDescent="0.25">
      <c r="B60" s="60" t="s">
        <v>22</v>
      </c>
      <c r="C60" s="63" t="str">
        <f>IF(ISBLANK('[1]COST-Nawkaw'!$C32),"",'[1]COST-Nawkaw'!$C32)</f>
        <v/>
      </c>
      <c r="D60" s="63"/>
      <c r="E60" t="s">
        <v>23</v>
      </c>
      <c r="F60" s="25" t="str">
        <f>IF(ISBLANK($C60),"",'[1]COST-Nawkaw'!$F$32)</f>
        <v/>
      </c>
      <c r="J60" s="60" t="s">
        <v>22</v>
      </c>
      <c r="K60" s="56" t="str">
        <f>IF(ISBLANK('[1]COST-Nawkaw'!$C32),"",'[1]COST-Nawkaw'!$C32)</f>
        <v/>
      </c>
      <c r="L60" s="56"/>
      <c r="M60" t="s">
        <v>18</v>
      </c>
      <c r="N60" s="25" t="str">
        <f>IF(ISBLANK($K60),"",'[1]COST-Nawkaw'!$F$32)</f>
        <v/>
      </c>
    </row>
    <row r="61" spans="1:14" ht="11.25" customHeight="1" x14ac:dyDescent="0.25">
      <c r="A61" s="64"/>
      <c r="B61" s="65" t="s">
        <v>33</v>
      </c>
      <c r="C61" s="66"/>
      <c r="D61" s="66"/>
      <c r="E61" s="49" t="s">
        <v>12</v>
      </c>
      <c r="F61" s="50" t="str">
        <f>IF('[1]COST-Nawkaw'!J40&gt;0,'[1]COST-Nawkaw'!N13,"")</f>
        <v/>
      </c>
      <c r="J61" s="65" t="s">
        <v>34</v>
      </c>
      <c r="K61" s="66"/>
      <c r="L61" s="66"/>
      <c r="M61" s="49" t="s">
        <v>12</v>
      </c>
      <c r="N61" s="50" t="str">
        <f>IF('[1]COST-Nawkaw'!J40&gt;0,'[1]COST-Nawkaw'!N13,"")</f>
        <v/>
      </c>
    </row>
    <row r="62" spans="1:14" ht="11.25" customHeight="1" x14ac:dyDescent="0.25">
      <c r="A62" s="64"/>
      <c r="B62" s="52" t="s">
        <v>32</v>
      </c>
      <c r="C62" s="53"/>
      <c r="D62" s="61" t="str">
        <f>COUNTIF('[1]COST-Nawkaw'!M17:M19,"&lt;&gt;")&amp;" pour "&amp;'[1]COST-Nawkaw'!R13&amp;" Jour(s) "</f>
        <v xml:space="preserve">0 pour 0 Jour(s) </v>
      </c>
      <c r="F62" s="25"/>
      <c r="J62" s="55" t="s">
        <v>15</v>
      </c>
      <c r="K62" s="56"/>
      <c r="L62" s="56" t="str">
        <f>IF(ISBLANK('[1]COST-Nawkaw'!$O$44),"",'[1]COST-Nawkaw'!$O$44)&amp;" fournit par "&amp;IF('[1]COST-Nawkaw'!$O$44="","Le Client (si applicable)",IF('[1]COST-Nawkaw'!$O$44="s/o","s/o",IF('[1]COST-Nawkaw'!$O$44="Écobrick TMZ-50","Nawkaw Quebec","Nawkaw Quebec")))</f>
        <v xml:space="preserve"> fournit par Le Client (si applicable)</v>
      </c>
      <c r="M62" s="56"/>
      <c r="N62" s="57"/>
    </row>
    <row r="63" spans="1:14" ht="11.25" customHeight="1" x14ac:dyDescent="0.25">
      <c r="A63" s="64"/>
      <c r="B63" s="52" t="s">
        <v>15</v>
      </c>
      <c r="C63" s="53"/>
      <c r="D63" s="56" t="str">
        <f>IF(ISBLANK('[1]COST-Nawkaw'!$O$44),"",'[1]COST-Nawkaw'!$O$44)&amp;" fournit par "&amp;IF('[1]COST-Nawkaw'!$O$44="","Le Client (si applicable)",IF('[1]COST-Nawkaw'!$O$44="s/o","s/o",IF('[1]COST-Nawkaw'!$O$44="Écobrick TMZ-50","Nawkaw Quebec","Nawkaw Quebec")))</f>
        <v xml:space="preserve"> fournit par Le Client (si applicable)</v>
      </c>
      <c r="E63" s="56"/>
      <c r="F63" s="57"/>
      <c r="J63" s="34"/>
      <c r="K63" s="58"/>
      <c r="L63" s="58"/>
      <c r="N63" s="25"/>
    </row>
    <row r="64" spans="1:14" ht="11.25" customHeight="1" x14ac:dyDescent="0.25">
      <c r="A64" s="64"/>
      <c r="B64" s="55" t="s">
        <v>16</v>
      </c>
      <c r="C64" s="56"/>
      <c r="F64" s="25"/>
      <c r="J64" s="55" t="s">
        <v>16</v>
      </c>
      <c r="K64" s="56"/>
      <c r="N64" s="25"/>
    </row>
    <row r="65" spans="1:14" ht="11.25" customHeight="1" x14ac:dyDescent="0.25">
      <c r="A65" s="64"/>
      <c r="B65" s="55" t="str">
        <f>J65</f>
        <v/>
      </c>
      <c r="C65" s="56"/>
      <c r="D65" s="56"/>
      <c r="E65" s="56"/>
      <c r="F65" s="57"/>
      <c r="J65" s="55" t="str">
        <f>IF('[1]COST-Nawkaw'!T40&gt;0,'[1]COST-Nawkaw'!N4,"")</f>
        <v/>
      </c>
      <c r="K65" s="56"/>
      <c r="L65" s="56"/>
      <c r="M65" s="56"/>
      <c r="N65" s="57"/>
    </row>
    <row r="66" spans="1:14" ht="11.25" customHeight="1" x14ac:dyDescent="0.25">
      <c r="A66" s="64"/>
      <c r="B66" s="34" t="s">
        <v>17</v>
      </c>
      <c r="E66" t="s">
        <v>18</v>
      </c>
      <c r="F66" s="25" t="s">
        <v>19</v>
      </c>
      <c r="J66" s="34" t="s">
        <v>17</v>
      </c>
      <c r="M66" t="s">
        <v>18</v>
      </c>
      <c r="N66" s="25" t="s">
        <v>19</v>
      </c>
    </row>
    <row r="67" spans="1:14" ht="11.25" customHeight="1" x14ac:dyDescent="0.25">
      <c r="A67" s="64"/>
      <c r="B67" s="60" t="s">
        <v>20</v>
      </c>
      <c r="C67" s="56" t="str">
        <f>IF(ISBLANK('[1]COST-Nawkaw'!$M30),"",'[1]COST-Nawkaw'!$M30)</f>
        <v/>
      </c>
      <c r="D67" s="56"/>
      <c r="E67" s="61" t="s">
        <v>18</v>
      </c>
      <c r="F67" s="25" t="str">
        <f>IF(ISBLANK($C67),"",'[1]COST-Nawkaw'!$P$30)</f>
        <v/>
      </c>
      <c r="J67" s="60" t="s">
        <v>20</v>
      </c>
      <c r="K67" s="56" t="str">
        <f>IF(ISBLANK('[1]COST-Nawkaw'!$M30),"",'[1]COST-Nawkaw'!$M30)</f>
        <v/>
      </c>
      <c r="L67" s="56"/>
      <c r="M67" s="61" t="s">
        <v>18</v>
      </c>
      <c r="N67" s="25" t="str">
        <f>IF(ISBLANK($K67),"",'[1]COST-Nawkaw'!$P$30)</f>
        <v/>
      </c>
    </row>
    <row r="68" spans="1:14" ht="11.25" customHeight="1" x14ac:dyDescent="0.25">
      <c r="A68" s="64"/>
      <c r="B68" s="60" t="s">
        <v>21</v>
      </c>
      <c r="C68" s="56" t="str">
        <f>IF(ISBLANK('[1]COST-Nawkaw'!$M31),"",'[1]COST-Nawkaw'!$M31)</f>
        <v/>
      </c>
      <c r="D68" s="56"/>
      <c r="E68" s="61" t="s">
        <v>18</v>
      </c>
      <c r="F68" s="25" t="str">
        <f>IF(ISBLANK($C68),"",'[1]COST-Nawkaw'!$P$31)</f>
        <v/>
      </c>
      <c r="J68" s="60" t="s">
        <v>21</v>
      </c>
      <c r="K68" s="56" t="str">
        <f>IF(ISBLANK('[1]COST-Nawkaw'!$M31),"",'[1]COST-Nawkaw'!$M31)</f>
        <v/>
      </c>
      <c r="L68" s="56"/>
      <c r="M68" s="61" t="s">
        <v>18</v>
      </c>
      <c r="N68" s="25" t="str">
        <f>IF(ISBLANK($K68),"",'[1]COST-Nawkaw'!$P$31)</f>
        <v/>
      </c>
    </row>
    <row r="69" spans="1:14" ht="11.25" customHeight="1" thickBot="1" x14ac:dyDescent="0.3">
      <c r="A69" s="64"/>
      <c r="B69" s="67" t="s">
        <v>22</v>
      </c>
      <c r="C69" s="68" t="str">
        <f>IF(ISBLANK('[1]COST-Nawkaw'!$M32),"",'[1]COST-Nawkaw'!$M32)</f>
        <v/>
      </c>
      <c r="D69" s="68"/>
      <c r="E69" s="69" t="s">
        <v>23</v>
      </c>
      <c r="F69" s="70" t="str">
        <f>IF(ISBLANK($C69),"",'[1]COST-Nawkaw'!$P$32)</f>
        <v/>
      </c>
      <c r="J69" s="67" t="s">
        <v>22</v>
      </c>
      <c r="K69" s="68" t="str">
        <f>IF(ISBLANK('[1]COST-Nawkaw'!$M32),"",'[1]COST-Nawkaw'!$M32)</f>
        <v/>
      </c>
      <c r="L69" s="68"/>
      <c r="M69" s="71" t="s">
        <v>18</v>
      </c>
      <c r="N69" s="70" t="str">
        <f>IF(ISBLANK($K69),"",'[1]COST-Nawkaw'!$P$32)</f>
        <v/>
      </c>
    </row>
    <row r="70" spans="1:14" ht="11.25" customHeight="1" x14ac:dyDescent="0.25">
      <c r="A70" s="64"/>
      <c r="B70" s="47" t="s">
        <v>35</v>
      </c>
      <c r="C70" s="48"/>
      <c r="D70" s="48"/>
      <c r="E70" s="49" t="s">
        <v>12</v>
      </c>
      <c r="F70" s="50" t="str">
        <f>IF('[1]COST-Écobrick'!J87&gt;0,'[1]COST-Écobrick'!D60,"")</f>
        <v/>
      </c>
      <c r="J70" s="47" t="s">
        <v>36</v>
      </c>
      <c r="K70" s="48"/>
      <c r="L70" s="48"/>
      <c r="M70" s="51" t="s">
        <v>12</v>
      </c>
      <c r="N70" s="50" t="str">
        <f>F70</f>
        <v/>
      </c>
    </row>
    <row r="71" spans="1:14" ht="11.25" customHeight="1" x14ac:dyDescent="0.25">
      <c r="A71" s="64"/>
      <c r="B71" s="52" t="s">
        <v>14</v>
      </c>
      <c r="C71" s="53"/>
      <c r="D71" s="53" t="str">
        <f>COUNTIF('[1]COST-Écobrick'!C64:C66,"&lt;&gt;")&amp;" pour "&amp;'[1]COST-Écobrick'!H60&amp;" Jour(s) "</f>
        <v xml:space="preserve">0 pour 0 Jour(s) </v>
      </c>
      <c r="E71" s="53"/>
      <c r="F71" s="54"/>
      <c r="J71" s="55" t="s">
        <v>15</v>
      </c>
      <c r="K71" s="56"/>
      <c r="L71" s="56" t="str">
        <f>D72</f>
        <v xml:space="preserve"> fournit par Le Client (si applicable)</v>
      </c>
      <c r="M71" s="56"/>
      <c r="N71" s="57"/>
    </row>
    <row r="72" spans="1:14" ht="11.25" customHeight="1" x14ac:dyDescent="0.25">
      <c r="A72" s="64"/>
      <c r="B72" s="52" t="s">
        <v>15</v>
      </c>
      <c r="C72" s="53"/>
      <c r="D72" s="56" t="str">
        <f>IF(ISBLANK('[1]COST-Écobrick'!$E$91),"",'[1]COST-Écobrick'!$E$91)&amp;" fournit par "&amp;IF('[1]COST-Écobrick'!$E$91="","Le Client (si applicable)",IF('[1]COST-Écobrick'!$E$91="s/o","s/o",IF('[1]COST-Écobrick'!$E$91="Écobrick TMZ-50","Groupe Écobrick","Groupe Écobrick")))</f>
        <v xml:space="preserve"> fournit par Le Client (si applicable)</v>
      </c>
      <c r="E72" s="56"/>
      <c r="F72" s="57"/>
      <c r="J72" s="34"/>
      <c r="N72" s="25"/>
    </row>
    <row r="73" spans="1:14" ht="11.25" customHeight="1" x14ac:dyDescent="0.25">
      <c r="A73" s="64"/>
      <c r="B73" s="55" t="s">
        <v>16</v>
      </c>
      <c r="C73" s="56"/>
      <c r="D73" s="58"/>
      <c r="E73" s="58"/>
      <c r="F73" s="59"/>
      <c r="J73" s="55" t="s">
        <v>16</v>
      </c>
      <c r="K73" s="56"/>
      <c r="N73" s="25"/>
    </row>
    <row r="74" spans="1:14" ht="11.25" customHeight="1" x14ac:dyDescent="0.25">
      <c r="A74" s="64"/>
      <c r="B74" s="55">
        <f>'[1]COST-Écobrick'!D51</f>
        <v>0</v>
      </c>
      <c r="C74" s="56"/>
      <c r="D74" s="56"/>
      <c r="E74" s="56"/>
      <c r="F74" s="57"/>
      <c r="J74" s="55">
        <f>B74</f>
        <v>0</v>
      </c>
      <c r="K74" s="56"/>
      <c r="L74" s="56"/>
      <c r="M74" s="56"/>
      <c r="N74" s="57"/>
    </row>
    <row r="75" spans="1:14" ht="11.25" customHeight="1" x14ac:dyDescent="0.25">
      <c r="A75" s="64"/>
      <c r="B75" s="55" t="s">
        <v>17</v>
      </c>
      <c r="C75" s="56"/>
      <c r="E75" t="s">
        <v>18</v>
      </c>
      <c r="F75" s="25" t="s">
        <v>19</v>
      </c>
      <c r="J75" s="55" t="s">
        <v>17</v>
      </c>
      <c r="K75" s="56"/>
      <c r="M75" t="s">
        <v>18</v>
      </c>
      <c r="N75" s="25" t="s">
        <v>19</v>
      </c>
    </row>
    <row r="76" spans="1:14" ht="11.25" customHeight="1" x14ac:dyDescent="0.25">
      <c r="A76" s="64"/>
      <c r="B76" s="60" t="s">
        <v>20</v>
      </c>
      <c r="C76" s="56" t="str">
        <f>IF(ISBLANK('[1]COST-Écobrick'!$C77),"",'[1]COST-Écobrick'!$C77)</f>
        <v/>
      </c>
      <c r="D76" s="56"/>
      <c r="E76" s="61" t="s">
        <v>18</v>
      </c>
      <c r="F76" s="25" t="str">
        <f>IF(ISBLANK(C76),"",'[1]COST-Écobrick'!$F$77)</f>
        <v/>
      </c>
      <c r="J76" s="60" t="s">
        <v>20</v>
      </c>
      <c r="K76" s="56" t="str">
        <f>C76</f>
        <v/>
      </c>
      <c r="L76" s="56"/>
      <c r="M76" t="s">
        <v>18</v>
      </c>
      <c r="N76" s="62" t="str">
        <f>F76</f>
        <v/>
      </c>
    </row>
    <row r="77" spans="1:14" ht="11.25" customHeight="1" x14ac:dyDescent="0.25">
      <c r="A77" s="64"/>
      <c r="B77" s="60" t="s">
        <v>21</v>
      </c>
      <c r="C77" s="56" t="str">
        <f>IF(ISBLANK('[1]COST-Écobrick'!$C78),"",'[1]COST-Écobrick'!$C78)</f>
        <v/>
      </c>
      <c r="D77" s="56"/>
      <c r="E77" s="61" t="s">
        <v>18</v>
      </c>
      <c r="F77" s="25" t="str">
        <f>IF(ISBLANK(C77),"",'[1]COST-Écobrick'!$F$78)</f>
        <v/>
      </c>
      <c r="J77" s="60" t="s">
        <v>21</v>
      </c>
      <c r="K77" s="56" t="str">
        <f>C77</f>
        <v/>
      </c>
      <c r="L77" s="56"/>
      <c r="M77" t="s">
        <v>18</v>
      </c>
      <c r="N77" s="62" t="str">
        <f>F77</f>
        <v/>
      </c>
    </row>
    <row r="78" spans="1:14" ht="11.25" customHeight="1" x14ac:dyDescent="0.25">
      <c r="A78" s="64"/>
      <c r="B78" s="60" t="s">
        <v>22</v>
      </c>
      <c r="C78" s="63" t="str">
        <f>IF(ISBLANK('[1]COST-Écobrick'!$C79),"",'[1]COST-Écobrick'!$C79)</f>
        <v/>
      </c>
      <c r="D78" s="63"/>
      <c r="E78" s="61" t="s">
        <v>23</v>
      </c>
      <c r="F78" s="25" t="str">
        <f>IF(ISBLANK(C78),"",'[1]COST-Écobrick'!$F$79)</f>
        <v/>
      </c>
      <c r="J78" s="60" t="s">
        <v>22</v>
      </c>
      <c r="K78" s="63" t="str">
        <f>C78</f>
        <v/>
      </c>
      <c r="L78" s="63"/>
      <c r="M78" t="s">
        <v>18</v>
      </c>
      <c r="N78" s="62" t="str">
        <f>F78</f>
        <v/>
      </c>
    </row>
    <row r="79" spans="1:14" ht="11.25" customHeight="1" x14ac:dyDescent="0.25">
      <c r="A79" s="64"/>
      <c r="B79" s="47" t="s">
        <v>37</v>
      </c>
      <c r="C79" s="48"/>
      <c r="D79" s="48"/>
      <c r="E79" s="49" t="s">
        <v>12</v>
      </c>
      <c r="F79" s="50" t="str">
        <f>IF('[1]COST-Écobrick'!T87&gt;0,'[1]COST-Écobrick'!N60,"")</f>
        <v/>
      </c>
      <c r="J79" s="47" t="s">
        <v>38</v>
      </c>
      <c r="K79" s="48"/>
      <c r="L79" s="48"/>
      <c r="M79" s="51" t="s">
        <v>12</v>
      </c>
      <c r="N79" s="50" t="str">
        <f>F79</f>
        <v/>
      </c>
    </row>
    <row r="80" spans="1:14" ht="11.25" customHeight="1" x14ac:dyDescent="0.25">
      <c r="A80" s="64"/>
      <c r="B80" s="52" t="s">
        <v>14</v>
      </c>
      <c r="C80" s="53"/>
      <c r="D80" s="61" t="str">
        <f>COUNTIF('[1]COST-Écobrick'!M64:M66,"&lt;&gt;")&amp;" pour "&amp;'[1]COST-Écobrick'!R60&amp;" Jour(s) "</f>
        <v xml:space="preserve">0 pour 0 Jour(s) </v>
      </c>
      <c r="F80" s="25"/>
      <c r="J80" s="55" t="s">
        <v>15</v>
      </c>
      <c r="K80" s="56"/>
      <c r="L80" s="56" t="str">
        <f>D81</f>
        <v xml:space="preserve"> fournit par Le Client (si applicable)</v>
      </c>
      <c r="M80" s="56"/>
      <c r="N80" s="57"/>
    </row>
    <row r="81" spans="1:14" ht="11.25" customHeight="1" x14ac:dyDescent="0.25">
      <c r="A81" s="64"/>
      <c r="B81" s="52" t="s">
        <v>15</v>
      </c>
      <c r="C81" s="53"/>
      <c r="D81" s="56" t="str">
        <f>IF(ISBLANK('[1]COST-Écobrick'!$O$91),"",'[1]COST-Écobrick'!$O$91)&amp;" fournit par "&amp;IF('[1]COST-Écobrick'!$O$91="","Le Client (si applicable)",IF('[1]COST-Écobrick'!$O$91="s/o","s/o",IF('[1]COST-Écobrick'!$O$91="Écobrick TMZ-50","Groupe Écobrick","Groupe Écobrick")))</f>
        <v xml:space="preserve"> fournit par Le Client (si applicable)</v>
      </c>
      <c r="E81" s="56"/>
      <c r="F81" s="57"/>
      <c r="J81" s="34"/>
      <c r="N81" s="25"/>
    </row>
    <row r="82" spans="1:14" ht="11.25" customHeight="1" x14ac:dyDescent="0.25">
      <c r="A82" s="64"/>
      <c r="B82" s="55" t="s">
        <v>16</v>
      </c>
      <c r="C82" s="56"/>
      <c r="F82" s="25"/>
      <c r="J82" s="55" t="s">
        <v>16</v>
      </c>
      <c r="K82" s="56"/>
      <c r="N82" s="25"/>
    </row>
    <row r="83" spans="1:14" ht="11.25" customHeight="1" x14ac:dyDescent="0.25">
      <c r="B83" s="55">
        <f>'[1]COST-Écobrick'!N51</f>
        <v>0</v>
      </c>
      <c r="C83" s="56"/>
      <c r="D83" s="56"/>
      <c r="E83" s="56"/>
      <c r="F83" s="57"/>
      <c r="J83" s="55">
        <f>B83</f>
        <v>0</v>
      </c>
      <c r="K83" s="56"/>
      <c r="L83" s="56"/>
      <c r="M83" s="56"/>
      <c r="N83" s="57"/>
    </row>
    <row r="84" spans="1:14" ht="11.25" customHeight="1" x14ac:dyDescent="0.25">
      <c r="B84" s="55" t="s">
        <v>17</v>
      </c>
      <c r="C84" s="56"/>
      <c r="E84" t="s">
        <v>18</v>
      </c>
      <c r="F84" s="25" t="s">
        <v>19</v>
      </c>
      <c r="J84" s="55" t="s">
        <v>17</v>
      </c>
      <c r="K84" s="56"/>
      <c r="M84" t="s">
        <v>18</v>
      </c>
      <c r="N84" s="25" t="s">
        <v>19</v>
      </c>
    </row>
    <row r="85" spans="1:14" ht="11.25" customHeight="1" x14ac:dyDescent="0.25">
      <c r="B85" s="60" t="s">
        <v>20</v>
      </c>
      <c r="C85" s="56" t="str">
        <f>IF(ISBLANK('[1]COST-Écobrick'!$M77),"",'[1]COST-Écobrick'!$M77)</f>
        <v/>
      </c>
      <c r="D85" s="56"/>
      <c r="E85" t="s">
        <v>18</v>
      </c>
      <c r="F85" s="62" t="str">
        <f>IF(ISBLANK($C85),"",'[1]COST-Écobrick'!$P$77)</f>
        <v/>
      </c>
      <c r="J85" s="60" t="s">
        <v>20</v>
      </c>
      <c r="K85" s="56" t="str">
        <f>C85</f>
        <v/>
      </c>
      <c r="L85" s="56"/>
      <c r="M85" t="s">
        <v>18</v>
      </c>
      <c r="N85" s="62" t="str">
        <f>F85</f>
        <v/>
      </c>
    </row>
    <row r="86" spans="1:14" ht="11.25" customHeight="1" x14ac:dyDescent="0.25">
      <c r="B86" s="60" t="s">
        <v>21</v>
      </c>
      <c r="C86" s="56" t="str">
        <f>IF(ISBLANK('[1]COST-Écobrick'!$M78),"",'[1]COST-Écobrick'!$M78)</f>
        <v/>
      </c>
      <c r="D86" s="56"/>
      <c r="E86" t="s">
        <v>18</v>
      </c>
      <c r="F86" s="62" t="str">
        <f>IF(ISBLANK($C86),"",'[1]COST-Écobrick'!$P$78)</f>
        <v/>
      </c>
      <c r="J86" s="60" t="s">
        <v>21</v>
      </c>
      <c r="K86" s="56" t="str">
        <f>C86</f>
        <v/>
      </c>
      <c r="L86" s="56"/>
      <c r="M86" t="s">
        <v>18</v>
      </c>
      <c r="N86" s="62" t="str">
        <f>F86</f>
        <v/>
      </c>
    </row>
    <row r="87" spans="1:14" ht="11.25" customHeight="1" x14ac:dyDescent="0.25">
      <c r="B87" s="60" t="s">
        <v>22</v>
      </c>
      <c r="C87" s="63" t="str">
        <f>IF(ISBLANK('[1]COST-Écobrick'!$M79),"",'[1]COST-Écobrick'!$M79)</f>
        <v/>
      </c>
      <c r="D87" s="63"/>
      <c r="E87" t="s">
        <v>23</v>
      </c>
      <c r="F87" s="62" t="str">
        <f>IF(ISBLANK($C87),"",'[1]COST-Écobrick'!$P$79)</f>
        <v/>
      </c>
      <c r="J87" s="60" t="s">
        <v>22</v>
      </c>
      <c r="K87" s="63" t="str">
        <f>C87</f>
        <v/>
      </c>
      <c r="L87" s="63"/>
      <c r="M87" t="s">
        <v>18</v>
      </c>
      <c r="N87" s="62" t="str">
        <f>F87</f>
        <v/>
      </c>
    </row>
    <row r="88" spans="1:14" ht="11.25" customHeight="1" x14ac:dyDescent="0.25">
      <c r="B88" s="65" t="s">
        <v>39</v>
      </c>
      <c r="C88" s="66"/>
      <c r="D88" s="66"/>
      <c r="E88" s="49" t="s">
        <v>12</v>
      </c>
      <c r="F88" s="50" t="str">
        <f>IF('[1]COST-Nawkaw'!J87&gt;0,'[1]COST-Nawkaw'!D60,"")</f>
        <v/>
      </c>
      <c r="J88" s="65" t="s">
        <v>40</v>
      </c>
      <c r="K88" s="66"/>
      <c r="L88" s="66"/>
      <c r="M88" s="51" t="s">
        <v>12</v>
      </c>
      <c r="N88" s="50" t="str">
        <f>F88</f>
        <v/>
      </c>
    </row>
    <row r="89" spans="1:14" ht="11.25" customHeight="1" x14ac:dyDescent="0.25">
      <c r="B89" s="52" t="s">
        <v>32</v>
      </c>
      <c r="C89" s="53"/>
      <c r="D89" s="61" t="str">
        <f>COUNTIF('[1]COST-Nawkaw'!C64:C66,"&lt;&gt;")&amp;" pour "&amp;'[1]COST-Nawkaw'!H60&amp;" Jour(s) "</f>
        <v xml:space="preserve">0 pour 0 Jour(s) </v>
      </c>
      <c r="F89" s="25"/>
      <c r="J89" s="55" t="s">
        <v>15</v>
      </c>
      <c r="K89" s="56"/>
      <c r="L89" s="56" t="str">
        <f>D90</f>
        <v xml:space="preserve"> fournit par Le Client (si applicable)</v>
      </c>
      <c r="M89" s="56"/>
      <c r="N89" s="57"/>
    </row>
    <row r="90" spans="1:14" ht="11.25" customHeight="1" x14ac:dyDescent="0.25">
      <c r="B90" s="52" t="s">
        <v>15</v>
      </c>
      <c r="C90" s="53"/>
      <c r="D90" s="56" t="str">
        <f>IF(ISBLANK('[1]COST-Nawkaw'!$E$91),"",'[1]COST-Nawkaw'!$E$91)&amp;" fournit par "&amp;IF('[1]COST-Nawkaw'!$E$91="","Le Client (si applicable)",IF('[1]COST-Nawkaw'!$E$91="s/o","s/o",IF('[1]COST-Nawkaw'!$E$91="Écobrick TMZ-50","Groupe Écobrick","Groupe Écobrick")))</f>
        <v xml:space="preserve"> fournit par Le Client (si applicable)</v>
      </c>
      <c r="E90" s="56"/>
      <c r="F90" s="57"/>
      <c r="J90" s="34"/>
      <c r="K90" s="58"/>
      <c r="L90" s="58"/>
      <c r="N90" s="25"/>
    </row>
    <row r="91" spans="1:14" ht="11.25" customHeight="1" x14ac:dyDescent="0.25">
      <c r="B91" s="55" t="s">
        <v>16</v>
      </c>
      <c r="C91" s="56"/>
      <c r="F91" s="25"/>
      <c r="J91" s="55" t="s">
        <v>16</v>
      </c>
      <c r="K91" s="56"/>
      <c r="N91" s="25"/>
    </row>
    <row r="92" spans="1:14" ht="11.25" customHeight="1" x14ac:dyDescent="0.25">
      <c r="B92" s="55">
        <f>'[1]COST-Nawkaw'!D51</f>
        <v>0</v>
      </c>
      <c r="C92" s="56"/>
      <c r="D92" s="56"/>
      <c r="E92" s="56"/>
      <c r="F92" s="57"/>
      <c r="J92" s="55">
        <f>B92</f>
        <v>0</v>
      </c>
      <c r="K92" s="56"/>
      <c r="L92" s="56"/>
      <c r="M92" s="56"/>
      <c r="N92" s="57"/>
    </row>
    <row r="93" spans="1:14" ht="11.25" customHeight="1" x14ac:dyDescent="0.25">
      <c r="B93" s="55" t="s">
        <v>17</v>
      </c>
      <c r="C93" s="56"/>
      <c r="E93" t="s">
        <v>18</v>
      </c>
      <c r="F93" s="25" t="s">
        <v>19</v>
      </c>
      <c r="J93" s="55" t="s">
        <v>17</v>
      </c>
      <c r="K93" s="56"/>
      <c r="M93" t="s">
        <v>18</v>
      </c>
      <c r="N93" s="25" t="s">
        <v>19</v>
      </c>
    </row>
    <row r="94" spans="1:14" ht="11.25" customHeight="1" x14ac:dyDescent="0.25">
      <c r="B94" s="60" t="s">
        <v>20</v>
      </c>
      <c r="C94" s="56" t="str">
        <f>IF(ISBLANK('[1]COST-Nawkaw'!$C77),"",'[1]COST-Nawkaw'!$C77)</f>
        <v/>
      </c>
      <c r="D94" s="56"/>
      <c r="E94" t="s">
        <v>18</v>
      </c>
      <c r="F94" s="62" t="str">
        <f>IF(ISBLANK(C94),"",'[1]COST-Nawkaw'!$F$77)</f>
        <v/>
      </c>
      <c r="J94" s="60" t="s">
        <v>20</v>
      </c>
      <c r="K94" s="56" t="str">
        <f>C94</f>
        <v/>
      </c>
      <c r="L94" s="56"/>
      <c r="M94" s="61" t="s">
        <v>18</v>
      </c>
      <c r="N94" s="25" t="str">
        <f>F94</f>
        <v/>
      </c>
    </row>
    <row r="95" spans="1:14" ht="11.25" customHeight="1" x14ac:dyDescent="0.25">
      <c r="B95" s="60" t="s">
        <v>21</v>
      </c>
      <c r="C95" s="56" t="str">
        <f>IF(ISBLANK('[1]COST-Nawkaw'!$C78),"",'[1]COST-Nawkaw'!$C78)</f>
        <v/>
      </c>
      <c r="D95" s="56"/>
      <c r="E95" t="s">
        <v>18</v>
      </c>
      <c r="F95" s="62" t="str">
        <f>IF(ISBLANK($C95),"",'[1]COST-Nawkaw'!$F$78)</f>
        <v/>
      </c>
      <c r="J95" s="60" t="s">
        <v>21</v>
      </c>
      <c r="K95" s="56" t="str">
        <f>C95</f>
        <v/>
      </c>
      <c r="L95" s="56"/>
      <c r="M95" s="61" t="s">
        <v>18</v>
      </c>
      <c r="N95" s="25" t="str">
        <f>F95</f>
        <v/>
      </c>
    </row>
    <row r="96" spans="1:14" ht="11.25" customHeight="1" x14ac:dyDescent="0.25">
      <c r="B96" s="60" t="s">
        <v>22</v>
      </c>
      <c r="C96" s="63" t="str">
        <f>IF(ISBLANK('[1]COST-Nawkaw'!$C79),"",'[1]COST-Nawkaw'!$C79)</f>
        <v/>
      </c>
      <c r="D96" s="63"/>
      <c r="E96" t="s">
        <v>23</v>
      </c>
      <c r="F96" s="62" t="str">
        <f>IF(ISBLANK($C96),"",'[1]COST-Nawkaw'!$F$79)</f>
        <v/>
      </c>
      <c r="J96" s="60" t="s">
        <v>22</v>
      </c>
      <c r="K96" s="56" t="str">
        <f>C96</f>
        <v/>
      </c>
      <c r="L96" s="56"/>
      <c r="M96" t="s">
        <v>18</v>
      </c>
      <c r="N96" s="25" t="str">
        <f>F96</f>
        <v/>
      </c>
    </row>
    <row r="97" spans="2:14" ht="11.25" customHeight="1" x14ac:dyDescent="0.25">
      <c r="B97" s="65" t="s">
        <v>41</v>
      </c>
      <c r="C97" s="66"/>
      <c r="D97" s="66"/>
      <c r="E97" s="49" t="s">
        <v>12</v>
      </c>
      <c r="F97" s="50" t="str">
        <f>IF('[1]COST-Nawkaw'!T87&gt;0,'[1]COST-Nawkaw'!N60,"")</f>
        <v/>
      </c>
      <c r="J97" s="65" t="s">
        <v>42</v>
      </c>
      <c r="K97" s="66"/>
      <c r="L97" s="66"/>
      <c r="M97" s="51" t="s">
        <v>12</v>
      </c>
      <c r="N97" s="50" t="str">
        <f>F97</f>
        <v/>
      </c>
    </row>
    <row r="98" spans="2:14" ht="11.25" customHeight="1" x14ac:dyDescent="0.25">
      <c r="B98" s="52" t="s">
        <v>32</v>
      </c>
      <c r="C98" s="53"/>
      <c r="D98" s="61" t="str">
        <f>COUNTIF('[1]COST-Nawkaw'!M64:M66,"&lt;&gt;")&amp;" pour "&amp;'[1]COST-Nawkaw'!R60&amp;" Jour(s) "</f>
        <v xml:space="preserve">0 pour 0 Jour(s) </v>
      </c>
      <c r="F98" s="25"/>
      <c r="J98" s="55" t="s">
        <v>15</v>
      </c>
      <c r="K98" s="56"/>
      <c r="L98" s="56" t="str">
        <f>D99</f>
        <v xml:space="preserve"> fournit par Le Client (si applicable)</v>
      </c>
      <c r="M98" s="56"/>
      <c r="N98" s="57"/>
    </row>
    <row r="99" spans="2:14" ht="11.25" customHeight="1" x14ac:dyDescent="0.25">
      <c r="B99" s="52" t="s">
        <v>15</v>
      </c>
      <c r="C99" s="53"/>
      <c r="D99" s="56" t="str">
        <f>IF(ISBLANK('[1]COST-Nawkaw'!$O$91),"",'[1]COST-Nawkaw'!$O$91)&amp;" fournit par "&amp;IF('[1]COST-Nawkaw'!$O$91="","Le Client (si applicable)",IF('[1]COST-Nawkaw'!$O$91="s/o","s/o",IF('[1]COST-Nawkaw'!$O$91="Écobrick TMZ-50","Groupe Écobrick","Groupe Écobrick")))</f>
        <v xml:space="preserve"> fournit par Le Client (si applicable)</v>
      </c>
      <c r="E99" s="56"/>
      <c r="F99" s="57"/>
      <c r="J99" s="34"/>
      <c r="K99" s="58"/>
      <c r="L99" s="58"/>
      <c r="N99" s="25"/>
    </row>
    <row r="100" spans="2:14" ht="11.25" customHeight="1" x14ac:dyDescent="0.25">
      <c r="B100" s="55" t="s">
        <v>16</v>
      </c>
      <c r="C100" s="56"/>
      <c r="F100" s="25"/>
      <c r="J100" s="55" t="s">
        <v>16</v>
      </c>
      <c r="K100" s="56"/>
      <c r="N100" s="25"/>
    </row>
    <row r="101" spans="2:14" ht="11.25" customHeight="1" x14ac:dyDescent="0.25">
      <c r="B101" s="55">
        <f>'[1]COST-Nawkaw'!N51</f>
        <v>0</v>
      </c>
      <c r="C101" s="56"/>
      <c r="D101" s="56"/>
      <c r="E101" s="56"/>
      <c r="F101" s="57"/>
      <c r="J101" s="55">
        <f>B101</f>
        <v>0</v>
      </c>
      <c r="K101" s="56"/>
      <c r="L101" s="56"/>
      <c r="M101" s="56"/>
      <c r="N101" s="57"/>
    </row>
    <row r="102" spans="2:14" ht="11.25" customHeight="1" x14ac:dyDescent="0.25">
      <c r="B102" s="55" t="s">
        <v>17</v>
      </c>
      <c r="C102" s="56"/>
      <c r="E102" t="s">
        <v>18</v>
      </c>
      <c r="F102" s="25" t="s">
        <v>19</v>
      </c>
      <c r="J102" s="55" t="s">
        <v>17</v>
      </c>
      <c r="K102" s="56"/>
      <c r="M102" t="s">
        <v>18</v>
      </c>
      <c r="N102" s="25" t="s">
        <v>19</v>
      </c>
    </row>
    <row r="103" spans="2:14" ht="11.25" customHeight="1" x14ac:dyDescent="0.25">
      <c r="B103" s="60" t="s">
        <v>20</v>
      </c>
      <c r="C103" s="56" t="str">
        <f>IF(ISBLANK('[1]COST-Nawkaw'!$M77),"",'[1]COST-Nawkaw'!$M77)</f>
        <v/>
      </c>
      <c r="D103" s="56"/>
      <c r="E103" t="s">
        <v>18</v>
      </c>
      <c r="F103" s="62" t="str">
        <f>IF(ISBLANK($C103),"",'[1]COST-Nawkaw'!$P$77)</f>
        <v/>
      </c>
      <c r="J103" s="60" t="s">
        <v>20</v>
      </c>
      <c r="K103" s="56" t="str">
        <f>C103</f>
        <v/>
      </c>
      <c r="L103" s="56"/>
      <c r="M103" s="61" t="s">
        <v>18</v>
      </c>
      <c r="N103" s="25" t="str">
        <f>F103</f>
        <v/>
      </c>
    </row>
    <row r="104" spans="2:14" ht="11.25" customHeight="1" x14ac:dyDescent="0.25">
      <c r="B104" s="60" t="s">
        <v>21</v>
      </c>
      <c r="C104" s="56" t="str">
        <f>IF(ISBLANK('[1]COST-Nawkaw'!$M78),"",'[1]COST-Nawkaw'!$M78)</f>
        <v/>
      </c>
      <c r="D104" s="56"/>
      <c r="E104" t="s">
        <v>18</v>
      </c>
      <c r="F104" s="62" t="str">
        <f>IF(ISBLANK($C104),"",'[1]COST-Nawkaw'!$P$78)</f>
        <v/>
      </c>
      <c r="J104" s="60" t="s">
        <v>21</v>
      </c>
      <c r="K104" s="56" t="str">
        <f>C104</f>
        <v/>
      </c>
      <c r="L104" s="56"/>
      <c r="M104" s="61" t="s">
        <v>18</v>
      </c>
      <c r="N104" s="25" t="str">
        <f>F104</f>
        <v/>
      </c>
    </row>
    <row r="105" spans="2:14" ht="11.25" customHeight="1" thickBot="1" x14ac:dyDescent="0.3">
      <c r="B105" s="67" t="s">
        <v>22</v>
      </c>
      <c r="C105" s="68" t="str">
        <f>IF(ISBLANK('[1]COST-Nawkaw'!$M79),"",'[1]COST-Nawkaw'!$M79)</f>
        <v/>
      </c>
      <c r="D105" s="68"/>
      <c r="E105" s="71" t="s">
        <v>23</v>
      </c>
      <c r="F105" s="72" t="str">
        <f>IF(ISBLANK($C105),"",'[1]COST-Nawkaw'!$P$79)</f>
        <v/>
      </c>
      <c r="J105" s="67" t="s">
        <v>22</v>
      </c>
      <c r="K105" s="68" t="str">
        <f>C105</f>
        <v/>
      </c>
      <c r="L105" s="68"/>
      <c r="M105" s="71" t="s">
        <v>18</v>
      </c>
      <c r="N105" s="70" t="str">
        <f>F105</f>
        <v/>
      </c>
    </row>
  </sheetData>
  <mergeCells count="214">
    <mergeCell ref="C105:D105"/>
    <mergeCell ref="K105:L105"/>
    <mergeCell ref="B102:C102"/>
    <mergeCell ref="J102:K102"/>
    <mergeCell ref="C103:D103"/>
    <mergeCell ref="K103:L103"/>
    <mergeCell ref="C104:D104"/>
    <mergeCell ref="K104:L104"/>
    <mergeCell ref="B99:C99"/>
    <mergeCell ref="D99:F99"/>
    <mergeCell ref="B100:C100"/>
    <mergeCell ref="J100:K100"/>
    <mergeCell ref="B101:F101"/>
    <mergeCell ref="J101:N101"/>
    <mergeCell ref="C96:D96"/>
    <mergeCell ref="K96:L96"/>
    <mergeCell ref="B97:D97"/>
    <mergeCell ref="J97:L97"/>
    <mergeCell ref="B98:C98"/>
    <mergeCell ref="J98:K98"/>
    <mergeCell ref="L98:N98"/>
    <mergeCell ref="B93:C93"/>
    <mergeCell ref="J93:K93"/>
    <mergeCell ref="C94:D94"/>
    <mergeCell ref="K94:L94"/>
    <mergeCell ref="C95:D95"/>
    <mergeCell ref="K95:L95"/>
    <mergeCell ref="B90:C90"/>
    <mergeCell ref="D90:F90"/>
    <mergeCell ref="B91:C91"/>
    <mergeCell ref="J91:K91"/>
    <mergeCell ref="B92:F92"/>
    <mergeCell ref="J92:N92"/>
    <mergeCell ref="C87:D87"/>
    <mergeCell ref="K87:L87"/>
    <mergeCell ref="B88:D88"/>
    <mergeCell ref="J88:L88"/>
    <mergeCell ref="B89:C89"/>
    <mergeCell ref="J89:K89"/>
    <mergeCell ref="L89:N89"/>
    <mergeCell ref="B84:C84"/>
    <mergeCell ref="J84:K84"/>
    <mergeCell ref="C85:D85"/>
    <mergeCell ref="K85:L85"/>
    <mergeCell ref="C86:D86"/>
    <mergeCell ref="K86:L86"/>
    <mergeCell ref="B81:C81"/>
    <mergeCell ref="D81:F81"/>
    <mergeCell ref="B82:C82"/>
    <mergeCell ref="J82:K82"/>
    <mergeCell ref="B83:F83"/>
    <mergeCell ref="J83:N83"/>
    <mergeCell ref="C78:D78"/>
    <mergeCell ref="K78:L78"/>
    <mergeCell ref="B79:D79"/>
    <mergeCell ref="J79:L79"/>
    <mergeCell ref="B80:C80"/>
    <mergeCell ref="J80:K80"/>
    <mergeCell ref="L80:N80"/>
    <mergeCell ref="B75:C75"/>
    <mergeCell ref="J75:K75"/>
    <mergeCell ref="C76:D76"/>
    <mergeCell ref="K76:L76"/>
    <mergeCell ref="C77:D77"/>
    <mergeCell ref="K77:L77"/>
    <mergeCell ref="B72:C72"/>
    <mergeCell ref="D72:F72"/>
    <mergeCell ref="B73:C73"/>
    <mergeCell ref="J73:K73"/>
    <mergeCell ref="B74:F74"/>
    <mergeCell ref="J74:N74"/>
    <mergeCell ref="B70:D70"/>
    <mergeCell ref="J70:L70"/>
    <mergeCell ref="B71:C71"/>
    <mergeCell ref="D71:F71"/>
    <mergeCell ref="J71:K71"/>
    <mergeCell ref="L71:N71"/>
    <mergeCell ref="C67:D67"/>
    <mergeCell ref="K67:L67"/>
    <mergeCell ref="C68:D68"/>
    <mergeCell ref="K68:L68"/>
    <mergeCell ref="C69:D69"/>
    <mergeCell ref="K69:L69"/>
    <mergeCell ref="B63:C63"/>
    <mergeCell ref="D63:F63"/>
    <mergeCell ref="B64:C64"/>
    <mergeCell ref="J64:K64"/>
    <mergeCell ref="B65:F65"/>
    <mergeCell ref="J65:N65"/>
    <mergeCell ref="C60:D60"/>
    <mergeCell ref="K60:L60"/>
    <mergeCell ref="B61:D61"/>
    <mergeCell ref="J61:L61"/>
    <mergeCell ref="B62:C62"/>
    <mergeCell ref="J62:K62"/>
    <mergeCell ref="L62:N62"/>
    <mergeCell ref="B57:C57"/>
    <mergeCell ref="J57:K57"/>
    <mergeCell ref="C58:D58"/>
    <mergeCell ref="K58:L58"/>
    <mergeCell ref="C59:D59"/>
    <mergeCell ref="K59:L59"/>
    <mergeCell ref="B54:C54"/>
    <mergeCell ref="D54:F54"/>
    <mergeCell ref="B55:C55"/>
    <mergeCell ref="J55:K55"/>
    <mergeCell ref="B56:F56"/>
    <mergeCell ref="J56:N56"/>
    <mergeCell ref="C51:D51"/>
    <mergeCell ref="K51:L51"/>
    <mergeCell ref="B52:D52"/>
    <mergeCell ref="J52:L52"/>
    <mergeCell ref="B53:C53"/>
    <mergeCell ref="J53:K53"/>
    <mergeCell ref="L53:N53"/>
    <mergeCell ref="B48:C48"/>
    <mergeCell ref="J48:K48"/>
    <mergeCell ref="C49:D49"/>
    <mergeCell ref="K49:L49"/>
    <mergeCell ref="C50:D50"/>
    <mergeCell ref="K50:L50"/>
    <mergeCell ref="B45:C45"/>
    <mergeCell ref="D45:F45"/>
    <mergeCell ref="B46:C46"/>
    <mergeCell ref="J46:K46"/>
    <mergeCell ref="B47:F47"/>
    <mergeCell ref="J47:N47"/>
    <mergeCell ref="B43:D43"/>
    <mergeCell ref="J43:L43"/>
    <mergeCell ref="B44:C44"/>
    <mergeCell ref="D44:F44"/>
    <mergeCell ref="J44:K44"/>
    <mergeCell ref="L44:N44"/>
    <mergeCell ref="C40:D40"/>
    <mergeCell ref="K40:L40"/>
    <mergeCell ref="C41:D41"/>
    <mergeCell ref="K41:L41"/>
    <mergeCell ref="C42:D42"/>
    <mergeCell ref="K42:L42"/>
    <mergeCell ref="B37:C37"/>
    <mergeCell ref="J37:K37"/>
    <mergeCell ref="B38:F38"/>
    <mergeCell ref="J38:N38"/>
    <mergeCell ref="B39:C39"/>
    <mergeCell ref="J39:K39"/>
    <mergeCell ref="B34:D34"/>
    <mergeCell ref="J34:L34"/>
    <mergeCell ref="B35:C35"/>
    <mergeCell ref="J35:K35"/>
    <mergeCell ref="L35:N35"/>
    <mergeCell ref="B36:C36"/>
    <mergeCell ref="D36:F36"/>
    <mergeCell ref="C31:D31"/>
    <mergeCell ref="K31:L31"/>
    <mergeCell ref="C32:D32"/>
    <mergeCell ref="K32:L32"/>
    <mergeCell ref="C33:D33"/>
    <mergeCell ref="K33:L33"/>
    <mergeCell ref="B28:C28"/>
    <mergeCell ref="J28:K28"/>
    <mergeCell ref="B29:F29"/>
    <mergeCell ref="J29:N29"/>
    <mergeCell ref="B30:C30"/>
    <mergeCell ref="J30:K30"/>
    <mergeCell ref="B26:C26"/>
    <mergeCell ref="D26:F26"/>
    <mergeCell ref="J26:K26"/>
    <mergeCell ref="L26:N26"/>
    <mergeCell ref="B27:C27"/>
    <mergeCell ref="D27:F27"/>
    <mergeCell ref="C23:D23"/>
    <mergeCell ref="K23:L23"/>
    <mergeCell ref="C24:D24"/>
    <mergeCell ref="K24:L24"/>
    <mergeCell ref="B25:D25"/>
    <mergeCell ref="J25:L25"/>
    <mergeCell ref="B19:C19"/>
    <mergeCell ref="J19:K19"/>
    <mergeCell ref="B20:F20"/>
    <mergeCell ref="J20:N20"/>
    <mergeCell ref="J21:K21"/>
    <mergeCell ref="C22:D22"/>
    <mergeCell ref="K22:L22"/>
    <mergeCell ref="J16:L16"/>
    <mergeCell ref="B17:C17"/>
    <mergeCell ref="D17:F17"/>
    <mergeCell ref="J17:K17"/>
    <mergeCell ref="L17:N17"/>
    <mergeCell ref="B18:C18"/>
    <mergeCell ref="D18:F18"/>
    <mergeCell ref="C11:E11"/>
    <mergeCell ref="B12:C12"/>
    <mergeCell ref="D12:F13"/>
    <mergeCell ref="B14:C14"/>
    <mergeCell ref="D14:F15"/>
    <mergeCell ref="B16:D16"/>
    <mergeCell ref="C7:F7"/>
    <mergeCell ref="K7:N7"/>
    <mergeCell ref="C8:E8"/>
    <mergeCell ref="D9:F9"/>
    <mergeCell ref="K9:N9"/>
    <mergeCell ref="C10:E10"/>
    <mergeCell ref="I4:I5"/>
    <mergeCell ref="J4:K4"/>
    <mergeCell ref="L4:M4"/>
    <mergeCell ref="C5:F5"/>
    <mergeCell ref="K5:N5"/>
    <mergeCell ref="D6:F6"/>
    <mergeCell ref="A1:A2"/>
    <mergeCell ref="B1:H2"/>
    <mergeCell ref="B3:C3"/>
    <mergeCell ref="A4:A5"/>
    <mergeCell ref="B4:C4"/>
    <mergeCell ref="D4:E4"/>
  </mergeCells>
  <pageMargins left="0.25" right="0.25" top="0.63541666666666663" bottom="0.75" header="0.3" footer="0.3"/>
  <pageSetup orientation="portrait" r:id="rId1"/>
  <headerFooter>
    <oddHeader>&amp;C&amp;"-,Gras"&amp;18&amp;A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13E79-CF4D-49FC-AD15-E7854799E509}">
  <sheetPr codeName="Feuil4">
    <tabColor rgb="FF73A441"/>
  </sheetPr>
  <dimension ref="B1:AC94"/>
  <sheetViews>
    <sheetView view="pageLayout" topLeftCell="I1" zoomScaleNormal="100" workbookViewId="0">
      <selection activeCell="D4" sqref="D4:J5"/>
    </sheetView>
  </sheetViews>
  <sheetFormatPr baseColWidth="10" defaultColWidth="11.42578125" defaultRowHeight="15" x14ac:dyDescent="0.25"/>
  <cols>
    <col min="1" max="1" width="0.42578125" customWidth="1"/>
    <col min="2" max="2" width="7.85546875" customWidth="1"/>
    <col min="3" max="3" width="19.42578125" customWidth="1"/>
    <col min="4" max="4" width="7.28515625" customWidth="1"/>
    <col min="5" max="5" width="9.5703125" customWidth="1"/>
    <col min="6" max="6" width="8.7109375" customWidth="1"/>
    <col min="7" max="7" width="11.7109375" customWidth="1"/>
    <col min="8" max="8" width="8.140625" customWidth="1"/>
    <col min="9" max="9" width="11" customWidth="1"/>
    <col min="10" max="10" width="17.28515625" customWidth="1"/>
    <col min="11" max="11" width="0.42578125" customWidth="1"/>
    <col min="12" max="12" width="7.7109375" customWidth="1"/>
    <col min="13" max="13" width="19.28515625" customWidth="1"/>
    <col min="14" max="14" width="7.28515625" customWidth="1"/>
    <col min="15" max="15" width="9.42578125" customWidth="1"/>
    <col min="16" max="16" width="8.7109375" customWidth="1"/>
    <col min="17" max="17" width="11.7109375" customWidth="1"/>
    <col min="18" max="18" width="8.140625" customWidth="1"/>
    <col min="19" max="19" width="11" customWidth="1"/>
    <col min="20" max="20" width="17.28515625" customWidth="1"/>
    <col min="21" max="21" width="7.7109375" customWidth="1"/>
    <col min="22" max="22" width="19.28515625" customWidth="1"/>
    <col min="23" max="23" width="7.28515625" customWidth="1"/>
    <col min="24" max="24" width="9.42578125" customWidth="1"/>
    <col min="25" max="25" width="8.7109375" customWidth="1"/>
    <col min="26" max="26" width="11.7109375" customWidth="1"/>
    <col min="27" max="27" width="8.140625" customWidth="1"/>
    <col min="28" max="28" width="11" customWidth="1"/>
    <col min="29" max="29" width="17.28515625" customWidth="1"/>
  </cols>
  <sheetData>
    <row r="1" spans="2:29" ht="19.5" thickBot="1" x14ac:dyDescent="0.35">
      <c r="B1" s="73" t="s">
        <v>43</v>
      </c>
      <c r="C1" s="74"/>
      <c r="D1" s="74"/>
      <c r="E1" s="74"/>
      <c r="F1" s="74"/>
      <c r="G1" s="74"/>
      <c r="H1" s="74"/>
      <c r="I1" s="74"/>
      <c r="J1" s="75"/>
      <c r="L1" s="73" t="s">
        <v>44</v>
      </c>
      <c r="M1" s="74"/>
      <c r="N1" s="74"/>
      <c r="O1" s="74"/>
      <c r="P1" s="74"/>
      <c r="Q1" s="74"/>
      <c r="R1" s="74"/>
      <c r="S1" s="74"/>
      <c r="T1" s="75"/>
      <c r="U1" s="73" t="s">
        <v>45</v>
      </c>
      <c r="V1" s="74"/>
      <c r="W1" s="74"/>
      <c r="X1" s="74"/>
      <c r="Y1" s="74"/>
      <c r="Z1" s="74"/>
      <c r="AA1" s="74"/>
      <c r="AB1" s="74"/>
      <c r="AC1" s="75"/>
    </row>
    <row r="2" spans="2:29" x14ac:dyDescent="0.25">
      <c r="B2" s="76" t="s">
        <v>46</v>
      </c>
      <c r="C2" s="77"/>
      <c r="D2" s="78">
        <f>'[1]INFO-Projet'!A2</f>
        <v>0</v>
      </c>
      <c r="E2" s="79"/>
      <c r="F2" s="79"/>
      <c r="G2" s="79"/>
      <c r="H2" s="79"/>
      <c r="I2" s="80"/>
      <c r="J2" s="81">
        <f>'[1]INFO-Projet'!C6</f>
        <v>0</v>
      </c>
      <c r="L2" s="76" t="s">
        <v>46</v>
      </c>
      <c r="M2" s="77"/>
      <c r="N2" s="78">
        <f>'[1]INFO-Projet'!A2</f>
        <v>0</v>
      </c>
      <c r="O2" s="79"/>
      <c r="P2" s="79"/>
      <c r="Q2" s="79"/>
      <c r="R2" s="79"/>
      <c r="S2" s="80"/>
      <c r="T2" s="81">
        <f>'[1]INFO-Projet'!C6</f>
        <v>0</v>
      </c>
      <c r="U2" s="76" t="s">
        <v>46</v>
      </c>
      <c r="V2" s="82"/>
      <c r="W2" s="78">
        <f>'[1]INFO-Projet'!A2</f>
        <v>0</v>
      </c>
      <c r="X2" s="79"/>
      <c r="Y2" s="79"/>
      <c r="Z2" s="79"/>
      <c r="AA2" s="79"/>
      <c r="AB2" s="80"/>
      <c r="AC2" s="81">
        <f>'[1]INFO-Projet'!C6</f>
        <v>0</v>
      </c>
    </row>
    <row r="3" spans="2:29" ht="15.75" thickBot="1" x14ac:dyDescent="0.3">
      <c r="B3" s="83" t="s">
        <v>47</v>
      </c>
      <c r="C3" s="84"/>
      <c r="D3" s="85">
        <f>'[1]INFO-Projet'!A6</f>
        <v>0</v>
      </c>
      <c r="E3" s="86"/>
      <c r="F3" s="86"/>
      <c r="G3" s="86"/>
      <c r="H3" s="86"/>
      <c r="I3" s="87"/>
      <c r="J3" s="88">
        <f>'[1]INFO-Projet'!C7</f>
        <v>0</v>
      </c>
      <c r="L3" s="83" t="s">
        <v>47</v>
      </c>
      <c r="M3" s="84"/>
      <c r="N3" s="85">
        <f>'[1]INFO-Projet'!A6</f>
        <v>0</v>
      </c>
      <c r="O3" s="86"/>
      <c r="P3" s="86"/>
      <c r="Q3" s="86"/>
      <c r="R3" s="86"/>
      <c r="S3" s="87"/>
      <c r="T3" s="88">
        <f>'[1]INFO-Projet'!C7</f>
        <v>0</v>
      </c>
      <c r="U3" s="89" t="s">
        <v>47</v>
      </c>
      <c r="V3" s="90"/>
      <c r="W3" s="85">
        <f>'[1]INFO-Projet'!A6</f>
        <v>0</v>
      </c>
      <c r="X3" s="86"/>
      <c r="Y3" s="86"/>
      <c r="Z3" s="86"/>
      <c r="AA3" s="86"/>
      <c r="AB3" s="87"/>
      <c r="AC3" s="88">
        <f>'[1]INFO-Projet'!C7</f>
        <v>0</v>
      </c>
    </row>
    <row r="4" spans="2:29" x14ac:dyDescent="0.25">
      <c r="B4" s="91" t="s">
        <v>48</v>
      </c>
      <c r="C4" s="92"/>
      <c r="D4" s="93"/>
      <c r="E4" s="94"/>
      <c r="F4" s="94"/>
      <c r="G4" s="94"/>
      <c r="H4" s="94"/>
      <c r="I4" s="94"/>
      <c r="J4" s="95"/>
      <c r="K4" s="96"/>
      <c r="L4" s="91" t="s">
        <v>48</v>
      </c>
      <c r="M4" s="92"/>
      <c r="N4" s="93"/>
      <c r="O4" s="94"/>
      <c r="P4" s="94"/>
      <c r="Q4" s="94"/>
      <c r="R4" s="94"/>
      <c r="S4" s="94"/>
      <c r="T4" s="95"/>
      <c r="U4" s="91" t="s">
        <v>48</v>
      </c>
      <c r="V4" s="92"/>
      <c r="W4" s="93"/>
      <c r="X4" s="94"/>
      <c r="Y4" s="94"/>
      <c r="Z4" s="94"/>
      <c r="AA4" s="94"/>
      <c r="AB4" s="94"/>
      <c r="AC4" s="95"/>
    </row>
    <row r="5" spans="2:29" ht="15.75" thickBot="1" x14ac:dyDescent="0.3">
      <c r="B5" s="97" t="s">
        <v>49</v>
      </c>
      <c r="C5" s="98"/>
      <c r="D5" s="99"/>
      <c r="E5" s="100"/>
      <c r="F5" s="100"/>
      <c r="G5" s="100"/>
      <c r="H5" s="100"/>
      <c r="I5" s="100"/>
      <c r="J5" s="101"/>
      <c r="K5" s="96"/>
      <c r="L5" s="97" t="s">
        <v>50</v>
      </c>
      <c r="M5" s="98"/>
      <c r="N5" s="99"/>
      <c r="O5" s="100"/>
      <c r="P5" s="100"/>
      <c r="Q5" s="100"/>
      <c r="R5" s="100"/>
      <c r="S5" s="100"/>
      <c r="T5" s="101"/>
      <c r="U5" s="97" t="s">
        <v>50</v>
      </c>
      <c r="V5" s="102"/>
      <c r="W5" s="99"/>
      <c r="X5" s="100"/>
      <c r="Y5" s="100"/>
      <c r="Z5" s="100"/>
      <c r="AA5" s="100"/>
      <c r="AB5" s="100"/>
      <c r="AC5" s="101"/>
    </row>
    <row r="6" spans="2:29" ht="3.75" customHeight="1" thickBot="1" x14ac:dyDescent="0.3"/>
    <row r="7" spans="2:29" x14ac:dyDescent="0.25">
      <c r="B7" s="103"/>
      <c r="C7" s="103" t="s">
        <v>51</v>
      </c>
      <c r="D7" s="104" t="s">
        <v>52</v>
      </c>
      <c r="E7" s="105"/>
      <c r="F7" s="104" t="s">
        <v>53</v>
      </c>
      <c r="G7" s="105"/>
      <c r="H7" s="104" t="s">
        <v>54</v>
      </c>
      <c r="I7" s="105"/>
      <c r="J7" s="103" t="s">
        <v>55</v>
      </c>
      <c r="L7" s="103"/>
      <c r="M7" s="103" t="s">
        <v>51</v>
      </c>
      <c r="N7" s="104" t="s">
        <v>52</v>
      </c>
      <c r="O7" s="105"/>
      <c r="P7" s="104" t="s">
        <v>53</v>
      </c>
      <c r="Q7" s="105"/>
      <c r="R7" s="104" t="s">
        <v>54</v>
      </c>
      <c r="S7" s="105"/>
      <c r="T7" s="103" t="s">
        <v>55</v>
      </c>
      <c r="U7" s="103"/>
      <c r="V7" s="103" t="s">
        <v>51</v>
      </c>
      <c r="W7" s="104" t="s">
        <v>52</v>
      </c>
      <c r="X7" s="105"/>
      <c r="Y7" s="104" t="s">
        <v>53</v>
      </c>
      <c r="Z7" s="105"/>
      <c r="AA7" s="104" t="s">
        <v>54</v>
      </c>
      <c r="AB7" s="105"/>
      <c r="AC7" s="103" t="s">
        <v>55</v>
      </c>
    </row>
    <row r="8" spans="2:29" ht="15.75" thickBot="1" x14ac:dyDescent="0.3">
      <c r="B8" s="106"/>
      <c r="C8" s="106"/>
      <c r="D8" s="107"/>
      <c r="E8" s="108"/>
      <c r="F8" s="107"/>
      <c r="G8" s="108"/>
      <c r="H8" s="109"/>
      <c r="I8" s="110"/>
      <c r="J8" s="106"/>
      <c r="L8" s="106"/>
      <c r="M8" s="106"/>
      <c r="N8" s="107"/>
      <c r="O8" s="108"/>
      <c r="P8" s="107"/>
      <c r="Q8" s="108"/>
      <c r="R8" s="109"/>
      <c r="S8" s="110"/>
      <c r="T8" s="106"/>
      <c r="U8" s="111"/>
      <c r="V8" s="111"/>
      <c r="W8" s="107"/>
      <c r="X8" s="108"/>
      <c r="Y8" s="107"/>
      <c r="Z8" s="108"/>
      <c r="AA8" s="107"/>
      <c r="AB8" s="108"/>
      <c r="AC8" s="111"/>
    </row>
    <row r="9" spans="2:29" x14ac:dyDescent="0.25">
      <c r="B9" s="112">
        <v>1</v>
      </c>
      <c r="C9" s="113"/>
      <c r="D9" s="114"/>
      <c r="E9" s="115"/>
      <c r="F9" s="116">
        <v>2000</v>
      </c>
      <c r="G9" s="117"/>
      <c r="H9" s="118">
        <f>D9/F9</f>
        <v>0</v>
      </c>
      <c r="I9" s="118"/>
      <c r="J9" s="119"/>
      <c r="L9" s="112">
        <v>1</v>
      </c>
      <c r="M9" s="113"/>
      <c r="N9" s="114"/>
      <c r="O9" s="115"/>
      <c r="P9" s="116">
        <v>2000</v>
      </c>
      <c r="Q9" s="117"/>
      <c r="R9" s="118">
        <f>N9/P9</f>
        <v>0</v>
      </c>
      <c r="S9" s="118"/>
      <c r="T9" s="119"/>
      <c r="U9" s="112">
        <v>1</v>
      </c>
      <c r="V9" s="113" t="s">
        <v>56</v>
      </c>
      <c r="W9" s="114">
        <v>25</v>
      </c>
      <c r="X9" s="115"/>
      <c r="Y9" s="116">
        <v>2000</v>
      </c>
      <c r="Z9" s="117"/>
      <c r="AA9" s="120">
        <f>W9/Y9</f>
        <v>1.2500000000000001E-2</v>
      </c>
      <c r="AB9" s="121"/>
      <c r="AC9" s="119"/>
    </row>
    <row r="10" spans="2:29" x14ac:dyDescent="0.25">
      <c r="B10" s="122">
        <v>2</v>
      </c>
      <c r="C10" s="123"/>
      <c r="D10" s="124"/>
      <c r="E10" s="125"/>
      <c r="F10" s="126"/>
      <c r="G10" s="127"/>
      <c r="H10" s="128">
        <f>IFERROR((D10/F10),0)</f>
        <v>0</v>
      </c>
      <c r="I10" s="128"/>
      <c r="J10" s="129"/>
      <c r="L10" s="122">
        <v>2</v>
      </c>
      <c r="M10" s="123"/>
      <c r="N10" s="124"/>
      <c r="O10" s="125"/>
      <c r="P10" s="126"/>
      <c r="Q10" s="127"/>
      <c r="R10" s="128">
        <f>IFERROR((N10/P10),0)</f>
        <v>0</v>
      </c>
      <c r="S10" s="128"/>
      <c r="T10" s="129"/>
      <c r="U10" s="122">
        <v>2</v>
      </c>
      <c r="V10" s="123"/>
      <c r="W10" s="124"/>
      <c r="X10" s="125"/>
      <c r="Y10" s="126"/>
      <c r="Z10" s="127"/>
      <c r="AA10" s="130">
        <f>IFERROR((W10/Y10),0)</f>
        <v>0</v>
      </c>
      <c r="AB10" s="131"/>
      <c r="AC10" s="129"/>
    </row>
    <row r="11" spans="2:29" ht="15.75" thickBot="1" x14ac:dyDescent="0.3">
      <c r="B11" s="132">
        <v>3</v>
      </c>
      <c r="C11" s="133"/>
      <c r="D11" s="134"/>
      <c r="E11" s="135"/>
      <c r="F11" s="136"/>
      <c r="G11" s="137"/>
      <c r="H11" s="138">
        <f>IFERROR((D11/F11),0)</f>
        <v>0</v>
      </c>
      <c r="I11" s="138"/>
      <c r="J11" s="139"/>
      <c r="L11" s="132">
        <v>3</v>
      </c>
      <c r="M11" s="133"/>
      <c r="N11" s="134"/>
      <c r="O11" s="135"/>
      <c r="P11" s="136"/>
      <c r="Q11" s="137"/>
      <c r="R11" s="138">
        <f>IFERROR((N11/P11),0)</f>
        <v>0</v>
      </c>
      <c r="S11" s="138"/>
      <c r="T11" s="139"/>
      <c r="U11" s="132">
        <v>3</v>
      </c>
      <c r="V11" s="133"/>
      <c r="W11" s="134"/>
      <c r="X11" s="135"/>
      <c r="Y11" s="136"/>
      <c r="Z11" s="137"/>
      <c r="AA11" s="140">
        <f>IFERROR((W11/Y11),0)</f>
        <v>0</v>
      </c>
      <c r="AB11" s="141"/>
      <c r="AC11" s="139"/>
    </row>
    <row r="12" spans="2:29" ht="15.75" thickBot="1" x14ac:dyDescent="0.3">
      <c r="B12" s="142"/>
      <c r="C12" s="143" t="s">
        <v>57</v>
      </c>
      <c r="D12" s="144" t="s">
        <v>58</v>
      </c>
      <c r="E12" s="145"/>
      <c r="F12" s="144" t="s">
        <v>59</v>
      </c>
      <c r="G12" s="145"/>
      <c r="H12" s="144" t="s">
        <v>60</v>
      </c>
      <c r="I12" s="145"/>
      <c r="J12" s="143" t="s">
        <v>61</v>
      </c>
      <c r="L12" s="142"/>
      <c r="M12" s="143" t="s">
        <v>57</v>
      </c>
      <c r="N12" s="144" t="s">
        <v>58</v>
      </c>
      <c r="O12" s="145"/>
      <c r="P12" s="144" t="s">
        <v>59</v>
      </c>
      <c r="Q12" s="145"/>
      <c r="R12" s="144" t="s">
        <v>60</v>
      </c>
      <c r="S12" s="145"/>
      <c r="T12" s="143" t="s">
        <v>61</v>
      </c>
      <c r="U12" s="142"/>
      <c r="V12" s="143" t="s">
        <v>57</v>
      </c>
      <c r="W12" s="144" t="s">
        <v>58</v>
      </c>
      <c r="X12" s="145"/>
      <c r="Y12" s="144" t="s">
        <v>59</v>
      </c>
      <c r="Z12" s="145"/>
      <c r="AA12" s="144" t="s">
        <v>60</v>
      </c>
      <c r="AB12" s="145"/>
      <c r="AC12" s="143" t="s">
        <v>61</v>
      </c>
    </row>
    <row r="13" spans="2:29" x14ac:dyDescent="0.25">
      <c r="B13" s="113"/>
      <c r="C13" s="146">
        <f>COUNTIF(C9:C11,"&lt;&gt;")</f>
        <v>0</v>
      </c>
      <c r="D13" s="147">
        <f>SUM(D9:E11)</f>
        <v>0</v>
      </c>
      <c r="E13" s="148"/>
      <c r="F13" s="149">
        <f>SUM(F9:G11)/(COUNT(F9:G11)-COUNTIF(F9:G11,"=0"))</f>
        <v>2000</v>
      </c>
      <c r="G13" s="150"/>
      <c r="H13" s="151">
        <f>SUM(H9:I11)</f>
        <v>0</v>
      </c>
      <c r="I13" s="151"/>
      <c r="J13" s="146">
        <f>H17/8</f>
        <v>0.25</v>
      </c>
      <c r="L13" s="113"/>
      <c r="M13" s="146">
        <f>COUNTIF(M9:M11,"&lt;&gt;")</f>
        <v>0</v>
      </c>
      <c r="N13" s="147">
        <f>SUM(N9:O11)</f>
        <v>0</v>
      </c>
      <c r="O13" s="148"/>
      <c r="P13" s="147">
        <f>SUM(P9:Q11)/(COUNT(P9:Q11)-COUNTIF(P9:Q11,"=0"))</f>
        <v>2000</v>
      </c>
      <c r="Q13" s="148"/>
      <c r="R13" s="146">
        <f>SUM(R9:S11)</f>
        <v>0</v>
      </c>
      <c r="S13" s="146"/>
      <c r="T13" s="146">
        <f>R17/8</f>
        <v>0.25</v>
      </c>
      <c r="U13" s="113"/>
      <c r="V13" s="146">
        <f>COUNTIF(V9:V11,"&lt;&gt;")</f>
        <v>1</v>
      </c>
      <c r="W13" s="147">
        <f>SUM(W9:X11)</f>
        <v>25</v>
      </c>
      <c r="X13" s="148"/>
      <c r="Y13" s="147">
        <f>SUM(Y9:Z11)/(COUNT(Y9:Z11)-COUNTIF(Y9:Z11,"=0"))</f>
        <v>2000</v>
      </c>
      <c r="Z13" s="148"/>
      <c r="AA13" s="147">
        <f>SUM(AA9:AB11)</f>
        <v>1.2500000000000001E-2</v>
      </c>
      <c r="AB13" s="148"/>
      <c r="AC13" s="146">
        <f>AA17/8</f>
        <v>0.25</v>
      </c>
    </row>
    <row r="14" spans="2:29" ht="15.75" thickBot="1" x14ac:dyDescent="0.3">
      <c r="B14" s="133"/>
      <c r="C14" s="152"/>
      <c r="D14" s="153"/>
      <c r="E14" s="154"/>
      <c r="F14" s="155"/>
      <c r="G14" s="156"/>
      <c r="H14" s="157"/>
      <c r="I14" s="157"/>
      <c r="J14" s="152"/>
      <c r="L14" s="133"/>
      <c r="M14" s="152"/>
      <c r="N14" s="153"/>
      <c r="O14" s="154"/>
      <c r="P14" s="153"/>
      <c r="Q14" s="154"/>
      <c r="R14" s="152"/>
      <c r="S14" s="152"/>
      <c r="T14" s="152"/>
      <c r="U14" s="133"/>
      <c r="V14" s="152"/>
      <c r="W14" s="153"/>
      <c r="X14" s="154"/>
      <c r="Y14" s="153"/>
      <c r="Z14" s="154"/>
      <c r="AA14" s="153"/>
      <c r="AB14" s="154"/>
      <c r="AC14" s="152"/>
    </row>
    <row r="15" spans="2:29" ht="15.75" thickBot="1" x14ac:dyDescent="0.3">
      <c r="B15" s="158"/>
      <c r="C15" s="158"/>
      <c r="D15" s="158"/>
      <c r="E15" s="158"/>
      <c r="F15" s="158"/>
      <c r="G15" s="158"/>
      <c r="H15" s="159"/>
      <c r="I15" s="160"/>
      <c r="J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8"/>
      <c r="AA15" s="158"/>
      <c r="AB15" s="158"/>
      <c r="AC15" s="158"/>
    </row>
    <row r="16" spans="2:29" ht="15.75" thickBot="1" x14ac:dyDescent="0.3">
      <c r="B16" s="143"/>
      <c r="C16" s="143" t="s">
        <v>62</v>
      </c>
      <c r="D16" s="144" t="s">
        <v>63</v>
      </c>
      <c r="E16" s="145"/>
      <c r="F16" s="144" t="s">
        <v>64</v>
      </c>
      <c r="G16" s="145"/>
      <c r="H16" s="144" t="s">
        <v>65</v>
      </c>
      <c r="I16" s="145"/>
      <c r="J16" s="143" t="s">
        <v>66</v>
      </c>
      <c r="L16" s="143"/>
      <c r="M16" s="143" t="s">
        <v>62</v>
      </c>
      <c r="N16" s="144" t="s">
        <v>63</v>
      </c>
      <c r="O16" s="145"/>
      <c r="P16" s="144" t="s">
        <v>64</v>
      </c>
      <c r="Q16" s="145"/>
      <c r="R16" s="144" t="s">
        <v>65</v>
      </c>
      <c r="S16" s="145"/>
      <c r="T16" s="143" t="s">
        <v>66</v>
      </c>
      <c r="U16" s="143"/>
      <c r="V16" s="143" t="s">
        <v>62</v>
      </c>
      <c r="W16" s="144" t="s">
        <v>63</v>
      </c>
      <c r="X16" s="145"/>
      <c r="Y16" s="144" t="s">
        <v>64</v>
      </c>
      <c r="Z16" s="145"/>
      <c r="AA16" s="144" t="s">
        <v>65</v>
      </c>
      <c r="AB16" s="145"/>
      <c r="AC16" s="143" t="s">
        <v>66</v>
      </c>
    </row>
    <row r="17" spans="2:29" x14ac:dyDescent="0.25">
      <c r="B17" s="161">
        <v>1</v>
      </c>
      <c r="C17" s="113"/>
      <c r="D17" s="162">
        <f>MAX(ROUNDUP(H13*8,0),4)</f>
        <v>4</v>
      </c>
      <c r="E17" s="162"/>
      <c r="F17" s="163">
        <f>SUMIF([1]Salaires!A7:A9,C17,[1]Salaires!B7:B9)*ROUND(IF('[1]INFO-Projet'!$E$7="de Jour",1,1.04),2)</f>
        <v>0</v>
      </c>
      <c r="G17" s="162"/>
      <c r="H17" s="162">
        <f>IF('[1]INFO-Projet'!$E$5="en atelier",0,IF(J2=0,2,IF(I26="oui",ROUNDUP(H13/5,0)*2*(ROUNDUP((J2*24)/0.5,0)*0.5),ROUNDUP(H13,0)*2*(ROUNDUP((J2*24)/0.5,0)*0.5))))</f>
        <v>2</v>
      </c>
      <c r="I17" s="162"/>
      <c r="J17" s="164">
        <f>SUMIF([1]Salaires!A7:A9,C17,[1]Salaires!C7:C9)</f>
        <v>0</v>
      </c>
      <c r="L17" s="161">
        <v>1</v>
      </c>
      <c r="M17" s="113"/>
      <c r="N17" s="162">
        <f>MAX(ROUNDUP(R13*8,0),4)</f>
        <v>4</v>
      </c>
      <c r="O17" s="162"/>
      <c r="P17" s="163">
        <f>SUMIF([1]Salaires!A7:A9,M17,[1]Salaires!B7:B9)*ROUND(IF('[1]INFO-Projet'!$E$7="de Jour",1,1.04),2)</f>
        <v>0</v>
      </c>
      <c r="Q17" s="162"/>
      <c r="R17" s="162">
        <f>IF('[1]INFO-Projet'!$E$5="en atelier",0,IF(T2=0,2,IF(S26="oui",ROUNDUP(R13/5,0)*2*(ROUNDUP((T2*24)/0.5,0)*0.5),ROUNDUP(R13,0)*2*(ROUNDUP((T2*24)/0.5,0)*0.5))))</f>
        <v>2</v>
      </c>
      <c r="S17" s="162"/>
      <c r="T17" s="164">
        <f>SUMIF([1]Salaires!A7:A9,M17,[1]Salaires!C7:C9)</f>
        <v>0</v>
      </c>
      <c r="U17" s="161">
        <v>1</v>
      </c>
      <c r="V17" s="113" t="s">
        <v>67</v>
      </c>
      <c r="W17" s="165">
        <f>MAX(ROUNDUP(AA13*8,0),4)</f>
        <v>4</v>
      </c>
      <c r="X17" s="166"/>
      <c r="Y17" s="167">
        <f>SUMIF([1]Salaires!A7:A9,V17,[1]Salaires!B7:B9)*ROUND(IF('[1]INFO-Projet'!$E$7="de Jour",1,1.04),2)</f>
        <v>58.43</v>
      </c>
      <c r="Z17" s="168"/>
      <c r="AA17" s="165">
        <f>IF('[1]INFO-Projet'!$E$5="en atelier",0,IF(AC2=0,2,IF(AB26="oui",ROUNDUP(AA13/5,0)*2*(ROUNDUP((AC2*24)/0.5,0)*0.5),ROUNDUP(AA13,0)*2*(ROUNDUP((AC2*24)/0.5,0)*0.5))))</f>
        <v>2</v>
      </c>
      <c r="AB17" s="166"/>
      <c r="AC17" s="164">
        <f>SUMIF([1]Salaires!A7:A9,V17,[1]Salaires!B7:B9)</f>
        <v>58.43</v>
      </c>
    </row>
    <row r="18" spans="2:29" x14ac:dyDescent="0.25">
      <c r="B18" s="169">
        <v>2</v>
      </c>
      <c r="C18" s="123"/>
      <c r="D18" s="170">
        <f>IF(ISBLANK(C18),,(D17))</f>
        <v>0</v>
      </c>
      <c r="E18" s="170"/>
      <c r="F18" s="171">
        <f>SUMIF([1]Salaires!A7:A9,C18,[1]Salaires!B7:B9)*ROUND(IF('[1]INFO-Projet'!$E$7="de Jour",1,1.04),2)</f>
        <v>0</v>
      </c>
      <c r="G18" s="171"/>
      <c r="H18" s="170">
        <f>IF(ISBLANK(C18),,(H17))</f>
        <v>0</v>
      </c>
      <c r="I18" s="170"/>
      <c r="J18" s="172">
        <f>IF(C18&lt;&gt;"",IF(J3&gt;119,SUMIF([1]Salaires!A7:A9,C18,[1]Salaires!C7:C9),18.65),"0")*1</f>
        <v>0</v>
      </c>
      <c r="L18" s="169">
        <v>2</v>
      </c>
      <c r="M18" s="123"/>
      <c r="N18" s="170">
        <f>IF(ISBLANK(M18),,(N17))</f>
        <v>0</v>
      </c>
      <c r="O18" s="170"/>
      <c r="P18" s="173">
        <f>SUMIF([1]Salaires!A7:A9,M18,[1]Salaires!B7:B9)*ROUND(IF('[1]INFO-Projet'!$E$7="de Jour",1,1.04),2)</f>
        <v>0</v>
      </c>
      <c r="Q18" s="174"/>
      <c r="R18" s="170">
        <f>IF(ISBLANK(M18),,(R17))</f>
        <v>0</v>
      </c>
      <c r="S18" s="170"/>
      <c r="T18" s="175">
        <f>IF(M18&lt;&gt;"",IF(T3&gt;119,SUMIF([1]Salaires!A7:A9,M18,[1]Salaires!C7:C9),18.65),"0")*1</f>
        <v>0</v>
      </c>
      <c r="U18" s="169">
        <v>2</v>
      </c>
      <c r="V18" s="123"/>
      <c r="W18" s="55">
        <f>IF(ISBLANK(V18),,(W17))</f>
        <v>0</v>
      </c>
      <c r="X18" s="57"/>
      <c r="Y18" s="173">
        <f>SUMIF([1]Salaires!A7:A9,V18,[1]Salaires!B7:B9)*ROUND(IF('[1]INFO-Projet'!$E$7="de Jour",1,1.04),2)</f>
        <v>0</v>
      </c>
      <c r="Z18" s="174"/>
      <c r="AA18" s="55">
        <f>IF(ISBLANK(V18),,(AA17))</f>
        <v>0</v>
      </c>
      <c r="AB18" s="57"/>
      <c r="AC18" s="175">
        <f>IF(V18&lt;&gt;"",IF(AC3&gt;119,SUMIF([1]Salaires!A7:A9,V18,[1]Salaires!B7:B9),18.65),"0")*1</f>
        <v>0</v>
      </c>
    </row>
    <row r="19" spans="2:29" ht="15.75" thickBot="1" x14ac:dyDescent="0.3">
      <c r="B19" s="176">
        <v>3</v>
      </c>
      <c r="C19" s="133"/>
      <c r="D19" s="177">
        <f>IF(ISBLANK(C19),,(D18))</f>
        <v>0</v>
      </c>
      <c r="E19" s="177"/>
      <c r="F19" s="178">
        <f>SUMIF([1]Salaires!A7:A9,C19,[1]Salaires!B7:B9)*ROUND(IF('[1]INFO-Projet'!$E$7="de Jour",1,1.04),2)</f>
        <v>0</v>
      </c>
      <c r="G19" s="178"/>
      <c r="H19" s="177">
        <f>IF(ISBLANK(C19),,(H18))</f>
        <v>0</v>
      </c>
      <c r="I19" s="177"/>
      <c r="J19" s="179">
        <f>IF(C19&lt;&gt;"",IF(J3&gt;119,SUMIF([1]Salaires!A7:A9,C18,[1]Salaires!C7:C9),18.65),"0")*1</f>
        <v>0</v>
      </c>
      <c r="L19" s="176">
        <v>3</v>
      </c>
      <c r="M19" s="133"/>
      <c r="N19" s="177">
        <f>IF(ISBLANK(M19),,(N18))</f>
        <v>0</v>
      </c>
      <c r="O19" s="177"/>
      <c r="P19" s="178">
        <f>SUMIF([1]Salaires!A7:A9,M19,[1]Salaires!B7:B9)*ROUND(IF('[1]INFO-Projet'!$E$7="de Jour",1,1.04),2)</f>
        <v>0</v>
      </c>
      <c r="Q19" s="178"/>
      <c r="R19" s="177">
        <f>IF(ISBLANK(M19),,(R18))</f>
        <v>0</v>
      </c>
      <c r="S19" s="177"/>
      <c r="T19" s="179">
        <f>IF(M19&lt;&gt;"",IF(T3&gt;119,SUMIF([1]Salaires!A7:A9,M19,[1]Salaires!C7:C9),18.65),"0")*1</f>
        <v>0</v>
      </c>
      <c r="U19" s="176">
        <v>3</v>
      </c>
      <c r="V19" s="133"/>
      <c r="W19" s="180">
        <f>IF(ISBLANK(V19),,(W18))</f>
        <v>0</v>
      </c>
      <c r="X19" s="181"/>
      <c r="Y19" s="182">
        <f>SUMIF([1]Salaires!A7:A9,V19,[1]Salaires!B7:B9)*ROUND(IF('[1]INFO-Projet'!$E$7="de Jour",1,1.04),2)</f>
        <v>0</v>
      </c>
      <c r="Z19" s="183"/>
      <c r="AA19" s="180">
        <f>IF(ISBLANK(V19),,(AA18))</f>
        <v>0</v>
      </c>
      <c r="AB19" s="181"/>
      <c r="AC19" s="179">
        <f>IF(V19&lt;&gt;"",IF(AC3&gt;119,SUMIF([1]Salaires!A7:A9,V19,[1]Salaires!B7:B9),18.65),"0")*1</f>
        <v>0</v>
      </c>
    </row>
    <row r="20" spans="2:29" ht="15.75" thickBot="1" x14ac:dyDescent="0.3">
      <c r="B20" s="58"/>
      <c r="H20" s="58"/>
      <c r="I20" s="58"/>
      <c r="L20" s="58"/>
      <c r="R20" s="58"/>
      <c r="S20" s="58"/>
      <c r="U20" s="58"/>
      <c r="AA20" s="58"/>
      <c r="AB20" s="58"/>
    </row>
    <row r="21" spans="2:29" ht="16.5" thickBot="1" x14ac:dyDescent="0.3">
      <c r="B21" s="184" t="s">
        <v>68</v>
      </c>
      <c r="C21" s="185" t="s">
        <v>69</v>
      </c>
      <c r="D21" s="186"/>
      <c r="E21" s="186"/>
      <c r="F21" s="186"/>
      <c r="G21" s="186"/>
      <c r="H21" s="186"/>
      <c r="I21" s="186"/>
      <c r="J21" s="187"/>
      <c r="L21" s="184" t="s">
        <v>68</v>
      </c>
      <c r="M21" s="185" t="s">
        <v>69</v>
      </c>
      <c r="N21" s="186"/>
      <c r="O21" s="186"/>
      <c r="P21" s="186"/>
      <c r="Q21" s="186"/>
      <c r="R21" s="186"/>
      <c r="S21" s="186"/>
      <c r="T21" s="187"/>
      <c r="U21" s="184" t="s">
        <v>68</v>
      </c>
      <c r="V21" s="188" t="s">
        <v>69</v>
      </c>
      <c r="W21" s="189"/>
      <c r="X21" s="189"/>
      <c r="Y21" s="189"/>
      <c r="Z21" s="189"/>
      <c r="AA21" s="189"/>
      <c r="AB21" s="189"/>
      <c r="AC21" s="190"/>
    </row>
    <row r="22" spans="2:29" ht="16.5" thickBot="1" x14ac:dyDescent="0.3">
      <c r="B22" s="191">
        <f>IFERROR((J27/J36),0)</f>
        <v>0</v>
      </c>
      <c r="C22" s="192" t="s">
        <v>70</v>
      </c>
      <c r="D22" s="193"/>
      <c r="E22" s="193"/>
      <c r="F22" s="194"/>
      <c r="G22" s="193" t="s">
        <v>71</v>
      </c>
      <c r="H22" s="193"/>
      <c r="I22" s="193"/>
      <c r="J22" s="194"/>
      <c r="L22" s="195">
        <f>IFERROR((T27/T36),0)</f>
        <v>0</v>
      </c>
      <c r="M22" s="196" t="s">
        <v>70</v>
      </c>
      <c r="N22" s="197"/>
      <c r="O22" s="197"/>
      <c r="P22" s="198"/>
      <c r="Q22" s="199" t="s">
        <v>71</v>
      </c>
      <c r="R22" s="199"/>
      <c r="S22" s="199"/>
      <c r="T22" s="200"/>
      <c r="U22" s="195">
        <f>IFERROR((AC27/AC36),0)</f>
        <v>1</v>
      </c>
      <c r="V22" s="196" t="s">
        <v>70</v>
      </c>
      <c r="W22" s="197"/>
      <c r="X22" s="197"/>
      <c r="Y22" s="198"/>
      <c r="Z22" s="201" t="s">
        <v>71</v>
      </c>
      <c r="AA22" s="199"/>
      <c r="AB22" s="199"/>
      <c r="AC22" s="200"/>
    </row>
    <row r="23" spans="2:29" x14ac:dyDescent="0.25">
      <c r="B23" s="202">
        <f>IFERROR((J23/J27),0)</f>
        <v>0</v>
      </c>
      <c r="C23" s="203"/>
      <c r="D23" s="204"/>
      <c r="E23" s="205">
        <f>SUMIF([1]Salaires!H7:H13,C23,[1]Salaires!I7:I13)</f>
        <v>0</v>
      </c>
      <c r="F23" s="206">
        <f>(D17+D18+D19)*E23</f>
        <v>0</v>
      </c>
      <c r="G23" s="207" t="s">
        <v>72</v>
      </c>
      <c r="H23" s="208"/>
      <c r="I23" s="209"/>
      <c r="J23" s="210">
        <f>(D17*F17)+(D18*F18)+(D19*F19)+(F23+F24+F25+F26)</f>
        <v>0</v>
      </c>
      <c r="L23" s="202">
        <f>IFERROR((P23/T27),0)</f>
        <v>0</v>
      </c>
      <c r="M23" s="203"/>
      <c r="N23" s="204"/>
      <c r="O23" s="211">
        <f>SUMIF([1]Salaires!H7:H13,M23,[1]Salaires!I7:I13)</f>
        <v>0</v>
      </c>
      <c r="P23" s="212">
        <f>(N17+N18+N19)*O23</f>
        <v>0</v>
      </c>
      <c r="Q23" s="213" t="s">
        <v>72</v>
      </c>
      <c r="R23" s="213"/>
      <c r="S23" s="214"/>
      <c r="T23" s="210">
        <f>(N17*P17)+(N18*P18)+(N19*P19)+(P23+P24+P25+P26)</f>
        <v>0</v>
      </c>
      <c r="U23" s="202">
        <f>IFERROR((Y23/AC27),0)</f>
        <v>0</v>
      </c>
      <c r="V23" s="203"/>
      <c r="W23" s="204"/>
      <c r="X23" s="211">
        <f>SUMIF([1]Salaires!H7:H13,V23,[1]Salaires!I7:I13)</f>
        <v>0</v>
      </c>
      <c r="Y23" s="212">
        <f>(W17+W18+W19)*X23</f>
        <v>0</v>
      </c>
      <c r="Z23" s="215" t="s">
        <v>72</v>
      </c>
      <c r="AA23" s="213"/>
      <c r="AB23" s="214"/>
      <c r="AC23" s="210">
        <f>(W17*Y17)+(W18*Y18)+(W19*Y19)+(Y23+Y24+Y25+Y26)</f>
        <v>233.72</v>
      </c>
    </row>
    <row r="24" spans="2:29" x14ac:dyDescent="0.25">
      <c r="B24" s="202">
        <f>IFERROR((J24/J27),0)</f>
        <v>0</v>
      </c>
      <c r="C24" s="216"/>
      <c r="D24" s="217"/>
      <c r="E24" s="218">
        <f>SUMIF([1]Salaires!H7:H13,C24,[1]Salaires!I7:I13)</f>
        <v>0</v>
      </c>
      <c r="F24" s="206">
        <f>(D17+D18+D19)*E24</f>
        <v>0</v>
      </c>
      <c r="G24" s="219" t="s">
        <v>73</v>
      </c>
      <c r="H24" s="219"/>
      <c r="I24" s="220"/>
      <c r="J24" s="210">
        <f>(H17*J17)+(H18*J18)+(H19+J19)</f>
        <v>0</v>
      </c>
      <c r="L24" s="202">
        <f>IFERROR((P24/T27),0)</f>
        <v>0</v>
      </c>
      <c r="M24" s="216"/>
      <c r="N24" s="217"/>
      <c r="O24" s="218">
        <f>SUMIF([1]Salaires!H7:H13,M24,[1]Salaires!I7:I13)</f>
        <v>0</v>
      </c>
      <c r="P24" s="221">
        <f>(N17+N18+N19)*O24</f>
        <v>0</v>
      </c>
      <c r="Q24" s="222" t="s">
        <v>73</v>
      </c>
      <c r="R24" s="222"/>
      <c r="S24" s="220"/>
      <c r="T24" s="210">
        <f>(R17*T17)+(R18*T18)+(R19+T19)</f>
        <v>0</v>
      </c>
      <c r="U24" s="202">
        <f>IFERROR((Y24/AC27),0)</f>
        <v>0</v>
      </c>
      <c r="V24" s="216"/>
      <c r="W24" s="217"/>
      <c r="X24" s="218">
        <f>SUMIF([1]Salaires!H7:H13,V24,[1]Salaires!I7:I13)</f>
        <v>0</v>
      </c>
      <c r="Y24" s="221">
        <f>(W17+W18+W19)*X24</f>
        <v>0</v>
      </c>
      <c r="Z24" s="223" t="s">
        <v>73</v>
      </c>
      <c r="AA24" s="222"/>
      <c r="AB24" s="220"/>
      <c r="AC24" s="210">
        <f>(AA17*AC17)+(AA18*AC18)+(AA19+AC19)</f>
        <v>116.86</v>
      </c>
    </row>
    <row r="25" spans="2:29" x14ac:dyDescent="0.25">
      <c r="B25" s="202">
        <f>IFERROR((J25/J27),0)</f>
        <v>0</v>
      </c>
      <c r="C25" s="216"/>
      <c r="D25" s="217"/>
      <c r="E25" s="205">
        <f>SUMIF([1]Salaires!H7:H13,C25,[1]Salaires!I7:I13)</f>
        <v>0</v>
      </c>
      <c r="F25" s="206">
        <f>(D17+D18+D19)*E25</f>
        <v>0</v>
      </c>
      <c r="G25" s="219" t="s">
        <v>74</v>
      </c>
      <c r="H25" s="220"/>
      <c r="I25" s="224">
        <v>0.05</v>
      </c>
      <c r="J25" s="210">
        <f>(J23+J24)*I25</f>
        <v>0</v>
      </c>
      <c r="L25" s="202">
        <f>IFERROR((P25/T27),0)</f>
        <v>0</v>
      </c>
      <c r="M25" s="216"/>
      <c r="N25" s="217"/>
      <c r="O25" s="218">
        <f>SUMIF([1]Salaires!H7:H13,M25,[1]Salaires!I7:I13)</f>
        <v>0</v>
      </c>
      <c r="P25" s="221">
        <f>(N17+N18+N19)*O25</f>
        <v>0</v>
      </c>
      <c r="Q25" s="222" t="s">
        <v>74</v>
      </c>
      <c r="R25" s="222"/>
      <c r="S25" s="225">
        <v>0.05</v>
      </c>
      <c r="T25" s="210">
        <f>(T23+T24)*S25</f>
        <v>0</v>
      </c>
      <c r="U25" s="202">
        <f>IFERROR((Y25/AC27),0)</f>
        <v>0</v>
      </c>
      <c r="V25" s="216"/>
      <c r="W25" s="217"/>
      <c r="X25" s="218">
        <f>SUMIF([1]Salaires!H7:H13,V25,[1]Salaires!I7:I13)</f>
        <v>0</v>
      </c>
      <c r="Y25" s="221">
        <f>(W17+W18+W19)*X25</f>
        <v>0</v>
      </c>
      <c r="Z25" s="223" t="s">
        <v>74</v>
      </c>
      <c r="AA25" s="220"/>
      <c r="AB25" s="225">
        <v>0.05</v>
      </c>
      <c r="AC25" s="210">
        <f>(AC23+AC24)*AB25</f>
        <v>17.529</v>
      </c>
    </row>
    <row r="26" spans="2:29" ht="15.75" thickBot="1" x14ac:dyDescent="0.3">
      <c r="B26" s="202">
        <f>IFERROR((J26/J27),0)</f>
        <v>0</v>
      </c>
      <c r="C26" s="226"/>
      <c r="D26" s="227"/>
      <c r="E26" s="228">
        <f>SUMIF([1]Salaires!H7:H13,C26,[1]Salaires!I7:I13)</f>
        <v>0</v>
      </c>
      <c r="F26" s="229">
        <f>(D17+D18+D19)*E26</f>
        <v>0</v>
      </c>
      <c r="G26" s="230" t="s">
        <v>75</v>
      </c>
      <c r="H26" s="231">
        <f>IF(ISBLANK(C17),0,COUNTA(C17:C19)&amp;" h x "&amp;ROUNDUP(H13,0)&amp;" j")</f>
        <v>0</v>
      </c>
      <c r="I26" s="232" t="s">
        <v>76</v>
      </c>
      <c r="J26" s="233">
        <f>IF(I26="non",0,COUNTA(C17:C19)*[1]Salaires!B13*ROUNDUP(H13+J13,0))</f>
        <v>0</v>
      </c>
      <c r="L26" s="202">
        <f>IFERROR((P26/T27),0)</f>
        <v>0</v>
      </c>
      <c r="M26" s="226"/>
      <c r="N26" s="227"/>
      <c r="O26" s="234">
        <f>SUMIF([1]Salaires!H7:H13,M26,[1]Salaires!I7:I13)</f>
        <v>0</v>
      </c>
      <c r="P26" s="235">
        <f>(N17+N18+N19)*O26</f>
        <v>0</v>
      </c>
      <c r="Q26" s="230" t="s">
        <v>75</v>
      </c>
      <c r="R26" s="58">
        <f>IF(ISBLANK(M17),0,COUNTA(M17:M19)&amp;" h x "&amp;ROUNDUP(R13,0)&amp;" j")</f>
        <v>0</v>
      </c>
      <c r="S26" s="236" t="s">
        <v>76</v>
      </c>
      <c r="T26" s="233">
        <f>IF(S26="non",0,COUNTA(M17:M19)*[1]Salaires!B13*ROUNDUP(H13+T13,0))</f>
        <v>0</v>
      </c>
      <c r="U26" s="202">
        <f>IFERROR((Y26/AC27),0)</f>
        <v>0</v>
      </c>
      <c r="V26" s="226"/>
      <c r="W26" s="227"/>
      <c r="X26" s="234">
        <f>SUMIF([1]Salaires!H7:H13,V26,[1]Salaires!I7:I13)</f>
        <v>0</v>
      </c>
      <c r="Y26" s="235">
        <f>(W17+W18+W19)*X26</f>
        <v>0</v>
      </c>
      <c r="Z26" s="230" t="s">
        <v>75</v>
      </c>
      <c r="AA26" s="58" t="str">
        <f>IF(ISBLANK(V17),0,COUNTA(V17:V19)&amp;" h x "&amp;ROUNDUP(AA13,0)&amp;" j")</f>
        <v>1 h x 1 j</v>
      </c>
      <c r="AB26" s="236" t="s">
        <v>76</v>
      </c>
      <c r="AC26" s="233">
        <f>IF(AB26="non",0,COUNTA(V17:V19)*[1]Salaires!B13*ROUNDUP(AA13+AC13,0))</f>
        <v>0</v>
      </c>
    </row>
    <row r="27" spans="2:29" ht="15.75" thickBot="1" x14ac:dyDescent="0.3">
      <c r="B27" s="237"/>
      <c r="C27" s="238"/>
      <c r="D27" s="238"/>
      <c r="E27" s="238"/>
      <c r="F27" s="238"/>
      <c r="G27" s="239" t="s">
        <v>77</v>
      </c>
      <c r="H27" s="239"/>
      <c r="I27" s="239"/>
      <c r="J27" s="240">
        <f>SUM(J23:J26)</f>
        <v>0</v>
      </c>
      <c r="L27" s="241"/>
      <c r="M27" s="242"/>
      <c r="O27" s="243"/>
      <c r="P27" s="243"/>
      <c r="Q27" s="239" t="s">
        <v>77</v>
      </c>
      <c r="R27" s="239"/>
      <c r="S27" s="239"/>
      <c r="T27" s="240">
        <f>SUM(T23:T26)</f>
        <v>0</v>
      </c>
      <c r="U27" s="241"/>
      <c r="V27" s="242"/>
      <c r="X27" s="243"/>
      <c r="Y27" s="243"/>
      <c r="Z27" s="244" t="s">
        <v>77</v>
      </c>
      <c r="AA27" s="244"/>
      <c r="AB27" s="245"/>
      <c r="AC27" s="240">
        <f>SUM(AC23:AC26)</f>
        <v>368.10899999999998</v>
      </c>
    </row>
    <row r="28" spans="2:29" x14ac:dyDescent="0.25">
      <c r="B28" s="246">
        <f>IFERROR((J35/J36),0)</f>
        <v>0</v>
      </c>
      <c r="C28" s="247" t="s">
        <v>78</v>
      </c>
      <c r="D28" s="248"/>
      <c r="E28" s="248"/>
      <c r="F28" s="248"/>
      <c r="G28" s="248"/>
      <c r="H28" s="248"/>
      <c r="I28" s="248"/>
      <c r="J28" s="249"/>
      <c r="L28" s="246">
        <f>IFERROR((T35/T36),0)</f>
        <v>0</v>
      </c>
      <c r="M28" s="247" t="s">
        <v>78</v>
      </c>
      <c r="N28" s="248"/>
      <c r="O28" s="248"/>
      <c r="P28" s="248"/>
      <c r="Q28" s="248"/>
      <c r="R28" s="248"/>
      <c r="S28" s="248"/>
      <c r="T28" s="249"/>
      <c r="U28" s="246">
        <f>IFERROR((AC35/AC36),0)</f>
        <v>0</v>
      </c>
      <c r="V28" s="247" t="s">
        <v>78</v>
      </c>
      <c r="W28" s="248"/>
      <c r="X28" s="248"/>
      <c r="Y28" s="248"/>
      <c r="Z28" s="248"/>
      <c r="AA28" s="248"/>
      <c r="AB28" s="248"/>
      <c r="AC28" s="249"/>
    </row>
    <row r="29" spans="2:29" x14ac:dyDescent="0.25">
      <c r="B29" s="34"/>
      <c r="C29" s="250" t="s">
        <v>79</v>
      </c>
      <c r="D29" s="251" t="s">
        <v>53</v>
      </c>
      <c r="E29" s="251"/>
      <c r="F29" s="251" t="s">
        <v>80</v>
      </c>
      <c r="G29" s="251"/>
      <c r="H29" s="251" t="s">
        <v>81</v>
      </c>
      <c r="I29" s="251"/>
      <c r="J29" s="252" t="s">
        <v>82</v>
      </c>
      <c r="L29" s="34"/>
      <c r="M29" s="250" t="s">
        <v>79</v>
      </c>
      <c r="N29" s="251" t="s">
        <v>53</v>
      </c>
      <c r="O29" s="251"/>
      <c r="P29" s="251" t="s">
        <v>80</v>
      </c>
      <c r="Q29" s="251"/>
      <c r="R29" s="251" t="s">
        <v>81</v>
      </c>
      <c r="S29" s="251"/>
      <c r="T29" s="252" t="s">
        <v>82</v>
      </c>
      <c r="U29" s="34"/>
      <c r="V29" s="250" t="s">
        <v>79</v>
      </c>
      <c r="W29" s="251" t="s">
        <v>53</v>
      </c>
      <c r="X29" s="251"/>
      <c r="Y29" s="251" t="s">
        <v>80</v>
      </c>
      <c r="Z29" s="251"/>
      <c r="AA29" s="251" t="s">
        <v>81</v>
      </c>
      <c r="AB29" s="251"/>
      <c r="AC29" s="252" t="s">
        <v>82</v>
      </c>
    </row>
    <row r="30" spans="2:29" x14ac:dyDescent="0.25">
      <c r="B30" s="202">
        <f>IFERROR((J30/J35),0)</f>
        <v>0</v>
      </c>
      <c r="C30" s="253"/>
      <c r="D30" s="56" t="s">
        <v>83</v>
      </c>
      <c r="E30" s="56"/>
      <c r="F30" s="254" t="str">
        <f>IF(C30="","",IF(D30="Moyen",ROUNDUP(D$13/SUMIF('[1]Liste de Prix'!$D:$D,C30,'[1]Liste de Prix'!$H:$H),0),IF(D30="Sécuritaire",ROUNDUP(D$13/SUMIF('[1]Liste de Prix'!$D:$D,C30,'[1]Liste de Prix'!$F:$F),0),IF(D30="Élevé",ROUNDUP(D$13/SUMIF('[1]Liste de Prix'!$D:$D,C30,'[1]Liste de Prix'!$G:$G),0),))))</f>
        <v/>
      </c>
      <c r="G30" s="254"/>
      <c r="H30" s="255">
        <f>SUMIF('[1]Liste de Prix'!D:D,C30,'[1]Liste de Prix'!E:E)</f>
        <v>0</v>
      </c>
      <c r="I30" s="256"/>
      <c r="J30" s="233">
        <f>IF(ISBLANK(C30),0,F30*H30)</f>
        <v>0</v>
      </c>
      <c r="L30" s="202">
        <f>IFERROR((T30/T35),0)</f>
        <v>0</v>
      </c>
      <c r="M30" s="253"/>
      <c r="N30" s="56" t="s">
        <v>83</v>
      </c>
      <c r="O30" s="56"/>
      <c r="P30" s="254" t="str">
        <f>IF(M30="","",IF(N30="Moyen",ROUNDUP(N$13/SUMIF('[1]Liste de Prix'!$D:$D,M30,'[1]Liste de Prix'!$H:$H),0),IF(N30="Sécuritaire",ROUNDUP(N$13/SUMIF('[1]Liste de Prix'!$D:$D,M30,'[1]Liste de Prix'!$F:$F),0),IF(N30="Élevé",ROUNDUP(N$13/SUMIF('[1]Liste de Prix'!$D:$D,M30,'[1]Liste de Prix'!$G:$G),0),))))</f>
        <v/>
      </c>
      <c r="Q30" s="254"/>
      <c r="R30" s="255">
        <f>SUMIF('[1]Liste de Prix'!D:D,M30,'[1]Liste de Prix'!E:E)</f>
        <v>0</v>
      </c>
      <c r="S30" s="256"/>
      <c r="T30" s="233">
        <f>IF(ISBLANK(M30),0,P30*R30)</f>
        <v>0</v>
      </c>
      <c r="U30" s="202">
        <f>IFERROR((AC30/AC35),0)</f>
        <v>0</v>
      </c>
      <c r="V30" s="253"/>
      <c r="W30" s="257" t="s">
        <v>83</v>
      </c>
      <c r="X30" s="257"/>
      <c r="Y30" s="258" t="str">
        <f>IF(V30="","",IF(W30="Moyen",ROUNDUP(W$13/SUMIF('[1]Liste de Prix'!$D:$D,V30,'[1]Liste de Prix'!$H:$H),0),IF(W30="Sécuritaire",ROUNDUP(W$13/SUMIF('[1]Liste de Prix'!$D:$D,V30,'[1]Liste de Prix'!$F:$F),0),IF(W30="Élevé",ROUNDUP(W$13/SUMIF('[1]Liste de Prix'!$D:$D,V30,'[1]Liste de Prix'!$G:$G),0),))))</f>
        <v/>
      </c>
      <c r="Z30" s="258"/>
      <c r="AA30" s="259">
        <f>SUMIF('[1]Liste de Prix'!D:D,V30,'[1]Liste de Prix'!E:E)</f>
        <v>0</v>
      </c>
      <c r="AB30" s="260"/>
      <c r="AC30" s="233">
        <f>IF(ISBLANK(V30),0,Y30*AA30)</f>
        <v>0</v>
      </c>
    </row>
    <row r="31" spans="2:29" x14ac:dyDescent="0.25">
      <c r="B31" s="202">
        <f>IFERROR((J31/J35),0)</f>
        <v>0</v>
      </c>
      <c r="C31" s="253"/>
      <c r="D31" s="56" t="s">
        <v>83</v>
      </c>
      <c r="E31" s="56"/>
      <c r="F31" s="254" t="str">
        <f>IF(C31="","",IF(D31="Moyen",ROUNDUP(D$13/SUMIF('[1]Liste de Prix'!$D:$D,C31,'[1]Liste de Prix'!$H:$H),0),IF(D31="Sécuritaire",ROUNDUP(D$13/SUMIF('[1]Liste de Prix'!$D:$D,C31,'[1]Liste de Prix'!$F:$F),0),IF(D31="Élevé",ROUNDUP(D$13/SUMIF('[1]Liste de Prix'!$D:$D,C31,'[1]Liste de Prix'!$G:$G),0),))))</f>
        <v/>
      </c>
      <c r="G31" s="254"/>
      <c r="H31" s="255">
        <f>SUMIF('[1]Liste de Prix'!D:D,C31,'[1]Liste de Prix'!E:E)</f>
        <v>0</v>
      </c>
      <c r="I31" s="256"/>
      <c r="J31" s="233">
        <f>IF(ISBLANK(C31),0,F31*H31)</f>
        <v>0</v>
      </c>
      <c r="L31" s="202">
        <f>IFERROR((T31/T35),0)</f>
        <v>0</v>
      </c>
      <c r="M31" s="253"/>
      <c r="N31" s="56" t="s">
        <v>83</v>
      </c>
      <c r="O31" s="56"/>
      <c r="P31" s="254" t="str">
        <f>IF(M31="","",IF(N31="Moyen",ROUNDUP(N$13/SUMIF('[1]Liste de Prix'!$D:$D,M31,'[1]Liste de Prix'!$H:$H),0),IF(N31="Sécuritaire",ROUNDUP(N$13/SUMIF('[1]Liste de Prix'!$D:$D,M31,'[1]Liste de Prix'!$F:$F),0),IF(N31="Élevé",ROUNDUP(N$13/SUMIF('[1]Liste de Prix'!$D:$D,M31,'[1]Liste de Prix'!$G:$G),0),))))</f>
        <v/>
      </c>
      <c r="Q31" s="254"/>
      <c r="R31" s="255">
        <f>SUMIF('[1]Liste de Prix'!D:D,M31,'[1]Liste de Prix'!E:E)</f>
        <v>0</v>
      </c>
      <c r="S31" s="256"/>
      <c r="T31" s="233">
        <f>IF(ISBLANK(M31),0,P31*R31)</f>
        <v>0</v>
      </c>
      <c r="U31" s="202">
        <f>IFERROR((AC31/AC35),0)</f>
        <v>0</v>
      </c>
      <c r="V31" s="253"/>
      <c r="W31" s="56" t="s">
        <v>83</v>
      </c>
      <c r="X31" s="56"/>
      <c r="Y31" s="254" t="str">
        <f>IF(V31="","",IF(W31="Moyen",ROUNDUP(W$13/SUMIF('[1]Liste de Prix'!$D:$D,V31,'[1]Liste de Prix'!$H:$H),0),IF(W31="Sécuritaire",ROUNDUP(W$13/SUMIF('[1]Liste de Prix'!$D:$D,V31,'[1]Liste de Prix'!$F:$F),0),IF(W31="Élevé",ROUNDUP(W$13/SUMIF('[1]Liste de Prix'!$D:$D,V31,'[1]Liste de Prix'!$G:$G),0),))))</f>
        <v/>
      </c>
      <c r="Z31" s="254"/>
      <c r="AA31" s="255">
        <f>SUMIF('[1]Liste de Prix'!D:D,V31,'[1]Liste de Prix'!E:E)</f>
        <v>0</v>
      </c>
      <c r="AB31" s="256"/>
      <c r="AC31" s="233">
        <f>IF(ISBLANK(V31),0,Y31*AA31)</f>
        <v>0</v>
      </c>
    </row>
    <row r="32" spans="2:29" x14ac:dyDescent="0.25">
      <c r="B32" s="202">
        <f>IFERROR((J32/J35),0)</f>
        <v>0</v>
      </c>
      <c r="C32" s="253"/>
      <c r="D32" s="56" t="s">
        <v>83</v>
      </c>
      <c r="E32" s="56"/>
      <c r="F32" s="254" t="str">
        <f>IF(C32="","",IF(D32="Moyen",ROUNDUP(D$13/SUMIF('[1]Liste de Prix'!$D:$D,C32,'[1]Liste de Prix'!$H:$H),0),IF(D32="Sécuritaire",ROUNDUP(D$13/SUMIF('[1]Liste de Prix'!$D:$D,C32,'[1]Liste de Prix'!$F:$F),0),IF(D32="Élevé",ROUNDUP(D$13/SUMIF('[1]Liste de Prix'!$D:$D,C32,'[1]Liste de Prix'!$G:$G),0),))))</f>
        <v/>
      </c>
      <c r="G32" s="254"/>
      <c r="H32" s="255">
        <f>SUMIF('[1]Liste de Prix'!D:D,C32,'[1]Liste de Prix'!E:E)</f>
        <v>0</v>
      </c>
      <c r="I32" s="256"/>
      <c r="J32" s="233">
        <f>IF(ISBLANK(C32),0,F32*H32)</f>
        <v>0</v>
      </c>
      <c r="L32" s="202">
        <f>IFERROR((T32/T35),0)</f>
        <v>0</v>
      </c>
      <c r="M32" s="253"/>
      <c r="N32" s="56" t="s">
        <v>83</v>
      </c>
      <c r="O32" s="56"/>
      <c r="P32" s="254" t="str">
        <f>IF(M32="","",IF(N32="Moyen",ROUNDUP(N$13/SUMIF('[1]Liste de Prix'!$D:$D,M32,'[1]Liste de Prix'!$H:$H),0),IF(N32="Sécuritaire",ROUNDUP(N$13/SUMIF('[1]Liste de Prix'!$D:$D,M32,'[1]Liste de Prix'!$F:$F),0),IF(N32="Élevé",ROUNDUP(N$13/SUMIF('[1]Liste de Prix'!$D:$D,M32,'[1]Liste de Prix'!$G:$G),0),))))</f>
        <v/>
      </c>
      <c r="Q32" s="254"/>
      <c r="R32" s="255">
        <f>SUMIF('[1]Liste de Prix'!D:D,M32,'[1]Liste de Prix'!E:E)</f>
        <v>0</v>
      </c>
      <c r="S32" s="256"/>
      <c r="T32" s="233">
        <f>IF(ISBLANK(M32),0,P32*R32)</f>
        <v>0</v>
      </c>
      <c r="U32" s="202">
        <f>IFERROR((AC32/AC35),0)</f>
        <v>0</v>
      </c>
      <c r="V32" s="253"/>
      <c r="W32" s="56" t="s">
        <v>83</v>
      </c>
      <c r="X32" s="56"/>
      <c r="Y32" s="254" t="str">
        <f>IF(V32="","",IF(W32="Moyen",ROUNDUP(W$13/SUMIF('[1]Liste de Prix'!$D:$D,V32,'[1]Liste de Prix'!$H:$H),0),IF(W32="Sécuritaire",ROUNDUP(W$13/SUMIF('[1]Liste de Prix'!$D:$D,V32,'[1]Liste de Prix'!$F:$F),0),IF(W32="Élevé",ROUNDUP(W$13/SUMIF('[1]Liste de Prix'!$D:$D,V32,'[1]Liste de Prix'!$G:$G),0),))))</f>
        <v/>
      </c>
      <c r="Z32" s="254"/>
      <c r="AA32" s="255">
        <f>SUMIF('[1]Liste de Prix'!D:D,V32,'[1]Liste de Prix'!E:E)</f>
        <v>0</v>
      </c>
      <c r="AB32" s="256"/>
      <c r="AC32" s="233">
        <f>IF(ISBLANK(V32),0,Y32*AA32)</f>
        <v>0</v>
      </c>
    </row>
    <row r="33" spans="2:29" x14ac:dyDescent="0.25">
      <c r="B33" s="202">
        <f>IFERROR((J33/J35),0)</f>
        <v>0</v>
      </c>
      <c r="C33" s="253"/>
      <c r="D33" s="56" t="s">
        <v>83</v>
      </c>
      <c r="E33" s="56"/>
      <c r="F33" s="254" t="str">
        <f>IF(C33="","",IF(D33="Moyen",ROUNDUP(D$13/SUMIF('[1]Liste de Prix'!$D:$D,C33,'[1]Liste de Prix'!$H:$H),0),IF(D33="Sécuritaire",ROUNDUP(D$13/SUMIF('[1]Liste de Prix'!$D:$D,C33,'[1]Liste de Prix'!$F:$F),0),IF(D33="Élevé",ROUNDUP(D$13/SUMIF('[1]Liste de Prix'!$D:$D,C33,'[1]Liste de Prix'!$G:$G),0),))))</f>
        <v/>
      </c>
      <c r="G33" s="254"/>
      <c r="H33" s="255">
        <f>SUMIF('[1]Liste de Prix'!D:D,C33,'[1]Liste de Prix'!E:E)</f>
        <v>0</v>
      </c>
      <c r="I33" s="256"/>
      <c r="J33" s="233">
        <f>IF(ISBLANK(C33),0,F33*H33)</f>
        <v>0</v>
      </c>
      <c r="L33" s="202">
        <f>IFERROR((T33/T35),0)</f>
        <v>0</v>
      </c>
      <c r="M33" s="253"/>
      <c r="N33" s="56" t="s">
        <v>83</v>
      </c>
      <c r="O33" s="56"/>
      <c r="P33" s="254" t="str">
        <f>IF(M33="","",IF(N33="Moyen",ROUNDUP(N$13/SUMIF('[1]Liste de Prix'!$D:$D,M33,'[1]Liste de Prix'!$H:$H),0),IF(N33="Sécuritaire",ROUNDUP(N$13/SUMIF('[1]Liste de Prix'!$D:$D,M33,'[1]Liste de Prix'!$F:$F),0),IF(N33="Élevé",ROUNDUP(N$13/SUMIF('[1]Liste de Prix'!$D:$D,M33,'[1]Liste de Prix'!$G:$G),0),))))</f>
        <v/>
      </c>
      <c r="Q33" s="254"/>
      <c r="R33" s="255">
        <f>SUMIF('[1]Liste de Prix'!D:D,M33,'[1]Liste de Prix'!E:E)</f>
        <v>0</v>
      </c>
      <c r="S33" s="256"/>
      <c r="T33" s="233">
        <f>IF(ISBLANK(M33),0,P33*R33)</f>
        <v>0</v>
      </c>
      <c r="U33" s="202">
        <f>IFERROR((AC33/AC35),0)</f>
        <v>0</v>
      </c>
      <c r="V33" s="253"/>
      <c r="W33" s="56" t="s">
        <v>83</v>
      </c>
      <c r="X33" s="56"/>
      <c r="Y33" s="254" t="str">
        <f>IF(V33="","",IF(W33="Moyen",ROUNDUP(W$13/SUMIF('[1]Liste de Prix'!$D:$D,V33,'[1]Liste de Prix'!$H:$H),0),IF(W33="Sécuritaire",ROUNDUP(W$13/SUMIF('[1]Liste de Prix'!$D:$D,V33,'[1]Liste de Prix'!$F:$F),0),IF(W33="Élevé",ROUNDUP(W$13/SUMIF('[1]Liste de Prix'!$D:$D,V33,'[1]Liste de Prix'!$G:$G),0),))))</f>
        <v/>
      </c>
      <c r="Z33" s="254"/>
      <c r="AA33" s="255">
        <f>SUMIF('[1]Liste de Prix'!D:D,V33,'[1]Liste de Prix'!E:E)</f>
        <v>0</v>
      </c>
      <c r="AB33" s="256"/>
      <c r="AC33" s="233">
        <f>IF(ISBLANK(V33),0,Y33*AA33)</f>
        <v>0</v>
      </c>
    </row>
    <row r="34" spans="2:29" x14ac:dyDescent="0.25">
      <c r="B34" s="202">
        <f>IFERROR((J34/J35),0)</f>
        <v>0</v>
      </c>
      <c r="C34" s="261"/>
      <c r="D34" s="63" t="s">
        <v>83</v>
      </c>
      <c r="E34" s="63"/>
      <c r="F34" s="254" t="str">
        <f>IF(C34="","",IF(D34="Moyen",ROUNDUP(D$13/SUMIF('[1]Liste de Prix'!$D:$D,C34,'[1]Liste de Prix'!$H:$H),0),IF(D34="Sécuritaire",ROUNDUP(D$13/SUMIF('[1]Liste de Prix'!$D:$D,C34,'[1]Liste de Prix'!$F:$F),0),IF(D34="Élevé",ROUNDUP(D$13/SUMIF('[1]Liste de Prix'!$D:$D,C34,'[1]Liste de Prix'!$G:$G),0),))))</f>
        <v/>
      </c>
      <c r="G34" s="254"/>
      <c r="H34" s="255">
        <f>SUMIF('[1]Liste de Prix'!D:D,C34,'[1]Liste de Prix'!E:E)</f>
        <v>0</v>
      </c>
      <c r="I34" s="256"/>
      <c r="J34" s="233">
        <f>IF(ISBLANK(C34),0,F34*H34)</f>
        <v>0</v>
      </c>
      <c r="L34" s="202">
        <f>IFERROR((T34/T35),0)</f>
        <v>0</v>
      </c>
      <c r="M34" s="261"/>
      <c r="N34" s="63" t="s">
        <v>83</v>
      </c>
      <c r="O34" s="63"/>
      <c r="P34" s="254" t="str">
        <f>IF(M34="","",IF(N34="Moyen",ROUNDUP(N$13/SUMIF('[1]Liste de Prix'!$D:$D,M34,'[1]Liste de Prix'!$H:$H),0),IF(N34="Sécuritaire",ROUNDUP(N$13/SUMIF('[1]Liste de Prix'!$D:$D,M34,'[1]Liste de Prix'!$F:$F),0),IF(N34="Élevé",ROUNDUP(N$13/SUMIF('[1]Liste de Prix'!$D:$D,M34,'[1]Liste de Prix'!$G:$G),0),))))</f>
        <v/>
      </c>
      <c r="Q34" s="254"/>
      <c r="R34" s="255">
        <f>SUMIF('[1]Liste de Prix'!D:D,M34,'[1]Liste de Prix'!E:E)</f>
        <v>0</v>
      </c>
      <c r="S34" s="256"/>
      <c r="T34" s="233">
        <f>IF(ISBLANK(M34),0,P34*R34)</f>
        <v>0</v>
      </c>
      <c r="U34" s="202">
        <f>IFERROR((AC34/AC35),0)</f>
        <v>0</v>
      </c>
      <c r="V34" s="261"/>
      <c r="W34" s="63" t="s">
        <v>83</v>
      </c>
      <c r="X34" s="63"/>
      <c r="Y34" s="262" t="str">
        <f>IF(V34="","",IF(W34="Moyen",ROUNDUP(W$13/SUMIF('[1]Liste de Prix'!$D:$D,V34,'[1]Liste de Prix'!$H:$H),0),IF(W34="Sécuritaire",ROUNDUP(W$13/SUMIF('[1]Liste de Prix'!$D:$D,V34,'[1]Liste de Prix'!$F:$F),0),IF(W34="Élevé",ROUNDUP(W$13/SUMIF('[1]Liste de Prix'!$D:$D,V34,'[1]Liste de Prix'!$G:$G),0),))))</f>
        <v/>
      </c>
      <c r="Z34" s="262"/>
      <c r="AA34" s="263">
        <f>SUMIF('[1]Liste de Prix'!D:D,V34,'[1]Liste de Prix'!E:E)</f>
        <v>0</v>
      </c>
      <c r="AB34" s="264"/>
      <c r="AC34" s="233">
        <f>IF(ISBLANK(V34),0,Y34*AA34)</f>
        <v>0</v>
      </c>
    </row>
    <row r="35" spans="2:29" x14ac:dyDescent="0.25">
      <c r="B35" s="265"/>
      <c r="C35" s="266" t="s">
        <v>84</v>
      </c>
      <c r="D35" s="267">
        <f>COUNTIF(C30:C34,"&lt;&gt;")</f>
        <v>0</v>
      </c>
      <c r="E35" s="268"/>
      <c r="F35" s="269" t="s">
        <v>85</v>
      </c>
      <c r="G35" s="270"/>
      <c r="H35" s="270"/>
      <c r="I35" s="271"/>
      <c r="J35" s="272">
        <f>SUM(J30:J34)</f>
        <v>0</v>
      </c>
      <c r="L35" s="265"/>
      <c r="M35" s="266" t="s">
        <v>84</v>
      </c>
      <c r="N35" s="267">
        <f>COUNTIF(M30:M34,"&lt;&gt;")</f>
        <v>0</v>
      </c>
      <c r="O35" s="268"/>
      <c r="P35" s="269" t="s">
        <v>85</v>
      </c>
      <c r="Q35" s="270"/>
      <c r="R35" s="270"/>
      <c r="S35" s="271"/>
      <c r="T35" s="272">
        <f>SUM(T30:T34)</f>
        <v>0</v>
      </c>
      <c r="U35" s="265"/>
      <c r="V35" s="266" t="s">
        <v>84</v>
      </c>
      <c r="W35" s="267">
        <f>COUNTIF(V30:V34,"&lt;&gt;")</f>
        <v>0</v>
      </c>
      <c r="X35" s="268"/>
      <c r="Y35" s="269" t="s">
        <v>85</v>
      </c>
      <c r="Z35" s="270"/>
      <c r="AA35" s="270"/>
      <c r="AB35" s="271"/>
      <c r="AC35" s="272">
        <f>SUM(AC30:AC34)</f>
        <v>0</v>
      </c>
    </row>
    <row r="36" spans="2:29" x14ac:dyDescent="0.25">
      <c r="B36" s="34"/>
      <c r="C36" s="273"/>
      <c r="D36" s="49"/>
      <c r="E36" s="49"/>
      <c r="F36" s="269" t="s">
        <v>86</v>
      </c>
      <c r="G36" s="270"/>
      <c r="H36" s="270"/>
      <c r="I36" s="271"/>
      <c r="J36" s="272">
        <f>J27+J35</f>
        <v>0</v>
      </c>
      <c r="L36" s="34"/>
      <c r="M36" s="273"/>
      <c r="N36" s="49"/>
      <c r="O36" s="49"/>
      <c r="P36" s="269" t="s">
        <v>86</v>
      </c>
      <c r="Q36" s="270"/>
      <c r="R36" s="270"/>
      <c r="S36" s="271"/>
      <c r="T36" s="272">
        <f>T27+T35</f>
        <v>0</v>
      </c>
      <c r="U36" s="34"/>
      <c r="V36" s="273"/>
      <c r="W36" s="49"/>
      <c r="X36" s="49"/>
      <c r="Y36" s="269" t="s">
        <v>86</v>
      </c>
      <c r="Z36" s="270"/>
      <c r="AA36" s="270"/>
      <c r="AB36" s="271"/>
      <c r="AC36" s="272">
        <f>AC27+AC35</f>
        <v>368.10899999999998</v>
      </c>
    </row>
    <row r="37" spans="2:29" x14ac:dyDescent="0.25">
      <c r="B37" s="274">
        <v>0.35</v>
      </c>
      <c r="C37" s="275"/>
      <c r="D37" s="276"/>
      <c r="E37" s="268"/>
      <c r="F37" s="277" t="s">
        <v>87</v>
      </c>
      <c r="G37" s="239"/>
      <c r="H37" s="239"/>
      <c r="I37" s="278"/>
      <c r="J37" s="233">
        <f>J38-J36</f>
        <v>0</v>
      </c>
      <c r="L37" s="274">
        <v>0.35</v>
      </c>
      <c r="M37" s="275"/>
      <c r="N37" s="276"/>
      <c r="O37" s="268"/>
      <c r="P37" s="277" t="s">
        <v>87</v>
      </c>
      <c r="Q37" s="239"/>
      <c r="R37" s="239"/>
      <c r="S37" s="278"/>
      <c r="T37" s="233">
        <f>T38-T36</f>
        <v>0</v>
      </c>
      <c r="U37" s="279">
        <v>0.35</v>
      </c>
      <c r="V37" s="280"/>
      <c r="W37" s="276"/>
      <c r="X37" s="268"/>
      <c r="Y37" s="277" t="s">
        <v>87</v>
      </c>
      <c r="Z37" s="239"/>
      <c r="AA37" s="239"/>
      <c r="AB37" s="278"/>
      <c r="AC37" s="233">
        <f>AC38-AC36</f>
        <v>198.21253846153849</v>
      </c>
    </row>
    <row r="38" spans="2:29" x14ac:dyDescent="0.25">
      <c r="B38" s="281"/>
      <c r="C38" s="275"/>
      <c r="D38" s="276"/>
      <c r="E38" s="268"/>
      <c r="F38" s="282" t="s">
        <v>88</v>
      </c>
      <c r="G38" s="283"/>
      <c r="H38" s="283"/>
      <c r="I38" s="284"/>
      <c r="J38" s="233">
        <f>J36/(1-B37)</f>
        <v>0</v>
      </c>
      <c r="L38" s="281"/>
      <c r="M38" s="275"/>
      <c r="N38" s="276"/>
      <c r="O38" s="268"/>
      <c r="P38" s="282" t="s">
        <v>88</v>
      </c>
      <c r="Q38" s="283"/>
      <c r="R38" s="283"/>
      <c r="S38" s="284"/>
      <c r="T38" s="233">
        <f>T36/(1-L37)</f>
        <v>0</v>
      </c>
      <c r="U38" s="285"/>
      <c r="V38" s="268"/>
      <c r="W38" s="276"/>
      <c r="X38" s="268"/>
      <c r="Y38" s="282" t="s">
        <v>88</v>
      </c>
      <c r="Z38" s="283"/>
      <c r="AA38" s="283"/>
      <c r="AB38" s="284"/>
      <c r="AC38" s="233">
        <f>AC36/(1-U37)</f>
        <v>566.32153846153847</v>
      </c>
    </row>
    <row r="39" spans="2:29" x14ac:dyDescent="0.25">
      <c r="B39" s="274">
        <v>0.15</v>
      </c>
      <c r="C39" s="275"/>
      <c r="D39" s="276"/>
      <c r="E39" s="268"/>
      <c r="F39" s="282" t="s">
        <v>89</v>
      </c>
      <c r="G39" s="283"/>
      <c r="H39" s="283"/>
      <c r="I39" s="284"/>
      <c r="J39" s="233">
        <f>J36*B39</f>
        <v>0</v>
      </c>
      <c r="L39" s="274">
        <v>0.15</v>
      </c>
      <c r="M39" s="275"/>
      <c r="N39" s="276"/>
      <c r="O39" s="268"/>
      <c r="P39" s="282" t="s">
        <v>89</v>
      </c>
      <c r="Q39" s="283"/>
      <c r="R39" s="283"/>
      <c r="S39" s="284"/>
      <c r="T39" s="233">
        <f>T36*L39</f>
        <v>0</v>
      </c>
      <c r="U39" s="279">
        <v>0.15</v>
      </c>
      <c r="V39" s="280"/>
      <c r="W39" s="276"/>
      <c r="X39" s="268"/>
      <c r="Y39" s="282" t="s">
        <v>89</v>
      </c>
      <c r="Z39" s="283"/>
      <c r="AA39" s="283"/>
      <c r="AB39" s="284"/>
      <c r="AC39" s="233">
        <f>AC36*U39</f>
        <v>55.216349999999998</v>
      </c>
    </row>
    <row r="40" spans="2:29" ht="15.75" thickBot="1" x14ac:dyDescent="0.3">
      <c r="B40" s="286"/>
      <c r="C40" s="287"/>
      <c r="D40" s="288"/>
      <c r="E40" s="287"/>
      <c r="F40" s="289" t="s">
        <v>90</v>
      </c>
      <c r="G40" s="290"/>
      <c r="H40" s="290"/>
      <c r="I40" s="291"/>
      <c r="J40" s="292">
        <f>ROUNDUP((J38+J39)/5,0)*5</f>
        <v>0</v>
      </c>
      <c r="L40" s="286"/>
      <c r="M40" s="287"/>
      <c r="N40" s="288"/>
      <c r="O40" s="287"/>
      <c r="P40" s="289" t="s">
        <v>90</v>
      </c>
      <c r="Q40" s="290"/>
      <c r="R40" s="290"/>
      <c r="S40" s="291"/>
      <c r="T40" s="292">
        <f>ROUNDUP((T38+T39)/5,0)*5</f>
        <v>0</v>
      </c>
      <c r="U40" s="286"/>
      <c r="V40" s="287"/>
      <c r="W40" s="288"/>
      <c r="X40" s="287"/>
      <c r="Y40" s="289" t="s">
        <v>90</v>
      </c>
      <c r="Z40" s="290"/>
      <c r="AA40" s="290"/>
      <c r="AB40" s="291"/>
      <c r="AC40" s="292">
        <f>ROUNDUP((AC38+AC39)/5,0)*5</f>
        <v>625</v>
      </c>
    </row>
    <row r="41" spans="2:29" ht="6" customHeight="1" thickBot="1" x14ac:dyDescent="0.3"/>
    <row r="42" spans="2:29" x14ac:dyDescent="0.25">
      <c r="B42" s="293" t="s">
        <v>91</v>
      </c>
      <c r="C42" s="294"/>
      <c r="E42" s="295" t="s">
        <v>92</v>
      </c>
      <c r="F42" s="296"/>
      <c r="G42" s="296"/>
      <c r="H42" s="296"/>
      <c r="I42" s="297"/>
      <c r="L42" s="293" t="s">
        <v>91</v>
      </c>
      <c r="M42" s="294"/>
      <c r="O42" s="295" t="s">
        <v>92</v>
      </c>
      <c r="P42" s="296"/>
      <c r="Q42" s="296"/>
      <c r="R42" s="296"/>
      <c r="S42" s="297"/>
      <c r="U42" s="298" t="s">
        <v>91</v>
      </c>
      <c r="V42" s="299"/>
      <c r="X42" s="300" t="s">
        <v>92</v>
      </c>
      <c r="Y42" s="301"/>
      <c r="Z42" s="301"/>
      <c r="AA42" s="301"/>
      <c r="AB42" s="302"/>
    </row>
    <row r="43" spans="2:29" x14ac:dyDescent="0.25">
      <c r="B43" s="303" t="s">
        <v>93</v>
      </c>
      <c r="C43" s="304">
        <f>IFERROR(J40/ROUNDUP(H13,0),0)</f>
        <v>0</v>
      </c>
      <c r="D43" s="305"/>
      <c r="E43" s="306" t="s">
        <v>94</v>
      </c>
      <c r="F43" s="307"/>
      <c r="G43" s="308" t="s">
        <v>95</v>
      </c>
      <c r="H43" s="308" t="s">
        <v>96</v>
      </c>
      <c r="I43" s="309" t="s">
        <v>97</v>
      </c>
      <c r="L43" s="303" t="s">
        <v>93</v>
      </c>
      <c r="M43" s="304">
        <f>IFERROR(T40/ROUNDUP(R13,0),0)</f>
        <v>0</v>
      </c>
      <c r="N43" s="305"/>
      <c r="O43" s="306" t="s">
        <v>94</v>
      </c>
      <c r="P43" s="307"/>
      <c r="Q43" s="308" t="s">
        <v>95</v>
      </c>
      <c r="R43" s="308" t="s">
        <v>96</v>
      </c>
      <c r="S43" s="309" t="s">
        <v>97</v>
      </c>
      <c r="U43" s="303" t="s">
        <v>93</v>
      </c>
      <c r="V43" s="304">
        <f>IFERROR(AC40/ROUNDUP(AA13,0),0)</f>
        <v>625</v>
      </c>
      <c r="W43" s="305"/>
      <c r="X43" s="310" t="s">
        <v>94</v>
      </c>
      <c r="Y43" s="311"/>
      <c r="Z43" s="308" t="s">
        <v>95</v>
      </c>
      <c r="AA43" s="308" t="s">
        <v>96</v>
      </c>
      <c r="AB43" s="309" t="s">
        <v>97</v>
      </c>
    </row>
    <row r="44" spans="2:29" ht="15.75" thickBot="1" x14ac:dyDescent="0.3">
      <c r="B44" s="312" t="s">
        <v>98</v>
      </c>
      <c r="C44" s="313" t="e">
        <f>J40/D13</f>
        <v>#DIV/0!</v>
      </c>
      <c r="D44" s="305"/>
      <c r="E44" s="314"/>
      <c r="F44" s="315"/>
      <c r="G44" s="316">
        <f>IF(H44="Jour",SUMIF('[1]Liste de Prix'!M58:M90,E44,'[1]Liste de Prix'!N58:N90),IF(H44="Semaine",SUMIF('[1]Liste de Prix'!M58:M90,E44,'[1]Liste de Prix'!O58:O90),IF(H44="Mois",SUMIF('[1]Liste de Prix'!M58:M90,E44,'[1]Liste de Prix'!P58:P90),IF(H44="",""))))</f>
        <v>0</v>
      </c>
      <c r="H44" s="317" t="str">
        <f>IF(H13=0,"Jour",IF(H13&gt;=11,"Mois",IF(H13&gt;=3,"Semaine","Jour")))</f>
        <v>Jour</v>
      </c>
      <c r="I44" s="318"/>
      <c r="L44" s="312" t="s">
        <v>98</v>
      </c>
      <c r="M44" s="313" t="e">
        <f>T40/N13</f>
        <v>#DIV/0!</v>
      </c>
      <c r="N44" s="305"/>
      <c r="O44" s="319"/>
      <c r="P44" s="320"/>
      <c r="Q44" s="316">
        <f>IF(R44="Jour",SUMIF('[1]Liste de Prix'!M58:M90,O44,'[1]Liste de Prix'!N58:N90),IF(R44="Semaine",SUMIF('[1]Liste de Prix'!M58:M90,O44,'[1]Liste de Prix'!O58:O90),IF(R44="Mois",SUMIF('[1]Liste de Prix'!M58:M90,O44,'[1]Liste de Prix'!P58:P90),IF(R44="",""))))</f>
        <v>0</v>
      </c>
      <c r="R44" s="317" t="str">
        <f>IF(R13=0,"Jour",IF(R13&gt;=11,"Mois",IF(R13&gt;=3,"Semaine","Jour")))</f>
        <v>Jour</v>
      </c>
      <c r="S44" s="318"/>
      <c r="U44" s="312" t="s">
        <v>98</v>
      </c>
      <c r="V44" s="313">
        <f>AC40/W13</f>
        <v>25</v>
      </c>
      <c r="W44" s="305"/>
      <c r="X44" s="286"/>
      <c r="Y44" s="287"/>
      <c r="Z44" s="316">
        <f>IF(AA44="Jour",SUMIF('[1]Liste de Prix'!M58:M90,X44,'[1]Liste de Prix'!N58:N90),IF(AA44="Semaine",SUMIF('[1]Liste de Prix'!M58:M90,X44,'[1]Liste de Prix'!N58:N90),IF(AA44="Mois",SUMIF('[1]Liste de Prix'!M58:M90,X44,'[1]Liste de Prix'!N58:N90),IF(AA44="",""))))</f>
        <v>0</v>
      </c>
      <c r="AA44" s="317" t="str">
        <f>IF(AA13=0,"Jour",IF(AA13&gt;=11,"Mois",IF(AA13&gt;=3,"Semaine","Jour")))</f>
        <v>Jour</v>
      </c>
      <c r="AB44" s="318"/>
    </row>
    <row r="45" spans="2:29" ht="15.75" thickBot="1" x14ac:dyDescent="0.3">
      <c r="C45" s="58"/>
      <c r="E45" s="321" t="s">
        <v>99</v>
      </c>
      <c r="F45" s="322">
        <f>IF(G44&gt;0,(H13*(2.35*15)),)</f>
        <v>0</v>
      </c>
      <c r="G45" s="323" t="s">
        <v>100</v>
      </c>
      <c r="H45" s="324">
        <v>0.35</v>
      </c>
      <c r="I45" s="325">
        <f>(G44+I44)*H45</f>
        <v>0</v>
      </c>
      <c r="M45" s="58"/>
      <c r="O45" s="321" t="s">
        <v>99</v>
      </c>
      <c r="P45" s="322">
        <f>IF(Q44&gt;0,(R13*(2.35*15)),)</f>
        <v>0</v>
      </c>
      <c r="Q45" s="326" t="s">
        <v>100</v>
      </c>
      <c r="R45" s="324">
        <v>0.35</v>
      </c>
      <c r="S45" s="327">
        <f>(Q44+S44)*R45</f>
        <v>0</v>
      </c>
      <c r="V45" s="58"/>
      <c r="X45" s="321" t="s">
        <v>99</v>
      </c>
      <c r="Y45" s="322">
        <f>IF(Z44&gt;0,(AA13*(2.35*15)),)</f>
        <v>0</v>
      </c>
      <c r="Z45" s="326" t="s">
        <v>100</v>
      </c>
      <c r="AA45" s="324">
        <v>0.35</v>
      </c>
      <c r="AB45" s="327">
        <f>(Z44+AB44)*AA45</f>
        <v>0</v>
      </c>
    </row>
    <row r="46" spans="2:29" ht="15.75" thickBot="1" x14ac:dyDescent="0.3">
      <c r="B46" s="328" t="s">
        <v>101</v>
      </c>
      <c r="C46" s="329"/>
      <c r="H46" s="330" t="s">
        <v>82</v>
      </c>
      <c r="I46" s="331">
        <f>ROUNDUP((G44+I44+I45+F45)/5,0)*5</f>
        <v>0</v>
      </c>
      <c r="L46" s="328" t="s">
        <v>101</v>
      </c>
      <c r="M46" s="329"/>
      <c r="R46" s="330" t="s">
        <v>82</v>
      </c>
      <c r="S46" s="331">
        <f>ROUNDUP((Q44+S44+S45+P45)/5,0)*5</f>
        <v>0</v>
      </c>
      <c r="U46" s="332" t="s">
        <v>101</v>
      </c>
      <c r="V46" s="333"/>
      <c r="AA46" s="330" t="s">
        <v>82</v>
      </c>
      <c r="AB46" s="331">
        <f>ROUNDUP((Z44+AB44+AB45+Y45)/5,0)*5</f>
        <v>0</v>
      </c>
    </row>
    <row r="47" spans="2:29" ht="15.75" thickBot="1" x14ac:dyDescent="0.3">
      <c r="B47" s="334" t="s">
        <v>102</v>
      </c>
      <c r="C47" s="335">
        <f>((J40/2)+I45)*5%</f>
        <v>0</v>
      </c>
      <c r="L47" s="334" t="s">
        <v>102</v>
      </c>
      <c r="M47" s="335">
        <f>((T40/2)+S45)*5%</f>
        <v>0</v>
      </c>
      <c r="U47" s="334" t="s">
        <v>102</v>
      </c>
      <c r="V47" s="335">
        <f>((AC40/2)+AB45)*5%</f>
        <v>15.625</v>
      </c>
    </row>
    <row r="48" spans="2:29" ht="15.75" customHeight="1" thickBot="1" x14ac:dyDescent="0.35">
      <c r="B48" s="73" t="s">
        <v>103</v>
      </c>
      <c r="C48" s="74"/>
      <c r="D48" s="74"/>
      <c r="E48" s="74"/>
      <c r="F48" s="74"/>
      <c r="G48" s="74"/>
      <c r="H48" s="74"/>
      <c r="I48" s="74"/>
      <c r="J48" s="75"/>
      <c r="L48" s="73" t="s">
        <v>104</v>
      </c>
      <c r="M48" s="74"/>
      <c r="N48" s="74"/>
      <c r="O48" s="74"/>
      <c r="P48" s="74"/>
      <c r="Q48" s="74"/>
      <c r="R48" s="74"/>
      <c r="S48" s="74"/>
      <c r="T48" s="75"/>
    </row>
    <row r="49" spans="2:20" ht="15.75" customHeight="1" x14ac:dyDescent="0.25">
      <c r="B49" s="76" t="s">
        <v>46</v>
      </c>
      <c r="C49" s="82"/>
      <c r="D49" s="78">
        <f>'[1]INFO-Projet'!A2</f>
        <v>0</v>
      </c>
      <c r="E49" s="79"/>
      <c r="F49" s="79"/>
      <c r="G49" s="79"/>
      <c r="H49" s="79"/>
      <c r="I49" s="80"/>
      <c r="J49" s="81">
        <f>'[1]INFO-Projet'!C6</f>
        <v>0</v>
      </c>
      <c r="L49" s="76" t="s">
        <v>46</v>
      </c>
      <c r="M49" s="77"/>
      <c r="N49" s="78">
        <f>'[1]INFO-Projet'!A2</f>
        <v>0</v>
      </c>
      <c r="O49" s="79"/>
      <c r="P49" s="79"/>
      <c r="Q49" s="79"/>
      <c r="R49" s="79"/>
      <c r="S49" s="80"/>
      <c r="T49" s="81">
        <f>'[1]INFO-Projet'!C6</f>
        <v>0</v>
      </c>
    </row>
    <row r="50" spans="2:20" ht="15.75" customHeight="1" thickBot="1" x14ac:dyDescent="0.3">
      <c r="B50" s="89" t="s">
        <v>47</v>
      </c>
      <c r="C50" s="90"/>
      <c r="D50" s="85">
        <f>'[1]INFO-Projet'!A6</f>
        <v>0</v>
      </c>
      <c r="E50" s="86"/>
      <c r="F50" s="86"/>
      <c r="G50" s="86"/>
      <c r="H50" s="86"/>
      <c r="I50" s="87"/>
      <c r="J50" s="88">
        <f>'[1]INFO-Projet'!C7</f>
        <v>0</v>
      </c>
      <c r="L50" s="83" t="s">
        <v>47</v>
      </c>
      <c r="M50" s="84"/>
      <c r="N50" s="85">
        <f>'[1]INFO-Projet'!A6</f>
        <v>0</v>
      </c>
      <c r="O50" s="86"/>
      <c r="P50" s="86"/>
      <c r="Q50" s="86"/>
      <c r="R50" s="86"/>
      <c r="S50" s="87"/>
      <c r="T50" s="88">
        <f>'[1]INFO-Projet'!C7</f>
        <v>0</v>
      </c>
    </row>
    <row r="51" spans="2:20" ht="15.75" customHeight="1" x14ac:dyDescent="0.25">
      <c r="B51" s="91" t="s">
        <v>48</v>
      </c>
      <c r="C51" s="92"/>
      <c r="D51" s="93"/>
      <c r="E51" s="94"/>
      <c r="F51" s="94"/>
      <c r="G51" s="94"/>
      <c r="H51" s="94"/>
      <c r="I51" s="94"/>
      <c r="J51" s="95"/>
      <c r="L51" s="91" t="s">
        <v>48</v>
      </c>
      <c r="M51" s="92"/>
      <c r="N51" s="93"/>
      <c r="O51" s="94"/>
      <c r="P51" s="94"/>
      <c r="Q51" s="94"/>
      <c r="R51" s="94"/>
      <c r="S51" s="94"/>
      <c r="T51" s="95"/>
    </row>
    <row r="52" spans="2:20" ht="15.75" customHeight="1" thickBot="1" x14ac:dyDescent="0.3">
      <c r="B52" s="97" t="s">
        <v>49</v>
      </c>
      <c r="C52" s="102"/>
      <c r="D52" s="99"/>
      <c r="E52" s="100"/>
      <c r="F52" s="100"/>
      <c r="G52" s="100"/>
      <c r="H52" s="100"/>
      <c r="I52" s="100"/>
      <c r="J52" s="101"/>
      <c r="L52" s="97" t="s">
        <v>50</v>
      </c>
      <c r="M52" s="98"/>
      <c r="N52" s="99"/>
      <c r="O52" s="100"/>
      <c r="P52" s="100"/>
      <c r="Q52" s="100"/>
      <c r="R52" s="100"/>
      <c r="S52" s="100"/>
      <c r="T52" s="101"/>
    </row>
    <row r="53" spans="2:20" ht="3.75" customHeight="1" thickBot="1" x14ac:dyDescent="0.3"/>
    <row r="54" spans="2:20" ht="15.75" customHeight="1" x14ac:dyDescent="0.25">
      <c r="B54" s="103"/>
      <c r="C54" s="103" t="s">
        <v>51</v>
      </c>
      <c r="D54" s="104" t="s">
        <v>52</v>
      </c>
      <c r="E54" s="105"/>
      <c r="F54" s="104" t="s">
        <v>53</v>
      </c>
      <c r="G54" s="105"/>
      <c r="H54" s="104" t="s">
        <v>54</v>
      </c>
      <c r="I54" s="105"/>
      <c r="J54" s="103" t="s">
        <v>55</v>
      </c>
      <c r="L54" s="103"/>
      <c r="M54" s="103" t="s">
        <v>51</v>
      </c>
      <c r="N54" s="104" t="s">
        <v>52</v>
      </c>
      <c r="O54" s="105"/>
      <c r="P54" s="104" t="s">
        <v>53</v>
      </c>
      <c r="Q54" s="105"/>
      <c r="R54" s="104" t="s">
        <v>54</v>
      </c>
      <c r="S54" s="105"/>
      <c r="T54" s="103" t="s">
        <v>55</v>
      </c>
    </row>
    <row r="55" spans="2:20" ht="15.75" customHeight="1" thickBot="1" x14ac:dyDescent="0.3">
      <c r="B55" s="111"/>
      <c r="C55" s="111"/>
      <c r="D55" s="107"/>
      <c r="E55" s="108"/>
      <c r="F55" s="107"/>
      <c r="G55" s="108"/>
      <c r="H55" s="107"/>
      <c r="I55" s="108"/>
      <c r="J55" s="111"/>
      <c r="L55" s="106"/>
      <c r="M55" s="106"/>
      <c r="N55" s="107"/>
      <c r="O55" s="108"/>
      <c r="P55" s="107"/>
      <c r="Q55" s="108"/>
      <c r="R55" s="109"/>
      <c r="S55" s="110"/>
      <c r="T55" s="106"/>
    </row>
    <row r="56" spans="2:20" ht="15.75" customHeight="1" x14ac:dyDescent="0.25">
      <c r="B56" s="112">
        <v>1</v>
      </c>
      <c r="C56" s="113"/>
      <c r="D56" s="114"/>
      <c r="E56" s="115"/>
      <c r="F56" s="116">
        <v>2000</v>
      </c>
      <c r="G56" s="117"/>
      <c r="H56" s="120">
        <f>D56/F56</f>
        <v>0</v>
      </c>
      <c r="I56" s="121"/>
      <c r="J56" s="119"/>
      <c r="L56" s="112">
        <v>1</v>
      </c>
      <c r="M56" s="113"/>
      <c r="N56" s="114"/>
      <c r="O56" s="115"/>
      <c r="P56" s="116">
        <v>2000</v>
      </c>
      <c r="Q56" s="117"/>
      <c r="R56" s="118">
        <f>N56/P56</f>
        <v>0</v>
      </c>
      <c r="S56" s="118"/>
      <c r="T56" s="119"/>
    </row>
    <row r="57" spans="2:20" x14ac:dyDescent="0.25">
      <c r="B57" s="122">
        <v>2</v>
      </c>
      <c r="C57" s="123"/>
      <c r="D57" s="124"/>
      <c r="E57" s="125"/>
      <c r="F57" s="126"/>
      <c r="G57" s="127"/>
      <c r="H57" s="130">
        <f>IFERROR((D57/F57),0)</f>
        <v>0</v>
      </c>
      <c r="I57" s="131"/>
      <c r="J57" s="129"/>
      <c r="L57" s="122">
        <v>2</v>
      </c>
      <c r="M57" s="123"/>
      <c r="N57" s="124"/>
      <c r="O57" s="125"/>
      <c r="P57" s="126"/>
      <c r="Q57" s="127"/>
      <c r="R57" s="128">
        <f>IFERROR((N57/P57),0)</f>
        <v>0</v>
      </c>
      <c r="S57" s="128"/>
      <c r="T57" s="129"/>
    </row>
    <row r="58" spans="2:20" ht="15.75" thickBot="1" x14ac:dyDescent="0.3">
      <c r="B58" s="132">
        <v>3</v>
      </c>
      <c r="C58" s="133"/>
      <c r="D58" s="134"/>
      <c r="E58" s="135"/>
      <c r="F58" s="136"/>
      <c r="G58" s="137"/>
      <c r="H58" s="140">
        <f>IFERROR((D58/F58),0)</f>
        <v>0</v>
      </c>
      <c r="I58" s="141"/>
      <c r="J58" s="139"/>
      <c r="L58" s="132">
        <v>3</v>
      </c>
      <c r="M58" s="133"/>
      <c r="N58" s="134"/>
      <c r="O58" s="135"/>
      <c r="P58" s="136"/>
      <c r="Q58" s="137"/>
      <c r="R58" s="138">
        <f>IFERROR((N58/P58),0)</f>
        <v>0</v>
      </c>
      <c r="S58" s="138"/>
      <c r="T58" s="139"/>
    </row>
    <row r="59" spans="2:20" ht="15.75" thickBot="1" x14ac:dyDescent="0.3">
      <c r="B59" s="142"/>
      <c r="C59" s="143" t="s">
        <v>57</v>
      </c>
      <c r="D59" s="144" t="s">
        <v>58</v>
      </c>
      <c r="E59" s="145"/>
      <c r="F59" s="144" t="s">
        <v>59</v>
      </c>
      <c r="G59" s="145"/>
      <c r="H59" s="144" t="s">
        <v>60</v>
      </c>
      <c r="I59" s="145"/>
      <c r="J59" s="143" t="s">
        <v>61</v>
      </c>
      <c r="L59" s="142"/>
      <c r="M59" s="143" t="s">
        <v>57</v>
      </c>
      <c r="N59" s="144" t="s">
        <v>58</v>
      </c>
      <c r="O59" s="145"/>
      <c r="P59" s="144" t="s">
        <v>59</v>
      </c>
      <c r="Q59" s="145"/>
      <c r="R59" s="144" t="s">
        <v>60</v>
      </c>
      <c r="S59" s="145"/>
      <c r="T59" s="143" t="s">
        <v>61</v>
      </c>
    </row>
    <row r="60" spans="2:20" x14ac:dyDescent="0.25">
      <c r="B60" s="113"/>
      <c r="C60" s="146">
        <f>COUNTIF(C56:C58,"&lt;&gt;")</f>
        <v>0</v>
      </c>
      <c r="D60" s="147">
        <f>SUM(D56:E58)</f>
        <v>0</v>
      </c>
      <c r="E60" s="148"/>
      <c r="F60" s="149">
        <f>SUM(F56:G58)/(COUNT(F56:G58)-COUNTIF(F56:G58,"=0"))</f>
        <v>2000</v>
      </c>
      <c r="G60" s="150"/>
      <c r="H60" s="336">
        <f>SUM(H56:I58)</f>
        <v>0</v>
      </c>
      <c r="I60" s="337"/>
      <c r="J60" s="146">
        <f>H64/8</f>
        <v>0.25</v>
      </c>
      <c r="L60" s="113"/>
      <c r="M60" s="146">
        <f>COUNTIF(M56:M58,"&lt;&gt;")</f>
        <v>0</v>
      </c>
      <c r="N60" s="147">
        <f>SUM(N56:O58)</f>
        <v>0</v>
      </c>
      <c r="O60" s="148"/>
      <c r="P60" s="147">
        <f>SUM(P56:Q58)/(COUNT(P56:Q58)-COUNTIF(P56:Q58,"=0"))</f>
        <v>2000</v>
      </c>
      <c r="Q60" s="148"/>
      <c r="R60" s="146">
        <f>SUM(R56:S58)</f>
        <v>0</v>
      </c>
      <c r="S60" s="146"/>
      <c r="T60" s="146">
        <f>R64/8</f>
        <v>0.25</v>
      </c>
    </row>
    <row r="61" spans="2:20" ht="15.75" thickBot="1" x14ac:dyDescent="0.3">
      <c r="B61" s="133"/>
      <c r="C61" s="152"/>
      <c r="D61" s="153"/>
      <c r="E61" s="154"/>
      <c r="F61" s="155"/>
      <c r="G61" s="156"/>
      <c r="H61" s="338"/>
      <c r="I61" s="339"/>
      <c r="J61" s="152"/>
      <c r="L61" s="133"/>
      <c r="M61" s="152"/>
      <c r="N61" s="153"/>
      <c r="O61" s="154"/>
      <c r="P61" s="153"/>
      <c r="Q61" s="154"/>
      <c r="R61" s="152"/>
      <c r="S61" s="152"/>
      <c r="T61" s="152"/>
    </row>
    <row r="62" spans="2:20" ht="15.75" thickBot="1" x14ac:dyDescent="0.3">
      <c r="B62" s="158"/>
      <c r="C62" s="158"/>
      <c r="D62" s="158"/>
      <c r="E62" s="158"/>
      <c r="F62" s="158"/>
      <c r="G62" s="158"/>
      <c r="H62" s="159"/>
      <c r="I62" s="160"/>
      <c r="J62" s="158"/>
      <c r="L62" s="158"/>
      <c r="M62" s="158"/>
      <c r="N62" s="158"/>
      <c r="O62" s="158"/>
      <c r="P62" s="158"/>
      <c r="Q62" s="158"/>
      <c r="R62" s="158"/>
      <c r="S62" s="158"/>
      <c r="T62" s="158"/>
    </row>
    <row r="63" spans="2:20" ht="15.75" thickBot="1" x14ac:dyDescent="0.3">
      <c r="B63" s="143"/>
      <c r="C63" s="143" t="s">
        <v>62</v>
      </c>
      <c r="D63" s="144" t="s">
        <v>63</v>
      </c>
      <c r="E63" s="145"/>
      <c r="F63" s="144" t="s">
        <v>64</v>
      </c>
      <c r="G63" s="145"/>
      <c r="H63" s="144" t="s">
        <v>65</v>
      </c>
      <c r="I63" s="145"/>
      <c r="J63" s="143" t="s">
        <v>66</v>
      </c>
      <c r="L63" s="143"/>
      <c r="M63" s="143" t="s">
        <v>62</v>
      </c>
      <c r="N63" s="144" t="s">
        <v>63</v>
      </c>
      <c r="O63" s="145"/>
      <c r="P63" s="144" t="s">
        <v>64</v>
      </c>
      <c r="Q63" s="145"/>
      <c r="R63" s="144" t="s">
        <v>65</v>
      </c>
      <c r="S63" s="145"/>
      <c r="T63" s="143" t="s">
        <v>66</v>
      </c>
    </row>
    <row r="64" spans="2:20" x14ac:dyDescent="0.25">
      <c r="B64" s="161">
        <v>1</v>
      </c>
      <c r="C64" s="113"/>
      <c r="D64" s="165">
        <f>MAX(ROUNDUP(H60*8,0),4)</f>
        <v>4</v>
      </c>
      <c r="E64" s="166"/>
      <c r="F64" s="167">
        <f>SUMIF([1]Salaires!A7:A9,C64,[1]Salaires!B7:B9)*ROUND(IF('[1]INFO-Projet'!$E$7="de Jour",1,1.04),2)</f>
        <v>0</v>
      </c>
      <c r="G64" s="168"/>
      <c r="H64" s="165">
        <f>IF('[1]INFO-Projet'!$E$5="en atelier",0,IF(J49=0,2,IF(I73="oui",ROUNDUP(H60/5,0)*2*(ROUNDUP((J49*24)/0.5,0)*0.5),ROUNDUP(H60,0)*2*(ROUNDUP((J49*24)/0.5,0)*0.5))))</f>
        <v>2</v>
      </c>
      <c r="I64" s="166"/>
      <c r="J64" s="164">
        <f>SUMIF([1]Salaires!A7:A9,C64,[1]Salaires!C7:C9)</f>
        <v>0</v>
      </c>
      <c r="L64" s="161">
        <v>1</v>
      </c>
      <c r="M64" s="113"/>
      <c r="N64" s="162">
        <f>MAX(ROUNDUP(R60*8,0),4)</f>
        <v>4</v>
      </c>
      <c r="O64" s="162"/>
      <c r="P64" s="163">
        <f>SUMIF([1]Salaires!A7:A9,M64,[1]Salaires!B7:B9)*ROUND(IF('[1]INFO-Projet'!$E$7="de Jour",1,1.04),2)</f>
        <v>0</v>
      </c>
      <c r="Q64" s="162"/>
      <c r="R64" s="162">
        <f>IF('[1]INFO-Projet'!$E$5="en atelier",0,IF(T49=0,2,IF(S73="oui",ROUNDUP(R60/5,0)*2*(ROUNDUP((T49*24)/0.5,0)*0.5),ROUNDUP(R60,0)*2*(ROUNDUP((T49*24)/0.5,0)*0.5))))</f>
        <v>2</v>
      </c>
      <c r="S64" s="162"/>
      <c r="T64" s="164">
        <f>SUMIF([1]Salaires!A7:A9,M64,[1]Salaires!C7:C9)</f>
        <v>0</v>
      </c>
    </row>
    <row r="65" spans="2:20" x14ac:dyDescent="0.25">
      <c r="B65" s="169">
        <v>2</v>
      </c>
      <c r="C65" s="123"/>
      <c r="D65" s="55">
        <f>IF(ISBLANK(C65),,(D64))</f>
        <v>0</v>
      </c>
      <c r="E65" s="57"/>
      <c r="F65" s="173">
        <f>SUMIF([1]Salaires!A7:A9,C65,[1]Salaires!B7:B9)*ROUND(IF('[1]INFO-Projet'!$E$7="de Jour",1,1.04),2)</f>
        <v>0</v>
      </c>
      <c r="G65" s="174"/>
      <c r="H65" s="55">
        <f>IF(ISBLANK(C65),,(H64))</f>
        <v>0</v>
      </c>
      <c r="I65" s="57"/>
      <c r="J65" s="172">
        <f>IF(C65&lt;&gt;"",IF(J50&gt;119,SUMIF([1]Salaires!A7:A9,C65,[1]Salaires!C7:C9),18.65),"0")*1</f>
        <v>0</v>
      </c>
      <c r="L65" s="169">
        <v>2</v>
      </c>
      <c r="M65" s="123"/>
      <c r="N65" s="170">
        <f>IF(ISBLANK(M65),,(N64))</f>
        <v>0</v>
      </c>
      <c r="O65" s="170"/>
      <c r="P65" s="173">
        <f>SUMIF([1]Salaires!A7:A9,M65,[1]Salaires!B7:B9)*ROUND(IF('[1]INFO-Projet'!$E$7="de Jour",1,1.04),2)</f>
        <v>0</v>
      </c>
      <c r="Q65" s="174"/>
      <c r="R65" s="170">
        <f>IF(ISBLANK(M65),,(R64))</f>
        <v>0</v>
      </c>
      <c r="S65" s="170"/>
      <c r="T65" s="175">
        <f>IF(M65&lt;&gt;"",IF(J50&gt;119,SUMIF([1]Salaires!A7:A9,M65,[1]Salaires!C7:C9),18.65),"0")*1</f>
        <v>0</v>
      </c>
    </row>
    <row r="66" spans="2:20" ht="15.75" thickBot="1" x14ac:dyDescent="0.3">
      <c r="B66" s="176">
        <v>3</v>
      </c>
      <c r="C66" s="133"/>
      <c r="D66" s="180">
        <f>IF(ISBLANK(C66),,(D65))</f>
        <v>0</v>
      </c>
      <c r="E66" s="181"/>
      <c r="F66" s="182">
        <f>SUMIF([1]Salaires!A7:A9,C66,[1]Salaires!B7:B9)*ROUND(IF('[1]INFO-Projet'!$E$7="de Jour",1,1.04),2)</f>
        <v>0</v>
      </c>
      <c r="G66" s="183"/>
      <c r="H66" s="180">
        <f>IF(ISBLANK(C66),,(H65))</f>
        <v>0</v>
      </c>
      <c r="I66" s="181"/>
      <c r="J66" s="179">
        <f>IF(C66&lt;&gt;"",IF(J50&gt;119,SUMIF([1]Salaires!A7:A9,C66,[1]Salaires!C7:C9),18.65),"0")*1</f>
        <v>0</v>
      </c>
      <c r="L66" s="176">
        <v>3</v>
      </c>
      <c r="M66" s="133"/>
      <c r="N66" s="177">
        <f>IF(ISBLANK(M66),,(N65))</f>
        <v>0</v>
      </c>
      <c r="O66" s="177"/>
      <c r="P66" s="178">
        <f>SUMIF([1]Salaires!A7:A9,M66,[1]Salaires!B7:B9)*ROUND(IF('[1]INFO-Projet'!$E$7="de Jour",1,1.04),2)</f>
        <v>0</v>
      </c>
      <c r="Q66" s="178"/>
      <c r="R66" s="177">
        <f>IF(ISBLANK(M66),,(R65))</f>
        <v>0</v>
      </c>
      <c r="S66" s="177"/>
      <c r="T66" s="179">
        <f>IF(M66&lt;&gt;"",IF(T50&gt;119,SUMIF([1]Salaires!A7:A9,M66,[1]Salaires!C7:C9),18.65),"0")*1</f>
        <v>0</v>
      </c>
    </row>
    <row r="67" spans="2:20" ht="15.75" thickBot="1" x14ac:dyDescent="0.3">
      <c r="B67" s="58"/>
      <c r="H67" s="58"/>
      <c r="I67" s="58"/>
      <c r="L67" s="58"/>
      <c r="R67" s="58"/>
      <c r="S67" s="58"/>
    </row>
    <row r="68" spans="2:20" ht="16.5" thickBot="1" x14ac:dyDescent="0.3">
      <c r="B68" s="184" t="s">
        <v>68</v>
      </c>
      <c r="C68" s="340" t="s">
        <v>69</v>
      </c>
      <c r="D68" s="341"/>
      <c r="E68" s="341"/>
      <c r="F68" s="341"/>
      <c r="G68" s="341"/>
      <c r="H68" s="341"/>
      <c r="I68" s="341"/>
      <c r="J68" s="342"/>
      <c r="L68" s="184" t="s">
        <v>68</v>
      </c>
      <c r="M68" s="185" t="s">
        <v>69</v>
      </c>
      <c r="N68" s="186"/>
      <c r="O68" s="186"/>
      <c r="P68" s="186"/>
      <c r="Q68" s="186"/>
      <c r="R68" s="186"/>
      <c r="S68" s="186"/>
      <c r="T68" s="187"/>
    </row>
    <row r="69" spans="2:20" ht="16.5" thickBot="1" x14ac:dyDescent="0.3">
      <c r="B69" s="191">
        <f>IFERROR((J74/J83),0)</f>
        <v>0</v>
      </c>
      <c r="C69" s="192" t="s">
        <v>70</v>
      </c>
      <c r="D69" s="193"/>
      <c r="E69" s="193"/>
      <c r="F69" s="194"/>
      <c r="G69" s="192" t="s">
        <v>71</v>
      </c>
      <c r="H69" s="193"/>
      <c r="I69" s="193"/>
      <c r="J69" s="194"/>
      <c r="L69" s="195">
        <f>IFERROR((T74/T83),0)</f>
        <v>0</v>
      </c>
      <c r="M69" s="196" t="s">
        <v>70</v>
      </c>
      <c r="N69" s="197"/>
      <c r="O69" s="197"/>
      <c r="P69" s="198"/>
      <c r="Q69" s="199" t="s">
        <v>71</v>
      </c>
      <c r="R69" s="199"/>
      <c r="S69" s="199"/>
      <c r="T69" s="200"/>
    </row>
    <row r="70" spans="2:20" x14ac:dyDescent="0.25">
      <c r="B70" s="202">
        <f>IFERROR((J70/J74),0)</f>
        <v>0</v>
      </c>
      <c r="C70" s="203"/>
      <c r="D70" s="204"/>
      <c r="E70" s="205">
        <f>SUMIF([1]Salaires!H7:H13,C70,[1]Salaires!I7:I13)</f>
        <v>0</v>
      </c>
      <c r="F70" s="206">
        <f>(D64+D65+D66)*E70</f>
        <v>0</v>
      </c>
      <c r="G70" s="207" t="s">
        <v>72</v>
      </c>
      <c r="H70" s="208"/>
      <c r="I70" s="209"/>
      <c r="J70" s="210">
        <f>(D64*F64)+(D65*F65)+(D66*F66)+(F70+F71+F72+F73)</f>
        <v>0</v>
      </c>
      <c r="L70" s="202">
        <f>IFERROR((P70/T74),0)</f>
        <v>0</v>
      </c>
      <c r="M70" s="203"/>
      <c r="N70" s="204"/>
      <c r="O70" s="211">
        <f>SUMIF([1]Salaires!H7:H13,M70,[1]Salaires!I7:I13)</f>
        <v>0</v>
      </c>
      <c r="P70" s="212">
        <f>(N64+N65+N66)*O70</f>
        <v>0</v>
      </c>
      <c r="Q70" s="213" t="s">
        <v>72</v>
      </c>
      <c r="R70" s="213"/>
      <c r="S70" s="214"/>
      <c r="T70" s="210">
        <f>(N64*P64)+(N65*P65)+(N66*P66)+(P70+P71+P72+P73)</f>
        <v>0</v>
      </c>
    </row>
    <row r="71" spans="2:20" x14ac:dyDescent="0.25">
      <c r="B71" s="202">
        <f>IFERROR((J71/J74),0)</f>
        <v>0</v>
      </c>
      <c r="C71" s="216"/>
      <c r="D71" s="217"/>
      <c r="E71" s="218">
        <f>SUMIF([1]Salaires!H7:H13,C71,[1]Salaires!I7:I13)</f>
        <v>0</v>
      </c>
      <c r="F71" s="206">
        <f>(D64+D65+D66)*E71</f>
        <v>0</v>
      </c>
      <c r="G71" s="223" t="s">
        <v>73</v>
      </c>
      <c r="H71" s="219"/>
      <c r="I71" s="220"/>
      <c r="J71" s="210">
        <f>(H64*J64)+(H65*J65)+(H66+J66)</f>
        <v>0</v>
      </c>
      <c r="L71" s="202">
        <f>IFERROR((P71/T74),0)</f>
        <v>0</v>
      </c>
      <c r="M71" s="216"/>
      <c r="N71" s="217"/>
      <c r="O71" s="218">
        <f>SUMIF([1]Salaires!H7:H13,M71,[1]Salaires!I7:I13)</f>
        <v>0</v>
      </c>
      <c r="P71" s="221">
        <f>(N64+N65+N66)*O71</f>
        <v>0</v>
      </c>
      <c r="Q71" s="222" t="s">
        <v>73</v>
      </c>
      <c r="R71" s="222"/>
      <c r="S71" s="220"/>
      <c r="T71" s="210">
        <f>(R64*T64)+(R65*T65)+(R66+T66)</f>
        <v>0</v>
      </c>
    </row>
    <row r="72" spans="2:20" x14ac:dyDescent="0.25">
      <c r="B72" s="202">
        <f>IFERROR((J72/J74),0)</f>
        <v>0</v>
      </c>
      <c r="C72" s="216"/>
      <c r="D72" s="217"/>
      <c r="E72" s="205">
        <f>SUMIF([1]Salaires!H7:H13,C72,[1]Salaires!I7:I13)</f>
        <v>0</v>
      </c>
      <c r="F72" s="206">
        <f>(D64+D65+D66)*E72</f>
        <v>0</v>
      </c>
      <c r="G72" s="223" t="s">
        <v>74</v>
      </c>
      <c r="H72" s="220"/>
      <c r="I72" s="224">
        <v>0.05</v>
      </c>
      <c r="J72" s="210">
        <f>(J70+J71)*I72</f>
        <v>0</v>
      </c>
      <c r="L72" s="202">
        <f>IFERROR((P72/T74),0)</f>
        <v>0</v>
      </c>
      <c r="M72" s="216"/>
      <c r="N72" s="217"/>
      <c r="O72" s="218">
        <f>SUMIF([1]Salaires!H7:H13,M72,[1]Salaires!I7:I13)</f>
        <v>0</v>
      </c>
      <c r="P72" s="221">
        <f>(N64+N65+N66)*O72</f>
        <v>0</v>
      </c>
      <c r="Q72" s="222" t="s">
        <v>74</v>
      </c>
      <c r="R72" s="222"/>
      <c r="S72" s="225">
        <v>0.05</v>
      </c>
      <c r="T72" s="210">
        <f>(T70+T71)*S72</f>
        <v>0</v>
      </c>
    </row>
    <row r="73" spans="2:20" ht="15.75" thickBot="1" x14ac:dyDescent="0.3">
      <c r="B73" s="202">
        <f>IFERROR((J73/J74),0)</f>
        <v>0</v>
      </c>
      <c r="C73" s="226"/>
      <c r="D73" s="227"/>
      <c r="E73" s="228">
        <f>SUMIF([1]Salaires!H7:H13,C73,[1]Salaires!I7:I13)</f>
        <v>0</v>
      </c>
      <c r="F73" s="229">
        <f>(D64+D65+D66)*E73</f>
        <v>0</v>
      </c>
      <c r="G73" s="230" t="s">
        <v>75</v>
      </c>
      <c r="H73" s="231">
        <f>IF(ISBLANK(C64),0,COUNTA(C64:C66)&amp;" h x "&amp;ROUNDUP(H60,0)&amp;" j")</f>
        <v>0</v>
      </c>
      <c r="I73" s="232" t="s">
        <v>76</v>
      </c>
      <c r="J73" s="233">
        <f>IF(I73="non",0,COUNTA(C64:C66)*[1]Salaires!B13*ROUNDUP(H60+J60,0))</f>
        <v>0</v>
      </c>
      <c r="L73" s="202">
        <f>IFERROR((P73/T74),0)</f>
        <v>0</v>
      </c>
      <c r="M73" s="226"/>
      <c r="N73" s="227"/>
      <c r="O73" s="234">
        <f>SUMIF([1]Salaires!H7:H13,M73,[1]Salaires!I7:I13)</f>
        <v>0</v>
      </c>
      <c r="P73" s="235">
        <f>(N64+N65+N66)*O73</f>
        <v>0</v>
      </c>
      <c r="Q73" s="230" t="s">
        <v>75</v>
      </c>
      <c r="R73" s="58">
        <f>IF(ISBLANK(M64),0,COUNTA(M64:M66)&amp;" h x "&amp;ROUNDUP(R60,0)&amp;" j")</f>
        <v>0</v>
      </c>
      <c r="S73" s="236" t="s">
        <v>76</v>
      </c>
      <c r="T73" s="233">
        <f>IF(S73="non",0,COUNTA(M64:M66)*[1]Salaires!B13*ROUNDUP(R60+T60,0))</f>
        <v>0</v>
      </c>
    </row>
    <row r="74" spans="2:20" ht="15.75" thickBot="1" x14ac:dyDescent="0.3">
      <c r="B74" s="237"/>
      <c r="C74" s="238"/>
      <c r="D74" s="238"/>
      <c r="E74" s="238"/>
      <c r="F74" s="238"/>
      <c r="G74" s="244" t="s">
        <v>77</v>
      </c>
      <c r="H74" s="244"/>
      <c r="I74" s="245"/>
      <c r="J74" s="240">
        <f>SUM(J70:J73)</f>
        <v>0</v>
      </c>
      <c r="L74" s="241"/>
      <c r="M74" s="242"/>
      <c r="O74" s="243"/>
      <c r="P74" s="243"/>
      <c r="Q74" s="239" t="s">
        <v>77</v>
      </c>
      <c r="R74" s="239"/>
      <c r="S74" s="239"/>
      <c r="T74" s="240">
        <f>SUM(T70:T73)</f>
        <v>0</v>
      </c>
    </row>
    <row r="75" spans="2:20" x14ac:dyDescent="0.25">
      <c r="B75" s="246">
        <f>IFERROR((J82/J83),0)</f>
        <v>0</v>
      </c>
      <c r="C75" s="247" t="s">
        <v>78</v>
      </c>
      <c r="D75" s="248"/>
      <c r="E75" s="248"/>
      <c r="F75" s="248"/>
      <c r="G75" s="248"/>
      <c r="H75" s="248"/>
      <c r="I75" s="248"/>
      <c r="J75" s="249"/>
      <c r="L75" s="246">
        <f>IFERROR((T82/T83),0)</f>
        <v>0</v>
      </c>
      <c r="M75" s="247" t="s">
        <v>78</v>
      </c>
      <c r="N75" s="248"/>
      <c r="O75" s="248"/>
      <c r="P75" s="248"/>
      <c r="Q75" s="248"/>
      <c r="R75" s="248"/>
      <c r="S75" s="248"/>
      <c r="T75" s="249"/>
    </row>
    <row r="76" spans="2:20" x14ac:dyDescent="0.25">
      <c r="B76" s="34"/>
      <c r="C76" s="250" t="s">
        <v>79</v>
      </c>
      <c r="D76" s="251" t="s">
        <v>53</v>
      </c>
      <c r="E76" s="251"/>
      <c r="F76" s="251" t="s">
        <v>80</v>
      </c>
      <c r="G76" s="251"/>
      <c r="H76" s="251" t="s">
        <v>81</v>
      </c>
      <c r="I76" s="251"/>
      <c r="J76" s="252" t="s">
        <v>82</v>
      </c>
      <c r="L76" s="34"/>
      <c r="M76" s="250" t="s">
        <v>79</v>
      </c>
      <c r="N76" s="251" t="s">
        <v>53</v>
      </c>
      <c r="O76" s="251"/>
      <c r="P76" s="251" t="s">
        <v>80</v>
      </c>
      <c r="Q76" s="251"/>
      <c r="R76" s="251" t="s">
        <v>81</v>
      </c>
      <c r="S76" s="251"/>
      <c r="T76" s="252" t="s">
        <v>82</v>
      </c>
    </row>
    <row r="77" spans="2:20" x14ac:dyDescent="0.25">
      <c r="B77" s="202">
        <f>IFERROR((J77/J82),0)</f>
        <v>0</v>
      </c>
      <c r="C77" s="253"/>
      <c r="D77" s="257" t="s">
        <v>83</v>
      </c>
      <c r="E77" s="257"/>
      <c r="F77" s="258" t="str">
        <f>IF(C77="","",IF(D77="Moyen",ROUNDUP(D$60/SUMIF('[1]Liste de Prix'!$D:$D,C77,'[1]Liste de Prix'!$H:$H),0),IF(D77="Sécuritaire",ROUNDUP(D$60/SUMIF('[1]Liste de Prix'!$D:$D,C77,'[1]Liste de Prix'!$F:$F),0),IF(D77="Élevé",ROUNDUP(D$60/SUMIF('[1]Liste de Prix'!$D:$D,C77,'[1]Liste de Prix'!$G:$G),0),))))</f>
        <v/>
      </c>
      <c r="G77" s="258"/>
      <c r="H77" s="259">
        <f>SUMIF('[1]Liste de Prix'!D:D,C77,'[1]Liste de Prix'!E:E)</f>
        <v>0</v>
      </c>
      <c r="I77" s="260"/>
      <c r="J77" s="233">
        <f>IF(ISBLANK(C77),0,F77*H77)</f>
        <v>0</v>
      </c>
      <c r="L77" s="202">
        <f>IFERROR((T77/T82),0)</f>
        <v>0</v>
      </c>
      <c r="M77" s="253"/>
      <c r="N77" s="56" t="s">
        <v>83</v>
      </c>
      <c r="O77" s="56"/>
      <c r="P77" s="254" t="str">
        <f>IF(M77="","",IF(N77="Moyen",ROUNDUP(N$60/SUMIF('[1]Liste de Prix'!$D:$D,M77,'[1]Liste de Prix'!$H:$H),0),IF(N77="Sécuritaire",ROUNDUP(N$60/SUMIF('[1]Liste de Prix'!$D:$D,M77,'[1]Liste de Prix'!$F:$F),0),IF(N77="Élevé",ROUNDUP(N$60/SUMIF('[1]Liste de Prix'!$D:$D,M77,'[1]Liste de Prix'!$G:$G),0),))))</f>
        <v/>
      </c>
      <c r="Q77" s="254"/>
      <c r="R77" s="255">
        <f>SUMIF('[1]Liste de Prix'!D:D,M77,'[1]Liste de Prix'!E:E)</f>
        <v>0</v>
      </c>
      <c r="S77" s="256"/>
      <c r="T77" s="233">
        <f>IF(ISBLANK(M77),0,P77*R77)</f>
        <v>0</v>
      </c>
    </row>
    <row r="78" spans="2:20" x14ac:dyDescent="0.25">
      <c r="B78" s="202">
        <f>IFERROR((J78/J82),0)</f>
        <v>0</v>
      </c>
      <c r="C78" s="253"/>
      <c r="D78" s="56" t="s">
        <v>83</v>
      </c>
      <c r="E78" s="56"/>
      <c r="F78" s="254" t="str">
        <f>IF(C78="","",IF(D78="Moyen",ROUNDUP(D$60/SUMIF('[1]Liste de Prix'!$D:$D,C78,'[1]Liste de Prix'!$H:$H),0),IF(D78="Sécuritaire",ROUNDUP(D$60/SUMIF('[1]Liste de Prix'!$D:$D,C78,'[1]Liste de Prix'!$F:$F),0),IF(D78="Élevé",ROUNDUP(D$60/SUMIF('[1]Liste de Prix'!$D:$D,C78,'[1]Liste de Prix'!$G:$G),0),))))</f>
        <v/>
      </c>
      <c r="G78" s="254"/>
      <c r="H78" s="255">
        <f>SUMIF('[1]Liste de Prix'!D:D,C78,'[1]Liste de Prix'!E:E)</f>
        <v>0</v>
      </c>
      <c r="I78" s="256"/>
      <c r="J78" s="233">
        <f>IF(ISBLANK(C78),0,F78*H78)</f>
        <v>0</v>
      </c>
      <c r="L78" s="202">
        <f>IFERROR((T78/T82),0)</f>
        <v>0</v>
      </c>
      <c r="M78" s="253"/>
      <c r="N78" s="56" t="s">
        <v>83</v>
      </c>
      <c r="O78" s="56"/>
      <c r="P78" s="254" t="str">
        <f>IF(M78="","",IF(N78="Moyen",ROUNDUP(N$60/SUMIF('[1]Liste de Prix'!$D:$D,M78,'[1]Liste de Prix'!$H:$H),0),IF(N78="Sécuritaire",ROUNDUP(N$60/SUMIF('[1]Liste de Prix'!$D:$D,M78,'[1]Liste de Prix'!$F:$F),0),IF(N78="Élevé",ROUNDUP(N$60/SUMIF('[1]Liste de Prix'!$D:$D,M78,'[1]Liste de Prix'!$G:$G),0),))))</f>
        <v/>
      </c>
      <c r="Q78" s="254"/>
      <c r="R78" s="255">
        <f>SUMIF('[1]Liste de Prix'!D:D,M78,'[1]Liste de Prix'!E:E)</f>
        <v>0</v>
      </c>
      <c r="S78" s="256"/>
      <c r="T78" s="233">
        <f>IF(ISBLANK(M78),0,P78*R78)</f>
        <v>0</v>
      </c>
    </row>
    <row r="79" spans="2:20" x14ac:dyDescent="0.25">
      <c r="B79" s="202">
        <f>IFERROR((J79/J82),0)</f>
        <v>0</v>
      </c>
      <c r="C79" s="253"/>
      <c r="D79" s="56" t="s">
        <v>83</v>
      </c>
      <c r="E79" s="56"/>
      <c r="F79" s="254" t="str">
        <f>IF(C79="","",IF(D79="Moyen",ROUNDUP(D$60/SUMIF('[1]Liste de Prix'!$D:$D,C79,'[1]Liste de Prix'!$H:$H),0),IF(D79="Sécuritaire",ROUNDUP(D$60/SUMIF('[1]Liste de Prix'!$D:$D,C79,'[1]Liste de Prix'!$F:$F),0),IF(D79="Élevé",ROUNDUP(D$60/SUMIF('[1]Liste de Prix'!$D:$D,C79,'[1]Liste de Prix'!$G:$G),0),))))</f>
        <v/>
      </c>
      <c r="G79" s="254"/>
      <c r="H79" s="255">
        <f>SUMIF('[1]Liste de Prix'!D:D,C79,'[1]Liste de Prix'!E:E)</f>
        <v>0</v>
      </c>
      <c r="I79" s="256"/>
      <c r="J79" s="233">
        <f>IF(ISBLANK(C79),0,F79*H79)</f>
        <v>0</v>
      </c>
      <c r="L79" s="202">
        <f>IFERROR((T79/T82),0)</f>
        <v>0</v>
      </c>
      <c r="M79" s="253"/>
      <c r="N79" s="56" t="s">
        <v>83</v>
      </c>
      <c r="O79" s="56"/>
      <c r="P79" s="254" t="str">
        <f>IF(M79="","",IF(N79="Moyen",ROUNDUP(N$60/SUMIF('[1]Liste de Prix'!$D:$D,M79,'[1]Liste de Prix'!$H:$H),0),IF(N79="Sécuritaire",ROUNDUP(N$60/SUMIF('[1]Liste de Prix'!$D:$D,M79,'[1]Liste de Prix'!$F:$F),0),IF(N79="Élevé",ROUNDUP(N$60/SUMIF('[1]Liste de Prix'!$D:$D,M79,'[1]Liste de Prix'!$G:$G),0),))))</f>
        <v/>
      </c>
      <c r="Q79" s="254"/>
      <c r="R79" s="255">
        <f>SUMIF('[1]Liste de Prix'!D:D,M79,'[1]Liste de Prix'!E:E)</f>
        <v>0</v>
      </c>
      <c r="S79" s="256"/>
      <c r="T79" s="233">
        <f>IF(ISBLANK(M79),0,P79*R79)</f>
        <v>0</v>
      </c>
    </row>
    <row r="80" spans="2:20" x14ac:dyDescent="0.25">
      <c r="B80" s="202">
        <f>IFERROR((J80/J82),0)</f>
        <v>0</v>
      </c>
      <c r="C80" s="253"/>
      <c r="D80" s="56" t="s">
        <v>83</v>
      </c>
      <c r="E80" s="56"/>
      <c r="F80" s="254" t="str">
        <f>IF(C80="","",IF(D80="Moyen",ROUNDUP(D$60/SUMIF('[1]Liste de Prix'!$D:$D,C80,'[1]Liste de Prix'!$H:$H),0),IF(D80="Sécuritaire",ROUNDUP(D$60/SUMIF('[1]Liste de Prix'!$D:$D,C80,'[1]Liste de Prix'!$F:$F),0),IF(D80="Élevé",ROUNDUP(D$60/SUMIF('[1]Liste de Prix'!$D:$D,C80,'[1]Liste de Prix'!$G:$G),0),))))</f>
        <v/>
      </c>
      <c r="G80" s="254"/>
      <c r="H80" s="255">
        <f>SUMIF('[1]Liste de Prix'!D:D,C80,'[1]Liste de Prix'!E:E)</f>
        <v>0</v>
      </c>
      <c r="I80" s="256"/>
      <c r="J80" s="233">
        <f>IF(ISBLANK(C80),0,F80*H80)</f>
        <v>0</v>
      </c>
      <c r="L80" s="202">
        <f>IFERROR((T80/T82),0)</f>
        <v>0</v>
      </c>
      <c r="M80" s="253"/>
      <c r="N80" s="56" t="s">
        <v>83</v>
      </c>
      <c r="O80" s="56"/>
      <c r="P80" s="254" t="str">
        <f>IF(M80="","",IF(N80="Moyen",ROUNDUP(N$60/SUMIF('[1]Liste de Prix'!$D:$D,M80,'[1]Liste de Prix'!$H:$H),0),IF(N80="Sécuritaire",ROUNDUP(N$60/SUMIF('[1]Liste de Prix'!$D:$D,M80,'[1]Liste de Prix'!$F:$F),0),IF(N80="Élevé",ROUNDUP(N$60/SUMIF('[1]Liste de Prix'!$D:$D,M80,'[1]Liste de Prix'!$G:$G),0),))))</f>
        <v/>
      </c>
      <c r="Q80" s="254"/>
      <c r="R80" s="255">
        <f>SUMIF('[1]Liste de Prix'!D:D,M80,'[1]Liste de Prix'!E:E)</f>
        <v>0</v>
      </c>
      <c r="S80" s="256"/>
      <c r="T80" s="233">
        <f>IF(ISBLANK(M80),0,P80*R80)</f>
        <v>0</v>
      </c>
    </row>
    <row r="81" spans="2:20" x14ac:dyDescent="0.25">
      <c r="B81" s="202">
        <f>IFERROR((J81/J82),0)</f>
        <v>0</v>
      </c>
      <c r="C81" s="261"/>
      <c r="D81" s="63" t="s">
        <v>83</v>
      </c>
      <c r="E81" s="63"/>
      <c r="F81" s="262" t="str">
        <f>IF(C81="","",IF(D81="Moyen",ROUNDUP(D$60/SUMIF('[1]Liste de Prix'!$D:$D,C81,'[1]Liste de Prix'!$H:$H),0),IF(D81="Sécuritaire",ROUNDUP(D$60/SUMIF('[1]Liste de Prix'!$D:$D,C81,'[1]Liste de Prix'!$F:$F),0),IF(D81="Élevé",ROUNDUP(D$60/SUMIF('[1]Liste de Prix'!$D:$D,C81,'[1]Liste de Prix'!$G:$G),0),))))</f>
        <v/>
      </c>
      <c r="G81" s="262"/>
      <c r="H81" s="263">
        <f>SUMIF('[1]Liste de Prix'!D:D,C81,'[1]Liste de Prix'!E:E)</f>
        <v>0</v>
      </c>
      <c r="I81" s="264"/>
      <c r="J81" s="233">
        <f>IF(ISBLANK(C81),0,F81*H81)</f>
        <v>0</v>
      </c>
      <c r="L81" s="202">
        <f>IFERROR((T81/T82),0)</f>
        <v>0</v>
      </c>
      <c r="M81" s="261"/>
      <c r="N81" s="63" t="s">
        <v>83</v>
      </c>
      <c r="O81" s="63"/>
      <c r="P81" s="254" t="str">
        <f>IF(M81="","",IF(N81="Moyen",ROUNDUP(N$60/SUMIF('[1]Liste de Prix'!$D:$D,M81,'[1]Liste de Prix'!$H:$H),0),IF(N81="Sécuritaire",ROUNDUP(N$60/SUMIF('[1]Liste de Prix'!$D:$D,M81,'[1]Liste de Prix'!$F:$F),0),IF(N81="Élevé",ROUNDUP(N$60/SUMIF('[1]Liste de Prix'!$D:$D,M81,'[1]Liste de Prix'!$G:$G),0),))))</f>
        <v/>
      </c>
      <c r="Q81" s="254"/>
      <c r="R81" s="255">
        <f>SUMIF('[1]Liste de Prix'!D:D,M81,'[1]Liste de Prix'!E:E)</f>
        <v>0</v>
      </c>
      <c r="S81" s="256"/>
      <c r="T81" s="233">
        <f>IF(ISBLANK(M81),0,P81*R81)</f>
        <v>0</v>
      </c>
    </row>
    <row r="82" spans="2:20" x14ac:dyDescent="0.25">
      <c r="B82" s="265"/>
      <c r="C82" s="266" t="s">
        <v>84</v>
      </c>
      <c r="D82" s="267">
        <f>COUNTIF(C77:C81,"&lt;&gt;")</f>
        <v>0</v>
      </c>
      <c r="E82" s="268"/>
      <c r="F82" s="269" t="s">
        <v>85</v>
      </c>
      <c r="G82" s="270"/>
      <c r="H82" s="270"/>
      <c r="I82" s="271"/>
      <c r="J82" s="272">
        <f>SUM(J77:J81)</f>
        <v>0</v>
      </c>
      <c r="L82" s="265"/>
      <c r="M82" s="266" t="s">
        <v>84</v>
      </c>
      <c r="N82" s="267">
        <f>COUNTIF(M77:M81,"&lt;&gt;")</f>
        <v>0</v>
      </c>
      <c r="O82" s="268"/>
      <c r="P82" s="269" t="s">
        <v>85</v>
      </c>
      <c r="Q82" s="270"/>
      <c r="R82" s="270"/>
      <c r="S82" s="271"/>
      <c r="T82" s="272">
        <f>SUM(T77:T81)</f>
        <v>0</v>
      </c>
    </row>
    <row r="83" spans="2:20" x14ac:dyDescent="0.25">
      <c r="B83" s="34"/>
      <c r="C83" s="273"/>
      <c r="D83" s="49"/>
      <c r="E83" s="49"/>
      <c r="F83" s="269" t="s">
        <v>86</v>
      </c>
      <c r="G83" s="270"/>
      <c r="H83" s="270"/>
      <c r="I83" s="271"/>
      <c r="J83" s="272">
        <f>J74+J82</f>
        <v>0</v>
      </c>
      <c r="L83" s="34"/>
      <c r="M83" s="273"/>
      <c r="N83" s="49"/>
      <c r="O83" s="49"/>
      <c r="P83" s="269" t="s">
        <v>86</v>
      </c>
      <c r="Q83" s="270"/>
      <c r="R83" s="270"/>
      <c r="S83" s="271"/>
      <c r="T83" s="272">
        <f>T74+T82</f>
        <v>0</v>
      </c>
    </row>
    <row r="84" spans="2:20" x14ac:dyDescent="0.25">
      <c r="B84" s="279">
        <v>0.35</v>
      </c>
      <c r="C84" s="280"/>
      <c r="D84" s="276"/>
      <c r="E84" s="268"/>
      <c r="F84" s="277" t="s">
        <v>87</v>
      </c>
      <c r="G84" s="239"/>
      <c r="H84" s="239"/>
      <c r="I84" s="278"/>
      <c r="J84" s="233">
        <f>J85-J83</f>
        <v>0</v>
      </c>
      <c r="L84" s="274">
        <v>0.35</v>
      </c>
      <c r="M84" s="275"/>
      <c r="N84" s="276"/>
      <c r="O84" s="268"/>
      <c r="P84" s="277" t="s">
        <v>87</v>
      </c>
      <c r="Q84" s="239"/>
      <c r="R84" s="239"/>
      <c r="S84" s="278"/>
      <c r="T84" s="233">
        <f>T85-T83</f>
        <v>0</v>
      </c>
    </row>
    <row r="85" spans="2:20" x14ac:dyDescent="0.25">
      <c r="B85" s="285"/>
      <c r="C85" s="268"/>
      <c r="D85" s="276"/>
      <c r="E85" s="268"/>
      <c r="F85" s="282" t="s">
        <v>88</v>
      </c>
      <c r="G85" s="283"/>
      <c r="H85" s="283"/>
      <c r="I85" s="284"/>
      <c r="J85" s="233">
        <f>J83/(1-B84)</f>
        <v>0</v>
      </c>
      <c r="L85" s="281"/>
      <c r="M85" s="275"/>
      <c r="N85" s="276"/>
      <c r="O85" s="268"/>
      <c r="P85" s="282" t="s">
        <v>88</v>
      </c>
      <c r="Q85" s="283"/>
      <c r="R85" s="283"/>
      <c r="S85" s="284"/>
      <c r="T85" s="233">
        <f>T83/(1-L84)</f>
        <v>0</v>
      </c>
    </row>
    <row r="86" spans="2:20" x14ac:dyDescent="0.25">
      <c r="B86" s="279">
        <v>0.15</v>
      </c>
      <c r="C86" s="280"/>
      <c r="D86" s="276"/>
      <c r="E86" s="268"/>
      <c r="F86" s="282" t="s">
        <v>89</v>
      </c>
      <c r="G86" s="283"/>
      <c r="H86" s="283"/>
      <c r="I86" s="284"/>
      <c r="J86" s="233">
        <f>J83*B86</f>
        <v>0</v>
      </c>
      <c r="L86" s="274">
        <v>0.15</v>
      </c>
      <c r="M86" s="275"/>
      <c r="N86" s="276"/>
      <c r="O86" s="268"/>
      <c r="P86" s="282" t="s">
        <v>89</v>
      </c>
      <c r="Q86" s="283"/>
      <c r="R86" s="283"/>
      <c r="S86" s="284"/>
      <c r="T86" s="233">
        <f>T83*L86</f>
        <v>0</v>
      </c>
    </row>
    <row r="87" spans="2:20" ht="15.75" thickBot="1" x14ac:dyDescent="0.3">
      <c r="B87" s="286"/>
      <c r="C87" s="287"/>
      <c r="D87" s="288"/>
      <c r="E87" s="287"/>
      <c r="F87" s="289" t="s">
        <v>90</v>
      </c>
      <c r="G87" s="290"/>
      <c r="H87" s="290"/>
      <c r="I87" s="291"/>
      <c r="J87" s="292">
        <f>ROUNDUP((J85+J86)/5,0)*5</f>
        <v>0</v>
      </c>
      <c r="L87" s="286"/>
      <c r="M87" s="287"/>
      <c r="N87" s="288"/>
      <c r="O87" s="287"/>
      <c r="P87" s="289" t="s">
        <v>90</v>
      </c>
      <c r="Q87" s="290"/>
      <c r="R87" s="290"/>
      <c r="S87" s="291"/>
      <c r="T87" s="292">
        <f>ROUNDUP((T85+T86)/5,0)*5</f>
        <v>0</v>
      </c>
    </row>
    <row r="88" spans="2:20" ht="3.75" customHeight="1" thickBot="1" x14ac:dyDescent="0.3"/>
    <row r="89" spans="2:20" x14ac:dyDescent="0.25">
      <c r="B89" s="298" t="s">
        <v>91</v>
      </c>
      <c r="C89" s="299"/>
      <c r="E89" s="300" t="s">
        <v>92</v>
      </c>
      <c r="F89" s="301"/>
      <c r="G89" s="301"/>
      <c r="H89" s="301"/>
      <c r="I89" s="302"/>
      <c r="L89" s="293" t="s">
        <v>91</v>
      </c>
      <c r="M89" s="294"/>
      <c r="O89" s="295" t="s">
        <v>92</v>
      </c>
      <c r="P89" s="296"/>
      <c r="Q89" s="296"/>
      <c r="R89" s="296"/>
      <c r="S89" s="297"/>
    </row>
    <row r="90" spans="2:20" x14ac:dyDescent="0.25">
      <c r="B90" s="303" t="s">
        <v>93</v>
      </c>
      <c r="C90" s="304">
        <f>IFERROR(J87/ROUNDUP(H60,0),0)</f>
        <v>0</v>
      </c>
      <c r="D90" s="305"/>
      <c r="E90" s="310" t="s">
        <v>94</v>
      </c>
      <c r="F90" s="311"/>
      <c r="G90" s="308" t="s">
        <v>95</v>
      </c>
      <c r="H90" s="308" t="s">
        <v>96</v>
      </c>
      <c r="I90" s="309" t="s">
        <v>97</v>
      </c>
      <c r="L90" s="303" t="s">
        <v>93</v>
      </c>
      <c r="M90" s="304">
        <f>IFERROR(T87/ROUNDUP(R60,0),0)</f>
        <v>0</v>
      </c>
      <c r="N90" s="305"/>
      <c r="O90" s="306" t="s">
        <v>94</v>
      </c>
      <c r="P90" s="307"/>
      <c r="Q90" s="308" t="s">
        <v>95</v>
      </c>
      <c r="R90" s="308" t="s">
        <v>96</v>
      </c>
      <c r="S90" s="309" t="s">
        <v>97</v>
      </c>
    </row>
    <row r="91" spans="2:20" ht="15.75" thickBot="1" x14ac:dyDescent="0.3">
      <c r="B91" s="312" t="s">
        <v>98</v>
      </c>
      <c r="C91" s="313" t="e">
        <f>J87/D60</f>
        <v>#DIV/0!</v>
      </c>
      <c r="D91" s="305"/>
      <c r="E91" s="285"/>
      <c r="F91" s="268"/>
      <c r="G91" s="316">
        <f>IF(H91="Jour",SUMIF('[1]Liste de Prix'!M58:M90,E91,'[1]Liste de Prix'!N58:N90),IF(H91="Semaine",SUMIF('[1]Liste de Prix'!M58:M90,E91,'[1]Liste de Prix'!O58:O90),IF(H91="Mois",SUMIF('[1]Liste de Prix'!M58:M90,E91,'[1]Liste de Prix'!P58:P90),IF(H91="",""))))</f>
        <v>0</v>
      </c>
      <c r="H91" s="317" t="str">
        <f>IF(H60=0,"Jour",IF(H60&gt;=11,"Mois",IF(H60&gt;=3,"Semaine","Jour")))</f>
        <v>Jour</v>
      </c>
      <c r="I91" s="318"/>
      <c r="L91" s="312" t="s">
        <v>98</v>
      </c>
      <c r="M91" s="313" t="e">
        <f>T87/N60</f>
        <v>#DIV/0!</v>
      </c>
      <c r="N91" s="305"/>
      <c r="O91" s="319"/>
      <c r="P91" s="320"/>
      <c r="Q91" s="316">
        <f>IF(R91="Jour",SUMIF('[1]Liste de Prix'!M58:M90,O91,'[1]Liste de Prix'!N58:N90),IF(R91="Semaine",SUMIF('[1]Liste de Prix'!M58:M90,O91,'[1]Liste de Prix'!O58:O90),IF(R91="Mois",SUMIF('[1]Liste de Prix'!M58:M90,O91,'[1]Liste de Prix'!P58:P90),IF(R91="",""))))</f>
        <v>0</v>
      </c>
      <c r="R91" s="317" t="str">
        <f>IF(R60=0,"Jour",IF(R60&gt;=11,"Mois",IF(R60&gt;=3,"Semaine","Jour")))</f>
        <v>Jour</v>
      </c>
      <c r="S91" s="318"/>
    </row>
    <row r="92" spans="2:20" ht="15.75" thickBot="1" x14ac:dyDescent="0.3">
      <c r="C92" s="58"/>
      <c r="E92" s="321" t="s">
        <v>99</v>
      </c>
      <c r="F92" s="322">
        <f>IF(G91&gt;0,(H60*(2.35*15)),)</f>
        <v>0</v>
      </c>
      <c r="G92" s="323" t="s">
        <v>100</v>
      </c>
      <c r="H92" s="324">
        <v>0.35</v>
      </c>
      <c r="I92" s="325">
        <f>(G91+I91)*H92</f>
        <v>0</v>
      </c>
      <c r="M92" s="58"/>
      <c r="O92" s="321" t="s">
        <v>99</v>
      </c>
      <c r="P92" s="322">
        <f>IF(Q91&gt;0,(R60*(2.35*15)),)</f>
        <v>0</v>
      </c>
      <c r="Q92" s="326" t="s">
        <v>100</v>
      </c>
      <c r="R92" s="324">
        <v>0.35</v>
      </c>
      <c r="S92" s="327">
        <f>(Q91+S91)*R92</f>
        <v>0</v>
      </c>
    </row>
    <row r="93" spans="2:20" ht="15.75" thickBot="1" x14ac:dyDescent="0.3">
      <c r="B93" s="332" t="s">
        <v>101</v>
      </c>
      <c r="C93" s="333"/>
      <c r="H93" s="330" t="s">
        <v>82</v>
      </c>
      <c r="I93" s="343">
        <f>ROUNDUP((G91+I91+I92+F92)/5,0)*5</f>
        <v>0</v>
      </c>
      <c r="L93" s="328" t="s">
        <v>101</v>
      </c>
      <c r="M93" s="329"/>
      <c r="R93" s="330" t="s">
        <v>82</v>
      </c>
      <c r="S93" s="331">
        <f>ROUNDUP((Q91+S91+S92+P92)/5,0)*5</f>
        <v>0</v>
      </c>
    </row>
    <row r="94" spans="2:20" ht="15.75" thickBot="1" x14ac:dyDescent="0.3">
      <c r="B94" s="334" t="s">
        <v>102</v>
      </c>
      <c r="C94" s="335">
        <f>((J87/2)+I92)*5%</f>
        <v>0</v>
      </c>
      <c r="L94" s="334" t="s">
        <v>102</v>
      </c>
      <c r="M94" s="335">
        <f>((T87/2)+S92)*5%</f>
        <v>0</v>
      </c>
    </row>
  </sheetData>
  <mergeCells count="467">
    <mergeCell ref="E91:F91"/>
    <mergeCell ref="O91:P91"/>
    <mergeCell ref="B93:C93"/>
    <mergeCell ref="L93:M93"/>
    <mergeCell ref="B89:C89"/>
    <mergeCell ref="E89:I89"/>
    <mergeCell ref="L89:M89"/>
    <mergeCell ref="O89:S89"/>
    <mergeCell ref="E90:F90"/>
    <mergeCell ref="O90:P90"/>
    <mergeCell ref="B87:C87"/>
    <mergeCell ref="D87:E87"/>
    <mergeCell ref="F87:I87"/>
    <mergeCell ref="L87:M87"/>
    <mergeCell ref="N87:O87"/>
    <mergeCell ref="P87:S87"/>
    <mergeCell ref="B86:C86"/>
    <mergeCell ref="D86:E86"/>
    <mergeCell ref="F86:I86"/>
    <mergeCell ref="L86:M86"/>
    <mergeCell ref="N86:O86"/>
    <mergeCell ref="P86:S86"/>
    <mergeCell ref="B85:C85"/>
    <mergeCell ref="D85:E85"/>
    <mergeCell ref="F85:I85"/>
    <mergeCell ref="L85:M85"/>
    <mergeCell ref="N85:O85"/>
    <mergeCell ref="P85:S85"/>
    <mergeCell ref="B84:C84"/>
    <mergeCell ref="D84:E84"/>
    <mergeCell ref="F84:I84"/>
    <mergeCell ref="L84:M84"/>
    <mergeCell ref="N84:O84"/>
    <mergeCell ref="P84:S84"/>
    <mergeCell ref="D82:E82"/>
    <mergeCell ref="F82:I82"/>
    <mergeCell ref="N82:O82"/>
    <mergeCell ref="P82:S82"/>
    <mergeCell ref="F83:I83"/>
    <mergeCell ref="P83:S83"/>
    <mergeCell ref="D81:E81"/>
    <mergeCell ref="F81:G81"/>
    <mergeCell ref="H81:I81"/>
    <mergeCell ref="N81:O81"/>
    <mergeCell ref="P81:Q81"/>
    <mergeCell ref="R81:S81"/>
    <mergeCell ref="D80:E80"/>
    <mergeCell ref="F80:G80"/>
    <mergeCell ref="H80:I80"/>
    <mergeCell ref="N80:O80"/>
    <mergeCell ref="P80:Q80"/>
    <mergeCell ref="R80:S80"/>
    <mergeCell ref="D79:E79"/>
    <mergeCell ref="F79:G79"/>
    <mergeCell ref="H79:I79"/>
    <mergeCell ref="N79:O79"/>
    <mergeCell ref="P79:Q79"/>
    <mergeCell ref="R79:S79"/>
    <mergeCell ref="D78:E78"/>
    <mergeCell ref="F78:G78"/>
    <mergeCell ref="H78:I78"/>
    <mergeCell ref="N78:O78"/>
    <mergeCell ref="P78:Q78"/>
    <mergeCell ref="R78:S78"/>
    <mergeCell ref="R76:S76"/>
    <mergeCell ref="D77:E77"/>
    <mergeCell ref="F77:G77"/>
    <mergeCell ref="H77:I77"/>
    <mergeCell ref="N77:O77"/>
    <mergeCell ref="P77:Q77"/>
    <mergeCell ref="R77:S77"/>
    <mergeCell ref="B74:F74"/>
    <mergeCell ref="G74:I74"/>
    <mergeCell ref="Q74:S74"/>
    <mergeCell ref="C75:J75"/>
    <mergeCell ref="M75:T75"/>
    <mergeCell ref="D76:E76"/>
    <mergeCell ref="F76:G76"/>
    <mergeCell ref="H76:I76"/>
    <mergeCell ref="N76:O76"/>
    <mergeCell ref="P76:Q76"/>
    <mergeCell ref="C72:D72"/>
    <mergeCell ref="G72:H72"/>
    <mergeCell ref="M72:N72"/>
    <mergeCell ref="Q72:R72"/>
    <mergeCell ref="C73:D73"/>
    <mergeCell ref="M73:N73"/>
    <mergeCell ref="C70:D70"/>
    <mergeCell ref="G70:I70"/>
    <mergeCell ref="M70:N70"/>
    <mergeCell ref="Q70:S70"/>
    <mergeCell ref="C71:D71"/>
    <mergeCell ref="G71:I71"/>
    <mergeCell ref="M71:N71"/>
    <mergeCell ref="Q71:S71"/>
    <mergeCell ref="C68:J68"/>
    <mergeCell ref="M68:T68"/>
    <mergeCell ref="C69:F69"/>
    <mergeCell ref="G69:J69"/>
    <mergeCell ref="M69:P69"/>
    <mergeCell ref="Q69:T69"/>
    <mergeCell ref="D66:E66"/>
    <mergeCell ref="F66:G66"/>
    <mergeCell ref="H66:I66"/>
    <mergeCell ref="N66:O66"/>
    <mergeCell ref="P66:Q66"/>
    <mergeCell ref="R66:S66"/>
    <mergeCell ref="D65:E65"/>
    <mergeCell ref="F65:G65"/>
    <mergeCell ref="H65:I65"/>
    <mergeCell ref="N65:O65"/>
    <mergeCell ref="P65:Q65"/>
    <mergeCell ref="R65:S65"/>
    <mergeCell ref="D64:E64"/>
    <mergeCell ref="F64:G64"/>
    <mergeCell ref="H64:I64"/>
    <mergeCell ref="N64:O64"/>
    <mergeCell ref="P64:Q64"/>
    <mergeCell ref="R64:S64"/>
    <mergeCell ref="N60:O61"/>
    <mergeCell ref="P60:Q61"/>
    <mergeCell ref="R60:S61"/>
    <mergeCell ref="T60:T61"/>
    <mergeCell ref="D63:E63"/>
    <mergeCell ref="F63:G63"/>
    <mergeCell ref="H63:I63"/>
    <mergeCell ref="N63:O63"/>
    <mergeCell ref="P63:Q63"/>
    <mergeCell ref="R63:S63"/>
    <mergeCell ref="C60:C61"/>
    <mergeCell ref="D60:E61"/>
    <mergeCell ref="F60:G61"/>
    <mergeCell ref="H60:I61"/>
    <mergeCell ref="J60:J61"/>
    <mergeCell ref="M60:M61"/>
    <mergeCell ref="D59:E59"/>
    <mergeCell ref="F59:G59"/>
    <mergeCell ref="H59:I59"/>
    <mergeCell ref="N59:O59"/>
    <mergeCell ref="P59:Q59"/>
    <mergeCell ref="R59:S59"/>
    <mergeCell ref="D58:E58"/>
    <mergeCell ref="F58:G58"/>
    <mergeCell ref="H58:I58"/>
    <mergeCell ref="N58:O58"/>
    <mergeCell ref="P58:Q58"/>
    <mergeCell ref="R58:S58"/>
    <mergeCell ref="D57:E57"/>
    <mergeCell ref="F57:G57"/>
    <mergeCell ref="H57:I57"/>
    <mergeCell ref="N57:O57"/>
    <mergeCell ref="P57:Q57"/>
    <mergeCell ref="R57:S57"/>
    <mergeCell ref="D56:E56"/>
    <mergeCell ref="F56:G56"/>
    <mergeCell ref="H56:I56"/>
    <mergeCell ref="N56:O56"/>
    <mergeCell ref="P56:Q56"/>
    <mergeCell ref="R56:S56"/>
    <mergeCell ref="L54:L55"/>
    <mergeCell ref="M54:M55"/>
    <mergeCell ref="N54:O55"/>
    <mergeCell ref="P54:Q55"/>
    <mergeCell ref="R54:S55"/>
    <mergeCell ref="T54:T55"/>
    <mergeCell ref="B54:B55"/>
    <mergeCell ref="C54:C55"/>
    <mergeCell ref="D54:E55"/>
    <mergeCell ref="F54:G55"/>
    <mergeCell ref="H54:I55"/>
    <mergeCell ref="J54:J55"/>
    <mergeCell ref="B50:C50"/>
    <mergeCell ref="D50:I50"/>
    <mergeCell ref="L50:M50"/>
    <mergeCell ref="N50:S50"/>
    <mergeCell ref="B51:C51"/>
    <mergeCell ref="D51:J52"/>
    <mergeCell ref="L51:M51"/>
    <mergeCell ref="N51:T52"/>
    <mergeCell ref="B52:C52"/>
    <mergeCell ref="L52:M52"/>
    <mergeCell ref="B46:C46"/>
    <mergeCell ref="L46:M46"/>
    <mergeCell ref="U46:V46"/>
    <mergeCell ref="B48:J48"/>
    <mergeCell ref="L48:T48"/>
    <mergeCell ref="B49:C49"/>
    <mergeCell ref="D49:I49"/>
    <mergeCell ref="L49:M49"/>
    <mergeCell ref="N49:S49"/>
    <mergeCell ref="E43:F43"/>
    <mergeCell ref="O43:P43"/>
    <mergeCell ref="X43:Y43"/>
    <mergeCell ref="E44:F44"/>
    <mergeCell ref="O44:P44"/>
    <mergeCell ref="X44:Y44"/>
    <mergeCell ref="U40:V40"/>
    <mergeCell ref="W40:X40"/>
    <mergeCell ref="Y40:AB40"/>
    <mergeCell ref="B42:C42"/>
    <mergeCell ref="E42:I42"/>
    <mergeCell ref="L42:M42"/>
    <mergeCell ref="O42:S42"/>
    <mergeCell ref="U42:V42"/>
    <mergeCell ref="X42:AB42"/>
    <mergeCell ref="B40:C40"/>
    <mergeCell ref="D40:E40"/>
    <mergeCell ref="F40:I40"/>
    <mergeCell ref="L40:M40"/>
    <mergeCell ref="N40:O40"/>
    <mergeCell ref="P40:S40"/>
    <mergeCell ref="Y38:AB38"/>
    <mergeCell ref="B39:C39"/>
    <mergeCell ref="D39:E39"/>
    <mergeCell ref="F39:I39"/>
    <mergeCell ref="L39:M39"/>
    <mergeCell ref="N39:O39"/>
    <mergeCell ref="P39:S39"/>
    <mergeCell ref="U39:V39"/>
    <mergeCell ref="W39:X39"/>
    <mergeCell ref="Y39:AB39"/>
    <mergeCell ref="W37:X37"/>
    <mergeCell ref="Y37:AB37"/>
    <mergeCell ref="B38:C38"/>
    <mergeCell ref="D38:E38"/>
    <mergeCell ref="F38:I38"/>
    <mergeCell ref="L38:M38"/>
    <mergeCell ref="N38:O38"/>
    <mergeCell ref="P38:S38"/>
    <mergeCell ref="U38:V38"/>
    <mergeCell ref="W38:X38"/>
    <mergeCell ref="F36:I36"/>
    <mergeCell ref="P36:S36"/>
    <mergeCell ref="Y36:AB36"/>
    <mergeCell ref="B37:C37"/>
    <mergeCell ref="D37:E37"/>
    <mergeCell ref="F37:I37"/>
    <mergeCell ref="L37:M37"/>
    <mergeCell ref="N37:O37"/>
    <mergeCell ref="P37:S37"/>
    <mergeCell ref="U37:V37"/>
    <mergeCell ref="Y34:Z34"/>
    <mergeCell ref="AA34:AB34"/>
    <mergeCell ref="D35:E35"/>
    <mergeCell ref="F35:I35"/>
    <mergeCell ref="N35:O35"/>
    <mergeCell ref="P35:S35"/>
    <mergeCell ref="W35:X35"/>
    <mergeCell ref="Y35:AB35"/>
    <mergeCell ref="W33:X33"/>
    <mergeCell ref="Y33:Z33"/>
    <mergeCell ref="AA33:AB33"/>
    <mergeCell ref="D34:E34"/>
    <mergeCell ref="F34:G34"/>
    <mergeCell ref="H34:I34"/>
    <mergeCell ref="N34:O34"/>
    <mergeCell ref="P34:Q34"/>
    <mergeCell ref="R34:S34"/>
    <mergeCell ref="W34:X34"/>
    <mergeCell ref="D33:E33"/>
    <mergeCell ref="F33:G33"/>
    <mergeCell ref="H33:I33"/>
    <mergeCell ref="N33:O33"/>
    <mergeCell ref="P33:Q33"/>
    <mergeCell ref="R33:S33"/>
    <mergeCell ref="AA31:AB31"/>
    <mergeCell ref="D32:E32"/>
    <mergeCell ref="F32:G32"/>
    <mergeCell ref="H32:I32"/>
    <mergeCell ref="N32:O32"/>
    <mergeCell ref="P32:Q32"/>
    <mergeCell ref="R32:S32"/>
    <mergeCell ref="W32:X32"/>
    <mergeCell ref="Y32:Z32"/>
    <mergeCell ref="AA32:AB32"/>
    <mergeCell ref="Y30:Z30"/>
    <mergeCell ref="AA30:AB30"/>
    <mergeCell ref="D31:E31"/>
    <mergeCell ref="F31:G31"/>
    <mergeCell ref="H31:I31"/>
    <mergeCell ref="N31:O31"/>
    <mergeCell ref="P31:Q31"/>
    <mergeCell ref="R31:S31"/>
    <mergeCell ref="W31:X31"/>
    <mergeCell ref="Y31:Z31"/>
    <mergeCell ref="W29:X29"/>
    <mergeCell ref="Y29:Z29"/>
    <mergeCell ref="AA29:AB29"/>
    <mergeCell ref="D30:E30"/>
    <mergeCell ref="F30:G30"/>
    <mergeCell ref="H30:I30"/>
    <mergeCell ref="N30:O30"/>
    <mergeCell ref="P30:Q30"/>
    <mergeCell ref="R30:S30"/>
    <mergeCell ref="W30:X30"/>
    <mergeCell ref="Z27:AB27"/>
    <mergeCell ref="C28:J28"/>
    <mergeCell ref="M28:T28"/>
    <mergeCell ref="V28:AC28"/>
    <mergeCell ref="D29:E29"/>
    <mergeCell ref="F29:G29"/>
    <mergeCell ref="H29:I29"/>
    <mergeCell ref="N29:O29"/>
    <mergeCell ref="P29:Q29"/>
    <mergeCell ref="R29:S29"/>
    <mergeCell ref="C26:D26"/>
    <mergeCell ref="M26:N26"/>
    <mergeCell ref="V26:W26"/>
    <mergeCell ref="B27:F27"/>
    <mergeCell ref="G27:I27"/>
    <mergeCell ref="Q27:S27"/>
    <mergeCell ref="C25:D25"/>
    <mergeCell ref="G25:H25"/>
    <mergeCell ref="M25:N25"/>
    <mergeCell ref="Q25:R25"/>
    <mergeCell ref="V25:W25"/>
    <mergeCell ref="Z25:AA25"/>
    <mergeCell ref="C24:D24"/>
    <mergeCell ref="G24:I24"/>
    <mergeCell ref="M24:N24"/>
    <mergeCell ref="Q24:S24"/>
    <mergeCell ref="V24:W24"/>
    <mergeCell ref="Z24:AB24"/>
    <mergeCell ref="C23:D23"/>
    <mergeCell ref="G23:I23"/>
    <mergeCell ref="M23:N23"/>
    <mergeCell ref="Q23:S23"/>
    <mergeCell ref="V23:W23"/>
    <mergeCell ref="Z23:AB23"/>
    <mergeCell ref="C22:F22"/>
    <mergeCell ref="G22:J22"/>
    <mergeCell ref="M22:P22"/>
    <mergeCell ref="Q22:T22"/>
    <mergeCell ref="V22:Y22"/>
    <mergeCell ref="Z22:AC22"/>
    <mergeCell ref="W19:X19"/>
    <mergeCell ref="Y19:Z19"/>
    <mergeCell ref="AA19:AB19"/>
    <mergeCell ref="C21:J21"/>
    <mergeCell ref="M21:T21"/>
    <mergeCell ref="V21:AC21"/>
    <mergeCell ref="D19:E19"/>
    <mergeCell ref="F19:G19"/>
    <mergeCell ref="H19:I19"/>
    <mergeCell ref="N19:O19"/>
    <mergeCell ref="P19:Q19"/>
    <mergeCell ref="R19:S19"/>
    <mergeCell ref="AA17:AB17"/>
    <mergeCell ref="D18:E18"/>
    <mergeCell ref="F18:G18"/>
    <mergeCell ref="H18:I18"/>
    <mergeCell ref="N18:O18"/>
    <mergeCell ref="P18:Q18"/>
    <mergeCell ref="R18:S18"/>
    <mergeCell ref="W18:X18"/>
    <mergeCell ref="Y18:Z18"/>
    <mergeCell ref="AA18:AB18"/>
    <mergeCell ref="Y16:Z16"/>
    <mergeCell ref="AA16:AB16"/>
    <mergeCell ref="D17:E17"/>
    <mergeCell ref="F17:G17"/>
    <mergeCell ref="H17:I17"/>
    <mergeCell ref="N17:O17"/>
    <mergeCell ref="P17:Q17"/>
    <mergeCell ref="R17:S17"/>
    <mergeCell ref="W17:X17"/>
    <mergeCell ref="Y17:Z17"/>
    <mergeCell ref="Y13:Z14"/>
    <mergeCell ref="AA13:AB14"/>
    <mergeCell ref="AC13:AC14"/>
    <mergeCell ref="D16:E16"/>
    <mergeCell ref="F16:G16"/>
    <mergeCell ref="H16:I16"/>
    <mergeCell ref="N16:O16"/>
    <mergeCell ref="P16:Q16"/>
    <mergeCell ref="R16:S16"/>
    <mergeCell ref="W16:X16"/>
    <mergeCell ref="N13:O14"/>
    <mergeCell ref="P13:Q14"/>
    <mergeCell ref="R13:S14"/>
    <mergeCell ref="T13:T14"/>
    <mergeCell ref="V13:V14"/>
    <mergeCell ref="W13:X14"/>
    <mergeCell ref="C13:C14"/>
    <mergeCell ref="D13:E14"/>
    <mergeCell ref="F13:G14"/>
    <mergeCell ref="H13:I14"/>
    <mergeCell ref="J13:J14"/>
    <mergeCell ref="M13:M14"/>
    <mergeCell ref="AA11:AB11"/>
    <mergeCell ref="D12:E12"/>
    <mergeCell ref="F12:G12"/>
    <mergeCell ref="H12:I12"/>
    <mergeCell ref="N12:O12"/>
    <mergeCell ref="P12:Q12"/>
    <mergeCell ref="R12:S12"/>
    <mergeCell ref="W12:X12"/>
    <mergeCell ref="Y12:Z12"/>
    <mergeCell ref="AA12:AB12"/>
    <mergeCell ref="Y10:Z10"/>
    <mergeCell ref="AA10:AB10"/>
    <mergeCell ref="D11:E11"/>
    <mergeCell ref="F11:G11"/>
    <mergeCell ref="H11:I11"/>
    <mergeCell ref="N11:O11"/>
    <mergeCell ref="P11:Q11"/>
    <mergeCell ref="R11:S11"/>
    <mergeCell ref="W11:X11"/>
    <mergeCell ref="Y11:Z11"/>
    <mergeCell ref="W9:X9"/>
    <mergeCell ref="Y9:Z9"/>
    <mergeCell ref="AA9:AB9"/>
    <mergeCell ref="D10:E10"/>
    <mergeCell ref="F10:G10"/>
    <mergeCell ref="H10:I10"/>
    <mergeCell ref="N10:O10"/>
    <mergeCell ref="P10:Q10"/>
    <mergeCell ref="R10:S10"/>
    <mergeCell ref="W10:X10"/>
    <mergeCell ref="D9:E9"/>
    <mergeCell ref="F9:G9"/>
    <mergeCell ref="H9:I9"/>
    <mergeCell ref="N9:O9"/>
    <mergeCell ref="P9:Q9"/>
    <mergeCell ref="R9:S9"/>
    <mergeCell ref="U7:U8"/>
    <mergeCell ref="V7:V8"/>
    <mergeCell ref="W7:X8"/>
    <mergeCell ref="Y7:Z8"/>
    <mergeCell ref="AA7:AB8"/>
    <mergeCell ref="AC7:AC8"/>
    <mergeCell ref="L7:L8"/>
    <mergeCell ref="M7:M8"/>
    <mergeCell ref="N7:O8"/>
    <mergeCell ref="P7:Q8"/>
    <mergeCell ref="R7:S8"/>
    <mergeCell ref="T7:T8"/>
    <mergeCell ref="B7:B8"/>
    <mergeCell ref="C7:C8"/>
    <mergeCell ref="D7:E8"/>
    <mergeCell ref="F7:G8"/>
    <mergeCell ref="H7:I8"/>
    <mergeCell ref="J7:J8"/>
    <mergeCell ref="B4:C4"/>
    <mergeCell ref="D4:J5"/>
    <mergeCell ref="L4:M4"/>
    <mergeCell ref="N4:T5"/>
    <mergeCell ref="U4:V4"/>
    <mergeCell ref="W4:AC5"/>
    <mergeCell ref="B5:C5"/>
    <mergeCell ref="L5:M5"/>
    <mergeCell ref="U5:V5"/>
    <mergeCell ref="B3:C3"/>
    <mergeCell ref="D3:I3"/>
    <mergeCell ref="L3:M3"/>
    <mergeCell ref="N3:S3"/>
    <mergeCell ref="U3:V3"/>
    <mergeCell ref="W3:AB3"/>
    <mergeCell ref="B1:J1"/>
    <mergeCell ref="L1:T1"/>
    <mergeCell ref="U1:AC1"/>
    <mergeCell ref="B2:C2"/>
    <mergeCell ref="D2:I2"/>
    <mergeCell ref="L2:M2"/>
    <mergeCell ref="N2:S2"/>
    <mergeCell ref="U2:V2"/>
    <mergeCell ref="W2:AB2"/>
  </mergeCells>
  <conditionalFormatting sqref="C9">
    <cfRule type="containsBlanks" dxfId="177" priority="85">
      <formula>LEN(TRIM(C9))=0</formula>
    </cfRule>
  </conditionalFormatting>
  <conditionalFormatting sqref="C10">
    <cfRule type="containsBlanks" dxfId="176" priority="84">
      <formula>LEN(TRIM(C10))=0</formula>
    </cfRule>
  </conditionalFormatting>
  <conditionalFormatting sqref="C11">
    <cfRule type="containsBlanks" dxfId="175" priority="83">
      <formula>LEN(TRIM(C11))=0</formula>
    </cfRule>
  </conditionalFormatting>
  <conditionalFormatting sqref="D9:E9">
    <cfRule type="containsBlanks" dxfId="174" priority="82">
      <formula>LEN(TRIM(D9))=0</formula>
    </cfRule>
  </conditionalFormatting>
  <conditionalFormatting sqref="D10:E11">
    <cfRule type="containsBlanks" dxfId="173" priority="81">
      <formula>LEN(TRIM(D10))=0</formula>
    </cfRule>
  </conditionalFormatting>
  <conditionalFormatting sqref="C30:C34">
    <cfRule type="containsBlanks" dxfId="172" priority="86">
      <formula>LEN(TRIM(C30))=0</formula>
    </cfRule>
  </conditionalFormatting>
  <conditionalFormatting sqref="H10:I11">
    <cfRule type="cellIs" dxfId="171" priority="80" operator="lessThanOrEqual">
      <formula>0</formula>
    </cfRule>
  </conditionalFormatting>
  <conditionalFormatting sqref="J10:J11">
    <cfRule type="containsBlanks" dxfId="170" priority="79">
      <formula>LEN(TRIM(J10))=0</formula>
    </cfRule>
  </conditionalFormatting>
  <conditionalFormatting sqref="H31:J34">
    <cfRule type="cellIs" dxfId="169" priority="78" operator="lessThanOrEqual">
      <formula>0</formula>
    </cfRule>
  </conditionalFormatting>
  <conditionalFormatting sqref="B37:C37">
    <cfRule type="cellIs" dxfId="168" priority="75" operator="lessThan">
      <formula>0.25</formula>
    </cfRule>
    <cfRule type="cellIs" dxfId="167" priority="76" operator="between">
      <formula>0.33</formula>
      <formula>0.25</formula>
    </cfRule>
    <cfRule type="cellIs" dxfId="166" priority="77" operator="greaterThanOrEqual">
      <formula>0.34</formula>
    </cfRule>
  </conditionalFormatting>
  <conditionalFormatting sqref="B39:C39">
    <cfRule type="cellIs" dxfId="165" priority="72" operator="lessThan">
      <formula>0.1</formula>
    </cfRule>
    <cfRule type="cellIs" dxfId="164" priority="73" operator="between">
      <formula>0.14</formula>
      <formula>0.1</formula>
    </cfRule>
    <cfRule type="cellIs" dxfId="163" priority="74" operator="greaterThanOrEqual">
      <formula>0.15</formula>
    </cfRule>
  </conditionalFormatting>
  <conditionalFormatting sqref="C19:J19">
    <cfRule type="containsBlanks" dxfId="162" priority="71">
      <formula>LEN(TRIM(C19))=0</formula>
    </cfRule>
  </conditionalFormatting>
  <conditionalFormatting sqref="D19:J19">
    <cfRule type="cellIs" dxfId="161" priority="70" operator="lessThanOrEqual">
      <formula>0</formula>
    </cfRule>
  </conditionalFormatting>
  <conditionalFormatting sqref="M9">
    <cfRule type="containsBlanks" dxfId="160" priority="68">
      <formula>LEN(TRIM(M9))=0</formula>
    </cfRule>
  </conditionalFormatting>
  <conditionalFormatting sqref="M10">
    <cfRule type="containsBlanks" dxfId="159" priority="67">
      <formula>LEN(TRIM(M10))=0</formula>
    </cfRule>
  </conditionalFormatting>
  <conditionalFormatting sqref="M11">
    <cfRule type="containsBlanks" dxfId="158" priority="66">
      <formula>LEN(TRIM(M11))=0</formula>
    </cfRule>
  </conditionalFormatting>
  <conditionalFormatting sqref="N9:O9">
    <cfRule type="containsBlanks" dxfId="157" priority="65">
      <formula>LEN(TRIM(N9))=0</formula>
    </cfRule>
  </conditionalFormatting>
  <conditionalFormatting sqref="N10:O11">
    <cfRule type="containsBlanks" dxfId="156" priority="64">
      <formula>LEN(TRIM(N10))=0</formula>
    </cfRule>
  </conditionalFormatting>
  <conditionalFormatting sqref="M30:M34">
    <cfRule type="containsBlanks" dxfId="155" priority="69">
      <formula>LEN(TRIM(M30))=0</formula>
    </cfRule>
  </conditionalFormatting>
  <conditionalFormatting sqref="R10:S11">
    <cfRule type="cellIs" dxfId="154" priority="63" operator="lessThanOrEqual">
      <formula>0</formula>
    </cfRule>
  </conditionalFormatting>
  <conditionalFormatting sqref="T10:T11">
    <cfRule type="containsBlanks" dxfId="153" priority="62">
      <formula>LEN(TRIM(T10))=0</formula>
    </cfRule>
  </conditionalFormatting>
  <conditionalFormatting sqref="R31:T34">
    <cfRule type="cellIs" dxfId="152" priority="61" operator="lessThanOrEqual">
      <formula>0</formula>
    </cfRule>
  </conditionalFormatting>
  <conditionalFormatting sqref="L37:M37">
    <cfRule type="cellIs" dxfId="151" priority="58" operator="lessThan">
      <formula>0.25</formula>
    </cfRule>
    <cfRule type="cellIs" dxfId="150" priority="59" operator="between">
      <formula>0.33</formula>
      <formula>0.25</formula>
    </cfRule>
    <cfRule type="cellIs" dxfId="149" priority="60" operator="greaterThanOrEqual">
      <formula>0.34</formula>
    </cfRule>
  </conditionalFormatting>
  <conditionalFormatting sqref="L39:M39">
    <cfRule type="cellIs" dxfId="148" priority="55" operator="lessThan">
      <formula>0.1</formula>
    </cfRule>
    <cfRule type="cellIs" dxfId="147" priority="56" operator="between">
      <formula>0.14</formula>
      <formula>0.1</formula>
    </cfRule>
    <cfRule type="cellIs" dxfId="146" priority="57" operator="greaterThanOrEqual">
      <formula>0.15</formula>
    </cfRule>
  </conditionalFormatting>
  <conditionalFormatting sqref="M19:T19">
    <cfRule type="containsBlanks" dxfId="145" priority="54">
      <formula>LEN(TRIM(M19))=0</formula>
    </cfRule>
  </conditionalFormatting>
  <conditionalFormatting sqref="N19:T19">
    <cfRule type="cellIs" dxfId="144" priority="53" operator="lessThanOrEqual">
      <formula>0</formula>
    </cfRule>
  </conditionalFormatting>
  <conditionalFormatting sqref="R26">
    <cfRule type="containsText" dxfId="143" priority="52" operator="containsText" text="Non">
      <formula>NOT(ISERROR(SEARCH("Non",R26)))</formula>
    </cfRule>
  </conditionalFormatting>
  <conditionalFormatting sqref="D66:J66">
    <cfRule type="cellIs" dxfId="142" priority="36" operator="lessThanOrEqual">
      <formula>0</formula>
    </cfRule>
  </conditionalFormatting>
  <conditionalFormatting sqref="C56">
    <cfRule type="containsBlanks" dxfId="141" priority="51">
      <formula>LEN(TRIM(C56))=0</formula>
    </cfRule>
  </conditionalFormatting>
  <conditionalFormatting sqref="C57">
    <cfRule type="containsBlanks" dxfId="140" priority="50">
      <formula>LEN(TRIM(C57))=0</formula>
    </cfRule>
  </conditionalFormatting>
  <conditionalFormatting sqref="C58">
    <cfRule type="containsBlanks" dxfId="139" priority="49">
      <formula>LEN(TRIM(C58))=0</formula>
    </cfRule>
  </conditionalFormatting>
  <conditionalFormatting sqref="D56:E56">
    <cfRule type="containsBlanks" dxfId="138" priority="48">
      <formula>LEN(TRIM(D56))=0</formula>
    </cfRule>
  </conditionalFormatting>
  <conditionalFormatting sqref="D57:E58">
    <cfRule type="containsBlanks" dxfId="137" priority="47">
      <formula>LEN(TRIM(D57))=0</formula>
    </cfRule>
  </conditionalFormatting>
  <conditionalFormatting sqref="C77:C81">
    <cfRule type="containsBlanks" dxfId="136" priority="87">
      <formula>LEN(TRIM(C77))=0</formula>
    </cfRule>
  </conditionalFormatting>
  <conditionalFormatting sqref="H57:I58">
    <cfRule type="cellIs" dxfId="135" priority="46" operator="lessThanOrEqual">
      <formula>0</formula>
    </cfRule>
  </conditionalFormatting>
  <conditionalFormatting sqref="J57:J58">
    <cfRule type="containsBlanks" dxfId="134" priority="45">
      <formula>LEN(TRIM(J57))=0</formula>
    </cfRule>
  </conditionalFormatting>
  <conditionalFormatting sqref="H78:J81">
    <cfRule type="cellIs" dxfId="133" priority="44" operator="lessThanOrEqual">
      <formula>0</formula>
    </cfRule>
  </conditionalFormatting>
  <conditionalFormatting sqref="B84:C84">
    <cfRule type="cellIs" dxfId="132" priority="41" operator="lessThan">
      <formula>0.25</formula>
    </cfRule>
    <cfRule type="cellIs" dxfId="131" priority="42" operator="between">
      <formula>0.33</formula>
      <formula>0.25</formula>
    </cfRule>
    <cfRule type="cellIs" dxfId="130" priority="43" operator="greaterThanOrEqual">
      <formula>0.34</formula>
    </cfRule>
  </conditionalFormatting>
  <conditionalFormatting sqref="B86:C86">
    <cfRule type="cellIs" dxfId="129" priority="38" operator="lessThan">
      <formula>0.1</formula>
    </cfRule>
    <cfRule type="cellIs" dxfId="128" priority="39" operator="between">
      <formula>0.14</formula>
      <formula>0.1</formula>
    </cfRule>
    <cfRule type="cellIs" dxfId="127" priority="40" operator="greaterThanOrEqual">
      <formula>0.15</formula>
    </cfRule>
  </conditionalFormatting>
  <conditionalFormatting sqref="C66:J66">
    <cfRule type="containsBlanks" dxfId="126" priority="37">
      <formula>LEN(TRIM(C66))=0</formula>
    </cfRule>
  </conditionalFormatting>
  <conditionalFormatting sqref="M56">
    <cfRule type="containsBlanks" dxfId="125" priority="34">
      <formula>LEN(TRIM(M56))=0</formula>
    </cfRule>
  </conditionalFormatting>
  <conditionalFormatting sqref="M57">
    <cfRule type="containsBlanks" dxfId="124" priority="33">
      <formula>LEN(TRIM(M57))=0</formula>
    </cfRule>
  </conditionalFormatting>
  <conditionalFormatting sqref="M58">
    <cfRule type="containsBlanks" dxfId="123" priority="32">
      <formula>LEN(TRIM(M58))=0</formula>
    </cfRule>
  </conditionalFormatting>
  <conditionalFormatting sqref="N56:O56">
    <cfRule type="containsBlanks" dxfId="122" priority="31">
      <formula>LEN(TRIM(N56))=0</formula>
    </cfRule>
  </conditionalFormatting>
  <conditionalFormatting sqref="N57:O58">
    <cfRule type="containsBlanks" dxfId="121" priority="30">
      <formula>LEN(TRIM(N57))=0</formula>
    </cfRule>
  </conditionalFormatting>
  <conditionalFormatting sqref="M77:M81">
    <cfRule type="containsBlanks" dxfId="120" priority="35">
      <formula>LEN(TRIM(M77))=0</formula>
    </cfRule>
  </conditionalFormatting>
  <conditionalFormatting sqref="R57:S58">
    <cfRule type="cellIs" dxfId="119" priority="29" operator="lessThanOrEqual">
      <formula>0</formula>
    </cfRule>
  </conditionalFormatting>
  <conditionalFormatting sqref="T57:T58">
    <cfRule type="containsBlanks" dxfId="118" priority="28">
      <formula>LEN(TRIM(T57))=0</formula>
    </cfRule>
  </conditionalFormatting>
  <conditionalFormatting sqref="R78:T81">
    <cfRule type="cellIs" dxfId="117" priority="27" operator="lessThanOrEqual">
      <formula>0</formula>
    </cfRule>
  </conditionalFormatting>
  <conditionalFormatting sqref="L84:M84">
    <cfRule type="cellIs" dxfId="116" priority="24" operator="lessThan">
      <formula>0.25</formula>
    </cfRule>
    <cfRule type="cellIs" dxfId="115" priority="25" operator="between">
      <formula>0.33</formula>
      <formula>0.25</formula>
    </cfRule>
    <cfRule type="cellIs" dxfId="114" priority="26" operator="greaterThanOrEqual">
      <formula>0.34</formula>
    </cfRule>
  </conditionalFormatting>
  <conditionalFormatting sqref="L86:M86">
    <cfRule type="cellIs" dxfId="113" priority="21" operator="lessThan">
      <formula>0.1</formula>
    </cfRule>
    <cfRule type="cellIs" dxfId="112" priority="22" operator="between">
      <formula>0.14</formula>
      <formula>0.1</formula>
    </cfRule>
    <cfRule type="cellIs" dxfId="111" priority="23" operator="greaterThanOrEqual">
      <formula>0.15</formula>
    </cfRule>
  </conditionalFormatting>
  <conditionalFormatting sqref="M66:T66">
    <cfRule type="containsBlanks" dxfId="110" priority="20">
      <formula>LEN(TRIM(M66))=0</formula>
    </cfRule>
  </conditionalFormatting>
  <conditionalFormatting sqref="N66:T66">
    <cfRule type="cellIs" dxfId="109" priority="19" operator="lessThanOrEqual">
      <formula>0</formula>
    </cfRule>
  </conditionalFormatting>
  <conditionalFormatting sqref="R73">
    <cfRule type="containsText" dxfId="108" priority="18" operator="containsText" text="Non">
      <formula>NOT(ISERROR(SEARCH("Non",R73)))</formula>
    </cfRule>
  </conditionalFormatting>
  <conditionalFormatting sqref="V9">
    <cfRule type="containsBlanks" dxfId="107" priority="17">
      <formula>LEN(TRIM(V9))=0</formula>
    </cfRule>
  </conditionalFormatting>
  <conditionalFormatting sqref="V10">
    <cfRule type="containsBlanks" dxfId="106" priority="16">
      <formula>LEN(TRIM(V10))=0</formula>
    </cfRule>
  </conditionalFormatting>
  <conditionalFormatting sqref="V11">
    <cfRule type="containsBlanks" dxfId="105" priority="15">
      <formula>LEN(TRIM(V11))=0</formula>
    </cfRule>
  </conditionalFormatting>
  <conditionalFormatting sqref="W9:X9">
    <cfRule type="containsBlanks" dxfId="104" priority="14">
      <formula>LEN(TRIM(W9))=0</formula>
    </cfRule>
  </conditionalFormatting>
  <conditionalFormatting sqref="W10:X11">
    <cfRule type="containsBlanks" dxfId="103" priority="13">
      <formula>LEN(TRIM(W10))=0</formula>
    </cfRule>
  </conditionalFormatting>
  <conditionalFormatting sqref="V30:V34">
    <cfRule type="containsBlanks" dxfId="102" priority="88">
      <formula>LEN(TRIM(V30))=0</formula>
    </cfRule>
  </conditionalFormatting>
  <conditionalFormatting sqref="AA10:AB11">
    <cfRule type="cellIs" dxfId="101" priority="12" operator="lessThanOrEqual">
      <formula>0</formula>
    </cfRule>
  </conditionalFormatting>
  <conditionalFormatting sqref="AC10:AC11">
    <cfRule type="containsBlanks" dxfId="100" priority="11">
      <formula>LEN(TRIM(AC10))=0</formula>
    </cfRule>
  </conditionalFormatting>
  <conditionalFormatting sqref="AA31:AC34">
    <cfRule type="cellIs" dxfId="99" priority="10" operator="lessThanOrEqual">
      <formula>0</formula>
    </cfRule>
  </conditionalFormatting>
  <conditionalFormatting sqref="U37:V37">
    <cfRule type="cellIs" dxfId="98" priority="7" operator="lessThan">
      <formula>0.25</formula>
    </cfRule>
    <cfRule type="cellIs" dxfId="97" priority="8" operator="between">
      <formula>0.33</formula>
      <formula>0.25</formula>
    </cfRule>
    <cfRule type="cellIs" dxfId="96" priority="9" operator="greaterThanOrEqual">
      <formula>0.34</formula>
    </cfRule>
  </conditionalFormatting>
  <conditionalFormatting sqref="U39:V39">
    <cfRule type="cellIs" dxfId="95" priority="4" operator="lessThan">
      <formula>0.1</formula>
    </cfRule>
    <cfRule type="cellIs" dxfId="94" priority="5" operator="between">
      <formula>0.14</formula>
      <formula>0.1</formula>
    </cfRule>
    <cfRule type="cellIs" dxfId="93" priority="6" operator="greaterThanOrEqual">
      <formula>0.15</formula>
    </cfRule>
  </conditionalFormatting>
  <conditionalFormatting sqref="V19:AC19">
    <cfRule type="containsBlanks" dxfId="92" priority="3">
      <formula>LEN(TRIM(V19))=0</formula>
    </cfRule>
  </conditionalFormatting>
  <conditionalFormatting sqref="W19:AC19">
    <cfRule type="cellIs" dxfId="91" priority="2" operator="lessThanOrEqual">
      <formula>0</formula>
    </cfRule>
  </conditionalFormatting>
  <conditionalFormatting sqref="AA26">
    <cfRule type="containsText" dxfId="90" priority="1" operator="containsText" text="Non">
      <formula>NOT(ISERROR(SEARCH("Non",AA26)))</formula>
    </cfRule>
  </conditionalFormatting>
  <dataValidations count="11">
    <dataValidation type="list" allowBlank="1" showInputMessage="1" showErrorMessage="1" promptTitle="Transport MTL, Laval et environ" prompt="(Rive-Sud = -50$)_x000a_Nacelle 60' &amp; 66'/ Ciseau 40' à 53'= 370$_x000a_Nacelle 80' à 135'/ Ciseau 60' à 80'= 450$_x000a__x000a_Rive-Sud_x000a_250$_x000a_270$_x000a_370$" sqref="S44 S91 AB44" xr:uid="{70FDE7D5-0891-4335-B8EA-514F484BF2C0}">
      <formula1>Livraison_nacelle</formula1>
    </dataValidation>
    <dataValidation type="list" allowBlank="1" showInputMessage="1" showErrorMessage="1" promptTitle="Transport MTL, Laval et environ" prompt="Nacelle 35' à 46' / Ciseau 26' à 36'= 330$_x000a_Nacelle 60' &amp; 66'/ Ciseau 40' à 53'= 370$_x000a_Nacelle 80' à 135'/ Ciseau 60' à 80'= 450$_x000a__x000a_Rive-Sud_x000a_250$_x000a_270$_x000a_370$" sqref="I44" xr:uid="{2AC2B32C-F5D4-426A-B043-B1FFFB6958FC}">
      <formula1>Livraison_nacelle</formula1>
    </dataValidation>
    <dataValidation type="list" allowBlank="1" showInputMessage="1" showErrorMessage="1" sqref="C23:C25 C26:D26 M23:N26 C70:C72 C73:D73 M70:N73 V23:W26" xr:uid="{B6E0B126-70F0-435D-BF26-BA41690A92F6}">
      <formula1>Primes_Manoeuvre</formula1>
    </dataValidation>
    <dataValidation type="list" allowBlank="1" showInputMessage="1" showErrorMessage="1" promptTitle="Transport MTL, Laval et environ" prompt="Nacelle 60' &amp; 66'/ Ciseau 40' à 53'= 370$_x000a_Nacelle 80' à 135'/ Ciseau 60' à 80'= 450$_x000a__x000a_Rive-Sud_x000a_250$_x000a_270$_x000a_370$" sqref="I91" xr:uid="{FDB382D4-D5C8-45A6-8BB1-DF2051148FF6}">
      <formula1>Livraison_nacelle</formula1>
    </dataValidation>
    <dataValidation type="list" allowBlank="1" showInputMessage="1" showErrorMessage="1" sqref="E44:F44 O44:P44 E91:F91 O91:P91 X44:Y44" xr:uid="{FFEAC767-135F-4228-A24A-6A9DB523BFA5}">
      <formula1>nacelles</formula1>
    </dataValidation>
    <dataValidation type="list" allowBlank="1" showInputMessage="1" showErrorMessage="1" sqref="H44 R44 H91 R91 AA44" xr:uid="{5AE3BC78-C8B4-4880-B0B7-D6380BC40548}">
      <formula1>temps_nacelle</formula1>
    </dataValidation>
    <dataValidation type="list" allowBlank="1" showInputMessage="1" showErrorMessage="1" sqref="D30:E34 N30:O34 D77:E81 N77:O81 W30:X34" xr:uid="{133ED4C5-E6F5-428E-84D4-1354E18E9F86}">
      <formula1>rendement</formula1>
    </dataValidation>
    <dataValidation type="list" allowBlank="1" showInputMessage="1" showErrorMessage="1" sqref="C30:C34 M30:M34 C77:C81 M77:M81 V30:V34" xr:uid="{713AEF91-2F54-4BDA-84D0-ABA7A37B6955}">
      <formula1>produits_nettoyage</formula1>
    </dataValidation>
    <dataValidation type="list" allowBlank="1" showInputMessage="1" showErrorMessage="1" sqref="S26 I26 I73 S73 AB26" xr:uid="{55638167-EEB9-4388-B646-6F6EB1370B7D}">
      <formula1>oui_non</formula1>
    </dataValidation>
    <dataValidation type="list" allowBlank="1" showInputMessage="1" showErrorMessage="1" sqref="C17:C19 M17:M19 C64:C66 M64:M66 V17:V19" xr:uid="{BFDCB177-3749-4AE1-8D26-DE90B020FC62}">
      <formula1>carte_manoeuvre</formula1>
    </dataValidation>
    <dataValidation type="list" allowBlank="1" showInputMessage="1" showErrorMessage="1" sqref="C9:C11 M9:M11 C56:C58 M56:M58 V9:V11" xr:uid="{79151F51-BEC6-4CF1-ACCF-53DCA09E5F20}">
      <formula1>service_nettoyage</formula1>
    </dataValidation>
  </dataValidations>
  <pageMargins left="0.25" right="0.25" top="0.75" bottom="0.75" header="0.3" footer="0.3"/>
  <pageSetup fitToWidth="0" fitToHeight="0" orientation="portrait" r:id="rId1"/>
  <headerFooter>
    <oddHeader>&amp;C&amp;A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F3B18-8D6D-45E7-8FE4-A08EB04F2D63}">
  <sheetPr codeName="Feuil5">
    <tabColor rgb="FF235BA8"/>
  </sheetPr>
  <dimension ref="B1:AC94"/>
  <sheetViews>
    <sheetView view="pageLayout" zoomScaleNormal="100" workbookViewId="0">
      <selection activeCell="D4" sqref="D4:J5"/>
    </sheetView>
  </sheetViews>
  <sheetFormatPr baseColWidth="10" defaultColWidth="11.42578125" defaultRowHeight="15" x14ac:dyDescent="0.25"/>
  <cols>
    <col min="1" max="1" width="0.42578125" customWidth="1"/>
    <col min="2" max="2" width="7.85546875" customWidth="1"/>
    <col min="3" max="3" width="19.42578125" customWidth="1"/>
    <col min="4" max="4" width="7.28515625" customWidth="1"/>
    <col min="5" max="5" width="9.42578125" customWidth="1"/>
    <col min="6" max="6" width="8.7109375" customWidth="1"/>
    <col min="7" max="7" width="11.7109375" customWidth="1"/>
    <col min="8" max="8" width="8.140625" customWidth="1"/>
    <col min="9" max="9" width="11" customWidth="1"/>
    <col min="10" max="10" width="17.28515625" customWidth="1"/>
    <col min="11" max="11" width="0.42578125" customWidth="1"/>
    <col min="12" max="12" width="7.7109375" customWidth="1"/>
    <col min="13" max="13" width="19.28515625" customWidth="1"/>
    <col min="14" max="14" width="7.28515625" customWidth="1"/>
    <col min="15" max="15" width="9.42578125" customWidth="1"/>
    <col min="16" max="16" width="8.7109375" customWidth="1"/>
    <col min="17" max="17" width="11.7109375" customWidth="1"/>
    <col min="18" max="18" width="8.140625" customWidth="1"/>
    <col min="19" max="19" width="11" customWidth="1"/>
    <col min="20" max="20" width="17.28515625" customWidth="1"/>
    <col min="21" max="21" width="7.7109375" customWidth="1"/>
    <col min="22" max="22" width="19.28515625" customWidth="1"/>
    <col min="23" max="23" width="7.28515625" customWidth="1"/>
    <col min="24" max="24" width="9.42578125" customWidth="1"/>
    <col min="25" max="25" width="8.7109375" customWidth="1"/>
    <col min="26" max="26" width="11.7109375" customWidth="1"/>
    <col min="27" max="27" width="8.140625" customWidth="1"/>
    <col min="28" max="28" width="11" customWidth="1"/>
    <col min="29" max="29" width="17.28515625" customWidth="1"/>
  </cols>
  <sheetData>
    <row r="1" spans="2:29" ht="19.5" thickBot="1" x14ac:dyDescent="0.35">
      <c r="B1" s="73" t="s">
        <v>43</v>
      </c>
      <c r="C1" s="74"/>
      <c r="D1" s="74"/>
      <c r="E1" s="74"/>
      <c r="F1" s="74"/>
      <c r="G1" s="74"/>
      <c r="H1" s="74"/>
      <c r="I1" s="74"/>
      <c r="J1" s="75"/>
      <c r="L1" s="73" t="s">
        <v>44</v>
      </c>
      <c r="M1" s="74"/>
      <c r="N1" s="74"/>
      <c r="O1" s="74"/>
      <c r="P1" s="74"/>
      <c r="Q1" s="74"/>
      <c r="R1" s="74"/>
      <c r="S1" s="74"/>
      <c r="T1" s="75"/>
      <c r="U1" s="73" t="s">
        <v>105</v>
      </c>
      <c r="V1" s="74"/>
      <c r="W1" s="74"/>
      <c r="X1" s="74"/>
      <c r="Y1" s="74"/>
      <c r="Z1" s="74"/>
      <c r="AA1" s="74"/>
      <c r="AB1" s="74"/>
      <c r="AC1" s="75"/>
    </row>
    <row r="2" spans="2:29" x14ac:dyDescent="0.25">
      <c r="B2" s="76" t="s">
        <v>46</v>
      </c>
      <c r="C2" s="77"/>
      <c r="D2" s="78">
        <f>'[1]INFO-Projet'!A2</f>
        <v>0</v>
      </c>
      <c r="E2" s="79"/>
      <c r="F2" s="79"/>
      <c r="G2" s="79"/>
      <c r="H2" s="79"/>
      <c r="I2" s="80"/>
      <c r="J2" s="81">
        <f>'[1]INFO-Projet'!C6</f>
        <v>0</v>
      </c>
      <c r="L2" s="76" t="s">
        <v>46</v>
      </c>
      <c r="M2" s="77"/>
      <c r="N2" s="78">
        <f>'[1]INFO-Projet'!A2</f>
        <v>0</v>
      </c>
      <c r="O2" s="79"/>
      <c r="P2" s="79"/>
      <c r="Q2" s="79"/>
      <c r="R2" s="79"/>
      <c r="S2" s="80"/>
      <c r="T2" s="81">
        <f>'[1]INFO-Projet'!C6</f>
        <v>0</v>
      </c>
      <c r="U2" s="76" t="s">
        <v>46</v>
      </c>
      <c r="V2" s="77"/>
      <c r="W2" s="78">
        <f>'[1]INFO-Projet'!J2</f>
        <v>0</v>
      </c>
      <c r="X2" s="79"/>
      <c r="Y2" s="79"/>
      <c r="Z2" s="79"/>
      <c r="AA2" s="79"/>
      <c r="AB2" s="80"/>
      <c r="AC2" s="81">
        <f>'[1]INFO-Projet'!C6</f>
        <v>0</v>
      </c>
    </row>
    <row r="3" spans="2:29" ht="15.75" thickBot="1" x14ac:dyDescent="0.3">
      <c r="B3" s="89" t="s">
        <v>47</v>
      </c>
      <c r="C3" s="344"/>
      <c r="D3" s="85">
        <f>'[1]INFO-Projet'!A6</f>
        <v>0</v>
      </c>
      <c r="E3" s="86"/>
      <c r="F3" s="86"/>
      <c r="G3" s="86"/>
      <c r="H3" s="86"/>
      <c r="I3" s="87"/>
      <c r="J3" s="88">
        <f>'[1]INFO-Projet'!C7</f>
        <v>0</v>
      </c>
      <c r="L3" s="89" t="s">
        <v>47</v>
      </c>
      <c r="M3" s="344"/>
      <c r="N3" s="85">
        <f>'[1]INFO-Projet'!A6</f>
        <v>0</v>
      </c>
      <c r="O3" s="86"/>
      <c r="P3" s="86"/>
      <c r="Q3" s="86"/>
      <c r="R3" s="86"/>
      <c r="S3" s="87"/>
      <c r="T3" s="88">
        <f>'[1]INFO-Projet'!C7</f>
        <v>0</v>
      </c>
      <c r="U3" s="89" t="s">
        <v>47</v>
      </c>
      <c r="V3" s="344"/>
      <c r="W3" s="85">
        <f>'[1]INFO-Projet'!J6</f>
        <v>0</v>
      </c>
      <c r="X3" s="86"/>
      <c r="Y3" s="86"/>
      <c r="Z3" s="86"/>
      <c r="AA3" s="86"/>
      <c r="AB3" s="87"/>
      <c r="AC3" s="88">
        <f>'[1]INFO-Projet'!C7</f>
        <v>0</v>
      </c>
    </row>
    <row r="4" spans="2:29" x14ac:dyDescent="0.25">
      <c r="B4" s="91" t="s">
        <v>48</v>
      </c>
      <c r="C4" s="92"/>
      <c r="D4" s="93"/>
      <c r="E4" s="94"/>
      <c r="F4" s="94"/>
      <c r="G4" s="94"/>
      <c r="H4" s="94"/>
      <c r="I4" s="94"/>
      <c r="J4" s="95"/>
      <c r="L4" s="91" t="s">
        <v>48</v>
      </c>
      <c r="M4" s="92"/>
      <c r="N4" s="93"/>
      <c r="O4" s="94"/>
      <c r="P4" s="94"/>
      <c r="Q4" s="94"/>
      <c r="R4" s="94"/>
      <c r="S4" s="94"/>
      <c r="T4" s="95"/>
      <c r="U4" s="91" t="s">
        <v>48</v>
      </c>
      <c r="V4" s="92"/>
      <c r="W4" s="93">
        <v>5</v>
      </c>
      <c r="X4" s="94"/>
      <c r="Y4" s="94"/>
      <c r="Z4" s="94"/>
      <c r="AA4" s="94"/>
      <c r="AB4" s="94"/>
      <c r="AC4" s="95"/>
    </row>
    <row r="5" spans="2:29" ht="15.75" thickBot="1" x14ac:dyDescent="0.3">
      <c r="B5" s="97" t="s">
        <v>49</v>
      </c>
      <c r="C5" s="98"/>
      <c r="D5" s="99"/>
      <c r="E5" s="100"/>
      <c r="F5" s="100"/>
      <c r="G5" s="100"/>
      <c r="H5" s="100"/>
      <c r="I5" s="100"/>
      <c r="J5" s="101"/>
      <c r="L5" s="97" t="s">
        <v>49</v>
      </c>
      <c r="M5" s="98"/>
      <c r="N5" s="99"/>
      <c r="O5" s="100"/>
      <c r="P5" s="100"/>
      <c r="Q5" s="100"/>
      <c r="R5" s="100"/>
      <c r="S5" s="100"/>
      <c r="T5" s="101"/>
      <c r="U5" s="97" t="s">
        <v>49</v>
      </c>
      <c r="V5" s="98"/>
      <c r="W5" s="99"/>
      <c r="X5" s="100"/>
      <c r="Y5" s="100"/>
      <c r="Z5" s="100"/>
      <c r="AA5" s="100"/>
      <c r="AB5" s="100"/>
      <c r="AC5" s="101"/>
    </row>
    <row r="6" spans="2:29" ht="3.75" customHeight="1" thickBot="1" x14ac:dyDescent="0.3"/>
    <row r="7" spans="2:29" x14ac:dyDescent="0.25">
      <c r="B7" s="103"/>
      <c r="C7" s="103" t="s">
        <v>51</v>
      </c>
      <c r="D7" s="104" t="s">
        <v>52</v>
      </c>
      <c r="E7" s="105"/>
      <c r="F7" s="104" t="s">
        <v>53</v>
      </c>
      <c r="G7" s="105"/>
      <c r="H7" s="104" t="s">
        <v>54</v>
      </c>
      <c r="I7" s="105"/>
      <c r="J7" s="103" t="s">
        <v>55</v>
      </c>
      <c r="L7" s="103"/>
      <c r="M7" s="103" t="s">
        <v>51</v>
      </c>
      <c r="N7" s="104" t="s">
        <v>52</v>
      </c>
      <c r="O7" s="105"/>
      <c r="P7" s="104" t="s">
        <v>53</v>
      </c>
      <c r="Q7" s="105"/>
      <c r="R7" s="104" t="s">
        <v>54</v>
      </c>
      <c r="S7" s="105"/>
      <c r="T7" s="103" t="s">
        <v>55</v>
      </c>
      <c r="U7" s="103"/>
      <c r="V7" s="103" t="s">
        <v>51</v>
      </c>
      <c r="W7" s="104" t="s">
        <v>52</v>
      </c>
      <c r="X7" s="105"/>
      <c r="Y7" s="104" t="s">
        <v>53</v>
      </c>
      <c r="Z7" s="105"/>
      <c r="AA7" s="104" t="s">
        <v>54</v>
      </c>
      <c r="AB7" s="105"/>
      <c r="AC7" s="103" t="s">
        <v>55</v>
      </c>
    </row>
    <row r="8" spans="2:29" ht="15.75" thickBot="1" x14ac:dyDescent="0.3">
      <c r="B8" s="106"/>
      <c r="C8" s="106"/>
      <c r="D8" s="107"/>
      <c r="E8" s="108"/>
      <c r="F8" s="107"/>
      <c r="G8" s="108"/>
      <c r="H8" s="109"/>
      <c r="I8" s="110"/>
      <c r="J8" s="106"/>
      <c r="L8" s="106"/>
      <c r="M8" s="106"/>
      <c r="N8" s="107"/>
      <c r="O8" s="108"/>
      <c r="P8" s="107"/>
      <c r="Q8" s="108"/>
      <c r="R8" s="109"/>
      <c r="S8" s="110"/>
      <c r="T8" s="106"/>
      <c r="U8" s="106"/>
      <c r="V8" s="106"/>
      <c r="W8" s="107"/>
      <c r="X8" s="108"/>
      <c r="Y8" s="107"/>
      <c r="Z8" s="108"/>
      <c r="AA8" s="109"/>
      <c r="AB8" s="110"/>
      <c r="AC8" s="106"/>
    </row>
    <row r="9" spans="2:29" x14ac:dyDescent="0.25">
      <c r="B9" s="112">
        <v>1</v>
      </c>
      <c r="C9" s="113"/>
      <c r="D9" s="114"/>
      <c r="E9" s="115"/>
      <c r="F9" s="116">
        <v>1000</v>
      </c>
      <c r="G9" s="117"/>
      <c r="H9" s="118">
        <f>D9/F9</f>
        <v>0</v>
      </c>
      <c r="I9" s="118"/>
      <c r="J9" s="119"/>
      <c r="L9" s="112">
        <v>1</v>
      </c>
      <c r="M9" s="113"/>
      <c r="N9" s="114"/>
      <c r="O9" s="115"/>
      <c r="P9" s="116">
        <v>1000</v>
      </c>
      <c r="Q9" s="117"/>
      <c r="R9" s="118">
        <f>N9/P9</f>
        <v>0</v>
      </c>
      <c r="S9" s="118"/>
      <c r="T9" s="119"/>
      <c r="U9" s="112">
        <v>1</v>
      </c>
      <c r="V9" s="113" t="s">
        <v>56</v>
      </c>
      <c r="W9" s="114">
        <v>25</v>
      </c>
      <c r="X9" s="115"/>
      <c r="Y9" s="116">
        <v>1000</v>
      </c>
      <c r="Z9" s="117"/>
      <c r="AA9" s="118">
        <f>W9/Y9</f>
        <v>2.5000000000000001E-2</v>
      </c>
      <c r="AB9" s="118"/>
      <c r="AC9" s="119"/>
    </row>
    <row r="10" spans="2:29" x14ac:dyDescent="0.25">
      <c r="B10" s="122">
        <v>2</v>
      </c>
      <c r="C10" s="123"/>
      <c r="D10" s="124"/>
      <c r="E10" s="125"/>
      <c r="F10" s="126"/>
      <c r="G10" s="127"/>
      <c r="H10" s="128">
        <f>IFERROR((D10/F10),0)</f>
        <v>0</v>
      </c>
      <c r="I10" s="128"/>
      <c r="J10" s="129"/>
      <c r="L10" s="122">
        <v>2</v>
      </c>
      <c r="M10" s="123"/>
      <c r="N10" s="124"/>
      <c r="O10" s="125"/>
      <c r="P10" s="126"/>
      <c r="Q10" s="127"/>
      <c r="R10" s="128">
        <f>IFERROR((N10/P10),0)</f>
        <v>0</v>
      </c>
      <c r="S10" s="128"/>
      <c r="T10" s="129"/>
      <c r="U10" s="122">
        <v>2</v>
      </c>
      <c r="V10" s="123"/>
      <c r="W10" s="124"/>
      <c r="X10" s="125"/>
      <c r="Y10" s="126"/>
      <c r="Z10" s="127"/>
      <c r="AA10" s="128">
        <f>IFERROR((W10/Y10),0)</f>
        <v>0</v>
      </c>
      <c r="AB10" s="128"/>
      <c r="AC10" s="129"/>
    </row>
    <row r="11" spans="2:29" ht="15.75" thickBot="1" x14ac:dyDescent="0.3">
      <c r="B11" s="132">
        <v>3</v>
      </c>
      <c r="C11" s="133"/>
      <c r="D11" s="134"/>
      <c r="E11" s="135"/>
      <c r="F11" s="136"/>
      <c r="G11" s="137"/>
      <c r="H11" s="138">
        <f>IFERROR((D11/F11),0)</f>
        <v>0</v>
      </c>
      <c r="I11" s="138"/>
      <c r="J11" s="139"/>
      <c r="L11" s="132">
        <v>3</v>
      </c>
      <c r="M11" s="133"/>
      <c r="N11" s="134"/>
      <c r="O11" s="135"/>
      <c r="P11" s="136"/>
      <c r="Q11" s="137"/>
      <c r="R11" s="138">
        <f>IFERROR((N11/P11),0)</f>
        <v>0</v>
      </c>
      <c r="S11" s="138"/>
      <c r="T11" s="139"/>
      <c r="U11" s="132">
        <v>3</v>
      </c>
      <c r="V11" s="133"/>
      <c r="W11" s="134"/>
      <c r="X11" s="135"/>
      <c r="Y11" s="136"/>
      <c r="Z11" s="137"/>
      <c r="AA11" s="138">
        <f>IFERROR((W11/Y11),0)</f>
        <v>0</v>
      </c>
      <c r="AB11" s="138"/>
      <c r="AC11" s="139"/>
    </row>
    <row r="12" spans="2:29" ht="15.75" thickBot="1" x14ac:dyDescent="0.3">
      <c r="B12" s="142"/>
      <c r="C12" s="143" t="s">
        <v>57</v>
      </c>
      <c r="D12" s="144" t="s">
        <v>58</v>
      </c>
      <c r="E12" s="145"/>
      <c r="F12" s="144" t="s">
        <v>59</v>
      </c>
      <c r="G12" s="145"/>
      <c r="H12" s="144" t="s">
        <v>60</v>
      </c>
      <c r="I12" s="145"/>
      <c r="J12" s="143" t="s">
        <v>61</v>
      </c>
      <c r="L12" s="142"/>
      <c r="M12" s="143" t="s">
        <v>57</v>
      </c>
      <c r="N12" s="144" t="s">
        <v>58</v>
      </c>
      <c r="O12" s="145"/>
      <c r="P12" s="144" t="s">
        <v>59</v>
      </c>
      <c r="Q12" s="145"/>
      <c r="R12" s="144" t="s">
        <v>60</v>
      </c>
      <c r="S12" s="145"/>
      <c r="T12" s="143" t="s">
        <v>61</v>
      </c>
      <c r="U12" s="142"/>
      <c r="V12" s="143" t="s">
        <v>57</v>
      </c>
      <c r="W12" s="144" t="s">
        <v>58</v>
      </c>
      <c r="X12" s="145"/>
      <c r="Y12" s="144" t="s">
        <v>59</v>
      </c>
      <c r="Z12" s="145"/>
      <c r="AA12" s="144" t="s">
        <v>60</v>
      </c>
      <c r="AB12" s="145"/>
      <c r="AC12" s="143" t="s">
        <v>61</v>
      </c>
    </row>
    <row r="13" spans="2:29" x14ac:dyDescent="0.25">
      <c r="B13" s="113"/>
      <c r="C13" s="146">
        <f>COUNTIF(C9:C11,"&lt;&gt;")</f>
        <v>0</v>
      </c>
      <c r="D13" s="147">
        <f>SUM(D9:E11)</f>
        <v>0</v>
      </c>
      <c r="E13" s="148"/>
      <c r="F13" s="147">
        <f>SUM(F9:G11)/(COUNT(F9:G11)-COUNTIF(F9:G11,"=0"))</f>
        <v>1000</v>
      </c>
      <c r="G13" s="148"/>
      <c r="H13" s="146">
        <f>SUM(H9:I11)</f>
        <v>0</v>
      </c>
      <c r="I13" s="146"/>
      <c r="J13" s="146">
        <f>H17/8</f>
        <v>0.25</v>
      </c>
      <c r="L13" s="113"/>
      <c r="M13" s="146">
        <f>COUNTIF(M9:M11,"&lt;&gt;")</f>
        <v>0</v>
      </c>
      <c r="N13" s="147">
        <f>SUM(N9:O11)</f>
        <v>0</v>
      </c>
      <c r="O13" s="148"/>
      <c r="P13" s="147">
        <f>SUM(P9:Q11)/(COUNT(P9:Q11)-COUNTIF(P9:Q11,"=0"))</f>
        <v>1000</v>
      </c>
      <c r="Q13" s="148"/>
      <c r="R13" s="146">
        <f>SUM(R9:S11)</f>
        <v>0</v>
      </c>
      <c r="S13" s="146"/>
      <c r="T13" s="146">
        <f>R17/8</f>
        <v>0.25</v>
      </c>
      <c r="U13" s="113"/>
      <c r="V13" s="146">
        <f>COUNTIF(V9:V11,"&lt;&gt;")</f>
        <v>1</v>
      </c>
      <c r="W13" s="147">
        <f>SUM(W9:X11)</f>
        <v>25</v>
      </c>
      <c r="X13" s="148"/>
      <c r="Y13" s="147">
        <f>SUM(Y9:Z11)/(COUNT(Y9:Z11)-COUNTIF(Y9:Z11,"=0"))</f>
        <v>1000</v>
      </c>
      <c r="Z13" s="148"/>
      <c r="AA13" s="146">
        <f>SUM(AA9:AB11)</f>
        <v>2.5000000000000001E-2</v>
      </c>
      <c r="AB13" s="146"/>
      <c r="AC13" s="146">
        <f>AA17/8</f>
        <v>0.25</v>
      </c>
    </row>
    <row r="14" spans="2:29" ht="15.75" thickBot="1" x14ac:dyDescent="0.3">
      <c r="B14" s="133"/>
      <c r="C14" s="152"/>
      <c r="D14" s="153"/>
      <c r="E14" s="154"/>
      <c r="F14" s="153"/>
      <c r="G14" s="154"/>
      <c r="H14" s="152"/>
      <c r="I14" s="152"/>
      <c r="J14" s="152"/>
      <c r="L14" s="133"/>
      <c r="M14" s="152"/>
      <c r="N14" s="153"/>
      <c r="O14" s="154"/>
      <c r="P14" s="153"/>
      <c r="Q14" s="154"/>
      <c r="R14" s="152"/>
      <c r="S14" s="152"/>
      <c r="T14" s="152"/>
      <c r="U14" s="133"/>
      <c r="V14" s="152"/>
      <c r="W14" s="153"/>
      <c r="X14" s="154"/>
      <c r="Y14" s="153"/>
      <c r="Z14" s="154"/>
      <c r="AA14" s="152"/>
      <c r="AB14" s="152"/>
      <c r="AC14" s="152"/>
    </row>
    <row r="15" spans="2:29" ht="15.75" thickBot="1" x14ac:dyDescent="0.3">
      <c r="B15" s="158"/>
      <c r="C15" s="158"/>
      <c r="D15" s="158"/>
      <c r="E15" s="158"/>
      <c r="F15" s="158"/>
      <c r="G15" s="158"/>
      <c r="H15" s="158"/>
      <c r="I15" s="158"/>
      <c r="J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8"/>
      <c r="AA15" s="158"/>
      <c r="AB15" s="158"/>
      <c r="AC15" s="158"/>
    </row>
    <row r="16" spans="2:29" ht="15.75" thickBot="1" x14ac:dyDescent="0.3">
      <c r="B16" s="143"/>
      <c r="C16" s="143" t="s">
        <v>62</v>
      </c>
      <c r="D16" s="144" t="s">
        <v>63</v>
      </c>
      <c r="E16" s="145"/>
      <c r="F16" s="144" t="s">
        <v>64</v>
      </c>
      <c r="G16" s="145"/>
      <c r="H16" s="144" t="s">
        <v>65</v>
      </c>
      <c r="I16" s="145"/>
      <c r="J16" s="143" t="s">
        <v>66</v>
      </c>
      <c r="L16" s="143"/>
      <c r="M16" s="143" t="s">
        <v>62</v>
      </c>
      <c r="N16" s="144" t="s">
        <v>63</v>
      </c>
      <c r="O16" s="145"/>
      <c r="P16" s="144" t="s">
        <v>64</v>
      </c>
      <c r="Q16" s="145"/>
      <c r="R16" s="144" t="s">
        <v>65</v>
      </c>
      <c r="S16" s="145"/>
      <c r="T16" s="143" t="s">
        <v>66</v>
      </c>
      <c r="U16" s="143"/>
      <c r="V16" s="143" t="s">
        <v>62</v>
      </c>
      <c r="W16" s="144" t="s">
        <v>63</v>
      </c>
      <c r="X16" s="145"/>
      <c r="Y16" s="144" t="s">
        <v>64</v>
      </c>
      <c r="Z16" s="145"/>
      <c r="AA16" s="144" t="s">
        <v>65</v>
      </c>
      <c r="AB16" s="145"/>
      <c r="AC16" s="143" t="s">
        <v>66</v>
      </c>
    </row>
    <row r="17" spans="2:29" x14ac:dyDescent="0.25">
      <c r="B17" s="161">
        <v>1</v>
      </c>
      <c r="C17" s="113"/>
      <c r="D17" s="162">
        <f>MAX(ROUNDUP(H13*9,0),4)</f>
        <v>4</v>
      </c>
      <c r="E17" s="162"/>
      <c r="F17" s="163">
        <f>SUMIF([1]Salaires!A18:A25,C17,[1]Salaires!B18:B25)*ROUND(IF('[1]INFO-Projet'!$E$7="de Jour",1,1.04),2)</f>
        <v>0</v>
      </c>
      <c r="G17" s="162"/>
      <c r="H17" s="162">
        <f>IF('[1]INFO-Projet'!$E$5="en atelier",0,IF(J2=0,2,IF(I26="oui",ROUNDUP(H13/5,0)*2*(ROUNDUP((J2*24)/0.5,0)*0.5),ROUNDUP(H13,0)*2*(ROUNDUP((J2*24)/0.5,0)*0.5))))</f>
        <v>2</v>
      </c>
      <c r="I17" s="162"/>
      <c r="J17" s="164">
        <f>SUMIF([1]Salaires!A18:A25,C17,[1]Salaires!C18:C25)</f>
        <v>0</v>
      </c>
      <c r="L17" s="161">
        <v>1</v>
      </c>
      <c r="M17" s="113"/>
      <c r="N17" s="162">
        <f>MAX(ROUNDUP(R13*9,0),4)</f>
        <v>4</v>
      </c>
      <c r="O17" s="162"/>
      <c r="P17" s="163">
        <f>SUMIF([1]Salaires!A18:A25,M17,[1]Salaires!B18:B25)*ROUND(IF('[1]INFO-Projet'!$E$7="de Jour",1,1.04),2)</f>
        <v>0</v>
      </c>
      <c r="Q17" s="162"/>
      <c r="R17" s="162">
        <f>IF('[1]INFO-Projet'!$E$5="en atelier",0,IF(T2=0,2,IF(S26="oui",ROUNDUP(R13/5,0)*2*(ROUNDUP((T2*24)/0.5,0)*0.5),ROUNDUP(R13,0)*2*(ROUNDUP((T2*24)/0.5,0)*0.5))))</f>
        <v>2</v>
      </c>
      <c r="S17" s="162"/>
      <c r="T17" s="164">
        <f>SUMIF([1]Salaires!A18:A25,M17,[1]Salaires!C18:C25)</f>
        <v>0</v>
      </c>
      <c r="U17" s="161">
        <v>1</v>
      </c>
      <c r="V17" s="113" t="s">
        <v>106</v>
      </c>
      <c r="W17" s="162">
        <f>MAX(ROUNDUP(AA13*9,0),4)</f>
        <v>4</v>
      </c>
      <c r="X17" s="162"/>
      <c r="Y17" s="163">
        <f>SUMIF([1]Salaires!A18:A25,V17,[1]Salaires!B18:B25)*ROUND(IF('[1]INFO-Projet'!$E$7="de Jour",1,1.04),2)</f>
        <v>63.68</v>
      </c>
      <c r="Z17" s="162"/>
      <c r="AA17" s="162">
        <f>IF('[1]INFO-Projet'!$E$5="en atelier",0,IF(AC2=0,2,IF(AB26="oui",ROUNDUP(AA13/5,0)*2*(ROUNDUP((AC2*24)/0.5,0)*0.5),ROUNDUP(AA13,0)*2*(ROUNDUP((AC2*24)/0.5,0)*0.5))))</f>
        <v>2</v>
      </c>
      <c r="AB17" s="162"/>
      <c r="AC17" s="164">
        <f>SUMIF([1]Salaires!A18:A25,V17,[1]Salaires!C18:C25)</f>
        <v>63.68</v>
      </c>
    </row>
    <row r="18" spans="2:29" x14ac:dyDescent="0.25">
      <c r="B18" s="169">
        <v>2</v>
      </c>
      <c r="C18" s="123"/>
      <c r="D18" s="170">
        <f>IF(ISBLANK(C18),,(D17))</f>
        <v>0</v>
      </c>
      <c r="E18" s="170"/>
      <c r="F18" s="173">
        <f>SUMIF([1]Salaires!A18:A25,C18,[1]Salaires!B18:B25)*ROUND(IF('[1]INFO-Projet'!$E$7="de Jour",1,1.04),2)</f>
        <v>0</v>
      </c>
      <c r="G18" s="174"/>
      <c r="H18" s="170">
        <f>IF(ISBLANK(C18),,(H17))</f>
        <v>0</v>
      </c>
      <c r="I18" s="170"/>
      <c r="J18" s="175">
        <f>IF(C18&lt;&gt;"",IF(J3&gt;119,SUMIF([1]Salaires!A18:A25,C18,[1]Salaires!C18:C25),18.65),"0")*1</f>
        <v>0</v>
      </c>
      <c r="L18" s="169">
        <v>2</v>
      </c>
      <c r="M18" s="123"/>
      <c r="N18" s="170">
        <f>IF(ISBLANK(M18),,(N17))</f>
        <v>0</v>
      </c>
      <c r="O18" s="170"/>
      <c r="P18" s="173">
        <f>SUMIF([1]Salaires!A18:A25,M18,[1]Salaires!B18:B25)*ROUND(IF('[1]INFO-Projet'!$E$7="de Jour",1,1.04),2)</f>
        <v>0</v>
      </c>
      <c r="Q18" s="174"/>
      <c r="R18" s="170">
        <f>IF(ISBLANK(M18),,(R17))</f>
        <v>0</v>
      </c>
      <c r="S18" s="170"/>
      <c r="T18" s="175">
        <f>IF(M18&lt;&gt;"",IF(T3&gt;119,SUMIF([1]Salaires!A18:A25,M18,[1]Salaires!C18:C25),18.65),"0")*1</f>
        <v>0</v>
      </c>
      <c r="U18" s="169">
        <v>2</v>
      </c>
      <c r="V18" s="123"/>
      <c r="W18" s="170">
        <f>IF(ISBLANK(V18),,(W17))</f>
        <v>0</v>
      </c>
      <c r="X18" s="170"/>
      <c r="Y18" s="173">
        <f>SUMIF([1]Salaires!A18:A25,V18,[1]Salaires!B18:B25)*ROUND(IF('[1]INFO-Projet'!$E$7="de Jour",1,1.04),2)</f>
        <v>0</v>
      </c>
      <c r="Z18" s="174"/>
      <c r="AA18" s="170">
        <f>IF(ISBLANK(V18),,(AA17))</f>
        <v>0</v>
      </c>
      <c r="AB18" s="170"/>
      <c r="AC18" s="175">
        <f>IF(V18&lt;&gt;"",IF(AC3&gt;119,SUMIF([1]Salaires!A18:A25,V18,[1]Salaires!C18:C25),18.65),"0")*1</f>
        <v>0</v>
      </c>
    </row>
    <row r="19" spans="2:29" ht="15.75" thickBot="1" x14ac:dyDescent="0.3">
      <c r="B19" s="176">
        <v>3</v>
      </c>
      <c r="C19" s="133"/>
      <c r="D19" s="177">
        <f>IF(ISBLANK(C19),,(D18))</f>
        <v>0</v>
      </c>
      <c r="E19" s="177"/>
      <c r="F19" s="182"/>
      <c r="G19" s="183"/>
      <c r="H19" s="177">
        <f>IF(ISBLANK(C19),,(H18))</f>
        <v>0</v>
      </c>
      <c r="I19" s="177"/>
      <c r="J19" s="179"/>
      <c r="L19" s="176">
        <v>3</v>
      </c>
      <c r="M19" s="133"/>
      <c r="N19" s="177">
        <f>IF(ISBLANK(M19),,(N18))</f>
        <v>0</v>
      </c>
      <c r="O19" s="177"/>
      <c r="P19" s="182">
        <f>SUMIF([1]Salaires!A18:A25,M19,[1]Salaires!B18:B25)*ROUND(IF('[1]INFO-Projet'!$E$7="de Jour",1,1.04),2)</f>
        <v>0</v>
      </c>
      <c r="Q19" s="183"/>
      <c r="R19" s="177">
        <f>IF(ISBLANK(M19),,(R18))</f>
        <v>0</v>
      </c>
      <c r="S19" s="177"/>
      <c r="T19" s="179">
        <f>IF(M19&lt;&gt;"",IF(T3&gt;119,SUMIF([1]Salaires!A18:A25,M19,[1]Salaires!C18:C25),18.65),"0")*1</f>
        <v>0</v>
      </c>
      <c r="U19" s="176">
        <v>3</v>
      </c>
      <c r="V19" s="133"/>
      <c r="W19" s="177">
        <f>IF(ISBLANK(V19),,(W18))</f>
        <v>0</v>
      </c>
      <c r="X19" s="177"/>
      <c r="Y19" s="182">
        <f>SUMIF([1]Salaires!A18:A25,V19,[1]Salaires!B18:B25)*ROUND(IF('[1]INFO-Projet'!$E$7="de Jour",1,1.04),2)</f>
        <v>0</v>
      </c>
      <c r="Z19" s="183"/>
      <c r="AA19" s="177">
        <f>IF(ISBLANK(V19),,(AA18))</f>
        <v>0</v>
      </c>
      <c r="AB19" s="177"/>
      <c r="AC19" s="179">
        <f>IF(V19&lt;&gt;"",IF(AC3&gt;119,SUMIF([1]Salaires!A18:A25,V19,[1]Salaires!C18:C25),18.65),"0")*1</f>
        <v>0</v>
      </c>
    </row>
    <row r="20" spans="2:29" ht="15.75" thickBot="1" x14ac:dyDescent="0.3">
      <c r="B20" s="58"/>
      <c r="H20" s="58"/>
      <c r="I20" s="58"/>
      <c r="L20" s="58"/>
      <c r="R20" s="58"/>
      <c r="S20" s="58"/>
      <c r="U20" s="58"/>
      <c r="AA20" s="58"/>
      <c r="AB20" s="58"/>
    </row>
    <row r="21" spans="2:29" ht="16.5" thickBot="1" x14ac:dyDescent="0.3">
      <c r="B21" s="184" t="s">
        <v>68</v>
      </c>
      <c r="C21" s="185" t="s">
        <v>69</v>
      </c>
      <c r="D21" s="186"/>
      <c r="E21" s="186"/>
      <c r="F21" s="186"/>
      <c r="G21" s="186"/>
      <c r="H21" s="186"/>
      <c r="I21" s="186"/>
      <c r="J21" s="187"/>
      <c r="L21" s="184" t="s">
        <v>68</v>
      </c>
      <c r="M21" s="185" t="s">
        <v>69</v>
      </c>
      <c r="N21" s="186"/>
      <c r="O21" s="186"/>
      <c r="P21" s="186"/>
      <c r="Q21" s="186"/>
      <c r="R21" s="186"/>
      <c r="S21" s="186"/>
      <c r="T21" s="187"/>
      <c r="U21" s="184" t="s">
        <v>68</v>
      </c>
      <c r="V21" s="185" t="s">
        <v>69</v>
      </c>
      <c r="W21" s="186"/>
      <c r="X21" s="186"/>
      <c r="Y21" s="186"/>
      <c r="Z21" s="186"/>
      <c r="AA21" s="186"/>
      <c r="AB21" s="186"/>
      <c r="AC21" s="187"/>
    </row>
    <row r="22" spans="2:29" ht="16.5" thickBot="1" x14ac:dyDescent="0.3">
      <c r="B22" s="191">
        <f>IFERROR((J27/J36),0)</f>
        <v>0</v>
      </c>
      <c r="C22" s="345" t="s">
        <v>70</v>
      </c>
      <c r="D22" s="345"/>
      <c r="E22" s="345"/>
      <c r="F22" s="345"/>
      <c r="G22" s="345" t="s">
        <v>71</v>
      </c>
      <c r="H22" s="345"/>
      <c r="I22" s="345"/>
      <c r="J22" s="345"/>
      <c r="L22" s="191">
        <f>IFERROR((T27/T36),0)</f>
        <v>0</v>
      </c>
      <c r="M22" s="192" t="s">
        <v>70</v>
      </c>
      <c r="N22" s="193"/>
      <c r="O22" s="193"/>
      <c r="P22" s="194"/>
      <c r="Q22" s="192" t="s">
        <v>71</v>
      </c>
      <c r="R22" s="193"/>
      <c r="S22" s="193"/>
      <c r="T22" s="194"/>
      <c r="U22" s="191">
        <f>IFERROR((AC27/AC36),0)</f>
        <v>0.82516907179174959</v>
      </c>
      <c r="V22" s="192" t="s">
        <v>70</v>
      </c>
      <c r="W22" s="193"/>
      <c r="X22" s="193"/>
      <c r="Y22" s="194"/>
      <c r="Z22" s="192" t="s">
        <v>71</v>
      </c>
      <c r="AA22" s="193"/>
      <c r="AB22" s="193"/>
      <c r="AC22" s="194"/>
    </row>
    <row r="23" spans="2:29" x14ac:dyDescent="0.25">
      <c r="B23" s="202">
        <f>IFERROR((F23/J27),0)</f>
        <v>0</v>
      </c>
      <c r="C23" s="346"/>
      <c r="D23" s="347"/>
      <c r="E23" s="205">
        <f>SUMIF([1]Salaires!H18:H24,C23,[1]Salaires!I18:I24)</f>
        <v>0</v>
      </c>
      <c r="F23" s="348">
        <f>(D17+D18+D19)*E23</f>
        <v>0</v>
      </c>
      <c r="G23" s="219" t="s">
        <v>72</v>
      </c>
      <c r="H23" s="219"/>
      <c r="I23" s="220"/>
      <c r="J23" s="210">
        <f>(D17*F17)+(D18*F18)+(D19*F19)+(F23+F24+F25+F26)</f>
        <v>0</v>
      </c>
      <c r="L23" s="202">
        <f>IFERROR((P23/T27),0)</f>
        <v>0</v>
      </c>
      <c r="M23" s="203"/>
      <c r="N23" s="204"/>
      <c r="O23" s="349">
        <f>SUMIF([1]Salaires!H18:H24,M23,[1]Salaires!I18:I24)</f>
        <v>0</v>
      </c>
      <c r="P23" s="205">
        <f>(N17+N18+N19)*O23</f>
        <v>0</v>
      </c>
      <c r="Q23" s="219" t="s">
        <v>72</v>
      </c>
      <c r="R23" s="219"/>
      <c r="S23" s="220"/>
      <c r="T23" s="210">
        <f>(N17*P17)+(N18*P18)+(N19*P19)+(P23+P24+P25+P26)</f>
        <v>0</v>
      </c>
      <c r="U23" s="202">
        <f>IFERROR((Y23/AC27),0)</f>
        <v>0</v>
      </c>
      <c r="V23" s="203"/>
      <c r="W23" s="204"/>
      <c r="X23" s="349">
        <f>SUMIF([1]Salaires!H18:H24,V23,[1]Salaires!I18:I24)</f>
        <v>0</v>
      </c>
      <c r="Y23" s="205">
        <f>(W17+W18+W19)*X23</f>
        <v>0</v>
      </c>
      <c r="Z23" s="219" t="s">
        <v>72</v>
      </c>
      <c r="AA23" s="219"/>
      <c r="AB23" s="220"/>
      <c r="AC23" s="210">
        <f>(W17*Y17)+(W18*Y18)+(W19*Y19)+(Y23+Y24+Y25+Y26)</f>
        <v>254.72</v>
      </c>
    </row>
    <row r="24" spans="2:29" x14ac:dyDescent="0.25">
      <c r="B24" s="202">
        <f>IFERROR((F24/J27),0)</f>
        <v>0</v>
      </c>
      <c r="C24" s="216"/>
      <c r="D24" s="217"/>
      <c r="E24" s="350">
        <f>SUMIF([1]Salaires!H18:H24,C24,[1]Salaires!I18:I24)</f>
        <v>0</v>
      </c>
      <c r="F24" s="351">
        <f>(D17+D18+D19)*E24</f>
        <v>0</v>
      </c>
      <c r="G24" s="222" t="s">
        <v>73</v>
      </c>
      <c r="H24" s="222"/>
      <c r="I24" s="220"/>
      <c r="J24" s="210">
        <f>(H17*J17)+(H18*J18)+(H19+J19)</f>
        <v>0</v>
      </c>
      <c r="L24" s="202">
        <f>IFERROR((P24/T27),0)</f>
        <v>0</v>
      </c>
      <c r="M24" s="216"/>
      <c r="N24" s="217"/>
      <c r="O24" s="218">
        <f>SUMIF([1]Salaires!H18:H24,M24,[1]Salaires!I18:I24)</f>
        <v>0</v>
      </c>
      <c r="P24" s="350">
        <f>(N17+N18+N19)*O24</f>
        <v>0</v>
      </c>
      <c r="Q24" s="222" t="s">
        <v>73</v>
      </c>
      <c r="R24" s="222"/>
      <c r="S24" s="220"/>
      <c r="T24" s="210">
        <f>(R17*T17)+(R18*T18)+(R19+T19)</f>
        <v>0</v>
      </c>
      <c r="U24" s="202">
        <f>IFERROR((Y24/AC27),0)</f>
        <v>0</v>
      </c>
      <c r="V24" s="216"/>
      <c r="W24" s="217"/>
      <c r="X24" s="218">
        <f>SUMIF([1]Salaires!H18:H24,V24,[1]Salaires!I18:I24)</f>
        <v>0</v>
      </c>
      <c r="Y24" s="350">
        <f>(W17+W18+W19)*X24</f>
        <v>0</v>
      </c>
      <c r="Z24" s="222" t="s">
        <v>73</v>
      </c>
      <c r="AA24" s="222"/>
      <c r="AB24" s="220"/>
      <c r="AC24" s="210">
        <f>(AA17*AC17)+(AA18*AC18)+(AA19+AC19)</f>
        <v>127.36</v>
      </c>
    </row>
    <row r="25" spans="2:29" x14ac:dyDescent="0.25">
      <c r="B25" s="202">
        <f>IFERROR((F25/J27),0)</f>
        <v>0</v>
      </c>
      <c r="C25" s="216"/>
      <c r="D25" s="217"/>
      <c r="E25" s="350">
        <f>SUMIF([1]Salaires!H18:H24,C25,[1]Salaires!I18:I24)</f>
        <v>0</v>
      </c>
      <c r="F25" s="351">
        <f>(D17+D18+D19)*E25</f>
        <v>0</v>
      </c>
      <c r="G25" s="222" t="s">
        <v>74</v>
      </c>
      <c r="H25" s="222"/>
      <c r="I25" s="352">
        <v>0.05</v>
      </c>
      <c r="J25" s="210">
        <f>(J23+J24)*I25</f>
        <v>0</v>
      </c>
      <c r="L25" s="202">
        <f>IFERROR((P25/T27),0)</f>
        <v>0</v>
      </c>
      <c r="M25" s="216"/>
      <c r="N25" s="217"/>
      <c r="O25" s="218">
        <f>SUMIF([1]Salaires!H18:H24,M25,[1]Salaires!I18:I24)</f>
        <v>0</v>
      </c>
      <c r="P25" s="350">
        <f>(N17+N18+N19)*O25</f>
        <v>0</v>
      </c>
      <c r="Q25" s="222" t="s">
        <v>74</v>
      </c>
      <c r="R25" s="220"/>
      <c r="S25" s="352">
        <v>0.05</v>
      </c>
      <c r="T25" s="210">
        <f>(T23+T24)*S25</f>
        <v>0</v>
      </c>
      <c r="U25" s="202">
        <f>IFERROR((Y25/AC27),0)</f>
        <v>0</v>
      </c>
      <c r="V25" s="216"/>
      <c r="W25" s="217"/>
      <c r="X25" s="218">
        <f>SUMIF([1]Salaires!H18:H24,V25,[1]Salaires!I18:I24)</f>
        <v>0</v>
      </c>
      <c r="Y25" s="350">
        <f>(W17+W18+W19)*X25</f>
        <v>0</v>
      </c>
      <c r="Z25" s="222" t="s">
        <v>74</v>
      </c>
      <c r="AA25" s="220"/>
      <c r="AB25" s="352">
        <v>0.05</v>
      </c>
      <c r="AC25" s="210">
        <f>(AC23+AC24)*AB25</f>
        <v>19.103999999999999</v>
      </c>
    </row>
    <row r="26" spans="2:29" ht="15.75" thickBot="1" x14ac:dyDescent="0.3">
      <c r="B26" s="202">
        <f>IFERROR((F26/J27),0)</f>
        <v>0</v>
      </c>
      <c r="C26" s="226"/>
      <c r="D26" s="227"/>
      <c r="E26" s="353">
        <f>SUMIF([1]Salaires!H18:H24,C26,[1]Salaires!I18:I24)</f>
        <v>0</v>
      </c>
      <c r="F26" s="354">
        <f>(D17+D18+D19)*E26</f>
        <v>0</v>
      </c>
      <c r="G26" s="355" t="s">
        <v>75</v>
      </c>
      <c r="H26" s="58">
        <f>IF(ISBLANK(C17),0,COUNTA(C17:C19)&amp;" h x "&amp;ROUNDUP(H13,0)&amp;" j")</f>
        <v>0</v>
      </c>
      <c r="I26" s="236" t="s">
        <v>76</v>
      </c>
      <c r="J26" s="233">
        <f>IF(I26="non",0,COUNTA(C17:C19)*[1]Salaires!B30*ROUNDUP(H13+J13,0))</f>
        <v>0</v>
      </c>
      <c r="L26" s="202">
        <f>IFERROR((P26/T27),0)</f>
        <v>0</v>
      </c>
      <c r="M26" s="226"/>
      <c r="N26" s="227"/>
      <c r="O26" s="356">
        <f>SUMIF([1]Salaires!H18:H24,M26,[1]Salaires!I18:I24)</f>
        <v>0</v>
      </c>
      <c r="P26" s="228">
        <f>(N17+N18+N19)*O26</f>
        <v>0</v>
      </c>
      <c r="Q26" s="357" t="s">
        <v>75</v>
      </c>
      <c r="R26" s="58">
        <f>IF(ISBLANK(M17),0,COUNTA(M17:M19)&amp;" h x "&amp;ROUNDUP(R13,0)&amp;" j")</f>
        <v>0</v>
      </c>
      <c r="S26" s="236" t="s">
        <v>76</v>
      </c>
      <c r="T26" s="233">
        <f>IF(S26="non",0,COUNTA(M17:M19)*[1]Salaires!B30*ROUNDUP(R13+T13,0))</f>
        <v>0</v>
      </c>
      <c r="U26" s="202">
        <f>IFERROR((Y26/AC27),0)</f>
        <v>0</v>
      </c>
      <c r="V26" s="226"/>
      <c r="W26" s="227"/>
      <c r="X26" s="356">
        <f>SUMIF([1]Salaires!H18:H24,V26,[1]Salaires!I18:I24)</f>
        <v>0</v>
      </c>
      <c r="Y26" s="228">
        <f>(W17+W18+W19)*X26</f>
        <v>0</v>
      </c>
      <c r="Z26" s="357" t="s">
        <v>75</v>
      </c>
      <c r="AA26" s="58" t="str">
        <f>IF(ISBLANK(V17),0,COUNTA(V17:V19)&amp;" h x "&amp;ROUNDUP(AA13,0)&amp;" j")</f>
        <v>1 h x 1 j</v>
      </c>
      <c r="AB26" s="236" t="s">
        <v>76</v>
      </c>
      <c r="AC26" s="233">
        <f>IF(AB26="non",0,COUNTA(V17:V19)*[1]Salaires!B30*ROUNDUP(AA13+AC13,0))</f>
        <v>0</v>
      </c>
    </row>
    <row r="27" spans="2:29" ht="15.75" thickBot="1" x14ac:dyDescent="0.3">
      <c r="B27" s="241"/>
      <c r="C27" s="242"/>
      <c r="E27" s="243"/>
      <c r="F27" s="243"/>
      <c r="G27" s="239" t="s">
        <v>77</v>
      </c>
      <c r="H27" s="239"/>
      <c r="I27" s="239"/>
      <c r="J27" s="240">
        <f>SUM(J23:J26)</f>
        <v>0</v>
      </c>
      <c r="L27" s="241"/>
      <c r="M27" s="242"/>
      <c r="O27" s="243"/>
      <c r="P27" s="243"/>
      <c r="Q27" s="239" t="s">
        <v>77</v>
      </c>
      <c r="R27" s="239"/>
      <c r="S27" s="239"/>
      <c r="T27" s="240">
        <f>SUM(T23:T26)</f>
        <v>0</v>
      </c>
      <c r="U27" s="241"/>
      <c r="V27" s="242"/>
      <c r="X27" s="243"/>
      <c r="Y27" s="243"/>
      <c r="Z27" s="239" t="s">
        <v>77</v>
      </c>
      <c r="AA27" s="239"/>
      <c r="AB27" s="239"/>
      <c r="AC27" s="240">
        <f>SUM(AC23:AC26)</f>
        <v>401.18399999999997</v>
      </c>
    </row>
    <row r="28" spans="2:29" x14ac:dyDescent="0.25">
      <c r="B28" s="246">
        <f>IFERROR((J35/J36),0)</f>
        <v>0</v>
      </c>
      <c r="C28" s="247" t="s">
        <v>78</v>
      </c>
      <c r="D28" s="248"/>
      <c r="E28" s="248"/>
      <c r="F28" s="248"/>
      <c r="G28" s="248"/>
      <c r="H28" s="248"/>
      <c r="I28" s="248"/>
      <c r="J28" s="249"/>
      <c r="L28" s="246">
        <f>IFERROR((T35/T36),0)</f>
        <v>0</v>
      </c>
      <c r="M28" s="247" t="s">
        <v>78</v>
      </c>
      <c r="N28" s="248"/>
      <c r="O28" s="248"/>
      <c r="P28" s="248"/>
      <c r="Q28" s="248"/>
      <c r="R28" s="248"/>
      <c r="S28" s="248"/>
      <c r="T28" s="249"/>
      <c r="U28" s="246">
        <f>IFERROR((AC35/AC36),0)</f>
        <v>0.17483092820825039</v>
      </c>
      <c r="V28" s="247" t="s">
        <v>78</v>
      </c>
      <c r="W28" s="248"/>
      <c r="X28" s="248"/>
      <c r="Y28" s="248"/>
      <c r="Z28" s="248"/>
      <c r="AA28" s="248"/>
      <c r="AB28" s="248"/>
      <c r="AC28" s="249"/>
    </row>
    <row r="29" spans="2:29" x14ac:dyDescent="0.25">
      <c r="B29" s="34"/>
      <c r="C29" s="250" t="s">
        <v>79</v>
      </c>
      <c r="D29" s="251" t="s">
        <v>53</v>
      </c>
      <c r="E29" s="251"/>
      <c r="F29" s="251" t="s">
        <v>80</v>
      </c>
      <c r="G29" s="251"/>
      <c r="H29" s="251" t="s">
        <v>81</v>
      </c>
      <c r="I29" s="251"/>
      <c r="J29" s="252" t="s">
        <v>82</v>
      </c>
      <c r="L29" s="34"/>
      <c r="M29" s="250" t="s">
        <v>79</v>
      </c>
      <c r="N29" s="251" t="s">
        <v>53</v>
      </c>
      <c r="O29" s="251"/>
      <c r="P29" s="251" t="s">
        <v>80</v>
      </c>
      <c r="Q29" s="251"/>
      <c r="R29" s="251" t="s">
        <v>81</v>
      </c>
      <c r="S29" s="251"/>
      <c r="T29" s="252" t="s">
        <v>82</v>
      </c>
      <c r="U29" s="34"/>
      <c r="V29" s="250" t="s">
        <v>79</v>
      </c>
      <c r="W29" s="251" t="s">
        <v>53</v>
      </c>
      <c r="X29" s="251"/>
      <c r="Y29" s="251" t="s">
        <v>80</v>
      </c>
      <c r="Z29" s="251"/>
      <c r="AA29" s="251" t="s">
        <v>81</v>
      </c>
      <c r="AB29" s="251"/>
      <c r="AC29" s="252" t="s">
        <v>82</v>
      </c>
    </row>
    <row r="30" spans="2:29" x14ac:dyDescent="0.25">
      <c r="B30" s="202">
        <f>IFERROR((J30/J35),0)</f>
        <v>0</v>
      </c>
      <c r="C30" s="253"/>
      <c r="D30" s="56" t="s">
        <v>83</v>
      </c>
      <c r="E30" s="56"/>
      <c r="F30" s="254" t="str">
        <f>IF(C30="","",IF(D30="Moyen",ROUNDUP(D$13/SUMIF('[1]Liste de Prix'!$M:$M,C30,'[1]Liste de Prix'!$Q:$Q),0),IF(D30="Sécuritaire",ROUNDUP(D$13/SUMIF('[1]Liste de Prix'!$M:$M,C30,'[1]Liste de Prix'!$O:$O),0),IF(D30="Élevé",ROUNDUP(D$13/SUMIF('[1]Liste de Prix'!$M:$M,C30,'[1]Liste de Prix'!$P:$P),0),))))</f>
        <v/>
      </c>
      <c r="G30" s="254"/>
      <c r="H30" s="255">
        <f>SUMIF('[1]Liste de Prix'!M:M,C30,'[1]Liste de Prix'!N:N)</f>
        <v>0</v>
      </c>
      <c r="I30" s="256"/>
      <c r="J30" s="233">
        <f>IF(ISBLANK(C30),0,F30*H30)</f>
        <v>0</v>
      </c>
      <c r="L30" s="202">
        <f>IFERROR((T30/T35),0)</f>
        <v>0</v>
      </c>
      <c r="M30" s="253"/>
      <c r="N30" s="56" t="s">
        <v>83</v>
      </c>
      <c r="O30" s="56"/>
      <c r="P30" s="254" t="str">
        <f>IF(M30="","",IF(N30="Moyen",ROUNDUP(N$13/SUMIF('[1]Liste de Prix'!$M:$M,M30,'[1]Liste de Prix'!$Q:$Q),0),IF(N30="Sécuritaire",ROUNDUP(N$13/SUMIF('[1]Liste de Prix'!$M:$M,M30,'[1]Liste de Prix'!$O:$O),0),IF(N30="Élevé",ROUNDUP(N$13/SUMIF('[1]Liste de Prix'!$M:$M,M30,'[1]Liste de Prix'!$P:$P),0),))))</f>
        <v/>
      </c>
      <c r="Q30" s="254"/>
      <c r="R30" s="255">
        <f>SUMIF('[1]Liste de Prix'!M:M,M30,'[1]Liste de Prix'!N:N)</f>
        <v>0</v>
      </c>
      <c r="S30" s="256"/>
      <c r="T30" s="233">
        <f>IF(ISBLANK(M30),0,P30*R30)</f>
        <v>0</v>
      </c>
      <c r="U30" s="202">
        <f>IFERROR((AC30/AC35),0)</f>
        <v>1</v>
      </c>
      <c r="V30" s="253" t="s">
        <v>107</v>
      </c>
      <c r="W30" s="56" t="s">
        <v>83</v>
      </c>
      <c r="X30" s="56"/>
      <c r="Y30" s="254">
        <f>IF(V30="","",IF(W30="Moyen",ROUNDUP(W$13/SUMIF('[1]Liste de Prix'!$M:$M,V30,'[1]Liste de Prix'!$Q:$Q),0),IF(W30="Sécuritaire",ROUNDUP(W$13/SUMIF('[1]Liste de Prix'!$M:$M,V30,'[1]Liste de Prix'!$O:$O),0),IF(W30="Élevé",ROUNDUP(W$13/SUMIF('[1]Liste de Prix'!$M:$M,V30,'[1]Liste de Prix'!$P:$P),0),))))</f>
        <v>1</v>
      </c>
      <c r="Z30" s="254"/>
      <c r="AA30" s="255">
        <f>SUMIF('[1]Liste de Prix'!M:M,V30,'[1]Liste de Prix'!N:N)</f>
        <v>85</v>
      </c>
      <c r="AB30" s="256"/>
      <c r="AC30" s="233">
        <f>IF(ISBLANK(V30),0,Y30*AA30)</f>
        <v>85</v>
      </c>
    </row>
    <row r="31" spans="2:29" x14ac:dyDescent="0.25">
      <c r="B31" s="202">
        <f>IFERROR((J31/J35),0)</f>
        <v>0</v>
      </c>
      <c r="C31" s="253"/>
      <c r="D31" s="56" t="s">
        <v>83</v>
      </c>
      <c r="E31" s="56"/>
      <c r="F31" s="254" t="str">
        <f>IF(C31="","",IF(D31="Moyen",ROUNDUP(D$13/SUMIF('[1]Liste de Prix'!$M:$M,C31,'[1]Liste de Prix'!$Q:$Q),0),IF(D31="Sécuritaire",ROUNDUP(D$13/SUMIF('[1]Liste de Prix'!$M:$M,C31,'[1]Liste de Prix'!$O:$O),0),IF(D31="Élevé",ROUNDUP(D$13/SUMIF('[1]Liste de Prix'!$M:$M,C31,'[1]Liste de Prix'!$P:$P),0),))))</f>
        <v/>
      </c>
      <c r="G31" s="254"/>
      <c r="H31" s="255">
        <f>SUMIF('[1]Liste de Prix'!M:M,C31,'[1]Liste de Prix'!N:N)</f>
        <v>0</v>
      </c>
      <c r="I31" s="256"/>
      <c r="J31" s="233">
        <f>IF(ISBLANK(C31),0,F31*H31)</f>
        <v>0</v>
      </c>
      <c r="L31" s="202">
        <f>IFERROR((T31/T35),0)</f>
        <v>0</v>
      </c>
      <c r="M31" s="253"/>
      <c r="N31" s="56" t="s">
        <v>83</v>
      </c>
      <c r="O31" s="56"/>
      <c r="P31" s="254" t="str">
        <f>IF(M31="","",IF(N31="Moyen",ROUNDUP(N$13/SUMIF('[1]Liste de Prix'!$M:$M,M31,'[1]Liste de Prix'!$Q:$Q),0),IF(N31="Sécuritaire",ROUNDUP(N$13/SUMIF('[1]Liste de Prix'!$M:$M,M31,'[1]Liste de Prix'!$O:$O),0),IF(N31="Élevé",ROUNDUP(N$13/SUMIF('[1]Liste de Prix'!$M:$M,M31,'[1]Liste de Prix'!$P:$P),0),))))</f>
        <v/>
      </c>
      <c r="Q31" s="254"/>
      <c r="R31" s="255">
        <f>SUMIF('[1]Liste de Prix'!M:M,M31,'[1]Liste de Prix'!N:N)</f>
        <v>0</v>
      </c>
      <c r="S31" s="256"/>
      <c r="T31" s="233">
        <f>IF(ISBLANK(M31),0,P31*R31)</f>
        <v>0</v>
      </c>
      <c r="U31" s="202">
        <f>IFERROR((AC31/AC35),0)</f>
        <v>0</v>
      </c>
      <c r="V31" s="253"/>
      <c r="W31" s="56" t="s">
        <v>83</v>
      </c>
      <c r="X31" s="56"/>
      <c r="Y31" s="254" t="str">
        <f>IF(V31="","",IF(W31="Moyen",ROUNDUP(W$13/SUMIF('[1]Liste de Prix'!$M:$M,V31,'[1]Liste de Prix'!$Q:$Q),0),IF(W31="Sécuritaire",ROUNDUP(W$13/SUMIF('[1]Liste de Prix'!$M:$M,V31,'[1]Liste de Prix'!$O:$O),0),IF(W31="Élevé",ROUNDUP(W$13/SUMIF('[1]Liste de Prix'!$M:$M,V31,'[1]Liste de Prix'!$P:$P),0),))))</f>
        <v/>
      </c>
      <c r="Z31" s="254"/>
      <c r="AA31" s="255">
        <f>SUMIF('[1]Liste de Prix'!M:M,V31,'[1]Liste de Prix'!N:N)</f>
        <v>0</v>
      </c>
      <c r="AB31" s="256"/>
      <c r="AC31" s="233">
        <f>IF(ISBLANK(V31),0,Y31*AA31)</f>
        <v>0</v>
      </c>
    </row>
    <row r="32" spans="2:29" x14ac:dyDescent="0.25">
      <c r="B32" s="202">
        <f>IFERROR((J32/J35),0)</f>
        <v>0</v>
      </c>
      <c r="C32" s="253"/>
      <c r="D32" s="56" t="s">
        <v>83</v>
      </c>
      <c r="E32" s="56"/>
      <c r="F32" s="254" t="str">
        <f>IF(C32="","",IF(D32="Moyen",ROUNDUP(D$13/SUMIF('[1]Liste de Prix'!$M:$M,C32,'[1]Liste de Prix'!$Q:$Q),0),IF(D32="Sécuritaire",ROUNDUP(D$13/SUMIF('[1]Liste de Prix'!$M:$M,C32,'[1]Liste de Prix'!$O:$O),0),IF(D32="Élevé",ROUNDUP(D$13/SUMIF('[1]Liste de Prix'!$M:$M,C32,'[1]Liste de Prix'!$P:$P),0),))))</f>
        <v/>
      </c>
      <c r="G32" s="254"/>
      <c r="H32" s="255">
        <f>SUMIF('[1]Liste de Prix'!M:M,C32,'[1]Liste de Prix'!N:N)</f>
        <v>0</v>
      </c>
      <c r="I32" s="256"/>
      <c r="J32" s="233">
        <f>IF(ISBLANK(C32),0,F32*H32)</f>
        <v>0</v>
      </c>
      <c r="L32" s="202">
        <f>IFERROR((T32/T35),0)</f>
        <v>0</v>
      </c>
      <c r="M32" s="253"/>
      <c r="N32" s="56" t="s">
        <v>83</v>
      </c>
      <c r="O32" s="56"/>
      <c r="P32" s="254" t="str">
        <f>IF(M32="","",IF(N32="Moyen",ROUNDUP(N$13/SUMIF('[1]Liste de Prix'!$M:$M,M32,'[1]Liste de Prix'!$Q:$Q),0),IF(N32="Sécuritaire",ROUNDUP(N$13/SUMIF('[1]Liste de Prix'!$M:$M,M32,'[1]Liste de Prix'!$O:$O),0),IF(N32="Élevé",ROUNDUP(N$13/SUMIF('[1]Liste de Prix'!$M:$M,M32,'[1]Liste de Prix'!$P:$P),0),))))</f>
        <v/>
      </c>
      <c r="Q32" s="254"/>
      <c r="R32" s="255">
        <f>SUMIF('[1]Liste de Prix'!M:M,M32,'[1]Liste de Prix'!N:N)</f>
        <v>0</v>
      </c>
      <c r="S32" s="256"/>
      <c r="T32" s="233">
        <f>IF(ISBLANK(M32),0,P32*R32)</f>
        <v>0</v>
      </c>
      <c r="U32" s="202">
        <f>IFERROR((AC32/AC35),0)</f>
        <v>0</v>
      </c>
      <c r="V32" s="253"/>
      <c r="W32" s="56" t="s">
        <v>83</v>
      </c>
      <c r="X32" s="56"/>
      <c r="Y32" s="254" t="str">
        <f>IF(V32="","",IF(W32="Moyen",ROUNDUP(W$13/SUMIF('[1]Liste de Prix'!$M:$M,V32,'[1]Liste de Prix'!$Q:$Q),0),IF(W32="Sécuritaire",ROUNDUP(W$13/SUMIF('[1]Liste de Prix'!$M:$M,V32,'[1]Liste de Prix'!$O:$O),0),IF(W32="Élevé",ROUNDUP(W$13/SUMIF('[1]Liste de Prix'!$M:$M,V32,'[1]Liste de Prix'!$P:$P),0),))))</f>
        <v/>
      </c>
      <c r="Z32" s="254"/>
      <c r="AA32" s="255">
        <f>SUMIF('[1]Liste de Prix'!M:M,V32,'[1]Liste de Prix'!N:N)</f>
        <v>0</v>
      </c>
      <c r="AB32" s="256"/>
      <c r="AC32" s="233">
        <f>IF(ISBLANK(V32),0,Y32*AA32)</f>
        <v>0</v>
      </c>
    </row>
    <row r="33" spans="2:29" x14ac:dyDescent="0.25">
      <c r="B33" s="202">
        <f>IFERROR((J33/J35),0)</f>
        <v>0</v>
      </c>
      <c r="C33" s="253"/>
      <c r="D33" s="56" t="s">
        <v>83</v>
      </c>
      <c r="E33" s="56"/>
      <c r="F33" s="254" t="str">
        <f>IF(C33="","",IF(D33="Moyen",ROUNDUP(D$13/SUMIF('[1]Liste de Prix'!$M:$M,C33,'[1]Liste de Prix'!$Q:$Q),0),IF(D33="Sécuritaire",ROUNDUP(D$13/SUMIF('[1]Liste de Prix'!$M:$M,C33,'[1]Liste de Prix'!$O:$O),0),IF(D33="Élevé",ROUNDUP(D$13/SUMIF('[1]Liste de Prix'!$M:$M,C33,'[1]Liste de Prix'!$P:$P),0),))))</f>
        <v/>
      </c>
      <c r="G33" s="254"/>
      <c r="H33" s="255">
        <f>SUMIF('[1]Liste de Prix'!M:M,C33,'[1]Liste de Prix'!N:N)</f>
        <v>0</v>
      </c>
      <c r="I33" s="256"/>
      <c r="J33" s="233">
        <f>IF(ISBLANK(C33),0,F33*H33)</f>
        <v>0</v>
      </c>
      <c r="L33" s="202">
        <f>IFERROR((T33/T35),0)</f>
        <v>0</v>
      </c>
      <c r="M33" s="253"/>
      <c r="N33" s="56" t="s">
        <v>83</v>
      </c>
      <c r="O33" s="56"/>
      <c r="P33" s="254" t="str">
        <f>IF(M33="","",IF(N33="Moyen",ROUNDUP(N$13/SUMIF('[1]Liste de Prix'!$M:$M,M33,'[1]Liste de Prix'!$Q:$Q),0),IF(N33="Sécuritaire",ROUNDUP(N$13/SUMIF('[1]Liste de Prix'!$M:$M,M33,'[1]Liste de Prix'!$O:$O),0),IF(N33="Élevé",ROUNDUP(N$13/SUMIF('[1]Liste de Prix'!$M:$M,M33,'[1]Liste de Prix'!$P:$P),0),))))</f>
        <v/>
      </c>
      <c r="Q33" s="254"/>
      <c r="R33" s="255">
        <f>SUMIF('[1]Liste de Prix'!M:M,M33,'[1]Liste de Prix'!N:N)</f>
        <v>0</v>
      </c>
      <c r="S33" s="256"/>
      <c r="T33" s="233">
        <f>IF(ISBLANK(M33),0,P33*R33)</f>
        <v>0</v>
      </c>
      <c r="U33" s="202">
        <f>IFERROR((AC33/AC35),0)</f>
        <v>0</v>
      </c>
      <c r="V33" s="253"/>
      <c r="W33" s="56" t="s">
        <v>83</v>
      </c>
      <c r="X33" s="56"/>
      <c r="Y33" s="254" t="str">
        <f>IF(V33="","",IF(W33="Moyen",ROUNDUP(W$13/SUMIF('[1]Liste de Prix'!$M:$M,V33,'[1]Liste de Prix'!$Q:$Q),0),IF(W33="Sécuritaire",ROUNDUP(W$13/SUMIF('[1]Liste de Prix'!$M:$M,V33,'[1]Liste de Prix'!$O:$O),0),IF(W33="Élevé",ROUNDUP(W$13/SUMIF('[1]Liste de Prix'!$M:$M,V33,'[1]Liste de Prix'!$P:$P),0),))))</f>
        <v/>
      </c>
      <c r="Z33" s="254"/>
      <c r="AA33" s="255">
        <f>SUMIF('[1]Liste de Prix'!M:M,V33,'[1]Liste de Prix'!N:N)</f>
        <v>0</v>
      </c>
      <c r="AB33" s="256"/>
      <c r="AC33" s="233">
        <f>IF(ISBLANK(V33),0,Y33*AA33)</f>
        <v>0</v>
      </c>
    </row>
    <row r="34" spans="2:29" x14ac:dyDescent="0.25">
      <c r="B34" s="202">
        <f>IFERROR((J34/J35),0)</f>
        <v>0</v>
      </c>
      <c r="C34" s="261"/>
      <c r="D34" s="63" t="s">
        <v>83</v>
      </c>
      <c r="E34" s="63"/>
      <c r="F34" s="254" t="str">
        <f>IF(C34="","",IF(D34="Moyen",ROUNDUP(D$13/SUMIF('[1]Liste de Prix'!$M:$M,C34,'[1]Liste de Prix'!$Q:$Q),0),IF(D34="Sécuritaire",ROUNDUP(D$13/SUMIF('[1]Liste de Prix'!$M:$M,C34,'[1]Liste de Prix'!$O:$O),0),IF(D34="Élevé",ROUNDUP(D$13/SUMIF('[1]Liste de Prix'!$M:$M,C34,'[1]Liste de Prix'!$P:$P),0),))))</f>
        <v/>
      </c>
      <c r="G34" s="254"/>
      <c r="H34" s="255">
        <f>SUMIF('[1]Liste de Prix'!M:M,C34,'[1]Liste de Prix'!N:N)</f>
        <v>0</v>
      </c>
      <c r="I34" s="256"/>
      <c r="J34" s="233">
        <f>IF(ISBLANK(C34),0,F34*H34)</f>
        <v>0</v>
      </c>
      <c r="L34" s="202">
        <f>IFERROR((T34/T35),0)</f>
        <v>0</v>
      </c>
      <c r="M34" s="261"/>
      <c r="N34" s="63" t="s">
        <v>83</v>
      </c>
      <c r="O34" s="63"/>
      <c r="P34" s="254" t="str">
        <f>IF(M34="","",IF(N34="Moyen",ROUNDUP(N$13/SUMIF('[1]Liste de Prix'!$M:$M,M34,'[1]Liste de Prix'!$Q:$Q),0),IF(N34="Sécuritaire",ROUNDUP(N$13/SUMIF('[1]Liste de Prix'!$M:$M,M34,'[1]Liste de Prix'!$O:$O),0),IF(N34="Élevé",ROUNDUP(N$13/SUMIF('[1]Liste de Prix'!$M:$M,M34,'[1]Liste de Prix'!$P:$P),0),))))</f>
        <v/>
      </c>
      <c r="Q34" s="254"/>
      <c r="R34" s="255">
        <f>SUMIF('[1]Liste de Prix'!M:M,M34,'[1]Liste de Prix'!N:N)</f>
        <v>0</v>
      </c>
      <c r="S34" s="256"/>
      <c r="T34" s="233">
        <f>IF(ISBLANK(M34),0,P34*R34)</f>
        <v>0</v>
      </c>
      <c r="U34" s="202">
        <f>IFERROR((AC34/AC35),0)</f>
        <v>0</v>
      </c>
      <c r="V34" s="261"/>
      <c r="W34" s="63" t="s">
        <v>83</v>
      </c>
      <c r="X34" s="63"/>
      <c r="Y34" s="254" t="str">
        <f>IF(V34="","",IF(W34="Moyen",ROUNDUP(W$13/SUMIF('[1]Liste de Prix'!$M:$M,V34,'[1]Liste de Prix'!$Q:$Q),0),IF(W34="Sécuritaire",ROUNDUP(W$13/SUMIF('[1]Liste de Prix'!$M:$M,V34,'[1]Liste de Prix'!$O:$O),0),IF(W34="Élevé",ROUNDUP(W$13/SUMIF('[1]Liste de Prix'!$M:$M,V34,'[1]Liste de Prix'!$P:$P),0),))))</f>
        <v/>
      </c>
      <c r="Z34" s="254"/>
      <c r="AA34" s="255">
        <f>SUMIF('[1]Liste de Prix'!M:M,V34,'[1]Liste de Prix'!N:N)</f>
        <v>0</v>
      </c>
      <c r="AB34" s="256"/>
      <c r="AC34" s="233">
        <f>IF(ISBLANK(V34),0,Y34*AA34)</f>
        <v>0</v>
      </c>
    </row>
    <row r="35" spans="2:29" x14ac:dyDescent="0.25">
      <c r="B35" s="265"/>
      <c r="C35" s="266" t="s">
        <v>84</v>
      </c>
      <c r="D35" s="267">
        <f>COUNTIF(C30:C34,"&lt;&gt;")</f>
        <v>0</v>
      </c>
      <c r="E35" s="268"/>
      <c r="F35" s="269" t="s">
        <v>85</v>
      </c>
      <c r="G35" s="270"/>
      <c r="H35" s="270"/>
      <c r="I35" s="271"/>
      <c r="J35" s="272">
        <f>SUM(J30:J34)</f>
        <v>0</v>
      </c>
      <c r="L35" s="265"/>
      <c r="M35" s="266" t="s">
        <v>84</v>
      </c>
      <c r="N35" s="267">
        <f>COUNTIF(M30:M34,"&lt;&gt;")</f>
        <v>0</v>
      </c>
      <c r="O35" s="268"/>
      <c r="P35" s="269" t="s">
        <v>85</v>
      </c>
      <c r="Q35" s="270"/>
      <c r="R35" s="270"/>
      <c r="S35" s="271"/>
      <c r="T35" s="272">
        <f>SUM(T30:T34)</f>
        <v>0</v>
      </c>
      <c r="U35" s="265"/>
      <c r="V35" s="266" t="s">
        <v>84</v>
      </c>
      <c r="W35" s="267">
        <f>COUNTIF(V30:V34,"&lt;&gt;")</f>
        <v>1</v>
      </c>
      <c r="X35" s="268"/>
      <c r="Y35" s="269" t="s">
        <v>85</v>
      </c>
      <c r="Z35" s="270"/>
      <c r="AA35" s="270"/>
      <c r="AB35" s="271"/>
      <c r="AC35" s="272">
        <f>SUM(AC30:AC34)</f>
        <v>85</v>
      </c>
    </row>
    <row r="36" spans="2:29" x14ac:dyDescent="0.25">
      <c r="B36" s="34"/>
      <c r="C36" s="273"/>
      <c r="D36" s="49"/>
      <c r="E36" s="49"/>
      <c r="F36" s="269" t="s">
        <v>86</v>
      </c>
      <c r="G36" s="270"/>
      <c r="H36" s="270"/>
      <c r="I36" s="271"/>
      <c r="J36" s="272">
        <f>J27+J35</f>
        <v>0</v>
      </c>
      <c r="L36" s="34"/>
      <c r="M36" s="273"/>
      <c r="N36" s="49"/>
      <c r="O36" s="49"/>
      <c r="P36" s="269" t="s">
        <v>86</v>
      </c>
      <c r="Q36" s="270"/>
      <c r="R36" s="270"/>
      <c r="S36" s="271"/>
      <c r="T36" s="272">
        <f>T27+T35</f>
        <v>0</v>
      </c>
      <c r="U36" s="34"/>
      <c r="V36" s="273"/>
      <c r="W36" s="49"/>
      <c r="X36" s="49"/>
      <c r="Y36" s="269" t="s">
        <v>86</v>
      </c>
      <c r="Z36" s="270"/>
      <c r="AA36" s="270"/>
      <c r="AB36" s="271"/>
      <c r="AC36" s="272">
        <f>AC27+AC35</f>
        <v>486.18399999999997</v>
      </c>
    </row>
    <row r="37" spans="2:29" x14ac:dyDescent="0.25">
      <c r="B37" s="274">
        <v>0.4</v>
      </c>
      <c r="C37" s="275"/>
      <c r="D37" s="276"/>
      <c r="E37" s="268"/>
      <c r="F37" s="277" t="s">
        <v>87</v>
      </c>
      <c r="G37" s="239"/>
      <c r="H37" s="239"/>
      <c r="I37" s="278"/>
      <c r="J37" s="233">
        <f>J38-J36</f>
        <v>0</v>
      </c>
      <c r="L37" s="274">
        <v>0.4</v>
      </c>
      <c r="M37" s="275"/>
      <c r="N37" s="276"/>
      <c r="O37" s="268"/>
      <c r="P37" s="277" t="s">
        <v>87</v>
      </c>
      <c r="Q37" s="239"/>
      <c r="R37" s="239"/>
      <c r="S37" s="278"/>
      <c r="T37" s="233">
        <f>T38-T36</f>
        <v>0</v>
      </c>
      <c r="U37" s="274">
        <v>0.4</v>
      </c>
      <c r="V37" s="275"/>
      <c r="W37" s="276"/>
      <c r="X37" s="268"/>
      <c r="Y37" s="277" t="s">
        <v>87</v>
      </c>
      <c r="Z37" s="239"/>
      <c r="AA37" s="239"/>
      <c r="AB37" s="278"/>
      <c r="AC37" s="233">
        <f>AC38-AC36</f>
        <v>324.12266666666665</v>
      </c>
    </row>
    <row r="38" spans="2:29" x14ac:dyDescent="0.25">
      <c r="B38" s="281"/>
      <c r="C38" s="275"/>
      <c r="D38" s="276"/>
      <c r="E38" s="268"/>
      <c r="F38" s="282" t="s">
        <v>88</v>
      </c>
      <c r="G38" s="283"/>
      <c r="H38" s="283"/>
      <c r="I38" s="284"/>
      <c r="J38" s="233">
        <f>J36/(1-B37)</f>
        <v>0</v>
      </c>
      <c r="L38" s="281"/>
      <c r="M38" s="275"/>
      <c r="N38" s="276"/>
      <c r="O38" s="268"/>
      <c r="P38" s="282" t="s">
        <v>88</v>
      </c>
      <c r="Q38" s="283"/>
      <c r="R38" s="283"/>
      <c r="S38" s="284"/>
      <c r="T38" s="233">
        <f>T36/(1-L37)</f>
        <v>0</v>
      </c>
      <c r="U38" s="281"/>
      <c r="V38" s="275"/>
      <c r="W38" s="276"/>
      <c r="X38" s="268"/>
      <c r="Y38" s="282" t="s">
        <v>88</v>
      </c>
      <c r="Z38" s="283"/>
      <c r="AA38" s="283"/>
      <c r="AB38" s="284"/>
      <c r="AC38" s="233">
        <f>AC36/(1-U37)</f>
        <v>810.30666666666662</v>
      </c>
    </row>
    <row r="39" spans="2:29" x14ac:dyDescent="0.25">
      <c r="B39" s="274">
        <v>0.25</v>
      </c>
      <c r="C39" s="275"/>
      <c r="D39" s="276"/>
      <c r="E39" s="268"/>
      <c r="F39" s="282" t="s">
        <v>89</v>
      </c>
      <c r="G39" s="283"/>
      <c r="H39" s="283"/>
      <c r="I39" s="284"/>
      <c r="J39" s="233">
        <f>J36*B39</f>
        <v>0</v>
      </c>
      <c r="L39" s="274">
        <v>0.25</v>
      </c>
      <c r="M39" s="275"/>
      <c r="N39" s="276"/>
      <c r="O39" s="268"/>
      <c r="P39" s="282" t="s">
        <v>89</v>
      </c>
      <c r="Q39" s="283"/>
      <c r="R39" s="283"/>
      <c r="S39" s="284"/>
      <c r="T39" s="233">
        <f>T36*L39</f>
        <v>0</v>
      </c>
      <c r="U39" s="274">
        <v>0.25</v>
      </c>
      <c r="V39" s="275"/>
      <c r="W39" s="276"/>
      <c r="X39" s="268"/>
      <c r="Y39" s="282" t="s">
        <v>89</v>
      </c>
      <c r="Z39" s="283"/>
      <c r="AA39" s="283"/>
      <c r="AB39" s="284"/>
      <c r="AC39" s="233">
        <f>AC36*U39</f>
        <v>121.54599999999999</v>
      </c>
    </row>
    <row r="40" spans="2:29" ht="15.75" thickBot="1" x14ac:dyDescent="0.3">
      <c r="B40" s="286"/>
      <c r="C40" s="287"/>
      <c r="D40" s="288"/>
      <c r="E40" s="287"/>
      <c r="F40" s="289" t="s">
        <v>90</v>
      </c>
      <c r="G40" s="290"/>
      <c r="H40" s="290"/>
      <c r="I40" s="291"/>
      <c r="J40" s="292">
        <f>ROUNDUP((J38+J39)/5,0)*5</f>
        <v>0</v>
      </c>
      <c r="L40" s="286"/>
      <c r="M40" s="287"/>
      <c r="N40" s="288"/>
      <c r="O40" s="287"/>
      <c r="P40" s="289" t="s">
        <v>90</v>
      </c>
      <c r="Q40" s="290"/>
      <c r="R40" s="290"/>
      <c r="S40" s="291"/>
      <c r="T40" s="292">
        <f>ROUNDUP((T38+T39)/5,0)*5</f>
        <v>0</v>
      </c>
      <c r="U40" s="286"/>
      <c r="V40" s="287"/>
      <c r="W40" s="288"/>
      <c r="X40" s="287"/>
      <c r="Y40" s="289" t="s">
        <v>90</v>
      </c>
      <c r="Z40" s="290"/>
      <c r="AA40" s="290"/>
      <c r="AB40" s="291"/>
      <c r="AC40" s="292">
        <f>ROUNDUP((AC38+AC39)/5,0)*5</f>
        <v>935</v>
      </c>
    </row>
    <row r="41" spans="2:29" ht="6" customHeight="1" thickBot="1" x14ac:dyDescent="0.3"/>
    <row r="42" spans="2:29" x14ac:dyDescent="0.25">
      <c r="B42" s="293" t="s">
        <v>91</v>
      </c>
      <c r="C42" s="294"/>
      <c r="E42" s="295" t="s">
        <v>92</v>
      </c>
      <c r="F42" s="296"/>
      <c r="G42" s="296"/>
      <c r="H42" s="296"/>
      <c r="I42" s="297"/>
      <c r="L42" s="293" t="s">
        <v>91</v>
      </c>
      <c r="M42" s="294"/>
      <c r="O42" s="295" t="s">
        <v>92</v>
      </c>
      <c r="P42" s="296"/>
      <c r="Q42" s="296"/>
      <c r="R42" s="296"/>
      <c r="S42" s="297"/>
      <c r="U42" s="293" t="s">
        <v>91</v>
      </c>
      <c r="V42" s="294"/>
      <c r="X42" s="295" t="s">
        <v>92</v>
      </c>
      <c r="Y42" s="296"/>
      <c r="Z42" s="296"/>
      <c r="AA42" s="296"/>
      <c r="AB42" s="297"/>
    </row>
    <row r="43" spans="2:29" x14ac:dyDescent="0.25">
      <c r="B43" s="303" t="s">
        <v>93</v>
      </c>
      <c r="C43" s="304">
        <f>IFERROR(J40/ROUNDUP(H13,0),0)</f>
        <v>0</v>
      </c>
      <c r="D43" s="305"/>
      <c r="E43" s="306" t="s">
        <v>94</v>
      </c>
      <c r="F43" s="307"/>
      <c r="G43" s="308" t="s">
        <v>95</v>
      </c>
      <c r="H43" s="308" t="s">
        <v>96</v>
      </c>
      <c r="I43" s="309" t="s">
        <v>97</v>
      </c>
      <c r="J43" s="58"/>
      <c r="L43" s="303" t="s">
        <v>93</v>
      </c>
      <c r="M43" s="304">
        <f>IFERROR(T40/ROUNDUP(R13,0),0)</f>
        <v>0</v>
      </c>
      <c r="N43" s="305"/>
      <c r="O43" s="306" t="s">
        <v>94</v>
      </c>
      <c r="P43" s="307"/>
      <c r="Q43" s="308" t="s">
        <v>95</v>
      </c>
      <c r="R43" s="308" t="s">
        <v>96</v>
      </c>
      <c r="S43" s="309" t="s">
        <v>97</v>
      </c>
      <c r="U43" s="303" t="s">
        <v>93</v>
      </c>
      <c r="V43" s="304">
        <f>IFERROR(AC40/ROUNDUP(AA13,0),0)</f>
        <v>935</v>
      </c>
      <c r="W43" s="305"/>
      <c r="X43" s="306" t="s">
        <v>94</v>
      </c>
      <c r="Y43" s="307"/>
      <c r="Z43" s="308" t="s">
        <v>95</v>
      </c>
      <c r="AA43" s="308" t="s">
        <v>96</v>
      </c>
      <c r="AB43" s="309" t="s">
        <v>97</v>
      </c>
    </row>
    <row r="44" spans="2:29" ht="15.75" thickBot="1" x14ac:dyDescent="0.3">
      <c r="B44" s="312" t="s">
        <v>98</v>
      </c>
      <c r="C44" s="313" t="e">
        <f>J40/D13</f>
        <v>#DIV/0!</v>
      </c>
      <c r="D44" s="305"/>
      <c r="E44" s="281"/>
      <c r="F44" s="275"/>
      <c r="G44" s="316">
        <f>IF(H44="Jour",SUMIF('[1]Liste de Prix'!M58:M90,E44,'[1]Liste de Prix'!N58:N90),IF(H44="Semaine",SUMIF('[1]Liste de Prix'!M58:M90,E44,'[1]Liste de Prix'!O58:O90),IF(H44="Mois",SUMIF('[1]Liste de Prix'!M58:M90,E44,'[1]Liste de Prix'!P58:P90),IF(H44="",""))))</f>
        <v>0</v>
      </c>
      <c r="H44" s="317" t="str">
        <f>IF(H13=0,"Jour",IF(H13&gt;=11,"Mois",IF(H13&gt;=3,"Semaine","Jour")))</f>
        <v>Jour</v>
      </c>
      <c r="I44" s="318"/>
      <c r="L44" s="312" t="s">
        <v>98</v>
      </c>
      <c r="M44" s="313" t="e">
        <f>T40/N13</f>
        <v>#DIV/0!</v>
      </c>
      <c r="N44" s="305"/>
      <c r="O44" s="314"/>
      <c r="P44" s="315"/>
      <c r="Q44" s="316">
        <f>IF(R44="Jour",SUMIF('[1]Liste de Prix'!M58:M90,O44,'[1]Liste de Prix'!N58:N90),IF(R44="Semaine",SUMIF('[1]Liste de Prix'!M58:M90,O44,'[1]Liste de Prix'!O58:O90),IF(R44="Mois",SUMIF('[1]Liste de Prix'!M58:M90,O44,'[1]Liste de Prix'!P58:P90),IF(R44="",""))))</f>
        <v>0</v>
      </c>
      <c r="R44" s="317" t="str">
        <f>IF(R13=0,"Jour",IF(R13&gt;=11,"Mois",IF(R13&gt;=3,"Semaine","Jour")))</f>
        <v>Jour</v>
      </c>
      <c r="S44" s="318"/>
      <c r="U44" s="312" t="s">
        <v>98</v>
      </c>
      <c r="V44" s="313">
        <f>AC40/W13</f>
        <v>37.4</v>
      </c>
      <c r="W44" s="305"/>
      <c r="X44" s="314"/>
      <c r="Y44" s="315"/>
      <c r="Z44" s="316">
        <f>IF(AA44="Jour",SUMIF('[1]Liste de Prix'!M58:M90,X44,'[1]Liste de Prix'!N58:N90),IF(AA44="Semaine",SUMIF('[1]Liste de Prix'!M58:M90,X44,'[1]Liste de Prix'!N58:N90),IF(AA44="Mois",SUMIF('[1]Liste de Prix'!M58:M90,X44,'[1]Liste de Prix'!N58:N90),IF(AA44="",""))))</f>
        <v>0</v>
      </c>
      <c r="AA44" s="317" t="str">
        <f>IF(AA13=0,"Jour",IF(AA13&gt;=11,"Mois",IF(AA13&gt;=3,"Semaine","Jour")))</f>
        <v>Jour</v>
      </c>
      <c r="AB44" s="318"/>
    </row>
    <row r="45" spans="2:29" ht="15.75" thickBot="1" x14ac:dyDescent="0.3">
      <c r="C45" s="58"/>
      <c r="E45" s="321" t="s">
        <v>99</v>
      </c>
      <c r="F45" s="322">
        <f>IF(G44&gt;0,(H13*(2.35*15)),)</f>
        <v>0</v>
      </c>
      <c r="G45" s="323" t="s">
        <v>100</v>
      </c>
      <c r="H45" s="324">
        <v>0.35</v>
      </c>
      <c r="I45" s="327">
        <f>(G44+I44)*H45</f>
        <v>0</v>
      </c>
      <c r="M45" s="58"/>
      <c r="O45" s="321" t="s">
        <v>99</v>
      </c>
      <c r="P45" s="322">
        <f>IF(Q44&gt;0,(R13*(2.35*15)),)</f>
        <v>0</v>
      </c>
      <c r="Q45" s="323" t="s">
        <v>100</v>
      </c>
      <c r="R45" s="324">
        <v>0.35</v>
      </c>
      <c r="S45" s="327">
        <f>(Q44+S44)*R45</f>
        <v>0</v>
      </c>
      <c r="V45" s="58"/>
      <c r="X45" s="321" t="s">
        <v>99</v>
      </c>
      <c r="Y45" s="322">
        <f>IF(Z44&gt;0,(AA13*(2.35*15)),)</f>
        <v>0</v>
      </c>
      <c r="Z45" s="323" t="s">
        <v>100</v>
      </c>
      <c r="AA45" s="324">
        <v>0.35</v>
      </c>
      <c r="AB45" s="327">
        <f>(Z44+AB44)*AA45</f>
        <v>0</v>
      </c>
    </row>
    <row r="46" spans="2:29" ht="15.75" thickBot="1" x14ac:dyDescent="0.3">
      <c r="B46" s="328" t="s">
        <v>101</v>
      </c>
      <c r="C46" s="329"/>
      <c r="H46" s="358" t="s">
        <v>82</v>
      </c>
      <c r="I46" s="331">
        <f>ROUNDUP((G44+I44+I45+F45)/5,0)*5</f>
        <v>0</v>
      </c>
      <c r="L46" s="328" t="s">
        <v>101</v>
      </c>
      <c r="M46" s="329"/>
      <c r="R46" s="330" t="s">
        <v>82</v>
      </c>
      <c r="S46" s="331">
        <f>ROUNDUP((Q44+S44+S45+P45)/5,)*5</f>
        <v>0</v>
      </c>
      <c r="U46" s="328" t="s">
        <v>101</v>
      </c>
      <c r="V46" s="329"/>
      <c r="AA46" s="330" t="s">
        <v>82</v>
      </c>
      <c r="AB46" s="331">
        <f>ROUNDUP((Z44+AB44+AB45+Y45)/5,)*5</f>
        <v>0</v>
      </c>
    </row>
    <row r="47" spans="2:29" ht="15.75" thickBot="1" x14ac:dyDescent="0.3">
      <c r="B47" s="334" t="s">
        <v>102</v>
      </c>
      <c r="C47" s="335">
        <f>((J40/2)+I45)*5%</f>
        <v>0</v>
      </c>
      <c r="L47" s="334" t="s">
        <v>102</v>
      </c>
      <c r="M47" s="335">
        <f>((T40/2)+S45)*5%</f>
        <v>0</v>
      </c>
      <c r="U47" s="334" t="s">
        <v>102</v>
      </c>
      <c r="V47" s="335">
        <f>((AC40/2)+AB45)*5%</f>
        <v>23.375</v>
      </c>
    </row>
    <row r="48" spans="2:29" ht="19.5" thickBot="1" x14ac:dyDescent="0.35">
      <c r="B48" s="73" t="s">
        <v>103</v>
      </c>
      <c r="C48" s="74"/>
      <c r="D48" s="74"/>
      <c r="E48" s="74"/>
      <c r="F48" s="74"/>
      <c r="G48" s="74"/>
      <c r="H48" s="74"/>
      <c r="I48" s="74"/>
      <c r="J48" s="75"/>
      <c r="L48" s="73" t="s">
        <v>104</v>
      </c>
      <c r="M48" s="74"/>
      <c r="N48" s="74"/>
      <c r="O48" s="74"/>
      <c r="P48" s="74"/>
      <c r="Q48" s="74"/>
      <c r="R48" s="74"/>
      <c r="S48" s="74"/>
      <c r="T48" s="75"/>
    </row>
    <row r="49" spans="2:20" ht="15.75" customHeight="1" x14ac:dyDescent="0.25">
      <c r="B49" s="76" t="s">
        <v>46</v>
      </c>
      <c r="C49" s="82"/>
      <c r="D49" s="78">
        <f>'[1]INFO-Projet'!A2</f>
        <v>0</v>
      </c>
      <c r="E49" s="79"/>
      <c r="F49" s="79"/>
      <c r="G49" s="79"/>
      <c r="H49" s="79"/>
      <c r="I49" s="80"/>
      <c r="J49" s="81">
        <f>'[1]INFO-Projet'!C6</f>
        <v>0</v>
      </c>
      <c r="L49" s="76" t="s">
        <v>46</v>
      </c>
      <c r="M49" s="77"/>
      <c r="N49" s="78">
        <f>'[1]INFO-Projet'!A2</f>
        <v>0</v>
      </c>
      <c r="O49" s="79"/>
      <c r="P49" s="79"/>
      <c r="Q49" s="79"/>
      <c r="R49" s="79"/>
      <c r="S49" s="80"/>
      <c r="T49" s="81">
        <f>'[1]INFO-Projet'!C6</f>
        <v>0</v>
      </c>
    </row>
    <row r="50" spans="2:20" ht="15.75" customHeight="1" thickBot="1" x14ac:dyDescent="0.3">
      <c r="B50" s="89" t="s">
        <v>47</v>
      </c>
      <c r="C50" s="90"/>
      <c r="D50" s="85">
        <f>'[1]INFO-Projet'!A6</f>
        <v>0</v>
      </c>
      <c r="E50" s="86"/>
      <c r="F50" s="86"/>
      <c r="G50" s="86"/>
      <c r="H50" s="86"/>
      <c r="I50" s="87"/>
      <c r="J50" s="88">
        <f>'[1]INFO-Projet'!C7</f>
        <v>0</v>
      </c>
      <c r="L50" s="89" t="s">
        <v>47</v>
      </c>
      <c r="M50" s="344"/>
      <c r="N50" s="85">
        <f>'[1]INFO-Projet'!A6</f>
        <v>0</v>
      </c>
      <c r="O50" s="86"/>
      <c r="P50" s="86"/>
      <c r="Q50" s="86"/>
      <c r="R50" s="86"/>
      <c r="S50" s="87"/>
      <c r="T50" s="88">
        <f>'[1]INFO-Projet'!C7</f>
        <v>0</v>
      </c>
    </row>
    <row r="51" spans="2:20" ht="15.75" customHeight="1" x14ac:dyDescent="0.25">
      <c r="B51" s="91" t="s">
        <v>48</v>
      </c>
      <c r="C51" s="92"/>
      <c r="D51" s="93"/>
      <c r="E51" s="94"/>
      <c r="F51" s="94"/>
      <c r="G51" s="94"/>
      <c r="H51" s="94"/>
      <c r="I51" s="94"/>
      <c r="J51" s="95"/>
      <c r="L51" s="91" t="s">
        <v>48</v>
      </c>
      <c r="M51" s="92"/>
      <c r="N51" s="93"/>
      <c r="O51" s="94"/>
      <c r="P51" s="94"/>
      <c r="Q51" s="94"/>
      <c r="R51" s="94"/>
      <c r="S51" s="94"/>
      <c r="T51" s="95"/>
    </row>
    <row r="52" spans="2:20" ht="15.75" customHeight="1" thickBot="1" x14ac:dyDescent="0.3">
      <c r="B52" s="97" t="s">
        <v>49</v>
      </c>
      <c r="C52" s="102"/>
      <c r="D52" s="99"/>
      <c r="E52" s="100"/>
      <c r="F52" s="100"/>
      <c r="G52" s="100"/>
      <c r="H52" s="100"/>
      <c r="I52" s="100"/>
      <c r="J52" s="101"/>
      <c r="L52" s="97" t="s">
        <v>49</v>
      </c>
      <c r="M52" s="98"/>
      <c r="N52" s="99"/>
      <c r="O52" s="100"/>
      <c r="P52" s="100"/>
      <c r="Q52" s="100"/>
      <c r="R52" s="100"/>
      <c r="S52" s="100"/>
      <c r="T52" s="101"/>
    </row>
    <row r="53" spans="2:20" ht="3.75" customHeight="1" thickBot="1" x14ac:dyDescent="0.3"/>
    <row r="54" spans="2:20" ht="15.75" customHeight="1" x14ac:dyDescent="0.25">
      <c r="B54" s="103"/>
      <c r="C54" s="103" t="s">
        <v>51</v>
      </c>
      <c r="D54" s="104" t="s">
        <v>52</v>
      </c>
      <c r="E54" s="105"/>
      <c r="F54" s="104" t="s">
        <v>53</v>
      </c>
      <c r="G54" s="105"/>
      <c r="H54" s="104" t="s">
        <v>54</v>
      </c>
      <c r="I54" s="105"/>
      <c r="J54" s="103" t="s">
        <v>55</v>
      </c>
      <c r="L54" s="103"/>
      <c r="M54" s="103" t="s">
        <v>51</v>
      </c>
      <c r="N54" s="104" t="s">
        <v>52</v>
      </c>
      <c r="O54" s="105"/>
      <c r="P54" s="104" t="s">
        <v>53</v>
      </c>
      <c r="Q54" s="105"/>
      <c r="R54" s="104" t="s">
        <v>54</v>
      </c>
      <c r="S54" s="105"/>
      <c r="T54" s="103" t="s">
        <v>55</v>
      </c>
    </row>
    <row r="55" spans="2:20" ht="15.75" customHeight="1" thickBot="1" x14ac:dyDescent="0.3">
      <c r="B55" s="111"/>
      <c r="C55" s="111"/>
      <c r="D55" s="107"/>
      <c r="E55" s="108"/>
      <c r="F55" s="107"/>
      <c r="G55" s="108"/>
      <c r="H55" s="107"/>
      <c r="I55" s="108"/>
      <c r="J55" s="111"/>
      <c r="L55" s="106"/>
      <c r="M55" s="106"/>
      <c r="N55" s="107"/>
      <c r="O55" s="108"/>
      <c r="P55" s="107"/>
      <c r="Q55" s="108"/>
      <c r="R55" s="109"/>
      <c r="S55" s="110"/>
      <c r="T55" s="106"/>
    </row>
    <row r="56" spans="2:20" ht="15.75" customHeight="1" x14ac:dyDescent="0.25">
      <c r="B56" s="112">
        <v>1</v>
      </c>
      <c r="C56" s="113"/>
      <c r="D56" s="114"/>
      <c r="E56" s="115"/>
      <c r="F56" s="116">
        <v>1000</v>
      </c>
      <c r="G56" s="117"/>
      <c r="H56" s="120">
        <f>D56/F56</f>
        <v>0</v>
      </c>
      <c r="I56" s="121"/>
      <c r="J56" s="119"/>
      <c r="L56" s="112">
        <v>1</v>
      </c>
      <c r="M56" s="113"/>
      <c r="N56" s="114"/>
      <c r="O56" s="115"/>
      <c r="P56" s="116">
        <v>1000</v>
      </c>
      <c r="Q56" s="117"/>
      <c r="R56" s="118">
        <f>N56/P56</f>
        <v>0</v>
      </c>
      <c r="S56" s="118"/>
      <c r="T56" s="119"/>
    </row>
    <row r="57" spans="2:20" x14ac:dyDescent="0.25">
      <c r="B57" s="122">
        <v>2</v>
      </c>
      <c r="C57" s="123"/>
      <c r="D57" s="124"/>
      <c r="E57" s="125"/>
      <c r="F57" s="126"/>
      <c r="G57" s="127"/>
      <c r="H57" s="130">
        <f>IFERROR((D57/F57),0)</f>
        <v>0</v>
      </c>
      <c r="I57" s="131"/>
      <c r="J57" s="129"/>
      <c r="L57" s="122">
        <v>2</v>
      </c>
      <c r="M57" s="123"/>
      <c r="N57" s="124"/>
      <c r="O57" s="125"/>
      <c r="P57" s="126"/>
      <c r="Q57" s="127"/>
      <c r="R57" s="128">
        <f>IFERROR((N57/P57),0)</f>
        <v>0</v>
      </c>
      <c r="S57" s="128"/>
      <c r="T57" s="129"/>
    </row>
    <row r="58" spans="2:20" ht="15.75" thickBot="1" x14ac:dyDescent="0.3">
      <c r="B58" s="132">
        <v>3</v>
      </c>
      <c r="C58" s="133"/>
      <c r="D58" s="134"/>
      <c r="E58" s="135"/>
      <c r="F58" s="136"/>
      <c r="G58" s="137"/>
      <c r="H58" s="140">
        <f>IFERROR((D58/F58),0)</f>
        <v>0</v>
      </c>
      <c r="I58" s="141"/>
      <c r="J58" s="139"/>
      <c r="L58" s="132">
        <v>3</v>
      </c>
      <c r="M58" s="133"/>
      <c r="N58" s="134"/>
      <c r="O58" s="135"/>
      <c r="P58" s="136"/>
      <c r="Q58" s="137"/>
      <c r="R58" s="138">
        <f>IFERROR((N58/P58),0)</f>
        <v>0</v>
      </c>
      <c r="S58" s="138"/>
      <c r="T58" s="139"/>
    </row>
    <row r="59" spans="2:20" ht="15.75" thickBot="1" x14ac:dyDescent="0.3">
      <c r="B59" s="142"/>
      <c r="C59" s="143" t="s">
        <v>57</v>
      </c>
      <c r="D59" s="144" t="s">
        <v>58</v>
      </c>
      <c r="E59" s="145"/>
      <c r="F59" s="144" t="s">
        <v>59</v>
      </c>
      <c r="G59" s="145"/>
      <c r="H59" s="144" t="s">
        <v>60</v>
      </c>
      <c r="I59" s="145"/>
      <c r="J59" s="143" t="s">
        <v>61</v>
      </c>
      <c r="L59" s="142"/>
      <c r="M59" s="143" t="s">
        <v>57</v>
      </c>
      <c r="N59" s="144" t="s">
        <v>58</v>
      </c>
      <c r="O59" s="145"/>
      <c r="P59" s="144" t="s">
        <v>59</v>
      </c>
      <c r="Q59" s="145"/>
      <c r="R59" s="144" t="s">
        <v>60</v>
      </c>
      <c r="S59" s="145"/>
      <c r="T59" s="143" t="s">
        <v>61</v>
      </c>
    </row>
    <row r="60" spans="2:20" x14ac:dyDescent="0.25">
      <c r="B60" s="113"/>
      <c r="C60" s="146">
        <f>COUNTIF(C56:C58,"&lt;&gt;")</f>
        <v>0</v>
      </c>
      <c r="D60" s="147">
        <f>SUM(D56:E58)</f>
        <v>0</v>
      </c>
      <c r="E60" s="148"/>
      <c r="F60" s="147">
        <f>SUM(F56:G58)/(COUNT(F56:G58)-COUNTIF(F56:G58,"=0"))</f>
        <v>1000</v>
      </c>
      <c r="G60" s="148"/>
      <c r="H60" s="147">
        <f>SUM(H56:I58)</f>
        <v>0</v>
      </c>
      <c r="I60" s="148"/>
      <c r="J60" s="146">
        <f>H64/8</f>
        <v>0.25</v>
      </c>
      <c r="L60" s="113"/>
      <c r="M60" s="146">
        <f>COUNTIF(M56:M58,"&lt;&gt;")</f>
        <v>0</v>
      </c>
      <c r="N60" s="147">
        <f>SUM(N56:O58)</f>
        <v>0</v>
      </c>
      <c r="O60" s="148"/>
      <c r="P60" s="147">
        <f>SUM(P56:Q58)/(COUNT(P56:Q58)-COUNTIF(P56:Q58,"=0"))</f>
        <v>1000</v>
      </c>
      <c r="Q60" s="148"/>
      <c r="R60" s="146">
        <f>SUM(R56:S58)</f>
        <v>0</v>
      </c>
      <c r="S60" s="146"/>
      <c r="T60" s="146">
        <f>R64/8</f>
        <v>0.25</v>
      </c>
    </row>
    <row r="61" spans="2:20" ht="15.75" thickBot="1" x14ac:dyDescent="0.3">
      <c r="B61" s="133"/>
      <c r="C61" s="152"/>
      <c r="D61" s="153"/>
      <c r="E61" s="154"/>
      <c r="F61" s="153"/>
      <c r="G61" s="154"/>
      <c r="H61" s="153"/>
      <c r="I61" s="154"/>
      <c r="J61" s="152"/>
      <c r="L61" s="133"/>
      <c r="M61" s="152"/>
      <c r="N61" s="153"/>
      <c r="O61" s="154"/>
      <c r="P61" s="153"/>
      <c r="Q61" s="154"/>
      <c r="R61" s="152"/>
      <c r="S61" s="152"/>
      <c r="T61" s="152"/>
    </row>
    <row r="62" spans="2:20" ht="15.75" thickBot="1" x14ac:dyDescent="0.3">
      <c r="B62" s="158"/>
      <c r="C62" s="158"/>
      <c r="D62" s="158"/>
      <c r="E62" s="158"/>
      <c r="F62" s="158"/>
      <c r="G62" s="158"/>
      <c r="H62" s="158"/>
      <c r="I62" s="158"/>
      <c r="J62" s="158"/>
      <c r="L62" s="158"/>
      <c r="M62" s="158"/>
      <c r="N62" s="158"/>
      <c r="O62" s="158"/>
      <c r="P62" s="158"/>
      <c r="Q62" s="158"/>
      <c r="R62" s="158"/>
      <c r="S62" s="158"/>
      <c r="T62" s="158"/>
    </row>
    <row r="63" spans="2:20" ht="15.75" thickBot="1" x14ac:dyDescent="0.3">
      <c r="B63" s="143"/>
      <c r="C63" s="143" t="s">
        <v>62</v>
      </c>
      <c r="D63" s="144" t="s">
        <v>63</v>
      </c>
      <c r="E63" s="145"/>
      <c r="F63" s="144" t="s">
        <v>64</v>
      </c>
      <c r="G63" s="145"/>
      <c r="H63" s="144" t="s">
        <v>65</v>
      </c>
      <c r="I63" s="145"/>
      <c r="J63" s="143" t="s">
        <v>66</v>
      </c>
      <c r="L63" s="143"/>
      <c r="M63" s="143" t="s">
        <v>62</v>
      </c>
      <c r="N63" s="144" t="s">
        <v>63</v>
      </c>
      <c r="O63" s="145"/>
      <c r="P63" s="144" t="s">
        <v>64</v>
      </c>
      <c r="Q63" s="145"/>
      <c r="R63" s="144" t="s">
        <v>65</v>
      </c>
      <c r="S63" s="145"/>
      <c r="T63" s="143" t="s">
        <v>66</v>
      </c>
    </row>
    <row r="64" spans="2:20" x14ac:dyDescent="0.25">
      <c r="B64" s="161">
        <v>1</v>
      </c>
      <c r="C64" s="113"/>
      <c r="D64" s="165">
        <f>MAX(ROUNDUP(H60*9,0),4)</f>
        <v>4</v>
      </c>
      <c r="E64" s="166"/>
      <c r="F64" s="167">
        <f>SUMIF([1]Salaires!A18:A25,C64,[1]Salaires!B18:B25)*ROUND(IF('[1]INFO-Projet'!$E$7="de Jour",1,1.04),2)</f>
        <v>0</v>
      </c>
      <c r="G64" s="168"/>
      <c r="H64" s="165">
        <f>IF('[1]INFO-Projet'!$E$5="en atelier",0,IF(J49=0,2,IF(I73="oui",ROUNDUP(H60/5,0)*2*(ROUNDUP((J49*24)/0.5,0)*0.5),ROUNDUP(H60,0)*2*(ROUNDUP((J49*24)/0.5,0)*0.5))))</f>
        <v>2</v>
      </c>
      <c r="I64" s="166"/>
      <c r="J64" s="164">
        <f>SUMIF([1]Salaires!A18:A25,C64,[1]Salaires!C18:C25)</f>
        <v>0</v>
      </c>
      <c r="L64" s="161">
        <v>1</v>
      </c>
      <c r="M64" s="113"/>
      <c r="N64" s="162">
        <f>MAX(ROUNDUP(R60*9,0),4)</f>
        <v>4</v>
      </c>
      <c r="O64" s="162"/>
      <c r="P64" s="163">
        <f>SUMIF([1]Salaires!A18:A25,M64,[1]Salaires!B18:B25)*ROUND(IF('[1]INFO-Projet'!$E$7="de Jour",1,1.04),2)</f>
        <v>0</v>
      </c>
      <c r="Q64" s="162"/>
      <c r="R64" s="162">
        <f>IF('[1]INFO-Projet'!$E$5="en atelier",0,IF(T49=0,2,IF(S73="oui",ROUNDUP(R60/5,0)*2*(ROUNDUP((T49*24)/0.5,0)*0.5),ROUNDUP(R60,0)*2*(ROUNDUP((T49*24)/0.5,0)*0.5))))</f>
        <v>2</v>
      </c>
      <c r="S64" s="162"/>
      <c r="T64" s="164">
        <f>SUMIF([1]Salaires!A18:A25,M64,[1]Salaires!C18:C25)</f>
        <v>0</v>
      </c>
    </row>
    <row r="65" spans="2:20" x14ac:dyDescent="0.25">
      <c r="B65" s="169">
        <v>2</v>
      </c>
      <c r="C65" s="123"/>
      <c r="D65" s="55">
        <f>IF(ISBLANK(C65),,(D64))</f>
        <v>0</v>
      </c>
      <c r="E65" s="57"/>
      <c r="F65" s="173">
        <f>SUMIF([1]Salaires!A18:A25,C65,[1]Salaires!B18:B25)*ROUND(IF('[1]INFO-Projet'!$E$7="de Jour",1,1.04),2)</f>
        <v>0</v>
      </c>
      <c r="G65" s="174"/>
      <c r="H65" s="55">
        <f>IF(ISBLANK(C65),,(H64))</f>
        <v>0</v>
      </c>
      <c r="I65" s="57"/>
      <c r="J65" s="175">
        <f>IF(C65&lt;&gt;"",IF(J50&gt;119,SUMIF([1]Salaires!A18:A25,C65,[1]Salaires!C18:C25),18.65),"0")*1</f>
        <v>0</v>
      </c>
      <c r="L65" s="169">
        <v>2</v>
      </c>
      <c r="M65" s="123"/>
      <c r="N65" s="170">
        <f>IF(ISBLANK(M65),,(N64))</f>
        <v>0</v>
      </c>
      <c r="O65" s="170"/>
      <c r="P65" s="173">
        <f>SUMIF([1]Salaires!A18:A25,M65,[1]Salaires!B18:B25)*ROUND(IF('[1]INFO-Projet'!$E$7="de Jour",1,1.04),2)</f>
        <v>0</v>
      </c>
      <c r="Q65" s="174"/>
      <c r="R65" s="170">
        <f>IF(ISBLANK(M65),,(R64))</f>
        <v>0</v>
      </c>
      <c r="S65" s="170"/>
      <c r="T65" s="175">
        <f>IF(M65&lt;&gt;"",IF(T50&gt;119,SUMIF([1]Salaires!A18:A25,M65,[1]Salaires!C18:C25),18.65),"0")*1</f>
        <v>0</v>
      </c>
    </row>
    <row r="66" spans="2:20" ht="15.75" thickBot="1" x14ac:dyDescent="0.3">
      <c r="B66" s="176">
        <v>3</v>
      </c>
      <c r="C66" s="133"/>
      <c r="D66" s="180">
        <f>IF(ISBLANK(C66),,(D65))</f>
        <v>0</v>
      </c>
      <c r="E66" s="181"/>
      <c r="F66" s="182">
        <f>SUMIF([1]Salaires!A18:A25,C66,[1]Salaires!B18:B25)*ROUND(IF('[1]INFO-Projet'!$E$7="de Jour",1,1.04),2)</f>
        <v>0</v>
      </c>
      <c r="G66" s="183"/>
      <c r="H66" s="180">
        <f>IF(ISBLANK(C66),,(H65))</f>
        <v>0</v>
      </c>
      <c r="I66" s="181"/>
      <c r="J66" s="179">
        <f>IF(C66&lt;&gt;"",IF(J50&gt;119,SUMIF([1]Salaires!A18:A25,C66,[1]Salaires!C18:C25),18.65),"0")*1</f>
        <v>0</v>
      </c>
      <c r="L66" s="176">
        <v>3</v>
      </c>
      <c r="M66" s="133"/>
      <c r="N66" s="177">
        <f>IF(ISBLANK(M66),,(N65))</f>
        <v>0</v>
      </c>
      <c r="O66" s="177"/>
      <c r="P66" s="182">
        <f>SUMIF([1]Salaires!A18:A25,M66,[1]Salaires!B18:B25)*ROUND(IF('[1]INFO-Projet'!$E$7="de Jour",1,1.04),2)</f>
        <v>0</v>
      </c>
      <c r="Q66" s="183"/>
      <c r="R66" s="177">
        <f>IF(ISBLANK(M66),,(R65))</f>
        <v>0</v>
      </c>
      <c r="S66" s="177"/>
      <c r="T66" s="179">
        <f>IF(M66&lt;&gt;"",IF(T50&gt;119,SUMIF([1]Salaires!A18:A25,M66,[1]Salaires!C18:C25),18.65),"0")*1</f>
        <v>0</v>
      </c>
    </row>
    <row r="67" spans="2:20" ht="15.75" thickBot="1" x14ac:dyDescent="0.3">
      <c r="B67" s="58"/>
      <c r="H67" s="58"/>
      <c r="I67" s="58"/>
      <c r="L67" s="58"/>
      <c r="R67" s="58"/>
      <c r="S67" s="58"/>
    </row>
    <row r="68" spans="2:20" ht="16.5" thickBot="1" x14ac:dyDescent="0.3">
      <c r="B68" s="184" t="s">
        <v>68</v>
      </c>
      <c r="C68" s="340" t="s">
        <v>69</v>
      </c>
      <c r="D68" s="341"/>
      <c r="E68" s="341"/>
      <c r="F68" s="341"/>
      <c r="G68" s="341"/>
      <c r="H68" s="341"/>
      <c r="I68" s="341"/>
      <c r="J68" s="342"/>
      <c r="L68" s="184" t="s">
        <v>68</v>
      </c>
      <c r="M68" s="185" t="s">
        <v>69</v>
      </c>
      <c r="N68" s="186"/>
      <c r="O68" s="186"/>
      <c r="P68" s="186"/>
      <c r="Q68" s="186"/>
      <c r="R68" s="186"/>
      <c r="S68" s="186"/>
      <c r="T68" s="187"/>
    </row>
    <row r="69" spans="2:20" ht="16.5" thickBot="1" x14ac:dyDescent="0.3">
      <c r="B69" s="191">
        <f>IFERROR((J74/J83),0)</f>
        <v>0</v>
      </c>
      <c r="C69" s="192" t="s">
        <v>70</v>
      </c>
      <c r="D69" s="193"/>
      <c r="E69" s="193"/>
      <c r="F69" s="194"/>
      <c r="G69" s="192" t="s">
        <v>71</v>
      </c>
      <c r="H69" s="193"/>
      <c r="I69" s="193"/>
      <c r="J69" s="194"/>
      <c r="L69" s="191">
        <f>IFERROR((T74/T83),0)</f>
        <v>0</v>
      </c>
      <c r="M69" s="192" t="s">
        <v>70</v>
      </c>
      <c r="N69" s="193"/>
      <c r="O69" s="193"/>
      <c r="P69" s="194"/>
      <c r="Q69" s="192" t="s">
        <v>71</v>
      </c>
      <c r="R69" s="193"/>
      <c r="S69" s="193"/>
      <c r="T69" s="194"/>
    </row>
    <row r="70" spans="2:20" x14ac:dyDescent="0.25">
      <c r="B70" s="202">
        <f>IFERROR((F70/J74),0)</f>
        <v>0</v>
      </c>
      <c r="C70" s="203"/>
      <c r="D70" s="204"/>
      <c r="E70" s="205">
        <f>SUMIF([1]Salaires!H18:H24,C70,[1]Salaires!I18:I24)</f>
        <v>0</v>
      </c>
      <c r="F70" s="348">
        <f>(D64+D65+D66)*E70</f>
        <v>0</v>
      </c>
      <c r="G70" s="359" t="s">
        <v>72</v>
      </c>
      <c r="H70" s="360"/>
      <c r="I70" s="361"/>
      <c r="J70" s="210">
        <f>(D64*F64)+(D65*F65)+(D66*F66)+(F70+F71+F72+F73)</f>
        <v>0</v>
      </c>
      <c r="L70" s="202">
        <f>IFERROR((P70/T74),0)</f>
        <v>0</v>
      </c>
      <c r="M70" s="203"/>
      <c r="N70" s="204"/>
      <c r="O70" s="349">
        <f>SUMIF([1]Salaires!H18:H24,M70,[1]Salaires!I18:I24)</f>
        <v>0</v>
      </c>
      <c r="P70" s="205">
        <f>(N64+N65+N66)*O70</f>
        <v>0</v>
      </c>
      <c r="Q70" s="219" t="s">
        <v>72</v>
      </c>
      <c r="R70" s="219"/>
      <c r="S70" s="220"/>
      <c r="T70" s="210">
        <f>(N64*P64)+(N65*P65)+(N66*P66)+(P70+P71+P72+P73)</f>
        <v>0</v>
      </c>
    </row>
    <row r="71" spans="2:20" x14ac:dyDescent="0.25">
      <c r="B71" s="202">
        <f>IFERROR((F71/J74),0)</f>
        <v>0</v>
      </c>
      <c r="C71" s="216"/>
      <c r="D71" s="217"/>
      <c r="E71" s="350">
        <f>SUMIF([1]Salaires!H18:H24,C71,[1]Salaires!I18:I24)</f>
        <v>0</v>
      </c>
      <c r="F71" s="351">
        <f>(D64+D65+D66)*E71</f>
        <v>0</v>
      </c>
      <c r="G71" s="223" t="s">
        <v>73</v>
      </c>
      <c r="H71" s="222"/>
      <c r="I71" s="220"/>
      <c r="J71" s="210">
        <f>(H64*J64)+(H65*J65)+(H66+J66)</f>
        <v>0</v>
      </c>
      <c r="L71" s="202">
        <f>IFERROR((P71/T74),0)</f>
        <v>0</v>
      </c>
      <c r="M71" s="216"/>
      <c r="N71" s="217"/>
      <c r="O71" s="218">
        <f>SUMIF([1]Salaires!H18:H24,M71,[1]Salaires!I18:I24)</f>
        <v>0</v>
      </c>
      <c r="P71" s="350">
        <f>(N64+N65+N66)*O71</f>
        <v>0</v>
      </c>
      <c r="Q71" s="222" t="s">
        <v>73</v>
      </c>
      <c r="R71" s="222"/>
      <c r="S71" s="220"/>
      <c r="T71" s="210">
        <f>(R64*T64)+(R65*T65)+(R66+T66)</f>
        <v>0</v>
      </c>
    </row>
    <row r="72" spans="2:20" x14ac:dyDescent="0.25">
      <c r="B72" s="202">
        <f>IFERROR((F72/J74),0)</f>
        <v>0</v>
      </c>
      <c r="C72" s="216"/>
      <c r="D72" s="217"/>
      <c r="E72" s="350">
        <f>SUMIF([1]Salaires!H18:H24,C72,[1]Salaires!I18:I24)</f>
        <v>0</v>
      </c>
      <c r="F72" s="351">
        <f>(D64+D65+D66)*E72</f>
        <v>0</v>
      </c>
      <c r="G72" s="223" t="s">
        <v>74</v>
      </c>
      <c r="H72" s="220"/>
      <c r="I72" s="352">
        <v>0.05</v>
      </c>
      <c r="J72" s="210">
        <f>(J70+J71)*I72</f>
        <v>0</v>
      </c>
      <c r="L72" s="202">
        <f>IFERROR((P72/T74),0)</f>
        <v>0</v>
      </c>
      <c r="M72" s="216"/>
      <c r="N72" s="217"/>
      <c r="O72" s="218">
        <f>SUMIF([1]Salaires!H18:H24,M72,[1]Salaires!I18:I24)</f>
        <v>0</v>
      </c>
      <c r="P72" s="350">
        <f>(N64+N65+N66)*O72</f>
        <v>0</v>
      </c>
      <c r="Q72" s="222" t="s">
        <v>74</v>
      </c>
      <c r="R72" s="220"/>
      <c r="S72" s="352">
        <v>0.05</v>
      </c>
      <c r="T72" s="210">
        <f>(T70+T71)*S72</f>
        <v>0</v>
      </c>
    </row>
    <row r="73" spans="2:20" ht="15.75" thickBot="1" x14ac:dyDescent="0.3">
      <c r="B73" s="202">
        <f>IFERROR((F73/J74),0)</f>
        <v>0</v>
      </c>
      <c r="C73" s="226"/>
      <c r="D73" s="227"/>
      <c r="E73" s="353">
        <f>SUMIF([1]Salaires!H18:H24,C74,[1]Salaires!I18:I24)</f>
        <v>0</v>
      </c>
      <c r="F73" s="354">
        <f>(D64+D65+D66)*E73</f>
        <v>0</v>
      </c>
      <c r="G73" s="355" t="s">
        <v>75</v>
      </c>
      <c r="H73" s="58">
        <f>IF(ISBLANK(C64),0,COUNTA(C64:C66)&amp;" h x "&amp;ROUNDUP(H60,0)&amp;" j")</f>
        <v>0</v>
      </c>
      <c r="I73" s="236" t="s">
        <v>76</v>
      </c>
      <c r="J73" s="233">
        <f>IF(I73="non",0,COUNTA(C64:C66)*[1]Salaires!B13*ROUNDUP(H60+J60,0))</f>
        <v>0</v>
      </c>
      <c r="L73" s="202">
        <f>IFERROR((P73/T74),0)</f>
        <v>0</v>
      </c>
      <c r="M73" s="226"/>
      <c r="N73" s="227"/>
      <c r="O73" s="356">
        <f>SUMIF([1]Salaires!H18:H24,M73,[1]Salaires!I18:I24)</f>
        <v>0</v>
      </c>
      <c r="P73" s="228">
        <f>(N64+N65+N66)*O73</f>
        <v>0</v>
      </c>
      <c r="Q73" s="357" t="s">
        <v>75</v>
      </c>
      <c r="R73" s="58">
        <f>IF(ISBLANK(M64),0,COUNTA(M64:M66)&amp;" h x "&amp;ROUNDUP(R60,0)&amp;" j")</f>
        <v>0</v>
      </c>
      <c r="S73" s="236" t="s">
        <v>76</v>
      </c>
      <c r="T73" s="233">
        <f>IF(S73="non",0,COUNTA(M64:M66)*[1]Salaires!B13*ROUNDUP(R60+T60,0))</f>
        <v>0</v>
      </c>
    </row>
    <row r="74" spans="2:20" ht="15.75" thickBot="1" x14ac:dyDescent="0.3">
      <c r="B74" s="241"/>
      <c r="C74" s="242"/>
      <c r="E74" s="243"/>
      <c r="F74" s="243"/>
      <c r="G74" s="244" t="s">
        <v>77</v>
      </c>
      <c r="H74" s="244"/>
      <c r="I74" s="245"/>
      <c r="J74" s="240">
        <f>SUM(J70:J73)</f>
        <v>0</v>
      </c>
      <c r="L74" s="241"/>
      <c r="M74" s="242"/>
      <c r="O74" s="243"/>
      <c r="P74" s="243"/>
      <c r="Q74" s="239" t="s">
        <v>77</v>
      </c>
      <c r="R74" s="239"/>
      <c r="S74" s="239"/>
      <c r="T74" s="240">
        <f>SUM(T70:T73)</f>
        <v>0</v>
      </c>
    </row>
    <row r="75" spans="2:20" x14ac:dyDescent="0.25">
      <c r="B75" s="246">
        <f>IFERROR((J82/J83),0)</f>
        <v>0</v>
      </c>
      <c r="C75" s="247" t="s">
        <v>78</v>
      </c>
      <c r="D75" s="248"/>
      <c r="E75" s="248"/>
      <c r="F75" s="248"/>
      <c r="G75" s="248"/>
      <c r="H75" s="248"/>
      <c r="I75" s="248"/>
      <c r="J75" s="249"/>
      <c r="L75" s="246">
        <f>IFERROR((T82/T83),0)</f>
        <v>0</v>
      </c>
      <c r="M75" s="247" t="s">
        <v>78</v>
      </c>
      <c r="N75" s="248"/>
      <c r="O75" s="248"/>
      <c r="P75" s="248"/>
      <c r="Q75" s="248"/>
      <c r="R75" s="248"/>
      <c r="S75" s="248"/>
      <c r="T75" s="249"/>
    </row>
    <row r="76" spans="2:20" x14ac:dyDescent="0.25">
      <c r="B76" s="34"/>
      <c r="C76" s="250" t="s">
        <v>79</v>
      </c>
      <c r="D76" s="251" t="s">
        <v>53</v>
      </c>
      <c r="E76" s="251"/>
      <c r="F76" s="251" t="s">
        <v>80</v>
      </c>
      <c r="G76" s="251"/>
      <c r="H76" s="251" t="s">
        <v>81</v>
      </c>
      <c r="I76" s="251"/>
      <c r="J76" s="252" t="s">
        <v>82</v>
      </c>
      <c r="L76" s="34"/>
      <c r="M76" s="250" t="s">
        <v>79</v>
      </c>
      <c r="N76" s="251" t="s">
        <v>53</v>
      </c>
      <c r="O76" s="251"/>
      <c r="P76" s="251" t="s">
        <v>80</v>
      </c>
      <c r="Q76" s="251"/>
      <c r="R76" s="251" t="s">
        <v>81</v>
      </c>
      <c r="S76" s="251"/>
      <c r="T76" s="252" t="s">
        <v>82</v>
      </c>
    </row>
    <row r="77" spans="2:20" x14ac:dyDescent="0.25">
      <c r="B77" s="202">
        <f>IFERROR((J77/J82),0)</f>
        <v>0</v>
      </c>
      <c r="C77" s="253"/>
      <c r="D77" s="257" t="s">
        <v>83</v>
      </c>
      <c r="E77" s="257"/>
      <c r="F77" s="258" t="str">
        <f>IF(C77="","",IF(D77="Moyen",ROUNDUP(D$60/SUMIF('[1]Liste de Prix'!$M:$M,C77,'[1]Liste de Prix'!$Q:$Q),0),IF(D77="Sécuritaire",ROUNDUP(D$60/SUMIF('[1]Liste de Prix'!$M:$M,C77,'[1]Liste de Prix'!$O:$O),0),IF(D77="Élevé",ROUNDUP(D$60/SUMIF('[1]Liste de Prix'!$M:$M,C77,'[1]Liste de Prix'!$P:$P),0),))))</f>
        <v/>
      </c>
      <c r="G77" s="258"/>
      <c r="H77" s="259">
        <f>SUMIF('[1]Liste de Prix'!M:M,C77,'[1]Liste de Prix'!N:N)</f>
        <v>0</v>
      </c>
      <c r="I77" s="260"/>
      <c r="J77" s="233">
        <f>IF(ISBLANK(C77),0,F77*H77)</f>
        <v>0</v>
      </c>
      <c r="L77" s="202">
        <f>IFERROR((T77/T82),0)</f>
        <v>0</v>
      </c>
      <c r="M77" s="253"/>
      <c r="N77" s="56" t="s">
        <v>83</v>
      </c>
      <c r="O77" s="56"/>
      <c r="P77" s="254" t="str">
        <f>IF(M77="","",IF(N77="Moyen",ROUNDUP(N$60/SUMIF('[1]Liste de Prix'!$M:$M,M77,'[1]Liste de Prix'!$Q:$Q),0),IF(N77="Sécuritaire",ROUNDUP(N$60/SUMIF('[1]Liste de Prix'!$M:$M,M77,'[1]Liste de Prix'!$O:$O),0),IF(N77="Élevé",ROUNDUP(N$60/SUMIF('[1]Liste de Prix'!$M:$M,M77,'[1]Liste de Prix'!$P:$P),0),))))</f>
        <v/>
      </c>
      <c r="Q77" s="254"/>
      <c r="R77" s="255">
        <f>SUMIF('[1]Liste de Prix'!M:M,M77,'[1]Liste de Prix'!N:N)</f>
        <v>0</v>
      </c>
      <c r="S77" s="256"/>
      <c r="T77" s="233">
        <f>IF(ISBLANK(M77),0,P77*R77)</f>
        <v>0</v>
      </c>
    </row>
    <row r="78" spans="2:20" x14ac:dyDescent="0.25">
      <c r="B78" s="202">
        <f>IFERROR((J78/J82),0)</f>
        <v>0</v>
      </c>
      <c r="C78" s="253"/>
      <c r="D78" s="56" t="s">
        <v>83</v>
      </c>
      <c r="E78" s="56"/>
      <c r="F78" s="254" t="str">
        <f>IF(C78="","",IF(D78="Moyen",ROUNDUP(D$60/SUMIF('[1]Liste de Prix'!$M:$M,C78,'[1]Liste de Prix'!$Q:$Q),0),IF(D78="Sécuritaire",ROUNDUP(D$60/SUMIF('[1]Liste de Prix'!$M:$M,C78,'[1]Liste de Prix'!$O:$O),0),IF(D78="Élevé",ROUNDUP(D$60/SUMIF('[1]Liste de Prix'!$M:$M,C78,'[1]Liste de Prix'!$P:$P),0),))))</f>
        <v/>
      </c>
      <c r="G78" s="254"/>
      <c r="H78" s="255">
        <f>SUMIF('[1]Liste de Prix'!M:M,C78,'[1]Liste de Prix'!N:N)</f>
        <v>0</v>
      </c>
      <c r="I78" s="256"/>
      <c r="J78" s="233">
        <f>IF(ISBLANK(C78),0,F78*H78)</f>
        <v>0</v>
      </c>
      <c r="L78" s="202">
        <f>IFERROR((T78/T82),0)</f>
        <v>0</v>
      </c>
      <c r="M78" s="253"/>
      <c r="N78" s="56" t="s">
        <v>83</v>
      </c>
      <c r="O78" s="56"/>
      <c r="P78" s="254" t="str">
        <f>IF(M78="","",IF(N78="Moyen",ROUNDUP(N$60/SUMIF('[1]Liste de Prix'!$M:$M,M78,'[1]Liste de Prix'!$Q:$Q),0),IF(N78="Sécuritaire",ROUNDUP(N$60/SUMIF('[1]Liste de Prix'!$M:$M,M78,'[1]Liste de Prix'!$O:$O),0),IF(N78="Élevé",ROUNDUP(N$60/SUMIF('[1]Liste de Prix'!$M:$M,M78,'[1]Liste de Prix'!$P:$P),0),))))</f>
        <v/>
      </c>
      <c r="Q78" s="254"/>
      <c r="R78" s="255">
        <f>SUMIF('[1]Liste de Prix'!M:M,M78,'[1]Liste de Prix'!N:N)</f>
        <v>0</v>
      </c>
      <c r="S78" s="256"/>
      <c r="T78" s="233">
        <f>IF(ISBLANK(M78),0,P78*R78)</f>
        <v>0</v>
      </c>
    </row>
    <row r="79" spans="2:20" x14ac:dyDescent="0.25">
      <c r="B79" s="202">
        <f>IFERROR((J79/J82),0)</f>
        <v>0</v>
      </c>
      <c r="C79" s="253"/>
      <c r="D79" s="56" t="s">
        <v>83</v>
      </c>
      <c r="E79" s="56"/>
      <c r="F79" s="254" t="str">
        <f>IF(C79="","",IF(D79="Moyen",ROUNDUP(D$60/SUMIF('[1]Liste de Prix'!$M:$M,C79,'[1]Liste de Prix'!$Q:$Q),0),IF(D79="Sécuritaire",ROUNDUP(D$60/SUMIF('[1]Liste de Prix'!$M:$M,C79,'[1]Liste de Prix'!$O:$O),0),IF(D79="Élevé",ROUNDUP(D$60/SUMIF('[1]Liste de Prix'!$M:$M,C79,'[1]Liste de Prix'!$P:$P),0),))))</f>
        <v/>
      </c>
      <c r="G79" s="254"/>
      <c r="H79" s="255">
        <f>SUMIF('[1]Liste de Prix'!M:M,C79,'[1]Liste de Prix'!N:N)</f>
        <v>0</v>
      </c>
      <c r="I79" s="256"/>
      <c r="J79" s="233">
        <f>IF(ISBLANK(C79),0,F79*H79)</f>
        <v>0</v>
      </c>
      <c r="L79" s="202">
        <f>IFERROR((T79/T82),0)</f>
        <v>0</v>
      </c>
      <c r="M79" s="253"/>
      <c r="N79" s="56" t="s">
        <v>83</v>
      </c>
      <c r="O79" s="56"/>
      <c r="P79" s="254" t="str">
        <f>IF(M79="","",IF(N79="Moyen",ROUNDUP(N$60/SUMIF('[1]Liste de Prix'!$M:$M,M79,'[1]Liste de Prix'!$Q:$Q),0),IF(N79="Sécuritaire",ROUNDUP(N$60/SUMIF('[1]Liste de Prix'!$M:$M,M79,'[1]Liste de Prix'!$O:$O),0),IF(N79="Élevé",ROUNDUP(N$60/SUMIF('[1]Liste de Prix'!$M:$M,M79,'[1]Liste de Prix'!$P:$P),0),))))</f>
        <v/>
      </c>
      <c r="Q79" s="254"/>
      <c r="R79" s="255">
        <f>SUMIF('[1]Liste de Prix'!M:M,M79,'[1]Liste de Prix'!N:N)</f>
        <v>0</v>
      </c>
      <c r="S79" s="256"/>
      <c r="T79" s="233">
        <f>IF(ISBLANK(M79),0,P79*R79)</f>
        <v>0</v>
      </c>
    </row>
    <row r="80" spans="2:20" x14ac:dyDescent="0.25">
      <c r="B80" s="202">
        <f>IFERROR((J80/J82),0)</f>
        <v>0</v>
      </c>
      <c r="C80" s="253"/>
      <c r="D80" s="56" t="s">
        <v>83</v>
      </c>
      <c r="E80" s="56"/>
      <c r="F80" s="254" t="str">
        <f>IF(C80="","",IF(D80="Moyen",ROUNDUP(D$60/SUMIF('[1]Liste de Prix'!$M:$M,C80,'[1]Liste de Prix'!$Q:$Q),0),IF(D80="Sécuritaire",ROUNDUP(D$60/SUMIF('[1]Liste de Prix'!$M:$M,C80,'[1]Liste de Prix'!$O:$O),0),IF(D80="Élevé",ROUNDUP(D$60/SUMIF('[1]Liste de Prix'!$M:$M,C80,'[1]Liste de Prix'!$P:$P),0),))))</f>
        <v/>
      </c>
      <c r="G80" s="254"/>
      <c r="H80" s="255">
        <f>SUMIF('[1]Liste de Prix'!M:M,C80,'[1]Liste de Prix'!N:N)</f>
        <v>0</v>
      </c>
      <c r="I80" s="256"/>
      <c r="J80" s="233">
        <f>IF(ISBLANK(C80),0,F80*H80)</f>
        <v>0</v>
      </c>
      <c r="L80" s="202">
        <f>IFERROR((T80/T82),0)</f>
        <v>0</v>
      </c>
      <c r="M80" s="253"/>
      <c r="N80" s="56" t="s">
        <v>83</v>
      </c>
      <c r="O80" s="56"/>
      <c r="P80" s="254" t="str">
        <f>IF(M80="","",IF(N80="Moyen",ROUNDUP(N$60/SUMIF('[1]Liste de Prix'!$M:$M,M80,'[1]Liste de Prix'!$Q:$Q),0),IF(N80="Sécuritaire",ROUNDUP(N$60/SUMIF('[1]Liste de Prix'!$M:$M,M80,'[1]Liste de Prix'!$O:$O),0),IF(N80="Élevé",ROUNDUP(N$60/SUMIF('[1]Liste de Prix'!$M:$M,M80,'[1]Liste de Prix'!$P:$P),0),))))</f>
        <v/>
      </c>
      <c r="Q80" s="254"/>
      <c r="R80" s="255">
        <f>SUMIF('[1]Liste de Prix'!M:M,M80,'[1]Liste de Prix'!N:N)</f>
        <v>0</v>
      </c>
      <c r="S80" s="256"/>
      <c r="T80" s="233">
        <f>IF(ISBLANK(M80),0,P80*R80)</f>
        <v>0</v>
      </c>
    </row>
    <row r="81" spans="2:20" x14ac:dyDescent="0.25">
      <c r="B81" s="202">
        <f>IFERROR((J81/J82),0)</f>
        <v>0</v>
      </c>
      <c r="C81" s="261"/>
      <c r="D81" s="63" t="s">
        <v>83</v>
      </c>
      <c r="E81" s="63"/>
      <c r="F81" s="262" t="str">
        <f>IF(C81="","",IF(D81="Moyen",ROUNDUP(D$60/SUMIF('[1]Liste de Prix'!$M:$M,C81,'[1]Liste de Prix'!$Q:$Q),0),IF(D81="Sécuritaire",ROUNDUP(D$60/SUMIF('[1]Liste de Prix'!$M:$M,C81,'[1]Liste de Prix'!$O:$O),0),IF(D81="Élevé",ROUNDUP(D$60/SUMIF('[1]Liste de Prix'!$M:$M,C81,'[1]Liste de Prix'!$P:$P),0),))))</f>
        <v/>
      </c>
      <c r="G81" s="262"/>
      <c r="H81" s="263">
        <f>SUMIF('[1]Liste de Prix'!M:M,C81,'[1]Liste de Prix'!N:N)</f>
        <v>0</v>
      </c>
      <c r="I81" s="264"/>
      <c r="J81" s="233">
        <f>IF(ISBLANK(C81),0,F81*H81)</f>
        <v>0</v>
      </c>
      <c r="L81" s="202">
        <f>IFERROR((T81/T82),0)</f>
        <v>0</v>
      </c>
      <c r="M81" s="261"/>
      <c r="N81" s="63" t="s">
        <v>83</v>
      </c>
      <c r="O81" s="63"/>
      <c r="P81" s="254" t="str">
        <f>IF(M81="","",IF(N81="Moyen",ROUNDUP(N$60/SUMIF('[1]Liste de Prix'!$M:$M,M81,'[1]Liste de Prix'!$Q:$Q),0),IF(N81="Sécuritaire",ROUNDUP(N$60/SUMIF('[1]Liste de Prix'!$M:$M,M81,'[1]Liste de Prix'!$O:$O),0),IF(N81="Élevé",ROUNDUP(N$60/SUMIF('[1]Liste de Prix'!$M:$M,M81,'[1]Liste de Prix'!$P:$P),0),))))</f>
        <v/>
      </c>
      <c r="Q81" s="254"/>
      <c r="R81" s="255">
        <f>SUMIF('[1]Liste de Prix'!M:M,M81,'[1]Liste de Prix'!N:N)</f>
        <v>0</v>
      </c>
      <c r="S81" s="256"/>
      <c r="T81" s="233">
        <f>IF(ISBLANK(M81),0,P81*R81)</f>
        <v>0</v>
      </c>
    </row>
    <row r="82" spans="2:20" x14ac:dyDescent="0.25">
      <c r="B82" s="265"/>
      <c r="C82" s="266" t="s">
        <v>84</v>
      </c>
      <c r="D82" s="267">
        <f>COUNTIF(C77:C81,"&lt;&gt;")</f>
        <v>0</v>
      </c>
      <c r="E82" s="268"/>
      <c r="F82" s="269" t="s">
        <v>85</v>
      </c>
      <c r="G82" s="270"/>
      <c r="H82" s="270"/>
      <c r="I82" s="271"/>
      <c r="J82" s="272">
        <f>SUM(J77:J81)</f>
        <v>0</v>
      </c>
      <c r="L82" s="265"/>
      <c r="M82" s="266" t="s">
        <v>84</v>
      </c>
      <c r="N82" s="267">
        <f>COUNTIF(M77:M81,"&lt;&gt;")</f>
        <v>0</v>
      </c>
      <c r="O82" s="268"/>
      <c r="P82" s="269" t="s">
        <v>85</v>
      </c>
      <c r="Q82" s="270"/>
      <c r="R82" s="270"/>
      <c r="S82" s="271"/>
      <c r="T82" s="272">
        <f>SUM(T77:T81)</f>
        <v>0</v>
      </c>
    </row>
    <row r="83" spans="2:20" x14ac:dyDescent="0.25">
      <c r="B83" s="34"/>
      <c r="C83" s="273"/>
      <c r="D83" s="49"/>
      <c r="E83" s="49"/>
      <c r="F83" s="269" t="s">
        <v>86</v>
      </c>
      <c r="G83" s="270"/>
      <c r="H83" s="270"/>
      <c r="I83" s="271"/>
      <c r="J83" s="272">
        <f>J74+J82</f>
        <v>0</v>
      </c>
      <c r="L83" s="34"/>
      <c r="M83" s="273"/>
      <c r="N83" s="49"/>
      <c r="O83" s="49"/>
      <c r="P83" s="269" t="s">
        <v>86</v>
      </c>
      <c r="Q83" s="270"/>
      <c r="R83" s="270"/>
      <c r="S83" s="271"/>
      <c r="T83" s="272">
        <f>T74+T82</f>
        <v>0</v>
      </c>
    </row>
    <row r="84" spans="2:20" x14ac:dyDescent="0.25">
      <c r="B84" s="279">
        <v>0.4</v>
      </c>
      <c r="C84" s="280"/>
      <c r="D84" s="276"/>
      <c r="E84" s="268"/>
      <c r="F84" s="277" t="s">
        <v>87</v>
      </c>
      <c r="G84" s="239"/>
      <c r="H84" s="239"/>
      <c r="I84" s="278"/>
      <c r="J84" s="233">
        <f>J85-J83</f>
        <v>0</v>
      </c>
      <c r="L84" s="274">
        <v>0.4</v>
      </c>
      <c r="M84" s="275"/>
      <c r="N84" s="276"/>
      <c r="O84" s="268"/>
      <c r="P84" s="277" t="s">
        <v>87</v>
      </c>
      <c r="Q84" s="239"/>
      <c r="R84" s="239"/>
      <c r="S84" s="278"/>
      <c r="T84" s="233">
        <f>T85-T83</f>
        <v>0</v>
      </c>
    </row>
    <row r="85" spans="2:20" x14ac:dyDescent="0.25">
      <c r="B85" s="285"/>
      <c r="C85" s="268"/>
      <c r="D85" s="276"/>
      <c r="E85" s="268"/>
      <c r="F85" s="282" t="s">
        <v>88</v>
      </c>
      <c r="G85" s="283"/>
      <c r="H85" s="283"/>
      <c r="I85" s="284"/>
      <c r="J85" s="233">
        <f>J83/(1-B84)</f>
        <v>0</v>
      </c>
      <c r="L85" s="281"/>
      <c r="M85" s="275"/>
      <c r="N85" s="276"/>
      <c r="O85" s="268"/>
      <c r="P85" s="282" t="s">
        <v>88</v>
      </c>
      <c r="Q85" s="283"/>
      <c r="R85" s="283"/>
      <c r="S85" s="284"/>
      <c r="T85" s="233">
        <f>T83/(1-L84)</f>
        <v>0</v>
      </c>
    </row>
    <row r="86" spans="2:20" x14ac:dyDescent="0.25">
      <c r="B86" s="279">
        <v>0.25</v>
      </c>
      <c r="C86" s="280"/>
      <c r="D86" s="276"/>
      <c r="E86" s="268"/>
      <c r="F86" s="282" t="s">
        <v>89</v>
      </c>
      <c r="G86" s="283"/>
      <c r="H86" s="283"/>
      <c r="I86" s="284"/>
      <c r="J86" s="233">
        <f>J83*B86</f>
        <v>0</v>
      </c>
      <c r="L86" s="274">
        <v>0.25</v>
      </c>
      <c r="M86" s="275"/>
      <c r="N86" s="276"/>
      <c r="O86" s="268"/>
      <c r="P86" s="282" t="s">
        <v>89</v>
      </c>
      <c r="Q86" s="283"/>
      <c r="R86" s="283"/>
      <c r="S86" s="284"/>
      <c r="T86" s="233">
        <f>T83*L86</f>
        <v>0</v>
      </c>
    </row>
    <row r="87" spans="2:20" ht="15" customHeight="1" thickBot="1" x14ac:dyDescent="0.3">
      <c r="B87" s="286"/>
      <c r="C87" s="287"/>
      <c r="D87" s="288"/>
      <c r="E87" s="287"/>
      <c r="F87" s="289" t="s">
        <v>90</v>
      </c>
      <c r="G87" s="290"/>
      <c r="H87" s="290"/>
      <c r="I87" s="291"/>
      <c r="J87" s="292">
        <f>ROUNDUP((J85+J86)/5,0)*5</f>
        <v>0</v>
      </c>
      <c r="L87" s="286"/>
      <c r="M87" s="287"/>
      <c r="N87" s="288"/>
      <c r="O87" s="287"/>
      <c r="P87" s="289" t="s">
        <v>90</v>
      </c>
      <c r="Q87" s="290"/>
      <c r="R87" s="290"/>
      <c r="S87" s="291"/>
      <c r="T87" s="292">
        <f>ROUNDUP((T85+T86)/5,0)*5</f>
        <v>0</v>
      </c>
    </row>
    <row r="88" spans="2:20" ht="3.75" customHeight="1" thickBot="1" x14ac:dyDescent="0.3"/>
    <row r="89" spans="2:20" x14ac:dyDescent="0.25">
      <c r="B89" s="298" t="s">
        <v>91</v>
      </c>
      <c r="C89" s="299"/>
      <c r="E89" s="300" t="s">
        <v>92</v>
      </c>
      <c r="F89" s="301"/>
      <c r="G89" s="301"/>
      <c r="H89" s="301"/>
      <c r="I89" s="302"/>
      <c r="L89" s="293" t="s">
        <v>91</v>
      </c>
      <c r="M89" s="294"/>
      <c r="O89" s="295" t="s">
        <v>92</v>
      </c>
      <c r="P89" s="296"/>
      <c r="Q89" s="296"/>
      <c r="R89" s="296"/>
      <c r="S89" s="297"/>
    </row>
    <row r="90" spans="2:20" x14ac:dyDescent="0.25">
      <c r="B90" s="303" t="s">
        <v>93</v>
      </c>
      <c r="C90" s="304">
        <f>IFERROR(J87/ROUNDUP(H60,0),0)</f>
        <v>0</v>
      </c>
      <c r="D90" s="305"/>
      <c r="E90" s="310" t="s">
        <v>94</v>
      </c>
      <c r="F90" s="311"/>
      <c r="G90" s="308" t="s">
        <v>95</v>
      </c>
      <c r="H90" s="308" t="s">
        <v>96</v>
      </c>
      <c r="I90" s="309" t="s">
        <v>97</v>
      </c>
      <c r="J90" s="58"/>
      <c r="L90" s="303" t="s">
        <v>93</v>
      </c>
      <c r="M90" s="304">
        <f>IFERROR(T87/ROUNDUP(R60,0),0)</f>
        <v>0</v>
      </c>
      <c r="N90" s="305"/>
      <c r="O90" s="306" t="s">
        <v>94</v>
      </c>
      <c r="P90" s="307"/>
      <c r="Q90" s="308" t="s">
        <v>95</v>
      </c>
      <c r="R90" s="308" t="s">
        <v>96</v>
      </c>
      <c r="S90" s="309" t="s">
        <v>97</v>
      </c>
    </row>
    <row r="91" spans="2:20" ht="15.75" thickBot="1" x14ac:dyDescent="0.3">
      <c r="B91" s="312" t="s">
        <v>98</v>
      </c>
      <c r="C91" s="313" t="e">
        <f>J87/D60</f>
        <v>#DIV/0!</v>
      </c>
      <c r="D91" s="305"/>
      <c r="E91" s="285"/>
      <c r="F91" s="268"/>
      <c r="G91" s="316">
        <f>IF(H91="Jour",SUMIF('[1]Liste de Prix'!M58:M90,E91,'[1]Liste de Prix'!N58:N90),IF(H91="Semaine",SUMIF('[1]Liste de Prix'!M58:M90,E91,'[1]Liste de Prix'!O58:O90),IF(H91="Mois",SUMIF('[1]Liste de Prix'!M58:M90,E91,'[1]Liste de Prix'!P58:P90),IF(H91="",""))))</f>
        <v>0</v>
      </c>
      <c r="H91" s="317" t="str">
        <f>IF(H60=0,"Jour",IF(H60&gt;=11,"Mois",IF(H60&gt;=3,"Semaine","Jour")))</f>
        <v>Jour</v>
      </c>
      <c r="I91" s="318"/>
      <c r="L91" s="312" t="s">
        <v>98</v>
      </c>
      <c r="M91" s="313" t="e">
        <f>T87/N60</f>
        <v>#DIV/0!</v>
      </c>
      <c r="N91" s="305"/>
      <c r="O91" s="314"/>
      <c r="P91" s="315"/>
      <c r="Q91" s="316">
        <f>IF(R91="Jour",SUMIF('[1]Liste de Prix'!M58:M90,O91,'[1]Liste de Prix'!N58:N90),IF(R91="Semaine",SUMIF('[1]Liste de Prix'!M58:M90,O91,'[1]Liste de Prix'!O58:O90),IF(R91="Mois",SUMIF('[1]Liste de Prix'!M58:M90,O91,'[1]Liste de Prix'!P58:P90),IF(R91="",""))))</f>
        <v>0</v>
      </c>
      <c r="R91" s="317" t="str">
        <f>IF(R60=0,"Jour",IF(R60&gt;=11,"Mois",IF(R60&gt;=3,"Semaine","Jour")))</f>
        <v>Jour</v>
      </c>
      <c r="S91" s="318"/>
    </row>
    <row r="92" spans="2:20" ht="15.75" thickBot="1" x14ac:dyDescent="0.3">
      <c r="C92" s="58"/>
      <c r="E92" s="321" t="s">
        <v>99</v>
      </c>
      <c r="F92" s="362">
        <f>IF(G91&gt;0,(H60*(2.35*15)),)</f>
        <v>0</v>
      </c>
      <c r="G92" s="323" t="s">
        <v>100</v>
      </c>
      <c r="H92" s="324">
        <v>0.35</v>
      </c>
      <c r="I92" s="327">
        <f>(G91+I91)*H92</f>
        <v>0</v>
      </c>
      <c r="M92" s="58"/>
      <c r="O92" s="321" t="s">
        <v>99</v>
      </c>
      <c r="P92" s="322">
        <f>IF(Q91&gt;0,(R60*(2.35*15)),)</f>
        <v>0</v>
      </c>
      <c r="Q92" s="323" t="s">
        <v>100</v>
      </c>
      <c r="R92" s="324">
        <v>0.35</v>
      </c>
      <c r="S92" s="327">
        <f>(Q91+S91)*R92</f>
        <v>0</v>
      </c>
    </row>
    <row r="93" spans="2:20" ht="15.75" thickBot="1" x14ac:dyDescent="0.3">
      <c r="B93" s="332" t="s">
        <v>101</v>
      </c>
      <c r="C93" s="333"/>
      <c r="H93" s="358" t="s">
        <v>82</v>
      </c>
      <c r="I93" s="331">
        <f>ROUNDUP((G91+I91+I92+F92)/5,0)*5</f>
        <v>0</v>
      </c>
      <c r="L93" s="328" t="s">
        <v>101</v>
      </c>
      <c r="M93" s="329"/>
      <c r="R93" s="330" t="s">
        <v>82</v>
      </c>
      <c r="S93" s="331">
        <f>ROUNDUP((Q91+S91+S92+P92)/5,)*5</f>
        <v>0</v>
      </c>
    </row>
    <row r="94" spans="2:20" ht="15.75" thickBot="1" x14ac:dyDescent="0.3">
      <c r="B94" s="334" t="s">
        <v>102</v>
      </c>
      <c r="C94" s="335">
        <f>((J87/2)+I92)*5%</f>
        <v>0</v>
      </c>
      <c r="L94" s="334" t="s">
        <v>102</v>
      </c>
      <c r="M94" s="335">
        <f>((T87/2)+S92)*5%</f>
        <v>0</v>
      </c>
    </row>
  </sheetData>
  <mergeCells count="465">
    <mergeCell ref="E91:F91"/>
    <mergeCell ref="O91:P91"/>
    <mergeCell ref="B93:C93"/>
    <mergeCell ref="L93:M93"/>
    <mergeCell ref="B89:C89"/>
    <mergeCell ref="E89:I89"/>
    <mergeCell ref="L89:M89"/>
    <mergeCell ref="O89:S89"/>
    <mergeCell ref="E90:F90"/>
    <mergeCell ref="O90:P90"/>
    <mergeCell ref="B87:C87"/>
    <mergeCell ref="D87:E87"/>
    <mergeCell ref="F87:I87"/>
    <mergeCell ref="L87:M87"/>
    <mergeCell ref="N87:O87"/>
    <mergeCell ref="P87:S87"/>
    <mergeCell ref="B86:C86"/>
    <mergeCell ref="D86:E86"/>
    <mergeCell ref="F86:I86"/>
    <mergeCell ref="L86:M86"/>
    <mergeCell ref="N86:O86"/>
    <mergeCell ref="P86:S86"/>
    <mergeCell ref="B85:C85"/>
    <mergeCell ref="D85:E85"/>
    <mergeCell ref="F85:I85"/>
    <mergeCell ref="L85:M85"/>
    <mergeCell ref="N85:O85"/>
    <mergeCell ref="P85:S85"/>
    <mergeCell ref="B84:C84"/>
    <mergeCell ref="D84:E84"/>
    <mergeCell ref="F84:I84"/>
    <mergeCell ref="L84:M84"/>
    <mergeCell ref="N84:O84"/>
    <mergeCell ref="P84:S84"/>
    <mergeCell ref="D82:E82"/>
    <mergeCell ref="F82:I82"/>
    <mergeCell ref="N82:O82"/>
    <mergeCell ref="P82:S82"/>
    <mergeCell ref="F83:I83"/>
    <mergeCell ref="P83:S83"/>
    <mergeCell ref="D81:E81"/>
    <mergeCell ref="F81:G81"/>
    <mergeCell ref="H81:I81"/>
    <mergeCell ref="N81:O81"/>
    <mergeCell ref="P81:Q81"/>
    <mergeCell ref="R81:S81"/>
    <mergeCell ref="D80:E80"/>
    <mergeCell ref="F80:G80"/>
    <mergeCell ref="H80:I80"/>
    <mergeCell ref="N80:O80"/>
    <mergeCell ref="P80:Q80"/>
    <mergeCell ref="R80:S80"/>
    <mergeCell ref="D79:E79"/>
    <mergeCell ref="F79:G79"/>
    <mergeCell ref="H79:I79"/>
    <mergeCell ref="N79:O79"/>
    <mergeCell ref="P79:Q79"/>
    <mergeCell ref="R79:S79"/>
    <mergeCell ref="D78:E78"/>
    <mergeCell ref="F78:G78"/>
    <mergeCell ref="H78:I78"/>
    <mergeCell ref="N78:O78"/>
    <mergeCell ref="P78:Q78"/>
    <mergeCell ref="R78:S78"/>
    <mergeCell ref="D77:E77"/>
    <mergeCell ref="F77:G77"/>
    <mergeCell ref="H77:I77"/>
    <mergeCell ref="N77:O77"/>
    <mergeCell ref="P77:Q77"/>
    <mergeCell ref="R77:S77"/>
    <mergeCell ref="G74:I74"/>
    <mergeCell ref="Q74:S74"/>
    <mergeCell ref="C75:J75"/>
    <mergeCell ref="M75:T75"/>
    <mergeCell ref="D76:E76"/>
    <mergeCell ref="F76:G76"/>
    <mergeCell ref="H76:I76"/>
    <mergeCell ref="N76:O76"/>
    <mergeCell ref="P76:Q76"/>
    <mergeCell ref="R76:S76"/>
    <mergeCell ref="C72:D72"/>
    <mergeCell ref="G72:H72"/>
    <mergeCell ref="M72:N72"/>
    <mergeCell ref="Q72:R72"/>
    <mergeCell ref="C73:D73"/>
    <mergeCell ref="M73:N73"/>
    <mergeCell ref="C70:D70"/>
    <mergeCell ref="G70:I70"/>
    <mergeCell ref="M70:N70"/>
    <mergeCell ref="Q70:S70"/>
    <mergeCell ref="C71:D71"/>
    <mergeCell ref="G71:I71"/>
    <mergeCell ref="M71:N71"/>
    <mergeCell ref="Q71:S71"/>
    <mergeCell ref="C68:J68"/>
    <mergeCell ref="M68:T68"/>
    <mergeCell ref="C69:F69"/>
    <mergeCell ref="G69:J69"/>
    <mergeCell ref="M69:P69"/>
    <mergeCell ref="Q69:T69"/>
    <mergeCell ref="D66:E66"/>
    <mergeCell ref="F66:G66"/>
    <mergeCell ref="H66:I66"/>
    <mergeCell ref="N66:O66"/>
    <mergeCell ref="P66:Q66"/>
    <mergeCell ref="R66:S66"/>
    <mergeCell ref="D65:E65"/>
    <mergeCell ref="F65:G65"/>
    <mergeCell ref="H65:I65"/>
    <mergeCell ref="N65:O65"/>
    <mergeCell ref="P65:Q65"/>
    <mergeCell ref="R65:S65"/>
    <mergeCell ref="D64:E64"/>
    <mergeCell ref="F64:G64"/>
    <mergeCell ref="H64:I64"/>
    <mergeCell ref="N64:O64"/>
    <mergeCell ref="P64:Q64"/>
    <mergeCell ref="R64:S64"/>
    <mergeCell ref="N60:O61"/>
    <mergeCell ref="P60:Q61"/>
    <mergeCell ref="R60:S61"/>
    <mergeCell ref="T60:T61"/>
    <mergeCell ref="D63:E63"/>
    <mergeCell ref="F63:G63"/>
    <mergeCell ref="H63:I63"/>
    <mergeCell ref="N63:O63"/>
    <mergeCell ref="P63:Q63"/>
    <mergeCell ref="R63:S63"/>
    <mergeCell ref="C60:C61"/>
    <mergeCell ref="D60:E61"/>
    <mergeCell ref="F60:G61"/>
    <mergeCell ref="H60:I61"/>
    <mergeCell ref="J60:J61"/>
    <mergeCell ref="M60:M61"/>
    <mergeCell ref="D59:E59"/>
    <mergeCell ref="F59:G59"/>
    <mergeCell ref="H59:I59"/>
    <mergeCell ref="N59:O59"/>
    <mergeCell ref="P59:Q59"/>
    <mergeCell ref="R59:S59"/>
    <mergeCell ref="D58:E58"/>
    <mergeCell ref="F58:G58"/>
    <mergeCell ref="H58:I58"/>
    <mergeCell ref="N58:O58"/>
    <mergeCell ref="P58:Q58"/>
    <mergeCell ref="R58:S58"/>
    <mergeCell ref="D57:E57"/>
    <mergeCell ref="F57:G57"/>
    <mergeCell ref="H57:I57"/>
    <mergeCell ref="N57:O57"/>
    <mergeCell ref="P57:Q57"/>
    <mergeCell ref="R57:S57"/>
    <mergeCell ref="D56:E56"/>
    <mergeCell ref="F56:G56"/>
    <mergeCell ref="H56:I56"/>
    <mergeCell ref="N56:O56"/>
    <mergeCell ref="P56:Q56"/>
    <mergeCell ref="R56:S56"/>
    <mergeCell ref="L54:L55"/>
    <mergeCell ref="M54:M55"/>
    <mergeCell ref="N54:O55"/>
    <mergeCell ref="P54:Q55"/>
    <mergeCell ref="R54:S55"/>
    <mergeCell ref="T54:T55"/>
    <mergeCell ref="B54:B55"/>
    <mergeCell ref="C54:C55"/>
    <mergeCell ref="D54:E55"/>
    <mergeCell ref="F54:G55"/>
    <mergeCell ref="H54:I55"/>
    <mergeCell ref="J54:J55"/>
    <mergeCell ref="B50:C50"/>
    <mergeCell ref="D50:I50"/>
    <mergeCell ref="L50:M50"/>
    <mergeCell ref="N50:S50"/>
    <mergeCell ref="B51:C51"/>
    <mergeCell ref="D51:J52"/>
    <mergeCell ref="L51:M51"/>
    <mergeCell ref="N51:T52"/>
    <mergeCell ref="B52:C52"/>
    <mergeCell ref="L52:M52"/>
    <mergeCell ref="B46:C46"/>
    <mergeCell ref="L46:M46"/>
    <mergeCell ref="U46:V46"/>
    <mergeCell ref="B48:J48"/>
    <mergeCell ref="L48:T48"/>
    <mergeCell ref="B49:C49"/>
    <mergeCell ref="D49:I49"/>
    <mergeCell ref="L49:M49"/>
    <mergeCell ref="N49:S49"/>
    <mergeCell ref="E43:F43"/>
    <mergeCell ref="O43:P43"/>
    <mergeCell ref="X43:Y43"/>
    <mergeCell ref="E44:F44"/>
    <mergeCell ref="O44:P44"/>
    <mergeCell ref="X44:Y44"/>
    <mergeCell ref="U40:V40"/>
    <mergeCell ref="W40:X40"/>
    <mergeCell ref="Y40:AB40"/>
    <mergeCell ref="B42:C42"/>
    <mergeCell ref="E42:I42"/>
    <mergeCell ref="L42:M42"/>
    <mergeCell ref="O42:S42"/>
    <mergeCell ref="U42:V42"/>
    <mergeCell ref="X42:AB42"/>
    <mergeCell ref="B40:C40"/>
    <mergeCell ref="D40:E40"/>
    <mergeCell ref="F40:I40"/>
    <mergeCell ref="L40:M40"/>
    <mergeCell ref="N40:O40"/>
    <mergeCell ref="P40:S40"/>
    <mergeCell ref="Y38:AB38"/>
    <mergeCell ref="B39:C39"/>
    <mergeCell ref="D39:E39"/>
    <mergeCell ref="F39:I39"/>
    <mergeCell ref="L39:M39"/>
    <mergeCell ref="N39:O39"/>
    <mergeCell ref="P39:S39"/>
    <mergeCell ref="U39:V39"/>
    <mergeCell ref="W39:X39"/>
    <mergeCell ref="Y39:AB39"/>
    <mergeCell ref="W37:X37"/>
    <mergeCell ref="Y37:AB37"/>
    <mergeCell ref="B38:C38"/>
    <mergeCell ref="D38:E38"/>
    <mergeCell ref="F38:I38"/>
    <mergeCell ref="L38:M38"/>
    <mergeCell ref="N38:O38"/>
    <mergeCell ref="P38:S38"/>
    <mergeCell ref="U38:V38"/>
    <mergeCell ref="W38:X38"/>
    <mergeCell ref="F36:I36"/>
    <mergeCell ref="P36:S36"/>
    <mergeCell ref="Y36:AB36"/>
    <mergeCell ref="B37:C37"/>
    <mergeCell ref="D37:E37"/>
    <mergeCell ref="F37:I37"/>
    <mergeCell ref="L37:M37"/>
    <mergeCell ref="N37:O37"/>
    <mergeCell ref="P37:S37"/>
    <mergeCell ref="U37:V37"/>
    <mergeCell ref="AA34:AB34"/>
    <mergeCell ref="D35:E35"/>
    <mergeCell ref="F35:I35"/>
    <mergeCell ref="N35:O35"/>
    <mergeCell ref="P35:S35"/>
    <mergeCell ref="W35:X35"/>
    <mergeCell ref="Y35:AB35"/>
    <mergeCell ref="Y33:Z33"/>
    <mergeCell ref="AA33:AB33"/>
    <mergeCell ref="D34:E34"/>
    <mergeCell ref="F34:G34"/>
    <mergeCell ref="H34:I34"/>
    <mergeCell ref="N34:O34"/>
    <mergeCell ref="P34:Q34"/>
    <mergeCell ref="R34:S34"/>
    <mergeCell ref="W34:X34"/>
    <mergeCell ref="Y34:Z34"/>
    <mergeCell ref="W32:X32"/>
    <mergeCell ref="Y32:Z32"/>
    <mergeCell ref="AA32:AB32"/>
    <mergeCell ref="D33:E33"/>
    <mergeCell ref="F33:G33"/>
    <mergeCell ref="H33:I33"/>
    <mergeCell ref="N33:O33"/>
    <mergeCell ref="P33:Q33"/>
    <mergeCell ref="R33:S33"/>
    <mergeCell ref="W33:X33"/>
    <mergeCell ref="D32:E32"/>
    <mergeCell ref="F32:G32"/>
    <mergeCell ref="H32:I32"/>
    <mergeCell ref="N32:O32"/>
    <mergeCell ref="P32:Q32"/>
    <mergeCell ref="R32:S32"/>
    <mergeCell ref="AA30:AB30"/>
    <mergeCell ref="D31:E31"/>
    <mergeCell ref="F31:G31"/>
    <mergeCell ref="H31:I31"/>
    <mergeCell ref="N31:O31"/>
    <mergeCell ref="P31:Q31"/>
    <mergeCell ref="R31:S31"/>
    <mergeCell ref="W31:X31"/>
    <mergeCell ref="Y31:Z31"/>
    <mergeCell ref="AA31:AB31"/>
    <mergeCell ref="Y29:Z29"/>
    <mergeCell ref="AA29:AB29"/>
    <mergeCell ref="D30:E30"/>
    <mergeCell ref="F30:G30"/>
    <mergeCell ref="H30:I30"/>
    <mergeCell ref="N30:O30"/>
    <mergeCell ref="P30:Q30"/>
    <mergeCell ref="R30:S30"/>
    <mergeCell ref="W30:X30"/>
    <mergeCell ref="Y30:Z30"/>
    <mergeCell ref="C28:J28"/>
    <mergeCell ref="M28:T28"/>
    <mergeCell ref="V28:AC28"/>
    <mergeCell ref="D29:E29"/>
    <mergeCell ref="F29:G29"/>
    <mergeCell ref="H29:I29"/>
    <mergeCell ref="N29:O29"/>
    <mergeCell ref="P29:Q29"/>
    <mergeCell ref="R29:S29"/>
    <mergeCell ref="W29:X29"/>
    <mergeCell ref="C26:D26"/>
    <mergeCell ref="M26:N26"/>
    <mergeCell ref="V26:W26"/>
    <mergeCell ref="G27:I27"/>
    <mergeCell ref="Q27:S27"/>
    <mergeCell ref="Z27:AB27"/>
    <mergeCell ref="C25:D25"/>
    <mergeCell ref="G25:H25"/>
    <mergeCell ref="M25:N25"/>
    <mergeCell ref="Q25:R25"/>
    <mergeCell ref="V25:W25"/>
    <mergeCell ref="Z25:AA25"/>
    <mergeCell ref="C24:D24"/>
    <mergeCell ref="G24:I24"/>
    <mergeCell ref="M24:N24"/>
    <mergeCell ref="Q24:S24"/>
    <mergeCell ref="V24:W24"/>
    <mergeCell ref="Z24:AB24"/>
    <mergeCell ref="C23:D23"/>
    <mergeCell ref="G23:I23"/>
    <mergeCell ref="M23:N23"/>
    <mergeCell ref="Q23:S23"/>
    <mergeCell ref="V23:W23"/>
    <mergeCell ref="Z23:AB23"/>
    <mergeCell ref="C22:F22"/>
    <mergeCell ref="G22:J22"/>
    <mergeCell ref="M22:P22"/>
    <mergeCell ref="Q22:T22"/>
    <mergeCell ref="V22:Y22"/>
    <mergeCell ref="Z22:AC22"/>
    <mergeCell ref="W19:X19"/>
    <mergeCell ref="Y19:Z19"/>
    <mergeCell ref="AA19:AB19"/>
    <mergeCell ref="C21:J21"/>
    <mergeCell ref="M21:T21"/>
    <mergeCell ref="V21:AC21"/>
    <mergeCell ref="D19:E19"/>
    <mergeCell ref="F19:G19"/>
    <mergeCell ref="H19:I19"/>
    <mergeCell ref="N19:O19"/>
    <mergeCell ref="P19:Q19"/>
    <mergeCell ref="R19:S19"/>
    <mergeCell ref="AA17:AB17"/>
    <mergeCell ref="D18:E18"/>
    <mergeCell ref="F18:G18"/>
    <mergeCell ref="H18:I18"/>
    <mergeCell ref="N18:O18"/>
    <mergeCell ref="P18:Q18"/>
    <mergeCell ref="R18:S18"/>
    <mergeCell ref="W18:X18"/>
    <mergeCell ref="Y18:Z18"/>
    <mergeCell ref="AA18:AB18"/>
    <mergeCell ref="Y16:Z16"/>
    <mergeCell ref="AA16:AB16"/>
    <mergeCell ref="D17:E17"/>
    <mergeCell ref="F17:G17"/>
    <mergeCell ref="H17:I17"/>
    <mergeCell ref="N17:O17"/>
    <mergeCell ref="P17:Q17"/>
    <mergeCell ref="R17:S17"/>
    <mergeCell ref="W17:X17"/>
    <mergeCell ref="Y17:Z17"/>
    <mergeCell ref="Y13:Z14"/>
    <mergeCell ref="AA13:AB14"/>
    <mergeCell ref="AC13:AC14"/>
    <mergeCell ref="D16:E16"/>
    <mergeCell ref="F16:G16"/>
    <mergeCell ref="H16:I16"/>
    <mergeCell ref="N16:O16"/>
    <mergeCell ref="P16:Q16"/>
    <mergeCell ref="R16:S16"/>
    <mergeCell ref="W16:X16"/>
    <mergeCell ref="N13:O14"/>
    <mergeCell ref="P13:Q14"/>
    <mergeCell ref="R13:S14"/>
    <mergeCell ref="T13:T14"/>
    <mergeCell ref="V13:V14"/>
    <mergeCell ref="W13:X14"/>
    <mergeCell ref="C13:C14"/>
    <mergeCell ref="D13:E14"/>
    <mergeCell ref="F13:G14"/>
    <mergeCell ref="H13:I14"/>
    <mergeCell ref="J13:J14"/>
    <mergeCell ref="M13:M14"/>
    <mergeCell ref="AA11:AB11"/>
    <mergeCell ref="D12:E12"/>
    <mergeCell ref="F12:G12"/>
    <mergeCell ref="H12:I12"/>
    <mergeCell ref="N12:O12"/>
    <mergeCell ref="P12:Q12"/>
    <mergeCell ref="R12:S12"/>
    <mergeCell ref="W12:X12"/>
    <mergeCell ref="Y12:Z12"/>
    <mergeCell ref="AA12:AB12"/>
    <mergeCell ref="Y10:Z10"/>
    <mergeCell ref="AA10:AB10"/>
    <mergeCell ref="D11:E11"/>
    <mergeCell ref="F11:G11"/>
    <mergeCell ref="H11:I11"/>
    <mergeCell ref="N11:O11"/>
    <mergeCell ref="P11:Q11"/>
    <mergeCell ref="R11:S11"/>
    <mergeCell ref="W11:X11"/>
    <mergeCell ref="Y11:Z11"/>
    <mergeCell ref="W9:X9"/>
    <mergeCell ref="Y9:Z9"/>
    <mergeCell ref="AA9:AB9"/>
    <mergeCell ref="D10:E10"/>
    <mergeCell ref="F10:G10"/>
    <mergeCell ref="H10:I10"/>
    <mergeCell ref="N10:O10"/>
    <mergeCell ref="P10:Q10"/>
    <mergeCell ref="R10:S10"/>
    <mergeCell ref="W10:X10"/>
    <mergeCell ref="D9:E9"/>
    <mergeCell ref="F9:G9"/>
    <mergeCell ref="H9:I9"/>
    <mergeCell ref="N9:O9"/>
    <mergeCell ref="P9:Q9"/>
    <mergeCell ref="R9:S9"/>
    <mergeCell ref="U7:U8"/>
    <mergeCell ref="V7:V8"/>
    <mergeCell ref="W7:X8"/>
    <mergeCell ref="Y7:Z8"/>
    <mergeCell ref="AA7:AB8"/>
    <mergeCell ref="AC7:AC8"/>
    <mergeCell ref="L7:L8"/>
    <mergeCell ref="M7:M8"/>
    <mergeCell ref="N7:O8"/>
    <mergeCell ref="P7:Q8"/>
    <mergeCell ref="R7:S8"/>
    <mergeCell ref="T7:T8"/>
    <mergeCell ref="B7:B8"/>
    <mergeCell ref="C7:C8"/>
    <mergeCell ref="D7:E8"/>
    <mergeCell ref="F7:G8"/>
    <mergeCell ref="H7:I8"/>
    <mergeCell ref="J7:J8"/>
    <mergeCell ref="B4:C4"/>
    <mergeCell ref="D4:J5"/>
    <mergeCell ref="L4:M4"/>
    <mergeCell ref="N4:T5"/>
    <mergeCell ref="U4:V4"/>
    <mergeCell ref="W4:AC5"/>
    <mergeCell ref="B5:C5"/>
    <mergeCell ref="L5:M5"/>
    <mergeCell ref="U5:V5"/>
    <mergeCell ref="B3:C3"/>
    <mergeCell ref="D3:I3"/>
    <mergeCell ref="L3:M3"/>
    <mergeCell ref="N3:S3"/>
    <mergeCell ref="U3:V3"/>
    <mergeCell ref="W3:AB3"/>
    <mergeCell ref="B1:J1"/>
    <mergeCell ref="L1:T1"/>
    <mergeCell ref="U1:AC1"/>
    <mergeCell ref="B2:C2"/>
    <mergeCell ref="D2:I2"/>
    <mergeCell ref="L2:M2"/>
    <mergeCell ref="N2:S2"/>
    <mergeCell ref="U2:V2"/>
    <mergeCell ref="W2:AB2"/>
  </mergeCells>
  <conditionalFormatting sqref="C9">
    <cfRule type="containsBlanks" dxfId="89" priority="88">
      <formula>LEN(TRIM(C9))=0</formula>
    </cfRule>
  </conditionalFormatting>
  <conditionalFormatting sqref="C10">
    <cfRule type="containsBlanks" dxfId="88" priority="87">
      <formula>LEN(TRIM(C10))=0</formula>
    </cfRule>
  </conditionalFormatting>
  <conditionalFormatting sqref="C11">
    <cfRule type="containsBlanks" dxfId="87" priority="86">
      <formula>LEN(TRIM(C11))=0</formula>
    </cfRule>
  </conditionalFormatting>
  <conditionalFormatting sqref="D9:E9">
    <cfRule type="containsBlanks" dxfId="86" priority="85">
      <formula>LEN(TRIM(D9))=0</formula>
    </cfRule>
  </conditionalFormatting>
  <conditionalFormatting sqref="D10:E11">
    <cfRule type="containsBlanks" dxfId="85" priority="84">
      <formula>LEN(TRIM(D10))=0</formula>
    </cfRule>
  </conditionalFormatting>
  <conditionalFormatting sqref="C30:C34">
    <cfRule type="containsBlanks" dxfId="84" priority="89">
      <formula>LEN(TRIM(C30))=0</formula>
    </cfRule>
  </conditionalFormatting>
  <conditionalFormatting sqref="H10:I11">
    <cfRule type="cellIs" dxfId="83" priority="83" operator="lessThanOrEqual">
      <formula>0</formula>
    </cfRule>
  </conditionalFormatting>
  <conditionalFormatting sqref="J10:J11">
    <cfRule type="containsBlanks" dxfId="82" priority="82">
      <formula>LEN(TRIM(J10))=0</formula>
    </cfRule>
  </conditionalFormatting>
  <conditionalFormatting sqref="J31:J34">
    <cfRule type="cellIs" dxfId="81" priority="81" operator="lessThanOrEqual">
      <formula>0</formula>
    </cfRule>
  </conditionalFormatting>
  <conditionalFormatting sqref="B37:C37">
    <cfRule type="cellIs" dxfId="80" priority="78" operator="lessThan">
      <formula>0.25</formula>
    </cfRule>
    <cfRule type="cellIs" dxfId="79" priority="79" operator="between">
      <formula>0.33</formula>
      <formula>0.25</formula>
    </cfRule>
    <cfRule type="cellIs" dxfId="78" priority="80" operator="greaterThanOrEqual">
      <formula>0.34</formula>
    </cfRule>
  </conditionalFormatting>
  <conditionalFormatting sqref="B39:C39">
    <cfRule type="cellIs" dxfId="77" priority="75" operator="lessThan">
      <formula>0.1</formula>
    </cfRule>
    <cfRule type="cellIs" dxfId="76" priority="76" operator="between">
      <formula>0.14</formula>
      <formula>0.1</formula>
    </cfRule>
    <cfRule type="cellIs" dxfId="75" priority="77" operator="greaterThanOrEqual">
      <formula>0.15</formula>
    </cfRule>
  </conditionalFormatting>
  <conditionalFormatting sqref="C19:J19">
    <cfRule type="containsBlanks" dxfId="74" priority="74">
      <formula>LEN(TRIM(C19))=0</formula>
    </cfRule>
  </conditionalFormatting>
  <conditionalFormatting sqref="D19:J19">
    <cfRule type="cellIs" dxfId="73" priority="73" operator="lessThanOrEqual">
      <formula>0</formula>
    </cfRule>
  </conditionalFormatting>
  <conditionalFormatting sqref="H31:I34">
    <cfRule type="cellIs" dxfId="72" priority="72" operator="lessThanOrEqual">
      <formula>0</formula>
    </cfRule>
  </conditionalFormatting>
  <conditionalFormatting sqref="M9">
    <cfRule type="containsBlanks" dxfId="71" priority="70">
      <formula>LEN(TRIM(M9))=0</formula>
    </cfRule>
  </conditionalFormatting>
  <conditionalFormatting sqref="M10">
    <cfRule type="containsBlanks" dxfId="70" priority="69">
      <formula>LEN(TRIM(M10))=0</formula>
    </cfRule>
  </conditionalFormatting>
  <conditionalFormatting sqref="M11">
    <cfRule type="containsBlanks" dxfId="69" priority="68">
      <formula>LEN(TRIM(M11))=0</formula>
    </cfRule>
  </conditionalFormatting>
  <conditionalFormatting sqref="N9:O9">
    <cfRule type="containsBlanks" dxfId="68" priority="67">
      <formula>LEN(TRIM(N9))=0</formula>
    </cfRule>
  </conditionalFormatting>
  <conditionalFormatting sqref="N10:O11">
    <cfRule type="containsBlanks" dxfId="67" priority="66">
      <formula>LEN(TRIM(N10))=0</formula>
    </cfRule>
  </conditionalFormatting>
  <conditionalFormatting sqref="M30:M34">
    <cfRule type="containsBlanks" dxfId="66" priority="71">
      <formula>LEN(TRIM(M30))=0</formula>
    </cfRule>
  </conditionalFormatting>
  <conditionalFormatting sqref="R10:S11">
    <cfRule type="cellIs" dxfId="65" priority="65" operator="lessThanOrEqual">
      <formula>0</formula>
    </cfRule>
  </conditionalFormatting>
  <conditionalFormatting sqref="T10:T11">
    <cfRule type="containsBlanks" dxfId="64" priority="64">
      <formula>LEN(TRIM(T10))=0</formula>
    </cfRule>
  </conditionalFormatting>
  <conditionalFormatting sqref="T31:T34">
    <cfRule type="cellIs" dxfId="63" priority="63" operator="lessThanOrEqual">
      <formula>0</formula>
    </cfRule>
  </conditionalFormatting>
  <conditionalFormatting sqref="L37:M37">
    <cfRule type="cellIs" dxfId="62" priority="60" operator="lessThan">
      <formula>0.25</formula>
    </cfRule>
    <cfRule type="cellIs" dxfId="61" priority="61" operator="between">
      <formula>0.33</formula>
      <formula>0.25</formula>
    </cfRule>
    <cfRule type="cellIs" dxfId="60" priority="62" operator="greaterThanOrEqual">
      <formula>0.34</formula>
    </cfRule>
  </conditionalFormatting>
  <conditionalFormatting sqref="L39:M39">
    <cfRule type="cellIs" dxfId="59" priority="57" operator="lessThan">
      <formula>0.1</formula>
    </cfRule>
    <cfRule type="cellIs" dxfId="58" priority="58" operator="between">
      <formula>0.14</formula>
      <formula>0.1</formula>
    </cfRule>
    <cfRule type="cellIs" dxfId="57" priority="59" operator="greaterThanOrEqual">
      <formula>0.15</formula>
    </cfRule>
  </conditionalFormatting>
  <conditionalFormatting sqref="M19:T19">
    <cfRule type="containsBlanks" dxfId="56" priority="56">
      <formula>LEN(TRIM(M19))=0</formula>
    </cfRule>
  </conditionalFormatting>
  <conditionalFormatting sqref="N19:T19">
    <cfRule type="cellIs" dxfId="55" priority="55" operator="lessThanOrEqual">
      <formula>0</formula>
    </cfRule>
  </conditionalFormatting>
  <conditionalFormatting sqref="R31:S34">
    <cfRule type="cellIs" dxfId="54" priority="54" operator="lessThanOrEqual">
      <formula>0</formula>
    </cfRule>
  </conditionalFormatting>
  <conditionalFormatting sqref="C77:C81">
    <cfRule type="containsBlanks" dxfId="53" priority="53">
      <formula>LEN(TRIM(C77))=0</formula>
    </cfRule>
  </conditionalFormatting>
  <conditionalFormatting sqref="H57:I58">
    <cfRule type="cellIs" dxfId="52" priority="48" operator="lessThanOrEqual">
      <formula>0</formula>
    </cfRule>
  </conditionalFormatting>
  <conditionalFormatting sqref="J57:J58">
    <cfRule type="containsBlanks" dxfId="51" priority="47">
      <formula>LEN(TRIM(J57))=0</formula>
    </cfRule>
  </conditionalFormatting>
  <conditionalFormatting sqref="J78:J81">
    <cfRule type="cellIs" dxfId="50" priority="46" operator="lessThanOrEqual">
      <formula>0</formula>
    </cfRule>
  </conditionalFormatting>
  <conditionalFormatting sqref="B84:C84">
    <cfRule type="cellIs" dxfId="49" priority="43" operator="lessThan">
      <formula>0.25</formula>
    </cfRule>
    <cfRule type="cellIs" dxfId="48" priority="44" operator="between">
      <formula>0.33</formula>
      <formula>0.25</formula>
    </cfRule>
    <cfRule type="cellIs" dxfId="47" priority="45" operator="greaterThanOrEqual">
      <formula>0.34</formula>
    </cfRule>
  </conditionalFormatting>
  <conditionalFormatting sqref="B86:C86">
    <cfRule type="cellIs" dxfId="46" priority="40" operator="lessThan">
      <formula>0.1</formula>
    </cfRule>
    <cfRule type="cellIs" dxfId="45" priority="41" operator="between">
      <formula>0.14</formula>
      <formula>0.1</formula>
    </cfRule>
    <cfRule type="cellIs" dxfId="44" priority="42" operator="greaterThanOrEqual">
      <formula>0.15</formula>
    </cfRule>
  </conditionalFormatting>
  <conditionalFormatting sqref="C66:J66">
    <cfRule type="containsBlanks" dxfId="43" priority="39">
      <formula>LEN(TRIM(C66))=0</formula>
    </cfRule>
  </conditionalFormatting>
  <conditionalFormatting sqref="D66:J66">
    <cfRule type="cellIs" dxfId="42" priority="38" operator="lessThanOrEqual">
      <formula>0</formula>
    </cfRule>
  </conditionalFormatting>
  <conditionalFormatting sqref="H78:I81">
    <cfRule type="cellIs" dxfId="41" priority="37" operator="lessThanOrEqual">
      <formula>0</formula>
    </cfRule>
  </conditionalFormatting>
  <conditionalFormatting sqref="C56">
    <cfRule type="containsBlanks" dxfId="40" priority="90">
      <formula>LEN(TRIM(C56))=0</formula>
    </cfRule>
  </conditionalFormatting>
  <conditionalFormatting sqref="C57">
    <cfRule type="containsBlanks" dxfId="39" priority="52">
      <formula>LEN(TRIM(C57))=0</formula>
    </cfRule>
  </conditionalFormatting>
  <conditionalFormatting sqref="C58">
    <cfRule type="containsBlanks" dxfId="38" priority="51">
      <formula>LEN(TRIM(C58))=0</formula>
    </cfRule>
  </conditionalFormatting>
  <conditionalFormatting sqref="D56:E56">
    <cfRule type="containsBlanks" dxfId="37" priority="50">
      <formula>LEN(TRIM(D56))=0</formula>
    </cfRule>
  </conditionalFormatting>
  <conditionalFormatting sqref="D57:E58">
    <cfRule type="containsBlanks" dxfId="36" priority="49">
      <formula>LEN(TRIM(D57))=0</formula>
    </cfRule>
  </conditionalFormatting>
  <conditionalFormatting sqref="M56">
    <cfRule type="containsBlanks" dxfId="35" priority="35">
      <formula>LEN(TRIM(M56))=0</formula>
    </cfRule>
  </conditionalFormatting>
  <conditionalFormatting sqref="M57">
    <cfRule type="containsBlanks" dxfId="34" priority="34">
      <formula>LEN(TRIM(M57))=0</formula>
    </cfRule>
  </conditionalFormatting>
  <conditionalFormatting sqref="M58">
    <cfRule type="containsBlanks" dxfId="33" priority="33">
      <formula>LEN(TRIM(M58))=0</formula>
    </cfRule>
  </conditionalFormatting>
  <conditionalFormatting sqref="N56:O56">
    <cfRule type="containsBlanks" dxfId="32" priority="32">
      <formula>LEN(TRIM(N56))=0</formula>
    </cfRule>
  </conditionalFormatting>
  <conditionalFormatting sqref="N57:O58">
    <cfRule type="containsBlanks" dxfId="31" priority="31">
      <formula>LEN(TRIM(N57))=0</formula>
    </cfRule>
  </conditionalFormatting>
  <conditionalFormatting sqref="M77:M81">
    <cfRule type="containsBlanks" dxfId="30" priority="36">
      <formula>LEN(TRIM(M77))=0</formula>
    </cfRule>
  </conditionalFormatting>
  <conditionalFormatting sqref="R57:S58">
    <cfRule type="cellIs" dxfId="29" priority="30" operator="lessThanOrEqual">
      <formula>0</formula>
    </cfRule>
  </conditionalFormatting>
  <conditionalFormatting sqref="T57:T58">
    <cfRule type="containsBlanks" dxfId="28" priority="29">
      <formula>LEN(TRIM(T57))=0</formula>
    </cfRule>
  </conditionalFormatting>
  <conditionalFormatting sqref="T78:T81">
    <cfRule type="cellIs" dxfId="27" priority="28" operator="lessThanOrEqual">
      <formula>0</formula>
    </cfRule>
  </conditionalFormatting>
  <conditionalFormatting sqref="L84:M84">
    <cfRule type="cellIs" dxfId="26" priority="25" operator="lessThan">
      <formula>0.25</formula>
    </cfRule>
    <cfRule type="cellIs" dxfId="25" priority="26" operator="between">
      <formula>0.33</formula>
      <formula>0.25</formula>
    </cfRule>
    <cfRule type="cellIs" dxfId="24" priority="27" operator="greaterThanOrEqual">
      <formula>0.34</formula>
    </cfRule>
  </conditionalFormatting>
  <conditionalFormatting sqref="L86:M86">
    <cfRule type="cellIs" dxfId="23" priority="22" operator="lessThan">
      <formula>0.1</formula>
    </cfRule>
    <cfRule type="cellIs" dxfId="22" priority="23" operator="between">
      <formula>0.14</formula>
      <formula>0.1</formula>
    </cfRule>
    <cfRule type="cellIs" dxfId="21" priority="24" operator="greaterThanOrEqual">
      <formula>0.15</formula>
    </cfRule>
  </conditionalFormatting>
  <conditionalFormatting sqref="M66:T66">
    <cfRule type="containsBlanks" dxfId="20" priority="21">
      <formula>LEN(TRIM(M66))=0</formula>
    </cfRule>
  </conditionalFormatting>
  <conditionalFormatting sqref="N66:T66">
    <cfRule type="cellIs" dxfId="19" priority="20" operator="lessThanOrEqual">
      <formula>0</formula>
    </cfRule>
  </conditionalFormatting>
  <conditionalFormatting sqref="R78:S81">
    <cfRule type="cellIs" dxfId="18" priority="19" operator="lessThanOrEqual">
      <formula>0</formula>
    </cfRule>
  </conditionalFormatting>
  <conditionalFormatting sqref="V9">
    <cfRule type="containsBlanks" dxfId="17" priority="17">
      <formula>LEN(TRIM(V9))=0</formula>
    </cfRule>
  </conditionalFormatting>
  <conditionalFormatting sqref="V10">
    <cfRule type="containsBlanks" dxfId="16" priority="16">
      <formula>LEN(TRIM(V10))=0</formula>
    </cfRule>
  </conditionalFormatting>
  <conditionalFormatting sqref="V11">
    <cfRule type="containsBlanks" dxfId="15" priority="15">
      <formula>LEN(TRIM(V11))=0</formula>
    </cfRule>
  </conditionalFormatting>
  <conditionalFormatting sqref="W9:X9">
    <cfRule type="containsBlanks" dxfId="14" priority="14">
      <formula>LEN(TRIM(W9))=0</formula>
    </cfRule>
  </conditionalFormatting>
  <conditionalFormatting sqref="W10:X11">
    <cfRule type="containsBlanks" dxfId="13" priority="13">
      <formula>LEN(TRIM(W10))=0</formula>
    </cfRule>
  </conditionalFormatting>
  <conditionalFormatting sqref="V30:V34">
    <cfRule type="containsBlanks" dxfId="12" priority="18">
      <formula>LEN(TRIM(V30))=0</formula>
    </cfRule>
  </conditionalFormatting>
  <conditionalFormatting sqref="AA10:AB11">
    <cfRule type="cellIs" dxfId="11" priority="12" operator="lessThanOrEqual">
      <formula>0</formula>
    </cfRule>
  </conditionalFormatting>
  <conditionalFormatting sqref="AC10:AC11">
    <cfRule type="containsBlanks" dxfId="10" priority="11">
      <formula>LEN(TRIM(AC10))=0</formula>
    </cfRule>
  </conditionalFormatting>
  <conditionalFormatting sqref="AC31:AC34">
    <cfRule type="cellIs" dxfId="9" priority="10" operator="lessThanOrEqual">
      <formula>0</formula>
    </cfRule>
  </conditionalFormatting>
  <conditionalFormatting sqref="U37:V37">
    <cfRule type="cellIs" dxfId="8" priority="7" operator="lessThan">
      <formula>0.25</formula>
    </cfRule>
    <cfRule type="cellIs" dxfId="7" priority="8" operator="between">
      <formula>0.33</formula>
      <formula>0.25</formula>
    </cfRule>
    <cfRule type="cellIs" dxfId="6" priority="9" operator="greaterThanOrEqual">
      <formula>0.34</formula>
    </cfRule>
  </conditionalFormatting>
  <conditionalFormatting sqref="U39:V39">
    <cfRule type="cellIs" dxfId="5" priority="4" operator="lessThan">
      <formula>0.1</formula>
    </cfRule>
    <cfRule type="cellIs" dxfId="4" priority="5" operator="between">
      <formula>0.14</formula>
      <formula>0.1</formula>
    </cfRule>
    <cfRule type="cellIs" dxfId="3" priority="6" operator="greaterThanOrEqual">
      <formula>0.15</formula>
    </cfRule>
  </conditionalFormatting>
  <conditionalFormatting sqref="V19:AC19">
    <cfRule type="containsBlanks" dxfId="2" priority="3">
      <formula>LEN(TRIM(V19))=0</formula>
    </cfRule>
  </conditionalFormatting>
  <conditionalFormatting sqref="W19:AC19">
    <cfRule type="cellIs" dxfId="1" priority="2" operator="lessThanOrEqual">
      <formula>0</formula>
    </cfRule>
  </conditionalFormatting>
  <conditionalFormatting sqref="AA31:AB34">
    <cfRule type="cellIs" dxfId="0" priority="1" operator="lessThanOrEqual">
      <formula>0</formula>
    </cfRule>
  </conditionalFormatting>
  <dataValidations count="9">
    <dataValidation type="list" allowBlank="1" showInputMessage="1" showErrorMessage="1" sqref="C23:D26 M23:N26 C70:D73 M70:N73 V23:W26" xr:uid="{CEDA2CC8-1EBA-44E5-B826-F0EA59DAA5EB}">
      <formula1>Primes_Peintre</formula1>
    </dataValidation>
    <dataValidation type="list" allowBlank="1" showInputMessage="1" showErrorMessage="1" sqref="C9:C11 M9:M11 C56:C58 M56:M58 V9:V11" xr:uid="{BB905C71-8326-4A81-892E-4649E8323DC6}">
      <formula1>services_teinture</formula1>
    </dataValidation>
    <dataValidation type="list" allowBlank="1" showInputMessage="1" showErrorMessage="1" sqref="C17:C19 M17:M19 C64:C66 M64:M66 V17:V19" xr:uid="{C5F4D8CF-CFB1-4323-BFFA-B85E492E97DF}">
      <formula1>carte_peintre</formula1>
    </dataValidation>
    <dataValidation type="list" allowBlank="1" showInputMessage="1" showErrorMessage="1" sqref="I26 S26 I73 S73 AB26" xr:uid="{3A4D0CB7-B699-450E-9573-001EB513368A}">
      <formula1>oui_non</formula1>
    </dataValidation>
    <dataValidation type="list" allowBlank="1" showInputMessage="1" showErrorMessage="1" sqref="C30:C34 M30:M34 C77:C81 M77:M81 V30:V34" xr:uid="{D8B7E523-4878-4820-A940-D395D7B4613D}">
      <formula1>produits_teinture</formula1>
    </dataValidation>
    <dataValidation type="list" allowBlank="1" showInputMessage="1" showErrorMessage="1" sqref="D30:E34 N30:O34 D77:E81 N77:O81 W30:X34" xr:uid="{A1F83B21-CE16-463C-A5CE-19DD0EE0C4F8}">
      <formula1>rendement</formula1>
    </dataValidation>
    <dataValidation type="list" allowBlank="1" showInputMessage="1" showErrorMessage="1" sqref="H44 R44 H91 R91 AA44" xr:uid="{41932DF4-CAD4-4629-ABDC-62C5F8BE9D37}">
      <formula1>temps_nacelle</formula1>
    </dataValidation>
    <dataValidation type="list" allowBlank="1" showInputMessage="1" showErrorMessage="1" sqref="E44:F44 O44:P44 E91:F91 O91:P91 X44:Y44" xr:uid="{6EF88E05-4340-41D9-B70B-343FF0174526}">
      <formula1>nacelles</formula1>
    </dataValidation>
    <dataValidation type="list" allowBlank="1" showInputMessage="1" showErrorMessage="1" promptTitle="Transport MTL, Laval et environ" prompt="Nacelle 60' &amp; 66'/ Ciseau 40' à 53'= 370$_x000a_Nacelle 80' à 135'/ Ciseau 60' à 80'= 450$_x000a__x000a_Rive-Sud_x000a_250$_x000a_270$_x000a_370$" sqref="I91 I44 S44 S91 AB44" xr:uid="{6B0BDE59-C2FB-4834-9D36-FA436C992F2D}">
      <formula1>Livraison_nacelle</formula1>
    </dataValidation>
  </dataValidations>
  <pageMargins left="0.25" right="0.25" top="0.75" bottom="0.75" header="0.3" footer="0.3"/>
  <pageSetup fitToWidth="0" fitToHeight="0" orientation="portrait" r:id="rId1"/>
  <headerFooter>
    <oddHeader>&amp;C&amp;A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Emyx</vt:lpstr>
      <vt:lpstr>COST-Écobrick</vt:lpstr>
      <vt:lpstr>COST-Nawkaw</vt:lpstr>
      <vt:lpstr>Nacelle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Marie-Soleil Cyr</dc:creator>
  <cp:lastModifiedBy>Marie-Soleil Cyr</cp:lastModifiedBy>
  <dcterms:created xsi:type="dcterms:W3CDTF">2023-01-24T16:35:34Z</dcterms:created>
  <dcterms:modified xsi:type="dcterms:W3CDTF">2023-01-24T16:36:55Z</dcterms:modified>
</cp:coreProperties>
</file>