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calcChain.xml" ContentType="application/vnd.openxmlformats-officedocument.spreadsheetml.calcChain+xml"/>
  <Override PartName="/docMetadata/LabelInfo.xml" ContentType="application/vnd.ms-office.classificationlabel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20/02/relationships/classificationlabels" Target="docMetadata/LabelInfo.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codeName="{DC05BD20-4804-7139-695A-D245BE01A294}"/>
  <workbookPr codeName="ThisWorkbook" defaultThemeVersion="166925"/>
  <mc:AlternateContent xmlns:mc="http://schemas.openxmlformats.org/markup-compatibility/2006">
    <mc:Choice Requires="x15">
      <x15ac:absPath xmlns:x15ac="http://schemas.microsoft.com/office/spreadsheetml/2010/11/ac" url="https://andritz-my.sharepoint.com/personal/benoit_lacroix_andritz_com/Documents/macro/"/>
    </mc:Choice>
  </mc:AlternateContent>
  <xr:revisionPtr revIDLastSave="1" documentId="8_{F03397E3-B883-43E6-9117-35388BDD7680}" xr6:coauthVersionLast="47" xr6:coauthVersionMax="47" xr10:uidLastSave="{ECC89D04-AB56-41EE-924B-095899804A2A}"/>
  <bookViews>
    <workbookView xWindow="-1590" yWindow="-14115" windowWidth="21600" windowHeight="11835" tabRatio="862" activeTab="2" xr2:uid="{4B92E2AA-46BA-49FC-92FA-4412C1311B41}"/>
  </bookViews>
  <sheets>
    <sheet name="MENU" sheetId="6" r:id="rId1"/>
    <sheet name="DONNEES" sheetId="7" r:id="rId2"/>
    <sheet name="EXCHANGE" sheetId="28" r:id="rId3"/>
    <sheet name="MOTOR WITH CONTACT" sheetId="50" r:id="rId4"/>
    <sheet name="RECAP CABLE" sheetId="10" r:id="rId5"/>
  </sheets>
  <definedNames>
    <definedName name="_Toc85181579" localSheetId="2">EXCHANGE!$B$1</definedName>
    <definedName name="section1">DONNEES!$L$2:$L$33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289" i="50" l="1"/>
  <c r="C289" i="50"/>
  <c r="D289" i="28"/>
  <c r="C289" i="28"/>
  <c r="D262" i="28" l="1"/>
  <c r="D272" i="28"/>
  <c r="D272" i="50"/>
  <c r="C272" i="28"/>
  <c r="C272" i="50"/>
  <c r="C271" i="28"/>
  <c r="C271" i="50"/>
  <c r="D291" i="50" l="1"/>
  <c r="C291" i="50"/>
  <c r="D290" i="50"/>
  <c r="C290" i="50"/>
  <c r="D288" i="50"/>
  <c r="C288" i="50"/>
  <c r="D287" i="50"/>
  <c r="C287" i="50"/>
  <c r="D286" i="50"/>
  <c r="C286" i="50"/>
  <c r="D285" i="50"/>
  <c r="C285" i="50"/>
  <c r="D284" i="50"/>
  <c r="C284" i="50"/>
  <c r="D283" i="50"/>
  <c r="C283" i="50"/>
  <c r="D282" i="50"/>
  <c r="C282" i="50"/>
  <c r="D281" i="50"/>
  <c r="C281" i="50"/>
  <c r="D280" i="50"/>
  <c r="C280" i="50"/>
  <c r="D279" i="50"/>
  <c r="C279" i="50"/>
  <c r="D278" i="50"/>
  <c r="C278" i="50"/>
  <c r="D277" i="50"/>
  <c r="C277" i="50"/>
  <c r="D276" i="50"/>
  <c r="C276" i="50"/>
  <c r="D275" i="50"/>
  <c r="C275" i="50"/>
  <c r="D274" i="50"/>
  <c r="C274" i="50"/>
  <c r="D273" i="50"/>
  <c r="C273" i="50"/>
  <c r="D271" i="50"/>
  <c r="D270" i="50"/>
  <c r="C270" i="50"/>
  <c r="D269" i="50"/>
  <c r="C269" i="50"/>
  <c r="D268" i="50"/>
  <c r="C268" i="50"/>
  <c r="D267" i="50"/>
  <c r="C267" i="50"/>
  <c r="D266" i="50"/>
  <c r="C266" i="50"/>
  <c r="D265" i="50"/>
  <c r="C265" i="50"/>
  <c r="D264" i="50"/>
  <c r="C264" i="50"/>
  <c r="D263" i="50"/>
  <c r="C263" i="50"/>
  <c r="D262" i="50"/>
  <c r="C262" i="50"/>
  <c r="F45" i="50"/>
  <c r="F44" i="50"/>
  <c r="F43" i="50"/>
  <c r="F42" i="50"/>
  <c r="F41" i="50"/>
  <c r="F40" i="50"/>
  <c r="F39" i="50"/>
  <c r="F38" i="50"/>
  <c r="F37" i="50"/>
  <c r="F36" i="50"/>
  <c r="F35" i="50"/>
  <c r="F34" i="50"/>
  <c r="F5" i="28" l="1"/>
  <c r="F6" i="28"/>
  <c r="F7" i="28"/>
  <c r="F8" i="28"/>
  <c r="F9" i="28"/>
  <c r="F10" i="28"/>
  <c r="F11" i="28"/>
  <c r="F12" i="28"/>
  <c r="F13" i="28"/>
  <c r="F14" i="28"/>
  <c r="F15" i="28"/>
  <c r="F4" i="28"/>
  <c r="C290" i="28"/>
  <c r="F41" i="10" s="1"/>
  <c r="G41" i="10" s="1"/>
  <c r="C288" i="28"/>
  <c r="F40" i="10" s="1"/>
  <c r="G40" i="10" s="1"/>
  <c r="C287" i="28"/>
  <c r="C286" i="28"/>
  <c r="C285" i="28"/>
  <c r="C284" i="28"/>
  <c r="C283" i="28"/>
  <c r="C282" i="28"/>
  <c r="C281" i="28"/>
  <c r="C280" i="28"/>
  <c r="C279" i="28"/>
  <c r="C278" i="28"/>
  <c r="C277" i="28"/>
  <c r="C276" i="28"/>
  <c r="C275" i="28"/>
  <c r="C274" i="28"/>
  <c r="C273" i="28"/>
  <c r="C270" i="28"/>
  <c r="C269" i="28"/>
  <c r="C268" i="28"/>
  <c r="C267" i="28"/>
  <c r="C266" i="28"/>
  <c r="C265" i="28"/>
  <c r="C264" i="28"/>
  <c r="C263" i="28"/>
  <c r="C262" i="28"/>
  <c r="F23" i="10" l="1"/>
  <c r="G23" i="10" s="1"/>
  <c r="F36" i="10"/>
  <c r="G36" i="10" s="1"/>
  <c r="F28" i="10"/>
  <c r="G28" i="10" s="1"/>
  <c r="D291" i="28"/>
  <c r="C291" i="28"/>
  <c r="F42" i="10" s="1"/>
  <c r="G42" i="10" s="1"/>
  <c r="D290" i="28"/>
  <c r="E41" i="10" s="1"/>
  <c r="D288" i="28"/>
  <c r="E40" i="10" s="1"/>
  <c r="D287" i="28"/>
  <c r="D286" i="28"/>
  <c r="F37" i="10" s="1"/>
  <c r="G37" i="10" s="1"/>
  <c r="D285" i="28"/>
  <c r="D284" i="28"/>
  <c r="F35" i="10" s="1"/>
  <c r="G35" i="10" s="1"/>
  <c r="D283" i="28"/>
  <c r="F34" i="10" s="1"/>
  <c r="G34" i="10" s="1"/>
  <c r="D282" i="28"/>
  <c r="D281" i="28"/>
  <c r="D280" i="28"/>
  <c r="F31" i="10" s="1"/>
  <c r="G31" i="10" s="1"/>
  <c r="D279" i="28"/>
  <c r="F30" i="10" s="1"/>
  <c r="G30" i="10" s="1"/>
  <c r="D278" i="28"/>
  <c r="F29" i="10" s="1"/>
  <c r="G29" i="10" s="1"/>
  <c r="D277" i="28"/>
  <c r="D276" i="28"/>
  <c r="D275" i="28"/>
  <c r="F26" i="10" s="1"/>
  <c r="G26" i="10" s="1"/>
  <c r="D274" i="28"/>
  <c r="D273" i="28"/>
  <c r="F24" i="10" s="1"/>
  <c r="G24" i="10" s="1"/>
  <c r="D271" i="28"/>
  <c r="D270" i="28"/>
  <c r="D269" i="28"/>
  <c r="F20" i="10" s="1"/>
  <c r="G20" i="10" s="1"/>
  <c r="D268" i="28"/>
  <c r="D267" i="28"/>
  <c r="D266" i="28"/>
  <c r="F17" i="10" s="1"/>
  <c r="G17" i="10" s="1"/>
  <c r="D265" i="28"/>
  <c r="D264" i="28"/>
  <c r="E16" i="10" s="1"/>
  <c r="D263" i="28"/>
  <c r="F14" i="10" s="1"/>
  <c r="G14" i="10" s="1"/>
  <c r="F13" i="10"/>
  <c r="G13" i="10" s="1"/>
  <c r="B1" i="10"/>
  <c r="A6" i="10"/>
  <c r="E42" i="10" l="1"/>
  <c r="F21" i="10"/>
  <c r="G21" i="10" s="1"/>
  <c r="F22" i="10"/>
  <c r="G22" i="10" s="1"/>
  <c r="F39" i="10"/>
  <c r="G39" i="10" s="1"/>
  <c r="F25" i="10"/>
  <c r="G25" i="10" s="1"/>
  <c r="F33" i="10"/>
  <c r="G33" i="10" s="1"/>
  <c r="F27" i="10"/>
  <c r="G27" i="10" s="1"/>
  <c r="F32" i="10"/>
  <c r="G32" i="10" s="1"/>
  <c r="F15" i="10"/>
  <c r="G15" i="10" s="1"/>
  <c r="F16" i="10"/>
  <c r="G16" i="10" s="1"/>
  <c r="F18" i="10"/>
  <c r="G18" i="10" s="1"/>
  <c r="F19" i="10"/>
  <c r="G19" i="10" s="1"/>
  <c r="E24" i="10"/>
  <c r="E27" i="10"/>
  <c r="E35" i="10"/>
  <c r="E28" i="10"/>
  <c r="E25" i="10"/>
  <c r="E29" i="10"/>
  <c r="E33" i="10"/>
  <c r="E34" i="10"/>
  <c r="E39" i="10"/>
  <c r="E26" i="10"/>
  <c r="E23" i="10"/>
  <c r="E30" i="10"/>
  <c r="F38" i="10"/>
  <c r="G38" i="10" s="1"/>
  <c r="E31" i="10"/>
  <c r="E32" i="10"/>
  <c r="E36" i="10"/>
  <c r="E37" i="10"/>
  <c r="E38" i="10"/>
  <c r="E13" i="10"/>
  <c r="E18" i="10"/>
  <c r="E21" i="10"/>
  <c r="E19" i="10"/>
  <c r="E14" i="10"/>
  <c r="E20" i="10"/>
  <c r="E15" i="10"/>
  <c r="E17" i="10"/>
  <c r="E22" i="10"/>
</calcChain>
</file>

<file path=xl/sharedStrings.xml><?xml version="1.0" encoding="utf-8"?>
<sst xmlns="http://schemas.openxmlformats.org/spreadsheetml/2006/main" count="452" uniqueCount="219">
  <si>
    <t xml:space="preserve">From </t>
  </si>
  <si>
    <t xml:space="preserve">Terminal </t>
  </si>
  <si>
    <t xml:space="preserve">Cable Mark </t>
  </si>
  <si>
    <t xml:space="preserve">Wire number </t>
  </si>
  <si>
    <t xml:space="preserve">To </t>
  </si>
  <si>
    <t>Cable trays</t>
  </si>
  <si>
    <t>DATE</t>
  </si>
  <si>
    <t xml:space="preserve">Length of Cable </t>
  </si>
  <si>
    <t>GND</t>
  </si>
  <si>
    <t>MENU</t>
  </si>
  <si>
    <t>PG</t>
  </si>
  <si>
    <t>générality1</t>
  </si>
  <si>
    <t>architecture</t>
  </si>
  <si>
    <t>Electrical cabinet</t>
  </si>
  <si>
    <t>Operateur panel</t>
  </si>
  <si>
    <t>SHIELD</t>
  </si>
  <si>
    <t>Grey</t>
  </si>
  <si>
    <t>Black</t>
  </si>
  <si>
    <t>Brown</t>
  </si>
  <si>
    <t>Sandrine BAJAS</t>
  </si>
  <si>
    <t>Benoit LACROIX</t>
  </si>
  <si>
    <t>Emmanuel BERTHIER</t>
  </si>
  <si>
    <t xml:space="preserve">Augustin FERRAND </t>
  </si>
  <si>
    <t>H05VV5-F</t>
  </si>
  <si>
    <t>3G1 mm²</t>
  </si>
  <si>
    <t>2YSLCY-K</t>
  </si>
  <si>
    <t>5G1 mm²</t>
  </si>
  <si>
    <t>U1000-R2V</t>
  </si>
  <si>
    <t>7G1 mm²</t>
  </si>
  <si>
    <t>U1000-H07</t>
  </si>
  <si>
    <t>12G1 mm²</t>
  </si>
  <si>
    <t>PROFINET</t>
  </si>
  <si>
    <t>19G1 mm²</t>
  </si>
  <si>
    <t>27G1 mm²</t>
  </si>
  <si>
    <t>3G1,5 mm²</t>
  </si>
  <si>
    <t>3G2,5 mm²</t>
  </si>
  <si>
    <t>5G2,5 mm²</t>
  </si>
  <si>
    <t>4G1,5 mm²</t>
  </si>
  <si>
    <t>4G2,5 mm²</t>
  </si>
  <si>
    <t>4G1,5 mm² (Shield)</t>
  </si>
  <si>
    <t>4G2,5 mm² (Shield)</t>
  </si>
  <si>
    <t>4G4 mm² (Shield)</t>
  </si>
  <si>
    <t>4G6 mm² (Shield)</t>
  </si>
  <si>
    <t>6XV1840-2AH10</t>
  </si>
  <si>
    <t>3G1 mm² (Shield)</t>
  </si>
  <si>
    <t>Shielded cable
3 x 1,5mm² +
GND (1000V)</t>
  </si>
  <si>
    <t>Shielded cable
3 x 2,5mm² +
GND (1000V)</t>
  </si>
  <si>
    <t>Shielded cable
3 x 4mm² +
GND (1000V)</t>
  </si>
  <si>
    <t>3 x 1,5mm² +
GND (1000V)</t>
  </si>
  <si>
    <t>3 x 2,5mm² +
GND (1000V)</t>
  </si>
  <si>
    <t>3 x 4mm² +
GND (1000V)</t>
  </si>
  <si>
    <t>3 x 6mm² +
GND (1000V)</t>
  </si>
  <si>
    <t>3 x 10mm² +
GND (1000V)</t>
  </si>
  <si>
    <t>3 x 16mm² +
GND (1000V)</t>
  </si>
  <si>
    <t>3 x 25mm² +
GND (1000V)</t>
  </si>
  <si>
    <t>3 x 35mm² +
GND (1000V)</t>
  </si>
  <si>
    <t>3 x 50mm² +
GND (1000V)</t>
  </si>
  <si>
    <t>3 x 70mm² +
GND (1000V)</t>
  </si>
  <si>
    <t>Shielded cable
3 x 6mm² +
GND (1000V)</t>
  </si>
  <si>
    <t>Shielded cable
3 x 10mm² +
GND (1000V)</t>
  </si>
  <si>
    <t>Shielded cable
3 x 16mm² +
GND (1000V)</t>
  </si>
  <si>
    <t>Shielded cable
3 x 25mm² +
GND (1000V)</t>
  </si>
  <si>
    <t>Shielded cable
3 x 35mm² +
GND (1000V)</t>
  </si>
  <si>
    <t>Shielded cable
3 x 50mm² +
GND (1000V)</t>
  </si>
  <si>
    <t>Shielded cable
3 x 70mm² +
GND (1000V)</t>
  </si>
  <si>
    <t>Shielded cable
3 x 95mm² +
GND (1000V)</t>
  </si>
  <si>
    <t>Weighing feeder N°2</t>
  </si>
  <si>
    <t>Connecting box</t>
  </si>
  <si>
    <t>B3209-10204-05</t>
  </si>
  <si>
    <t>total cable</t>
  </si>
  <si>
    <t>Type</t>
  </si>
  <si>
    <t>Cross section</t>
  </si>
  <si>
    <t>Length [m]</t>
  </si>
  <si>
    <t>Bare copper</t>
  </si>
  <si>
    <t>Cu nu 25mm²</t>
  </si>
  <si>
    <t>Earthing  cable
25 mm²</t>
  </si>
  <si>
    <t>DONNEES</t>
  </si>
  <si>
    <t>COLLECTING CONVEYOR</t>
  </si>
  <si>
    <t>OILING DEVICE</t>
  </si>
  <si>
    <t>Type of cable</t>
  </si>
  <si>
    <t>U</t>
  </si>
  <si>
    <t>V</t>
  </si>
  <si>
    <t>W</t>
  </si>
  <si>
    <t>B</t>
  </si>
  <si>
    <t>T</t>
  </si>
  <si>
    <t>CHIMNEY</t>
  </si>
  <si>
    <t>4G4 mm²</t>
  </si>
  <si>
    <t>4G6 mm²</t>
  </si>
  <si>
    <t>4G10 mm²</t>
  </si>
  <si>
    <t>4G16 mm²</t>
  </si>
  <si>
    <t>4G25 mm²</t>
  </si>
  <si>
    <t>4G35 mm²</t>
  </si>
  <si>
    <t>4G50 mm²</t>
  </si>
  <si>
    <t>4G70 mm²</t>
  </si>
  <si>
    <t>4G10 mm² (Shield)</t>
  </si>
  <si>
    <t>4G16 mm² (Shield)</t>
  </si>
  <si>
    <t>4G25 mm² (Shield)</t>
  </si>
  <si>
    <t>4G35 mm² (Shield)</t>
  </si>
  <si>
    <t>4G50 mm² (Shield)</t>
  </si>
  <si>
    <t>4G70 mm² (Shield)</t>
  </si>
  <si>
    <t>4G95 mm² (Shield)</t>
  </si>
  <si>
    <t>VT560TRD</t>
  </si>
  <si>
    <t>FLAP CVO</t>
  </si>
  <si>
    <t>FLAP DTA</t>
  </si>
  <si>
    <t>FLAP DFL</t>
  </si>
  <si>
    <t>DMX</t>
  </si>
  <si>
    <t>WEIG.FEED 1</t>
  </si>
  <si>
    <t>OH1000 N°1</t>
  </si>
  <si>
    <t>SUPERMIX</t>
  </si>
  <si>
    <t>360°</t>
  </si>
  <si>
    <t>U2</t>
  </si>
  <si>
    <t>V2</t>
  </si>
  <si>
    <t>W2</t>
  </si>
  <si>
    <t>PE</t>
  </si>
  <si>
    <t>Shielded cable
2 x 1mm² +
GND (500V)</t>
  </si>
  <si>
    <t>L</t>
  </si>
  <si>
    <t>E</t>
  </si>
  <si>
    <t>Stand-by</t>
  </si>
  <si>
    <t>CHUTE FEED EXEL</t>
  </si>
  <si>
    <t>PROFINET CABLE</t>
  </si>
  <si>
    <t>PROFINET CABLE
6XV1840-2AH10</t>
  </si>
  <si>
    <r>
      <t xml:space="preserve">ELECTRICAL CABINET
10xxx90x
</t>
    </r>
    <r>
      <rPr>
        <b/>
        <i/>
        <u/>
        <sz val="12"/>
        <color rgb="FF002060"/>
        <rFont val="Calibri"/>
        <family val="2"/>
        <scheme val="minor"/>
      </rPr>
      <t xml:space="preserve">DOOR </t>
    </r>
    <r>
      <rPr>
        <b/>
        <u/>
        <sz val="12"/>
        <color rgb="FF002060"/>
        <rFont val="Calibri"/>
        <family val="2"/>
        <scheme val="minor"/>
      </rPr>
      <t xml:space="preserve">
</t>
    </r>
    <r>
      <rPr>
        <b/>
        <i/>
        <u/>
        <sz val="12"/>
        <color rgb="FF002060"/>
        <rFont val="Calibri"/>
        <family val="2"/>
        <scheme val="minor"/>
      </rPr>
      <t>X….</t>
    </r>
  </si>
  <si>
    <t>EXCHANGE</t>
  </si>
  <si>
    <t>NEXT MACHINE</t>
  </si>
  <si>
    <t>ELECTRICAL CABINET
CARDE</t>
  </si>
  <si>
    <t>W-CARD-01</t>
  </si>
  <si>
    <r>
      <t xml:space="preserve">ELECTRICAL CABINET
10xxx90x
</t>
    </r>
    <r>
      <rPr>
        <b/>
        <sz val="11"/>
        <color rgb="FF002060"/>
        <rFont val="Calibri"/>
        <family val="2"/>
        <scheme val="minor"/>
      </rPr>
      <t>CPU-S7-1515
X2-P1</t>
    </r>
  </si>
  <si>
    <t>FILTRATION</t>
  </si>
  <si>
    <t>A</t>
  </si>
  <si>
    <r>
      <t xml:space="preserve">ELECTRICAL CABINET
10xxx90x
</t>
    </r>
    <r>
      <rPr>
        <b/>
        <i/>
        <u/>
        <sz val="12"/>
        <color rgb="FF002060"/>
        <rFont val="Calibri"/>
        <family val="2"/>
        <scheme val="minor"/>
      </rPr>
      <t>DOOR 
Inverter Axxx</t>
    </r>
  </si>
  <si>
    <t>W-xx/1</t>
  </si>
  <si>
    <t>COD HPV</t>
  </si>
  <si>
    <t>COD FC</t>
  </si>
  <si>
    <t>EXEL CYL.1</t>
  </si>
  <si>
    <t>EXEL CYL.2</t>
  </si>
  <si>
    <t>MOTEUR ONLY</t>
  </si>
  <si>
    <t>MOTOR WITH CONTACT</t>
  </si>
  <si>
    <t>RECAP CABLE</t>
  </si>
  <si>
    <t>ETHERNET</t>
  </si>
  <si>
    <t>ELECTRICAL COPPER CABLES</t>
  </si>
  <si>
    <t>Customer: CUSTOMER (PAYS)</t>
  </si>
  <si>
    <t>VERTICAL RESERVE</t>
  </si>
  <si>
    <t>AIR-LAY</t>
  </si>
  <si>
    <t>C</t>
  </si>
  <si>
    <t>SEREL</t>
  </si>
  <si>
    <t>CUTTING SYSTEM</t>
  </si>
  <si>
    <t>MAT FORMER</t>
  </si>
  <si>
    <t>SUPERTRIM</t>
  </si>
  <si>
    <t>PO1000 N°1</t>
  </si>
  <si>
    <t>Nicolas POUILLON</t>
  </si>
  <si>
    <t>2 x 1mm² +
GND (500V)</t>
  </si>
  <si>
    <t>4 x 1mm² +
GND (500V)</t>
  </si>
  <si>
    <t>6 x 1mm² +
GND (500V)</t>
  </si>
  <si>
    <t>11 x 1mm² +
GND (500V)</t>
  </si>
  <si>
    <t>18 x 1mm² +
GND (500V)</t>
  </si>
  <si>
    <t>26 x 1mm² +
GND (500V)</t>
  </si>
  <si>
    <t>2 x 1,5mm² +
GND (500V)</t>
  </si>
  <si>
    <t>2 x 2,5mm² +
GND (500V)</t>
  </si>
  <si>
    <t>4 x 2,5mm² +
GND (500V)</t>
  </si>
  <si>
    <t>CONTACT ONLY</t>
  </si>
  <si>
    <t>DIVERTING SYSTEM</t>
  </si>
  <si>
    <t>BAGGING</t>
  </si>
  <si>
    <t>CHUTE FEED JUMBO</t>
  </si>
  <si>
    <t>JUMBO CYL.1</t>
  </si>
  <si>
    <t>JUMBO CYL.2</t>
  </si>
  <si>
    <t>CHUTE FEED STEP CLEANER</t>
  </si>
  <si>
    <t>STEP CLEANER</t>
  </si>
  <si>
    <t>BALE BUSTER</t>
  </si>
  <si>
    <t>NB CABLE</t>
  </si>
  <si>
    <t>All cable</t>
  </si>
  <si>
    <t>Electrical cabinet 10xxx901</t>
  </si>
  <si>
    <t>cable inverter</t>
  </si>
  <si>
    <t>VT540TR</t>
  </si>
  <si>
    <t>INDICE</t>
  </si>
  <si>
    <t>MODIFICATION</t>
  </si>
  <si>
    <t>MISE A JOUR NOM DE MACHINE</t>
  </si>
  <si>
    <t>Cable cross-section provided for information only, certain assumptions have been made, does not take into account special cases, installation method, environment, etc...
In all cases, it is the user's responsibility to ensure that all data is correct and that the cable used is suitable for its intended purpose.</t>
  </si>
  <si>
    <t>Section des câbles fournie à titre indicatif, certaines hypothèses ont été faites, ne prend pas en compte les cas particuliers, le mode de pose, l’environnement, etc...
Dans tous les cas, il incombe à l’utilisateur de s’assurer que toutes les données sont correctes et que le câble utilisé est adapté à sa destination.</t>
  </si>
  <si>
    <t>RECYCLING</t>
  </si>
  <si>
    <r>
      <t xml:space="preserve">ELECTRICAL CABINET
10xxx90x
</t>
    </r>
    <r>
      <rPr>
        <b/>
        <i/>
        <u/>
        <sz val="12"/>
        <color rgb="FF002060"/>
        <rFont val="Calibri"/>
        <family val="2"/>
        <scheme val="minor"/>
      </rPr>
      <t xml:space="preserve">DOOR </t>
    </r>
    <r>
      <rPr>
        <b/>
        <u/>
        <sz val="12"/>
        <color rgb="FF002060"/>
        <rFont val="Calibri"/>
        <family val="2"/>
        <scheme val="minor"/>
      </rPr>
      <t xml:space="preserve">
</t>
    </r>
    <r>
      <rPr>
        <b/>
        <i/>
        <u/>
        <sz val="12"/>
        <color rgb="FF002060"/>
        <rFont val="Calibri"/>
        <family val="2"/>
        <scheme val="minor"/>
      </rPr>
      <t>X,,,</t>
    </r>
  </si>
  <si>
    <t>AJOUT ONGLET RECYCLING</t>
  </si>
  <si>
    <t>mise a jour des COLONNE de cable de puissance</t>
  </si>
  <si>
    <t>STARCUT</t>
  </si>
  <si>
    <t>D</t>
  </si>
  <si>
    <t>BLENDING BOX SILO S</t>
  </si>
  <si>
    <t>BLENDING BOX DOUBLE 1</t>
  </si>
  <si>
    <t>BLENDING BOX DOUBLE 2</t>
  </si>
  <si>
    <t>AJOUT ONGLET STARCUT / SILO DOUBLE ET HOPPER FEEDER</t>
  </si>
  <si>
    <t>HOPP.FEED</t>
  </si>
  <si>
    <t>4x1 mm² (Shield)</t>
  </si>
  <si>
    <t>4x0,5 mm²</t>
  </si>
  <si>
    <t>4x0,5 mm² (Shield)</t>
  </si>
  <si>
    <t>Shielded cable
4 x 0,5mm² (500V)</t>
  </si>
  <si>
    <r>
      <rPr>
        <b/>
        <sz val="12"/>
        <color theme="1"/>
        <rFont val="Times New Roman"/>
        <family val="1"/>
      </rPr>
      <t>Shielded cable</t>
    </r>
    <r>
      <rPr>
        <sz val="12"/>
        <color theme="1"/>
        <rFont val="Times New Roman"/>
        <family val="1"/>
      </rPr>
      <t xml:space="preserve">
4 x 0,5mm² (500V)</t>
    </r>
  </si>
  <si>
    <t>COD SP</t>
  </si>
  <si>
    <t>COD BWC</t>
  </si>
  <si>
    <t>BFBO</t>
  </si>
  <si>
    <t>Ajout onglet BWC/BFBO/COD SP et cable 4x0,5</t>
  </si>
  <si>
    <t>F</t>
  </si>
  <si>
    <t>mise a jour des COLONNE</t>
  </si>
  <si>
    <t>CAETTE CYL.1</t>
  </si>
  <si>
    <t>CAETTE CYL.2</t>
  </si>
  <si>
    <t>G</t>
  </si>
  <si>
    <t>Ajout onglet cadette Cyl 1 et 2</t>
  </si>
  <si>
    <t>WMS/1</t>
  </si>
  <si>
    <t>WV01/1</t>
  </si>
  <si>
    <t>WMxxx/1</t>
  </si>
  <si>
    <t>H</t>
  </si>
  <si>
    <t>Changement item moteur</t>
  </si>
  <si>
    <t>TABLIER INCL1</t>
  </si>
  <si>
    <t>i</t>
  </si>
  <si>
    <t>SCREENER</t>
  </si>
  <si>
    <t>WASTE</t>
  </si>
  <si>
    <t>Ajout onglet Tab incliné avec DMX + Waste hemp +screener</t>
  </si>
  <si>
    <t>4G120 mm² (Shield)</t>
  </si>
  <si>
    <t>Shielded cable
3 x 120mm² +
GND (1000V)</t>
  </si>
  <si>
    <t>DZ</t>
  </si>
  <si>
    <t>j</t>
  </si>
  <si>
    <t>Ajout ligne 120mm² shield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</si>
</sst>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0" x14ac:knownFonts="1">
    <font>
      <sz val="11"/>
      <color theme="1"/>
      <name val="Calibri"/>
      <family val="2"/>
      <scheme val="minor"/>
    </font>
    <font>
      <sz val="10"/>
      <color rgb="FF000000"/>
      <name val="Times New Roman"/>
      <family val="1"/>
    </font>
    <font>
      <sz val="14"/>
      <color theme="1"/>
      <name val="Times New Roman"/>
      <family val="1"/>
    </font>
    <font>
      <sz val="12"/>
      <color theme="1"/>
      <name val="Times New Roman"/>
      <family val="1"/>
    </font>
    <font>
      <b/>
      <u/>
      <sz val="20"/>
      <color theme="1"/>
      <name val="Times New Roman"/>
      <family val="1"/>
    </font>
    <font>
      <b/>
      <sz val="12"/>
      <color theme="1"/>
      <name val="Times New Roman"/>
      <family val="1"/>
    </font>
    <font>
      <b/>
      <sz val="14"/>
      <color theme="1"/>
      <name val="Times New Roman"/>
      <family val="1"/>
    </font>
    <font>
      <sz val="10"/>
      <name val="Arial"/>
      <family val="2"/>
    </font>
    <font>
      <sz val="14"/>
      <color theme="1"/>
      <name val="Calibri"/>
      <family val="2"/>
      <scheme val="minor"/>
    </font>
    <font>
      <b/>
      <u/>
      <sz val="14"/>
      <color rgb="FF008000"/>
      <name val="Times New Roman"/>
      <family val="1"/>
    </font>
    <font>
      <sz val="10"/>
      <color rgb="FFFF0000"/>
      <name val="Arial"/>
      <family val="2"/>
    </font>
    <font>
      <sz val="12"/>
      <color theme="1"/>
      <name val="Calibri"/>
      <family val="2"/>
      <scheme val="minor"/>
    </font>
    <font>
      <sz val="12"/>
      <color rgb="FF002060"/>
      <name val="Calibri"/>
      <family val="2"/>
      <scheme val="minor"/>
    </font>
    <font>
      <b/>
      <i/>
      <u/>
      <sz val="12"/>
      <color rgb="FF002060"/>
      <name val="Calibri"/>
      <family val="2"/>
      <scheme val="minor"/>
    </font>
    <font>
      <b/>
      <u/>
      <sz val="12"/>
      <color rgb="FF002060"/>
      <name val="Calibri"/>
      <family val="2"/>
      <scheme val="minor"/>
    </font>
    <font>
      <b/>
      <sz val="12"/>
      <color theme="1"/>
      <name val="Calibri"/>
      <family val="2"/>
      <scheme val="minor"/>
    </font>
    <font>
      <b/>
      <sz val="14"/>
      <color theme="1"/>
      <name val="Calibri"/>
      <family val="2"/>
      <scheme val="minor"/>
    </font>
    <font>
      <sz val="11"/>
      <color theme="1"/>
      <name val="Times New Roman"/>
      <family val="1"/>
    </font>
    <font>
      <sz val="8"/>
      <name val="Calibri"/>
      <family val="2"/>
      <scheme val="minor"/>
    </font>
    <font>
      <sz val="10"/>
      <color rgb="FF000000"/>
      <name val="Calibri"/>
      <family val="2"/>
      <scheme val="minor"/>
    </font>
    <font>
      <sz val="12"/>
      <color rgb="FF000000"/>
      <name val="Calibri"/>
      <family val="2"/>
      <scheme val="minor"/>
    </font>
    <font>
      <b/>
      <sz val="12"/>
      <color rgb="FF000000"/>
      <name val="Calibri"/>
      <family val="2"/>
      <scheme val="minor"/>
    </font>
    <font>
      <sz val="11"/>
      <color rgb="FF000000"/>
      <name val="Calibri"/>
      <family val="2"/>
      <scheme val="minor"/>
    </font>
    <font>
      <sz val="14"/>
      <color rgb="FF000000"/>
      <name val="Calibri"/>
      <family val="2"/>
      <scheme val="minor"/>
    </font>
    <font>
      <b/>
      <sz val="11"/>
      <color theme="1"/>
      <name val="Calibri"/>
      <family val="2"/>
      <scheme val="minor"/>
    </font>
    <font>
      <sz val="11"/>
      <color rgb="FF002060"/>
      <name val="Calibri"/>
      <family val="2"/>
      <scheme val="minor"/>
    </font>
    <font>
      <b/>
      <sz val="11"/>
      <color rgb="FF002060"/>
      <name val="Calibri"/>
      <family val="2"/>
      <scheme val="minor"/>
    </font>
    <font>
      <sz val="12"/>
      <name val="Arial"/>
      <family val="2"/>
    </font>
    <font>
      <sz val="11"/>
      <color theme="0"/>
      <name val="Calibri"/>
      <family val="2"/>
      <scheme val="minor"/>
    </font>
    <font>
      <b/>
      <sz val="14"/>
      <color rgb="FF000000"/>
      <name val="Calibri"/>
      <family val="2"/>
      <scheme val="minor"/>
    </font>
  </fonts>
  <fills count="6">
    <fill>
      <patternFill patternType="none"/>
    </fill>
    <fill>
      <patternFill patternType="gray125"/>
    </fill>
    <fill>
      <patternFill patternType="solid">
        <fgColor indexed="22"/>
        <bgColor indexed="64"/>
      </patternFill>
    </fill>
    <fill>
      <patternFill patternType="solid">
        <fgColor theme="0"/>
        <bgColor indexed="64"/>
      </patternFill>
    </fill>
    <fill>
      <patternFill patternType="solid">
        <fgColor rgb="FFFF0000"/>
        <bgColor indexed="64"/>
      </patternFill>
    </fill>
    <fill>
      <patternFill patternType="solid">
        <fgColor theme="0" tint="-0.14999847407452621"/>
        <bgColor indexed="64"/>
      </patternFill>
    </fill>
  </fills>
  <borders count="16">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thin">
        <color indexed="64"/>
      </top>
      <bottom/>
      <diagonal/>
    </border>
    <border>
      <left/>
      <right style="medium">
        <color indexed="64"/>
      </right>
      <top style="medium">
        <color indexed="64"/>
      </top>
      <bottom style="medium">
        <color indexed="64"/>
      </bottom>
      <diagonal/>
    </border>
    <border>
      <left style="thin">
        <color indexed="64"/>
      </left>
      <right style="thin">
        <color indexed="64"/>
      </right>
      <top/>
      <bottom/>
      <diagonal/>
    </border>
    <border>
      <left style="medium">
        <color indexed="64"/>
      </left>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diagonal/>
    </border>
  </borders>
  <cellStyleXfs count="1">
    <xf numFmtId="0" fontId="0" fillId="0" borderId="0"/>
  </cellStyleXfs>
  <cellXfs count="107">
    <xf numFmtId="0" fontId="0" fillId="0" borderId="0" xfId="0"/>
    <xf numFmtId="0" fontId="0" fillId="0" borderId="0" xfId="0" applyAlignment="1">
      <alignment horizontal="center" vertical="center"/>
    </xf>
    <xf numFmtId="0" fontId="7" fillId="0" borderId="0" xfId="0" applyFont="1"/>
    <xf numFmtId="0" fontId="0" fillId="0" borderId="0" xfId="0" applyAlignment="1">
      <alignment vertical="top"/>
    </xf>
    <xf numFmtId="0" fontId="7" fillId="0" borderId="0" xfId="0" applyFont="1" applyAlignment="1">
      <alignment vertical="top"/>
    </xf>
    <xf numFmtId="0" fontId="6" fillId="0" borderId="0" xfId="0" applyFont="1" applyAlignment="1">
      <alignment horizontal="center" vertical="center"/>
    </xf>
    <xf numFmtId="0" fontId="2" fillId="0" borderId="0" xfId="0" applyFont="1" applyAlignment="1">
      <alignment horizontal="center" vertical="center"/>
    </xf>
    <xf numFmtId="0" fontId="9" fillId="0" borderId="0" xfId="0" applyFont="1"/>
    <xf numFmtId="0" fontId="7" fillId="0" borderId="11" xfId="0" applyFont="1" applyBorder="1" applyAlignment="1">
      <alignment horizontal="centerContinuous" vertical="top"/>
    </xf>
    <xf numFmtId="0" fontId="7" fillId="0" borderId="14" xfId="0" applyFont="1" applyBorder="1" applyAlignment="1">
      <alignment horizontal="centerContinuous" vertical="top"/>
    </xf>
    <xf numFmtId="0" fontId="7" fillId="0" borderId="9" xfId="0" applyFont="1" applyBorder="1" applyAlignment="1">
      <alignment horizontal="centerContinuous" vertical="top"/>
    </xf>
    <xf numFmtId="0" fontId="7" fillId="2" borderId="15" xfId="0" applyFont="1" applyFill="1" applyBorder="1" applyAlignment="1">
      <alignment horizontal="center" vertical="center"/>
    </xf>
    <xf numFmtId="0" fontId="7" fillId="2" borderId="15" xfId="0" applyFont="1" applyFill="1" applyBorder="1" applyAlignment="1">
      <alignment horizontal="center" vertical="center" wrapText="1"/>
    </xf>
    <xf numFmtId="0" fontId="7" fillId="3" borderId="3" xfId="0" quotePrefix="1" applyFont="1" applyFill="1" applyBorder="1" applyAlignment="1">
      <alignment horizontal="center" vertical="center" wrapText="1"/>
    </xf>
    <xf numFmtId="0" fontId="7" fillId="0" borderId="1" xfId="0" applyFont="1" applyBorder="1" applyAlignment="1">
      <alignment horizontal="center" vertical="center"/>
    </xf>
    <xf numFmtId="0" fontId="7" fillId="0" borderId="5" xfId="0" applyFont="1" applyBorder="1" applyAlignment="1">
      <alignment vertical="top"/>
    </xf>
    <xf numFmtId="0" fontId="7" fillId="3" borderId="13" xfId="0" quotePrefix="1" applyFont="1" applyFill="1" applyBorder="1" applyAlignment="1">
      <alignment horizontal="center" vertical="center" wrapText="1"/>
    </xf>
    <xf numFmtId="0" fontId="7" fillId="0" borderId="12" xfId="0" applyFont="1" applyBorder="1" applyAlignment="1">
      <alignment horizontal="center" vertical="center"/>
    </xf>
    <xf numFmtId="0" fontId="7" fillId="0" borderId="7" xfId="0" applyFont="1" applyBorder="1" applyAlignment="1">
      <alignment horizontal="center" vertical="center"/>
    </xf>
    <xf numFmtId="0" fontId="8" fillId="0" borderId="0" xfId="0" applyFont="1" applyAlignment="1">
      <alignment horizontal="left" vertical="center"/>
    </xf>
    <xf numFmtId="0" fontId="17" fillId="0" borderId="1" xfId="0" applyFont="1" applyBorder="1" applyAlignment="1">
      <alignment horizontal="center" vertical="center" wrapText="1"/>
    </xf>
    <xf numFmtId="0" fontId="0" fillId="0" borderId="0" xfId="0" applyFont="1" applyAlignment="1">
      <alignment horizontal="right" vertical="center"/>
    </xf>
    <xf numFmtId="0" fontId="0" fillId="0" borderId="0" xfId="0" applyFont="1" applyAlignment="1">
      <alignment horizontal="center" vertical="center"/>
    </xf>
    <xf numFmtId="0" fontId="22" fillId="0" borderId="1" xfId="0" applyFont="1" applyBorder="1" applyAlignment="1">
      <alignment horizontal="center" vertical="center" wrapText="1"/>
    </xf>
    <xf numFmtId="0" fontId="7" fillId="0" borderId="10" xfId="0" applyFont="1" applyFill="1" applyBorder="1" applyAlignment="1">
      <alignment horizontal="center" vertical="center"/>
    </xf>
    <xf numFmtId="0" fontId="7" fillId="3" borderId="4" xfId="0" quotePrefix="1" applyFont="1" applyFill="1" applyBorder="1" applyAlignment="1">
      <alignment horizontal="center" vertical="center" wrapText="1"/>
    </xf>
    <xf numFmtId="0" fontId="7" fillId="0" borderId="6" xfId="0" applyFont="1" applyBorder="1" applyAlignment="1">
      <alignment horizontal="center" vertical="center"/>
    </xf>
    <xf numFmtId="0" fontId="7" fillId="3" borderId="2" xfId="0" quotePrefix="1" applyFont="1" applyFill="1" applyBorder="1" applyAlignment="1">
      <alignment horizontal="center" vertical="center" wrapText="1"/>
    </xf>
    <xf numFmtId="0" fontId="2" fillId="0" borderId="0" xfId="0" applyFont="1" applyAlignment="1">
      <alignment horizontal="right" vertical="center"/>
    </xf>
    <xf numFmtId="0" fontId="8" fillId="0" borderId="0" xfId="0" applyFont="1" applyAlignment="1">
      <alignment horizontal="right" vertical="center"/>
    </xf>
    <xf numFmtId="0" fontId="28" fillId="0" borderId="0" xfId="0" applyFont="1"/>
    <xf numFmtId="1" fontId="10" fillId="0" borderId="1" xfId="0" applyNumberFormat="1" applyFont="1" applyBorder="1" applyAlignment="1">
      <alignment horizontal="center" vertical="center"/>
    </xf>
    <xf numFmtId="0" fontId="7" fillId="2" borderId="1" xfId="0" applyFont="1" applyFill="1" applyBorder="1" applyAlignment="1">
      <alignment horizontal="center" vertical="center" wrapText="1"/>
    </xf>
    <xf numFmtId="0" fontId="0" fillId="0" borderId="1" xfId="0" applyBorder="1"/>
    <xf numFmtId="0" fontId="0" fillId="5" borderId="1" xfId="0" applyFill="1" applyBorder="1"/>
    <xf numFmtId="14" fontId="0" fillId="0" borderId="1" xfId="0" applyNumberFormat="1" applyBorder="1"/>
    <xf numFmtId="0" fontId="0" fillId="0" borderId="1" xfId="0" applyBorder="1" applyAlignment="1">
      <alignment horizontal="center" vertical="center" wrapText="1"/>
    </xf>
    <xf numFmtId="0" fontId="0" fillId="0" borderId="1" xfId="0" applyBorder="1" applyAlignment="1">
      <alignment horizontal="center" vertical="center"/>
    </xf>
    <xf numFmtId="0" fontId="16" fillId="0" borderId="1" xfId="0" applyFont="1" applyBorder="1" applyAlignment="1">
      <alignment horizontal="center" vertical="center"/>
    </xf>
    <xf numFmtId="0" fontId="19" fillId="0" borderId="1" xfId="0" applyFont="1" applyBorder="1" applyAlignment="1">
      <alignment horizontal="center" vertical="center" wrapText="1"/>
    </xf>
    <xf numFmtId="0" fontId="0" fillId="0" borderId="1" xfId="0" applyFont="1" applyBorder="1" applyAlignment="1">
      <alignment horizontal="center" vertical="center"/>
    </xf>
    <xf numFmtId="0" fontId="0" fillId="0" borderId="1" xfId="0" applyFont="1" applyBorder="1" applyAlignment="1">
      <alignment horizontal="center" vertical="center" wrapText="1"/>
    </xf>
    <xf numFmtId="0" fontId="7" fillId="0" borderId="1" xfId="0" applyFont="1" applyBorder="1" applyAlignment="1">
      <alignment horizontal="center" vertical="center"/>
    </xf>
    <xf numFmtId="0" fontId="7" fillId="0" borderId="1" xfId="0" applyFont="1" applyBorder="1" applyAlignment="1">
      <alignment horizontal="center" vertical="center"/>
    </xf>
    <xf numFmtId="0" fontId="19" fillId="0" borderId="1" xfId="0" applyFont="1" applyBorder="1" applyAlignment="1">
      <alignment horizontal="center" vertical="center" wrapText="1"/>
    </xf>
    <xf numFmtId="0" fontId="0" fillId="0" borderId="1" xfId="0" applyFont="1" applyBorder="1" applyAlignment="1">
      <alignment horizontal="center" vertical="center"/>
    </xf>
    <xf numFmtId="0" fontId="7" fillId="0" borderId="1" xfId="0" applyFont="1" applyBorder="1" applyAlignment="1">
      <alignment horizontal="center" vertical="center"/>
    </xf>
    <xf numFmtId="0" fontId="2" fillId="0" borderId="0" xfId="0" applyFont="1" applyAlignment="1" applyProtection="1">
      <alignment horizontal="right" vertical="center"/>
      <protection locked="0"/>
    </xf>
    <xf numFmtId="0" fontId="8" fillId="0" borderId="0" xfId="0" applyFont="1" applyAlignment="1" applyProtection="1">
      <alignment horizontal="left" vertical="center"/>
      <protection locked="0"/>
    </xf>
    <xf numFmtId="0" fontId="0" fillId="0" borderId="0" xfId="0" applyAlignment="1" applyProtection="1">
      <alignment horizontal="center" vertical="center"/>
      <protection locked="0"/>
    </xf>
    <xf numFmtId="0" fontId="0" fillId="0" borderId="0" xfId="0" applyProtection="1">
      <protection locked="0"/>
    </xf>
    <xf numFmtId="0" fontId="1" fillId="0" borderId="1" xfId="0" applyFont="1" applyBorder="1" applyAlignment="1" applyProtection="1">
      <alignment horizontal="center" vertical="center" wrapText="1"/>
      <protection locked="0"/>
    </xf>
    <xf numFmtId="0" fontId="0" fillId="0" borderId="1" xfId="0" applyBorder="1" applyAlignment="1" applyProtection="1">
      <alignment horizontal="center" vertical="center"/>
      <protection locked="0"/>
    </xf>
    <xf numFmtId="0" fontId="0" fillId="0" borderId="1" xfId="0" applyBorder="1" applyAlignment="1" applyProtection="1">
      <alignment horizontal="center" vertical="center" wrapText="1"/>
      <protection locked="0"/>
    </xf>
    <xf numFmtId="0" fontId="25" fillId="0" borderId="1" xfId="0" applyFont="1" applyBorder="1" applyAlignment="1" applyProtection="1">
      <alignment horizontal="center" vertical="center" wrapText="1"/>
      <protection locked="0"/>
    </xf>
    <xf numFmtId="0" fontId="17" fillId="0" borderId="1" xfId="0" applyFont="1" applyBorder="1" applyAlignment="1" applyProtection="1">
      <alignment horizontal="center" vertical="center"/>
      <protection locked="0"/>
    </xf>
    <xf numFmtId="0" fontId="24" fillId="0" borderId="1" xfId="0" applyFont="1" applyBorder="1" applyAlignment="1" applyProtection="1">
      <alignment horizontal="center" vertical="center"/>
      <protection locked="0"/>
    </xf>
    <xf numFmtId="0" fontId="7" fillId="0" borderId="11" xfId="0" applyFont="1" applyBorder="1" applyAlignment="1" applyProtection="1">
      <alignment horizontal="centerContinuous" vertical="top"/>
    </xf>
    <xf numFmtId="0" fontId="0" fillId="0" borderId="0" xfId="0" applyAlignment="1" applyProtection="1">
      <alignment horizontal="center" vertical="center"/>
    </xf>
    <xf numFmtId="0" fontId="7" fillId="0" borderId="14" xfId="0" applyFont="1" applyBorder="1" applyAlignment="1" applyProtection="1">
      <alignment horizontal="centerContinuous" vertical="top"/>
    </xf>
    <xf numFmtId="0" fontId="7" fillId="0" borderId="9" xfId="0" applyFont="1" applyBorder="1" applyAlignment="1" applyProtection="1">
      <alignment horizontal="centerContinuous" vertical="top"/>
    </xf>
    <xf numFmtId="0" fontId="7" fillId="2" borderId="15" xfId="0" applyFont="1" applyFill="1" applyBorder="1" applyAlignment="1" applyProtection="1">
      <alignment horizontal="center" vertical="center"/>
    </xf>
    <xf numFmtId="0" fontId="7" fillId="2" borderId="15" xfId="0" applyFont="1" applyFill="1" applyBorder="1" applyAlignment="1" applyProtection="1">
      <alignment horizontal="center" vertical="center" wrapText="1"/>
    </xf>
    <xf numFmtId="0" fontId="7" fillId="3" borderId="2" xfId="0" quotePrefix="1" applyFont="1" applyFill="1" applyBorder="1" applyAlignment="1" applyProtection="1">
      <alignment horizontal="center" vertical="center" wrapText="1"/>
    </xf>
    <xf numFmtId="0" fontId="7" fillId="3" borderId="3" xfId="0" quotePrefix="1" applyFont="1" applyFill="1" applyBorder="1" applyAlignment="1" applyProtection="1">
      <alignment horizontal="center" vertical="center" wrapText="1"/>
    </xf>
    <xf numFmtId="0" fontId="7" fillId="0" borderId="5" xfId="0" applyFont="1" applyBorder="1" applyAlignment="1" applyProtection="1">
      <alignment vertical="top"/>
    </xf>
    <xf numFmtId="0" fontId="7" fillId="3" borderId="4" xfId="0" quotePrefix="1" applyFont="1" applyFill="1" applyBorder="1" applyAlignment="1" applyProtection="1">
      <alignment horizontal="center" vertical="center" wrapText="1"/>
    </xf>
    <xf numFmtId="0" fontId="7" fillId="0" borderId="1" xfId="0" applyFont="1" applyBorder="1" applyAlignment="1" applyProtection="1">
      <alignment horizontal="center" vertical="center"/>
    </xf>
    <xf numFmtId="0" fontId="7" fillId="0" borderId="10" xfId="0" applyFont="1" applyFill="1" applyBorder="1" applyAlignment="1" applyProtection="1">
      <alignment horizontal="center" vertical="center"/>
    </xf>
    <xf numFmtId="0" fontId="7" fillId="3" borderId="13" xfId="0" quotePrefix="1" applyFont="1" applyFill="1" applyBorder="1" applyAlignment="1" applyProtection="1">
      <alignment horizontal="center" vertical="center" wrapText="1"/>
    </xf>
    <xf numFmtId="0" fontId="7" fillId="0" borderId="12" xfId="0" applyFont="1" applyBorder="1" applyAlignment="1" applyProtection="1">
      <alignment horizontal="center" vertical="center"/>
    </xf>
    <xf numFmtId="0" fontId="7" fillId="0" borderId="6" xfId="0" applyFont="1" applyBorder="1" applyAlignment="1" applyProtection="1">
      <alignment horizontal="center" vertical="center"/>
    </xf>
    <xf numFmtId="0" fontId="7" fillId="0" borderId="7" xfId="0" applyFont="1" applyBorder="1" applyAlignment="1" applyProtection="1">
      <alignment horizontal="center" vertical="center"/>
    </xf>
    <xf numFmtId="0" fontId="12" fillId="0" borderId="1" xfId="0" applyFont="1" applyBorder="1" applyAlignment="1" applyProtection="1">
      <alignment horizontal="center" vertical="center" wrapText="1"/>
      <protection locked="0"/>
    </xf>
    <xf numFmtId="0" fontId="0" fillId="0" borderId="1" xfId="0" applyBorder="1" applyAlignment="1" applyProtection="1">
      <alignment horizontal="center" vertical="center" wrapText="1"/>
      <protection locked="0"/>
    </xf>
    <xf numFmtId="0" fontId="11" fillId="0" borderId="1" xfId="0" applyFont="1" applyBorder="1" applyAlignment="1" applyProtection="1">
      <alignment horizontal="center" vertical="center"/>
      <protection locked="0"/>
    </xf>
    <xf numFmtId="0" fontId="8" fillId="0" borderId="1" xfId="0" applyFont="1" applyBorder="1" applyAlignment="1" applyProtection="1">
      <alignment horizontal="center" vertical="center"/>
      <protection locked="0"/>
    </xf>
    <xf numFmtId="0" fontId="16" fillId="0" borderId="1" xfId="0" applyFont="1" applyBorder="1" applyAlignment="1" applyProtection="1">
      <alignment horizontal="center" vertical="center"/>
      <protection locked="0"/>
    </xf>
    <xf numFmtId="0" fontId="3" fillId="0" borderId="1" xfId="0" applyFont="1" applyBorder="1" applyAlignment="1" applyProtection="1">
      <alignment horizontal="center" vertical="center" wrapText="1"/>
      <protection locked="0"/>
    </xf>
    <xf numFmtId="0" fontId="0" fillId="0" borderId="1" xfId="0" applyBorder="1" applyAlignment="1" applyProtection="1">
      <alignment horizontal="center" vertical="center"/>
      <protection locked="0"/>
    </xf>
    <xf numFmtId="0" fontId="2" fillId="0" borderId="1" xfId="0" applyFont="1" applyBorder="1" applyAlignment="1" applyProtection="1">
      <alignment horizontal="center" vertical="center" wrapText="1"/>
      <protection locked="0"/>
    </xf>
    <xf numFmtId="0" fontId="16" fillId="0" borderId="1" xfId="0" applyFont="1" applyBorder="1" applyAlignment="1">
      <alignment horizontal="center" vertical="center"/>
    </xf>
    <xf numFmtId="0" fontId="8" fillId="0" borderId="1" xfId="0" applyFont="1" applyBorder="1" applyAlignment="1">
      <alignment horizontal="center" vertical="center"/>
    </xf>
    <xf numFmtId="0" fontId="23" fillId="0" borderId="1" xfId="0" applyFont="1" applyBorder="1" applyAlignment="1">
      <alignment horizontal="center" vertical="center" wrapText="1"/>
    </xf>
    <xf numFmtId="0" fontId="29" fillId="0" borderId="1" xfId="0" applyFont="1" applyBorder="1" applyAlignment="1">
      <alignment horizontal="center" vertical="center" wrapText="1"/>
    </xf>
    <xf numFmtId="0" fontId="12" fillId="0" borderId="1" xfId="0" applyFont="1" applyBorder="1" applyAlignment="1">
      <alignment horizontal="center" vertical="center" wrapText="1"/>
    </xf>
    <xf numFmtId="0" fontId="11" fillId="0" borderId="8" xfId="0" applyFont="1" applyBorder="1" applyAlignment="1">
      <alignment horizontal="center" vertical="center"/>
    </xf>
    <xf numFmtId="0" fontId="11" fillId="0" borderId="10" xfId="0" applyFont="1" applyBorder="1" applyAlignment="1">
      <alignment horizontal="center" vertical="center"/>
    </xf>
    <xf numFmtId="0" fontId="11" fillId="0" borderId="12" xfId="0" applyFont="1" applyBorder="1" applyAlignment="1">
      <alignment horizontal="center" vertical="center"/>
    </xf>
    <xf numFmtId="0" fontId="15" fillId="0" borderId="8" xfId="0" applyFont="1" applyBorder="1" applyAlignment="1">
      <alignment horizontal="center" vertical="center" wrapText="1"/>
    </xf>
    <xf numFmtId="0" fontId="15" fillId="0" borderId="10" xfId="0" applyFont="1" applyBorder="1" applyAlignment="1">
      <alignment horizontal="center" vertical="center" wrapText="1"/>
    </xf>
    <xf numFmtId="0" fontId="15" fillId="0" borderId="12" xfId="0" applyFont="1" applyBorder="1" applyAlignment="1">
      <alignment horizontal="center" vertical="center" wrapText="1"/>
    </xf>
    <xf numFmtId="0" fontId="2" fillId="0" borderId="1" xfId="0" applyFont="1" applyBorder="1" applyAlignment="1">
      <alignment horizontal="center" vertical="center" wrapText="1"/>
    </xf>
    <xf numFmtId="0" fontId="20" fillId="0" borderId="1" xfId="0" applyFont="1" applyBorder="1" applyAlignment="1">
      <alignment horizontal="center" vertical="center" wrapText="1"/>
    </xf>
    <xf numFmtId="0" fontId="21" fillId="0" borderId="1" xfId="0" applyFont="1" applyBorder="1" applyAlignment="1">
      <alignment horizontal="center" vertical="center" wrapText="1"/>
    </xf>
    <xf numFmtId="0" fontId="11" fillId="0" borderId="1" xfId="0" applyFont="1" applyBorder="1" applyAlignment="1">
      <alignment horizontal="center" vertical="center" wrapText="1"/>
    </xf>
    <xf numFmtId="0" fontId="11" fillId="0" borderId="1" xfId="0" applyFont="1" applyBorder="1" applyAlignment="1">
      <alignment horizontal="center" vertical="center"/>
    </xf>
    <xf numFmtId="0" fontId="7" fillId="3" borderId="1" xfId="0" quotePrefix="1" applyFont="1" applyFill="1" applyBorder="1" applyAlignment="1">
      <alignment horizontal="center" vertical="center" wrapText="1"/>
    </xf>
    <xf numFmtId="0" fontId="7" fillId="0" borderId="1" xfId="0" applyFont="1" applyBorder="1" applyAlignment="1">
      <alignment horizontal="center" vertical="center"/>
    </xf>
    <xf numFmtId="0" fontId="0" fillId="0" borderId="0" xfId="0" applyAlignment="1">
      <alignment horizontal="center" wrapText="1"/>
    </xf>
    <xf numFmtId="0" fontId="0" fillId="0" borderId="0" xfId="0" applyAlignment="1">
      <alignment horizontal="center"/>
    </xf>
    <xf numFmtId="0" fontId="4" fillId="4" borderId="0" xfId="0" applyFont="1" applyFill="1" applyAlignment="1">
      <alignment horizontal="center" vertical="center"/>
    </xf>
    <xf numFmtId="0" fontId="27" fillId="0" borderId="1" xfId="0" applyFont="1" applyBorder="1" applyAlignment="1">
      <alignment horizontal="center" vertical="top"/>
    </xf>
    <xf numFmtId="0" fontId="16" fillId="4" borderId="1" xfId="0" applyFont="1" applyFill="1" applyBorder="1" applyAlignment="1">
      <alignment horizontal="center"/>
    </xf>
    <xf numFmtId="0" fontId="7" fillId="0" borderId="1" xfId="0" applyFont="1" applyFill="1" applyBorder="1" applyAlignment="1">
      <alignment horizontal="center" vertical="center"/>
    </xf>
    <xf numFmtId="0" fontId="7" fillId="2" borderId="1" xfId="0" applyFont="1" applyFill="1" applyBorder="1" applyAlignment="1">
      <alignment horizontal="center" vertical="center" wrapText="1"/>
    </xf>
    <xf numFmtId="0" fontId="7" fillId="2" borderId="1" xfId="0" applyFont="1" applyFill="1" applyBorder="1" applyAlignment="1">
      <alignment horizontal="center" vertical="center"/>
    </xf>
  </cellXfs>
  <cellStyles count="1">
    <cellStyle name="Normal" xfId="0" builtinId="0"/>
  </cellStyles>
  <dxfs count="0"/>
  <tableStyles count="0" defaultTableStyle="TableStyleMedium2" defaultPivotStyle="PivotStyleLight16"/>
  <colors>
    <mruColors>
      <color rgb="FF008000"/>
      <color rgb="FFF79646"/>
      <color rgb="FF8064A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r:id="rId1"/>
</file>

<file path=xl/drawings/_rels/drawing2.xml.rels><?xml version="1.0" encoding="UTF-8" standalone="yes"?>
<Relationships xmlns="http://schemas.openxmlformats.org/package/2006/relationships"><Relationship Id="rId1" Type="http://schemas.openxmlformats.org/officeDocument/2006/relationships/image" Target="../media/image2.jpe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8</xdr:col>
      <xdr:colOff>28575</xdr:colOff>
      <xdr:row>9</xdr:row>
      <xdr:rowOff>93009</xdr:rowOff>
    </xdr:from>
    <xdr:to>
      <xdr:col>10</xdr:col>
      <xdr:colOff>251630</xdr:colOff>
      <xdr:row>15</xdr:row>
      <xdr:rowOff>46184</xdr:rowOff>
    </xdr:to>
    <xdr:sp macro="[0]!liste" textlink="">
      <xdr:nvSpPr>
        <xdr:cNvPr id="3" name="Plaque 131">
          <a:extLst>
            <a:ext uri="{FF2B5EF4-FFF2-40B4-BE49-F238E27FC236}">
              <a16:creationId xmlns:a16="http://schemas.microsoft.com/office/drawing/2014/main" id="{00000000-0008-0000-0000-000003000000}"/>
            </a:ext>
          </a:extLst>
        </xdr:cNvPr>
        <xdr:cNvSpPr/>
      </xdr:nvSpPr>
      <xdr:spPr>
        <a:xfrm>
          <a:off x="10039350" y="1864659"/>
          <a:ext cx="1747055" cy="1096175"/>
        </a:xfrm>
        <a:prstGeom prst="bevel">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1100"/>
            <a:t>Générer</a:t>
          </a:r>
          <a:r>
            <a:rPr lang="fr-FR" sz="1100" baseline="0"/>
            <a:t> liste machines onglets</a:t>
          </a:r>
          <a:endParaRPr lang="fr-FR" sz="1100"/>
        </a:p>
      </xdr:txBody>
    </xdr:sp>
    <xdr:clientData/>
  </xdr:twoCellAnchor>
  <xdr:twoCellAnchor>
    <xdr:from>
      <xdr:col>8</xdr:col>
      <xdr:colOff>28575</xdr:colOff>
      <xdr:row>3</xdr:row>
      <xdr:rowOff>28575</xdr:rowOff>
    </xdr:from>
    <xdr:to>
      <xdr:col>10</xdr:col>
      <xdr:colOff>251630</xdr:colOff>
      <xdr:row>8</xdr:row>
      <xdr:rowOff>124625</xdr:rowOff>
    </xdr:to>
    <xdr:sp macro="[0]!Traitement" textlink="">
      <xdr:nvSpPr>
        <xdr:cNvPr id="4" name="Plaque 131">
          <a:extLst>
            <a:ext uri="{FF2B5EF4-FFF2-40B4-BE49-F238E27FC236}">
              <a16:creationId xmlns:a16="http://schemas.microsoft.com/office/drawing/2014/main" id="{00000000-0008-0000-0000-000004000000}"/>
            </a:ext>
          </a:extLst>
        </xdr:cNvPr>
        <xdr:cNvSpPr/>
      </xdr:nvSpPr>
      <xdr:spPr>
        <a:xfrm>
          <a:off x="10039350" y="609600"/>
          <a:ext cx="1747055" cy="1096175"/>
        </a:xfrm>
        <a:prstGeom prst="bevel">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1100"/>
            <a:t>Générer Fichier</a:t>
          </a:r>
        </a:p>
      </xdr:txBody>
    </xdr:sp>
    <xdr:clientData/>
  </xdr:twoCellAnchor>
  <mc:AlternateContent xmlns:mc="http://schemas.openxmlformats.org/markup-compatibility/2006">
    <mc:Choice xmlns:a14="http://schemas.microsoft.com/office/drawing/2010/main" Requires="a14">
      <xdr:twoCellAnchor editAs="oneCell">
        <xdr:from>
          <xdr:col>7</xdr:col>
          <xdr:colOff>742950</xdr:colOff>
          <xdr:row>18</xdr:row>
          <xdr:rowOff>0</xdr:rowOff>
        </xdr:from>
        <xdr:to>
          <xdr:col>9</xdr:col>
          <xdr:colOff>742950</xdr:colOff>
          <xdr:row>20</xdr:row>
          <xdr:rowOff>47625</xdr:rowOff>
        </xdr:to>
        <xdr:sp macro="" textlink="">
          <xdr:nvSpPr>
            <xdr:cNvPr id="1025" name="CommandButton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0</xdr:colOff>
      <xdr:row>0</xdr:row>
      <xdr:rowOff>0</xdr:rowOff>
    </xdr:from>
    <xdr:to>
      <xdr:col>4</xdr:col>
      <xdr:colOff>78123</xdr:colOff>
      <xdr:row>3</xdr:row>
      <xdr:rowOff>95250</xdr:rowOff>
    </xdr:to>
    <xdr:pic>
      <xdr:nvPicPr>
        <xdr:cNvPr id="2" name="Image 45">
          <a:extLst>
            <a:ext uri="{FF2B5EF4-FFF2-40B4-BE49-F238E27FC236}">
              <a16:creationId xmlns:a16="http://schemas.microsoft.com/office/drawing/2014/main" id="{00000000-0008-0000-39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0"/>
          <a:ext cx="4078623" cy="6667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3BAB3A0-5D53-43E8-B770-99517AA30D5A}">
  <sheetPr codeName="Feuil4">
    <tabColor theme="4" tint="0.59999389629810485"/>
  </sheetPr>
  <dimension ref="B3:O65"/>
  <sheetViews>
    <sheetView topLeftCell="A38" workbookViewId="0">
      <selection activeCell="C66" sqref="C66"/>
    </sheetView>
  </sheetViews>
  <sheetFormatPr baseColWidth="10" defaultRowHeight="15" x14ac:dyDescent="0.25"/>
  <cols>
    <col min="1" max="1" width="11.42578125" customWidth="1"/>
    <col min="2" max="2" width="44.7109375" customWidth="1"/>
    <col min="3" max="3" width="34.7109375" customWidth="1"/>
    <col min="4" max="4" width="13.5703125" customWidth="1"/>
    <col min="15" max="15" width="41.140625" customWidth="1"/>
  </cols>
  <sheetData>
    <row r="3" spans="2:15" x14ac:dyDescent="0.25">
      <c r="M3" s="34" t="s">
        <v>173</v>
      </c>
      <c r="N3" s="34" t="s">
        <v>6</v>
      </c>
      <c r="O3" s="34" t="s">
        <v>174</v>
      </c>
    </row>
    <row r="4" spans="2:15" x14ac:dyDescent="0.25">
      <c r="M4" s="35" t="s">
        <v>128</v>
      </c>
      <c r="N4" s="35">
        <v>45043</v>
      </c>
      <c r="O4" s="33" t="s">
        <v>175</v>
      </c>
    </row>
    <row r="5" spans="2:15" x14ac:dyDescent="0.25">
      <c r="B5" t="s">
        <v>9</v>
      </c>
      <c r="M5" s="35" t="s">
        <v>83</v>
      </c>
      <c r="N5" s="35">
        <v>45212</v>
      </c>
      <c r="O5" s="33" t="s">
        <v>181</v>
      </c>
    </row>
    <row r="6" spans="2:15" x14ac:dyDescent="0.25">
      <c r="B6" t="s">
        <v>76</v>
      </c>
      <c r="M6" s="33" t="s">
        <v>143</v>
      </c>
      <c r="N6" s="35">
        <v>45238</v>
      </c>
      <c r="O6" s="33" t="s">
        <v>180</v>
      </c>
    </row>
    <row r="7" spans="2:15" x14ac:dyDescent="0.25">
      <c r="B7" t="s">
        <v>10</v>
      </c>
      <c r="M7" s="33" t="s">
        <v>183</v>
      </c>
      <c r="N7" s="35">
        <v>45268</v>
      </c>
      <c r="O7" s="33" t="s">
        <v>187</v>
      </c>
    </row>
    <row r="8" spans="2:15" x14ac:dyDescent="0.25">
      <c r="B8" t="s">
        <v>11</v>
      </c>
      <c r="M8" s="33" t="s">
        <v>116</v>
      </c>
      <c r="N8" s="35">
        <v>45323</v>
      </c>
      <c r="O8" s="33" t="s">
        <v>197</v>
      </c>
    </row>
    <row r="9" spans="2:15" x14ac:dyDescent="0.25">
      <c r="B9" t="s">
        <v>171</v>
      </c>
      <c r="M9" s="33" t="s">
        <v>198</v>
      </c>
      <c r="N9" s="35">
        <v>45419</v>
      </c>
      <c r="O9" s="33" t="s">
        <v>199</v>
      </c>
    </row>
    <row r="10" spans="2:15" x14ac:dyDescent="0.25">
      <c r="B10" t="s">
        <v>12</v>
      </c>
      <c r="M10" s="33" t="s">
        <v>202</v>
      </c>
      <c r="N10" s="35">
        <v>45435</v>
      </c>
      <c r="O10" s="33" t="s">
        <v>203</v>
      </c>
    </row>
    <row r="11" spans="2:15" x14ac:dyDescent="0.25">
      <c r="B11" t="s">
        <v>13</v>
      </c>
      <c r="M11" s="33" t="s">
        <v>207</v>
      </c>
      <c r="N11" s="35">
        <v>45555</v>
      </c>
      <c r="O11" s="33" t="s">
        <v>208</v>
      </c>
    </row>
    <row r="12" spans="2:15" x14ac:dyDescent="0.25">
      <c r="B12" t="s">
        <v>122</v>
      </c>
      <c r="M12" s="33" t="s">
        <v>210</v>
      </c>
      <c r="N12" s="35">
        <v>45588</v>
      </c>
      <c r="O12" s="33" t="s">
        <v>213</v>
      </c>
    </row>
    <row r="13" spans="2:15" x14ac:dyDescent="0.25">
      <c r="B13" t="s">
        <v>119</v>
      </c>
      <c r="M13" s="33" t="s">
        <v>217</v>
      </c>
      <c r="N13" s="35">
        <v>45594</v>
      </c>
      <c r="O13" s="33" t="s">
        <v>218</v>
      </c>
    </row>
    <row r="14" spans="2:15" x14ac:dyDescent="0.25">
      <c r="B14" t="s">
        <v>14</v>
      </c>
      <c r="M14" s="33"/>
      <c r="N14" s="33"/>
      <c r="O14" s="33"/>
    </row>
    <row r="15" spans="2:15" x14ac:dyDescent="0.25">
      <c r="B15" t="s">
        <v>77</v>
      </c>
      <c r="M15" s="33"/>
      <c r="N15" s="33"/>
      <c r="O15" s="33"/>
    </row>
    <row r="16" spans="2:15" x14ac:dyDescent="0.25">
      <c r="B16" t="s">
        <v>102</v>
      </c>
      <c r="M16" s="33"/>
      <c r="N16" s="33"/>
      <c r="O16" s="33"/>
    </row>
    <row r="17" spans="2:15" x14ac:dyDescent="0.25">
      <c r="B17" t="s">
        <v>103</v>
      </c>
      <c r="M17" s="33"/>
      <c r="N17" s="33"/>
      <c r="O17" s="33"/>
    </row>
    <row r="18" spans="2:15" x14ac:dyDescent="0.25">
      <c r="B18" t="s">
        <v>104</v>
      </c>
      <c r="M18" s="33"/>
      <c r="N18" s="33"/>
      <c r="O18" s="33"/>
    </row>
    <row r="19" spans="2:15" x14ac:dyDescent="0.25">
      <c r="B19" t="s">
        <v>160</v>
      </c>
      <c r="M19" s="33"/>
      <c r="N19" s="33"/>
      <c r="O19" s="33"/>
    </row>
    <row r="20" spans="2:15" x14ac:dyDescent="0.25">
      <c r="B20" t="s">
        <v>105</v>
      </c>
      <c r="M20" s="33"/>
      <c r="N20" s="33"/>
      <c r="O20" s="33"/>
    </row>
    <row r="21" spans="2:15" x14ac:dyDescent="0.25">
      <c r="B21" t="s">
        <v>161</v>
      </c>
      <c r="M21" s="33"/>
      <c r="N21" s="33"/>
      <c r="O21" s="33"/>
    </row>
    <row r="22" spans="2:15" x14ac:dyDescent="0.25">
      <c r="B22" t="s">
        <v>144</v>
      </c>
    </row>
    <row r="23" spans="2:15" x14ac:dyDescent="0.25">
      <c r="B23" t="s">
        <v>159</v>
      </c>
    </row>
    <row r="24" spans="2:15" x14ac:dyDescent="0.25">
      <c r="B24" t="s">
        <v>78</v>
      </c>
    </row>
    <row r="25" spans="2:15" x14ac:dyDescent="0.25">
      <c r="B25" t="s">
        <v>106</v>
      </c>
    </row>
    <row r="26" spans="2:15" x14ac:dyDescent="0.25">
      <c r="B26" t="s">
        <v>85</v>
      </c>
    </row>
    <row r="27" spans="2:15" x14ac:dyDescent="0.25">
      <c r="B27" t="s">
        <v>148</v>
      </c>
    </row>
    <row r="28" spans="2:15" x14ac:dyDescent="0.25">
      <c r="B28" t="s">
        <v>107</v>
      </c>
    </row>
    <row r="29" spans="2:15" x14ac:dyDescent="0.25">
      <c r="B29" t="s">
        <v>101</v>
      </c>
    </row>
    <row r="30" spans="2:15" x14ac:dyDescent="0.25">
      <c r="B30" t="s">
        <v>172</v>
      </c>
    </row>
    <row r="31" spans="2:15" x14ac:dyDescent="0.25">
      <c r="B31" t="s">
        <v>131</v>
      </c>
    </row>
    <row r="32" spans="2:15" x14ac:dyDescent="0.25">
      <c r="B32" t="s">
        <v>132</v>
      </c>
    </row>
    <row r="33" spans="2:2" x14ac:dyDescent="0.25">
      <c r="B33" t="s">
        <v>194</v>
      </c>
    </row>
    <row r="34" spans="2:2" x14ac:dyDescent="0.25">
      <c r="B34" t="s">
        <v>188</v>
      </c>
    </row>
    <row r="35" spans="2:2" x14ac:dyDescent="0.25">
      <c r="B35" t="s">
        <v>118</v>
      </c>
    </row>
    <row r="36" spans="2:2" x14ac:dyDescent="0.25">
      <c r="B36" t="s">
        <v>133</v>
      </c>
    </row>
    <row r="37" spans="2:2" x14ac:dyDescent="0.25">
      <c r="B37" t="s">
        <v>134</v>
      </c>
    </row>
    <row r="38" spans="2:2" x14ac:dyDescent="0.25">
      <c r="B38" t="s">
        <v>162</v>
      </c>
    </row>
    <row r="39" spans="2:2" x14ac:dyDescent="0.25">
      <c r="B39" t="s">
        <v>163</v>
      </c>
    </row>
    <row r="40" spans="2:2" x14ac:dyDescent="0.25">
      <c r="B40" t="s">
        <v>164</v>
      </c>
    </row>
    <row r="41" spans="2:2" x14ac:dyDescent="0.25">
      <c r="B41" t="s">
        <v>141</v>
      </c>
    </row>
    <row r="42" spans="2:2" x14ac:dyDescent="0.25">
      <c r="B42" t="s">
        <v>145</v>
      </c>
    </row>
    <row r="43" spans="2:2" x14ac:dyDescent="0.25">
      <c r="B43" t="s">
        <v>167</v>
      </c>
    </row>
    <row r="44" spans="2:2" x14ac:dyDescent="0.25">
      <c r="B44" t="s">
        <v>195</v>
      </c>
    </row>
    <row r="45" spans="2:2" x14ac:dyDescent="0.25">
      <c r="B45" t="s">
        <v>209</v>
      </c>
    </row>
    <row r="46" spans="2:2" x14ac:dyDescent="0.25">
      <c r="B46" t="s">
        <v>196</v>
      </c>
    </row>
    <row r="47" spans="2:2" x14ac:dyDescent="0.25">
      <c r="B47" t="s">
        <v>165</v>
      </c>
    </row>
    <row r="48" spans="2:2" x14ac:dyDescent="0.25">
      <c r="B48" t="s">
        <v>166</v>
      </c>
    </row>
    <row r="49" spans="2:2" x14ac:dyDescent="0.25">
      <c r="B49" t="s">
        <v>212</v>
      </c>
    </row>
    <row r="50" spans="2:2" x14ac:dyDescent="0.25">
      <c r="B50" t="s">
        <v>211</v>
      </c>
    </row>
    <row r="51" spans="2:2" x14ac:dyDescent="0.25">
      <c r="B51" t="s">
        <v>178</v>
      </c>
    </row>
    <row r="52" spans="2:2" x14ac:dyDescent="0.25">
      <c r="B52" t="s">
        <v>127</v>
      </c>
    </row>
    <row r="53" spans="2:2" x14ac:dyDescent="0.25">
      <c r="B53" t="s">
        <v>182</v>
      </c>
    </row>
    <row r="54" spans="2:2" x14ac:dyDescent="0.25">
      <c r="B54" t="s">
        <v>200</v>
      </c>
    </row>
    <row r="55" spans="2:2" x14ac:dyDescent="0.25">
      <c r="B55" t="s">
        <v>201</v>
      </c>
    </row>
    <row r="56" spans="2:2" x14ac:dyDescent="0.25">
      <c r="B56" t="s">
        <v>135</v>
      </c>
    </row>
    <row r="57" spans="2:2" x14ac:dyDescent="0.25">
      <c r="B57" t="s">
        <v>136</v>
      </c>
    </row>
    <row r="58" spans="2:2" x14ac:dyDescent="0.25">
      <c r="B58" t="s">
        <v>108</v>
      </c>
    </row>
    <row r="59" spans="2:2" x14ac:dyDescent="0.25">
      <c r="B59" t="s">
        <v>184</v>
      </c>
    </row>
    <row r="60" spans="2:2" x14ac:dyDescent="0.25">
      <c r="B60" t="s">
        <v>185</v>
      </c>
    </row>
    <row r="61" spans="2:2" x14ac:dyDescent="0.25">
      <c r="B61" t="s">
        <v>186</v>
      </c>
    </row>
    <row r="62" spans="2:2" x14ac:dyDescent="0.25">
      <c r="B62" t="s">
        <v>146</v>
      </c>
    </row>
    <row r="63" spans="2:2" x14ac:dyDescent="0.25">
      <c r="B63" t="s">
        <v>142</v>
      </c>
    </row>
    <row r="64" spans="2:2" x14ac:dyDescent="0.25">
      <c r="B64" t="s">
        <v>147</v>
      </c>
    </row>
    <row r="65" spans="2:2" x14ac:dyDescent="0.25">
      <c r="B65" t="s">
        <v>137</v>
      </c>
    </row>
  </sheetData>
  <pageMargins left="0.7" right="0.7" top="0.75" bottom="0.75" header="0.3" footer="0.3"/>
  <pageSetup paperSize="9" orientation="portrait" r:id="rId1"/>
  <drawing r:id="rId2"/>
  <legacyDrawing r:id="rId3"/>
  <controls>
    <mc:AlternateContent xmlns:mc="http://schemas.openxmlformats.org/markup-compatibility/2006">
      <mc:Choice Requires="x14">
        <control shapeId="1025" r:id="rId4" name="CommandButton1">
          <controlPr defaultSize="0" autoLine="0" r:id="rId5">
            <anchor moveWithCells="1">
              <from>
                <xdr:col>7</xdr:col>
                <xdr:colOff>742950</xdr:colOff>
                <xdr:row>18</xdr:row>
                <xdr:rowOff>0</xdr:rowOff>
              </from>
              <to>
                <xdr:col>9</xdr:col>
                <xdr:colOff>742950</xdr:colOff>
                <xdr:row>20</xdr:row>
                <xdr:rowOff>47625</xdr:rowOff>
              </to>
            </anchor>
          </controlPr>
        </control>
      </mc:Choice>
      <mc:Fallback>
        <control shapeId="1025" r:id="rId4" name="CommandButton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7946260-4F01-48AC-80B9-CC36927BF11D}">
  <sheetPr codeName="Feuil9">
    <tabColor theme="4" tint="0.59999389629810485"/>
  </sheetPr>
  <dimension ref="B2:Q39"/>
  <sheetViews>
    <sheetView topLeftCell="A10" workbookViewId="0">
      <selection activeCell="O28" sqref="O28"/>
    </sheetView>
  </sheetViews>
  <sheetFormatPr baseColWidth="10" defaultRowHeight="15" x14ac:dyDescent="0.25"/>
  <sheetData>
    <row r="2" spans="2:17" ht="18.75" x14ac:dyDescent="0.25">
      <c r="B2" s="2" t="s">
        <v>21</v>
      </c>
      <c r="F2" s="3" t="s">
        <v>23</v>
      </c>
      <c r="G2" s="3"/>
      <c r="H2" s="3" t="s">
        <v>24</v>
      </c>
      <c r="L2" s="6" t="s">
        <v>150</v>
      </c>
    </row>
    <row r="3" spans="2:17" ht="18.75" x14ac:dyDescent="0.25">
      <c r="B3" s="2" t="s">
        <v>19</v>
      </c>
      <c r="F3" s="4" t="s">
        <v>25</v>
      </c>
      <c r="G3" s="3"/>
      <c r="H3" s="3" t="s">
        <v>26</v>
      </c>
      <c r="L3" s="6" t="s">
        <v>151</v>
      </c>
    </row>
    <row r="4" spans="2:17" ht="18.75" x14ac:dyDescent="0.25">
      <c r="B4" s="2" t="s">
        <v>22</v>
      </c>
      <c r="F4" s="3" t="s">
        <v>27</v>
      </c>
      <c r="G4" s="3"/>
      <c r="H4" s="3" t="s">
        <v>28</v>
      </c>
      <c r="L4" s="6" t="s">
        <v>152</v>
      </c>
    </row>
    <row r="5" spans="2:17" ht="18.75" x14ac:dyDescent="0.25">
      <c r="B5" s="2" t="s">
        <v>20</v>
      </c>
      <c r="F5" s="3" t="s">
        <v>29</v>
      </c>
      <c r="G5" s="3"/>
      <c r="H5" s="3" t="s">
        <v>30</v>
      </c>
      <c r="L5" s="6" t="s">
        <v>153</v>
      </c>
    </row>
    <row r="6" spans="2:17" ht="18.75" x14ac:dyDescent="0.25">
      <c r="B6" s="2" t="s">
        <v>149</v>
      </c>
      <c r="F6" s="3" t="s">
        <v>31</v>
      </c>
      <c r="G6" s="3"/>
      <c r="H6" s="3" t="s">
        <v>32</v>
      </c>
      <c r="L6" s="6" t="s">
        <v>154</v>
      </c>
    </row>
    <row r="7" spans="2:17" ht="18.75" x14ac:dyDescent="0.25">
      <c r="F7" s="3" t="s">
        <v>138</v>
      </c>
      <c r="G7" s="3"/>
      <c r="H7" s="3" t="s">
        <v>33</v>
      </c>
      <c r="L7" s="6" t="s">
        <v>155</v>
      </c>
    </row>
    <row r="8" spans="2:17" ht="18.75" x14ac:dyDescent="0.25">
      <c r="F8" s="3"/>
      <c r="G8" s="3"/>
      <c r="H8" s="4" t="s">
        <v>34</v>
      </c>
      <c r="L8" s="6" t="s">
        <v>156</v>
      </c>
    </row>
    <row r="9" spans="2:17" ht="18.75" x14ac:dyDescent="0.25">
      <c r="F9" s="3"/>
      <c r="G9" s="3"/>
      <c r="H9" s="3" t="s">
        <v>35</v>
      </c>
      <c r="L9" s="6" t="s">
        <v>157</v>
      </c>
    </row>
    <row r="10" spans="2:17" ht="18.75" x14ac:dyDescent="0.25">
      <c r="F10" s="3"/>
      <c r="G10" s="3"/>
      <c r="H10" s="3" t="s">
        <v>36</v>
      </c>
      <c r="L10" s="6" t="s">
        <v>158</v>
      </c>
    </row>
    <row r="11" spans="2:17" ht="18.75" x14ac:dyDescent="0.25">
      <c r="F11" s="3"/>
      <c r="G11" s="3"/>
      <c r="H11" s="3" t="s">
        <v>24</v>
      </c>
      <c r="L11" s="6" t="s">
        <v>114</v>
      </c>
      <c r="Q11" s="6"/>
    </row>
    <row r="12" spans="2:17" ht="18.75" x14ac:dyDescent="0.25">
      <c r="F12" s="3"/>
      <c r="G12" s="3"/>
      <c r="H12" s="3" t="s">
        <v>190</v>
      </c>
      <c r="L12" s="6" t="s">
        <v>192</v>
      </c>
      <c r="Q12" s="6"/>
    </row>
    <row r="13" spans="2:17" ht="18.75" x14ac:dyDescent="0.25">
      <c r="F13" s="3"/>
      <c r="G13" s="3"/>
      <c r="H13" s="3" t="s">
        <v>38</v>
      </c>
      <c r="L13" s="6" t="s">
        <v>48</v>
      </c>
      <c r="Q13" s="6"/>
    </row>
    <row r="14" spans="2:17" ht="18.75" x14ac:dyDescent="0.25">
      <c r="F14" s="3"/>
      <c r="G14" s="3"/>
      <c r="H14" s="3" t="s">
        <v>86</v>
      </c>
      <c r="L14" s="6" t="s">
        <v>49</v>
      </c>
    </row>
    <row r="15" spans="2:17" ht="18.75" x14ac:dyDescent="0.25">
      <c r="F15" s="3"/>
      <c r="G15" s="3"/>
      <c r="H15" s="3" t="s">
        <v>87</v>
      </c>
      <c r="L15" s="6" t="s">
        <v>50</v>
      </c>
    </row>
    <row r="16" spans="2:17" ht="18.75" x14ac:dyDescent="0.25">
      <c r="F16" s="3"/>
      <c r="G16" s="3"/>
      <c r="H16" s="3" t="s">
        <v>88</v>
      </c>
      <c r="L16" s="6" t="s">
        <v>51</v>
      </c>
    </row>
    <row r="17" spans="6:12" ht="18.75" x14ac:dyDescent="0.25">
      <c r="F17" s="3"/>
      <c r="G17" s="3"/>
      <c r="H17" s="3" t="s">
        <v>89</v>
      </c>
      <c r="L17" s="6" t="s">
        <v>52</v>
      </c>
    </row>
    <row r="18" spans="6:12" ht="18.75" x14ac:dyDescent="0.25">
      <c r="F18" s="3"/>
      <c r="G18" s="3"/>
      <c r="H18" s="3" t="s">
        <v>90</v>
      </c>
      <c r="L18" s="6" t="s">
        <v>53</v>
      </c>
    </row>
    <row r="19" spans="6:12" ht="18.75" x14ac:dyDescent="0.25">
      <c r="F19" s="3"/>
      <c r="G19" s="3"/>
      <c r="H19" s="3" t="s">
        <v>91</v>
      </c>
      <c r="L19" s="6" t="s">
        <v>54</v>
      </c>
    </row>
    <row r="20" spans="6:12" ht="18.75" x14ac:dyDescent="0.25">
      <c r="H20" s="3" t="s">
        <v>92</v>
      </c>
      <c r="L20" s="6" t="s">
        <v>55</v>
      </c>
    </row>
    <row r="21" spans="6:12" ht="18.75" x14ac:dyDescent="0.25">
      <c r="H21" s="3" t="s">
        <v>93</v>
      </c>
      <c r="L21" s="6" t="s">
        <v>56</v>
      </c>
    </row>
    <row r="22" spans="6:12" ht="18.75" x14ac:dyDescent="0.25">
      <c r="H22" s="3" t="s">
        <v>39</v>
      </c>
      <c r="L22" s="6" t="s">
        <v>57</v>
      </c>
    </row>
    <row r="23" spans="6:12" ht="18.75" x14ac:dyDescent="0.25">
      <c r="H23" s="3" t="s">
        <v>40</v>
      </c>
      <c r="L23" s="6" t="s">
        <v>45</v>
      </c>
    </row>
    <row r="24" spans="6:12" ht="18.75" x14ac:dyDescent="0.25">
      <c r="H24" s="3" t="s">
        <v>41</v>
      </c>
      <c r="L24" s="6" t="s">
        <v>46</v>
      </c>
    </row>
    <row r="25" spans="6:12" ht="18.75" x14ac:dyDescent="0.25">
      <c r="H25" s="3" t="s">
        <v>42</v>
      </c>
      <c r="L25" s="6" t="s">
        <v>47</v>
      </c>
    </row>
    <row r="26" spans="6:12" ht="18.75" x14ac:dyDescent="0.25">
      <c r="H26" s="3" t="s">
        <v>94</v>
      </c>
      <c r="L26" s="6" t="s">
        <v>58</v>
      </c>
    </row>
    <row r="27" spans="6:12" ht="18.75" x14ac:dyDescent="0.25">
      <c r="H27" s="3" t="s">
        <v>95</v>
      </c>
      <c r="L27" s="6" t="s">
        <v>59</v>
      </c>
    </row>
    <row r="28" spans="6:12" ht="18.75" x14ac:dyDescent="0.25">
      <c r="H28" s="3" t="s">
        <v>96</v>
      </c>
      <c r="L28" s="6" t="s">
        <v>60</v>
      </c>
    </row>
    <row r="29" spans="6:12" ht="18.75" x14ac:dyDescent="0.25">
      <c r="H29" s="3" t="s">
        <v>97</v>
      </c>
      <c r="L29" s="6" t="s">
        <v>61</v>
      </c>
    </row>
    <row r="30" spans="6:12" ht="18.75" x14ac:dyDescent="0.25">
      <c r="H30" s="3" t="s">
        <v>98</v>
      </c>
      <c r="L30" s="6" t="s">
        <v>62</v>
      </c>
    </row>
    <row r="31" spans="6:12" ht="18.75" x14ac:dyDescent="0.25">
      <c r="H31" s="3" t="s">
        <v>99</v>
      </c>
      <c r="L31" s="6" t="s">
        <v>63</v>
      </c>
    </row>
    <row r="32" spans="6:12" ht="18.75" x14ac:dyDescent="0.25">
      <c r="H32" s="3" t="s">
        <v>100</v>
      </c>
      <c r="L32" s="6" t="s">
        <v>64</v>
      </c>
    </row>
    <row r="33" spans="4:12" ht="18.75" x14ac:dyDescent="0.25">
      <c r="H33" s="3" t="s">
        <v>214</v>
      </c>
      <c r="L33" s="6" t="s">
        <v>65</v>
      </c>
    </row>
    <row r="34" spans="4:12" ht="18.75" x14ac:dyDescent="0.25">
      <c r="H34" s="3" t="s">
        <v>43</v>
      </c>
      <c r="L34" s="6" t="s">
        <v>215</v>
      </c>
    </row>
    <row r="35" spans="4:12" ht="18.75" x14ac:dyDescent="0.25">
      <c r="H35" s="3" t="s">
        <v>44</v>
      </c>
      <c r="L35" s="6" t="s">
        <v>120</v>
      </c>
    </row>
    <row r="37" spans="4:12" ht="18.75" x14ac:dyDescent="0.25">
      <c r="D37" s="5" t="s">
        <v>66</v>
      </c>
    </row>
    <row r="38" spans="4:12" ht="18.75" x14ac:dyDescent="0.25">
      <c r="D38" s="6" t="s">
        <v>67</v>
      </c>
    </row>
    <row r="39" spans="4:12" ht="18.75" x14ac:dyDescent="0.3">
      <c r="D39" s="7" t="s">
        <v>68</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F85FB78-F921-487C-9777-9D873B9F4386}">
  <sheetPr codeName="Feuil27">
    <tabColor rgb="FF92D050"/>
  </sheetPr>
  <dimension ref="A1:I291"/>
  <sheetViews>
    <sheetView tabSelected="1" view="pageLayout" topLeftCell="A250" zoomScaleNormal="100" workbookViewId="0">
      <selection activeCell="A255" sqref="A255:XFD255"/>
    </sheetView>
  </sheetViews>
  <sheetFormatPr baseColWidth="10" defaultRowHeight="15" outlineLevelRow="1" x14ac:dyDescent="0.25"/>
  <cols>
    <col min="1" max="1" width="23" style="49" customWidth="1"/>
    <col min="2" max="2" width="12.140625" style="49" customWidth="1"/>
    <col min="3" max="3" width="18.42578125" style="49" customWidth="1"/>
    <col min="4" max="4" width="11" style="49" customWidth="1"/>
    <col min="5" max="5" width="21.7109375" style="49" customWidth="1"/>
    <col min="6" max="6" width="12.140625" style="49" customWidth="1"/>
    <col min="7" max="7" width="18.42578125" style="49" customWidth="1"/>
    <col min="8" max="9" width="12.140625" style="49" customWidth="1"/>
    <col min="10" max="12" width="7.7109375" style="50" customWidth="1"/>
    <col min="13" max="16" width="11.42578125" style="50" customWidth="1"/>
    <col min="17" max="16384" width="11.42578125" style="50"/>
  </cols>
  <sheetData>
    <row r="1" spans="1:9" ht="18.75" x14ac:dyDescent="0.25">
      <c r="A1" s="47">
        <v>5</v>
      </c>
      <c r="B1" s="48" t="s">
        <v>122</v>
      </c>
    </row>
    <row r="3" spans="1:9" ht="25.5" x14ac:dyDescent="0.25">
      <c r="A3" s="51" t="s">
        <v>0</v>
      </c>
      <c r="B3" s="51" t="s">
        <v>1</v>
      </c>
      <c r="C3" s="51" t="s">
        <v>2</v>
      </c>
      <c r="D3" s="51" t="s">
        <v>3</v>
      </c>
      <c r="E3" s="51" t="s">
        <v>4</v>
      </c>
      <c r="F3" s="51" t="s">
        <v>1</v>
      </c>
      <c r="G3" s="51" t="s">
        <v>79</v>
      </c>
      <c r="H3" s="51" t="s">
        <v>5</v>
      </c>
      <c r="I3" s="51" t="s">
        <v>7</v>
      </c>
    </row>
    <row r="4" spans="1:9" ht="15" customHeight="1" x14ac:dyDescent="0.25">
      <c r="A4" s="73" t="s">
        <v>121</v>
      </c>
      <c r="B4" s="52"/>
      <c r="C4" s="75" t="s">
        <v>204</v>
      </c>
      <c r="D4" s="52">
        <v>1</v>
      </c>
      <c r="E4" s="73" t="s">
        <v>123</v>
      </c>
      <c r="F4" s="52" t="str">
        <f>IF(B4=0,"",B4)</f>
        <v/>
      </c>
      <c r="G4" s="80" t="s">
        <v>153</v>
      </c>
      <c r="H4" s="76"/>
      <c r="I4" s="77"/>
    </row>
    <row r="5" spans="1:9" ht="15" customHeight="1" x14ac:dyDescent="0.25">
      <c r="A5" s="73"/>
      <c r="B5" s="52"/>
      <c r="C5" s="75"/>
      <c r="D5" s="52">
        <v>2</v>
      </c>
      <c r="E5" s="73"/>
      <c r="F5" s="52" t="str">
        <f t="shared" ref="F5:F15" si="0">IF(B5=0,"",B5)</f>
        <v/>
      </c>
      <c r="G5" s="80"/>
      <c r="H5" s="76"/>
      <c r="I5" s="77"/>
    </row>
    <row r="6" spans="1:9" ht="15" customHeight="1" x14ac:dyDescent="0.25">
      <c r="A6" s="73"/>
      <c r="B6" s="52"/>
      <c r="C6" s="75"/>
      <c r="D6" s="52">
        <v>3</v>
      </c>
      <c r="E6" s="73"/>
      <c r="F6" s="52" t="str">
        <f t="shared" si="0"/>
        <v/>
      </c>
      <c r="G6" s="80"/>
      <c r="H6" s="76"/>
      <c r="I6" s="77"/>
    </row>
    <row r="7" spans="1:9" ht="15" customHeight="1" x14ac:dyDescent="0.25">
      <c r="A7" s="73"/>
      <c r="B7" s="52"/>
      <c r="C7" s="75"/>
      <c r="D7" s="52">
        <v>4</v>
      </c>
      <c r="E7" s="73"/>
      <c r="F7" s="52" t="str">
        <f t="shared" si="0"/>
        <v/>
      </c>
      <c r="G7" s="80"/>
      <c r="H7" s="76"/>
      <c r="I7" s="77"/>
    </row>
    <row r="8" spans="1:9" ht="15" customHeight="1" x14ac:dyDescent="0.25">
      <c r="A8" s="73"/>
      <c r="B8" s="52"/>
      <c r="C8" s="75"/>
      <c r="D8" s="52">
        <v>5</v>
      </c>
      <c r="E8" s="73"/>
      <c r="F8" s="52" t="str">
        <f t="shared" si="0"/>
        <v/>
      </c>
      <c r="G8" s="80"/>
      <c r="H8" s="76"/>
      <c r="I8" s="77"/>
    </row>
    <row r="9" spans="1:9" ht="15.75" customHeight="1" x14ac:dyDescent="0.25">
      <c r="A9" s="73"/>
      <c r="B9" s="52"/>
      <c r="C9" s="75"/>
      <c r="D9" s="52">
        <v>6</v>
      </c>
      <c r="E9" s="73"/>
      <c r="F9" s="52" t="str">
        <f t="shared" si="0"/>
        <v/>
      </c>
      <c r="G9" s="80"/>
      <c r="H9" s="76"/>
      <c r="I9" s="77"/>
    </row>
    <row r="10" spans="1:9" ht="15" customHeight="1" x14ac:dyDescent="0.25">
      <c r="A10" s="73"/>
      <c r="B10" s="52"/>
      <c r="C10" s="75"/>
      <c r="D10" s="52">
        <v>7</v>
      </c>
      <c r="E10" s="73"/>
      <c r="F10" s="52" t="str">
        <f t="shared" si="0"/>
        <v/>
      </c>
      <c r="G10" s="80"/>
      <c r="H10" s="76"/>
      <c r="I10" s="77"/>
    </row>
    <row r="11" spans="1:9" ht="15" customHeight="1" x14ac:dyDescent="0.25">
      <c r="A11" s="73"/>
      <c r="B11" s="52"/>
      <c r="C11" s="75"/>
      <c r="D11" s="52">
        <v>8</v>
      </c>
      <c r="E11" s="73"/>
      <c r="F11" s="52" t="str">
        <f t="shared" si="0"/>
        <v/>
      </c>
      <c r="G11" s="80"/>
      <c r="H11" s="76"/>
      <c r="I11" s="77"/>
    </row>
    <row r="12" spans="1:9" ht="15.75" customHeight="1" x14ac:dyDescent="0.25">
      <c r="A12" s="73"/>
      <c r="B12" s="52"/>
      <c r="C12" s="75"/>
      <c r="D12" s="52">
        <v>9</v>
      </c>
      <c r="E12" s="73"/>
      <c r="F12" s="52" t="str">
        <f t="shared" si="0"/>
        <v/>
      </c>
      <c r="G12" s="80"/>
      <c r="H12" s="76"/>
      <c r="I12" s="77"/>
    </row>
    <row r="13" spans="1:9" ht="15" customHeight="1" x14ac:dyDescent="0.25">
      <c r="A13" s="73"/>
      <c r="B13" s="52"/>
      <c r="C13" s="75"/>
      <c r="D13" s="52">
        <v>10</v>
      </c>
      <c r="E13" s="73"/>
      <c r="F13" s="52" t="str">
        <f t="shared" si="0"/>
        <v/>
      </c>
      <c r="G13" s="80"/>
      <c r="H13" s="76"/>
      <c r="I13" s="77"/>
    </row>
    <row r="14" spans="1:9" ht="15" customHeight="1" x14ac:dyDescent="0.25">
      <c r="A14" s="73"/>
      <c r="B14" s="52"/>
      <c r="C14" s="75"/>
      <c r="D14" s="52">
        <v>11</v>
      </c>
      <c r="E14" s="73"/>
      <c r="F14" s="52" t="str">
        <f t="shared" si="0"/>
        <v/>
      </c>
      <c r="G14" s="80"/>
      <c r="H14" s="76"/>
      <c r="I14" s="77"/>
    </row>
    <row r="15" spans="1:9" ht="15.75" customHeight="1" x14ac:dyDescent="0.25">
      <c r="A15" s="73"/>
      <c r="B15" s="52" t="s">
        <v>8</v>
      </c>
      <c r="C15" s="75"/>
      <c r="D15" s="52" t="s">
        <v>8</v>
      </c>
      <c r="E15" s="73"/>
      <c r="F15" s="52" t="str">
        <f t="shared" si="0"/>
        <v>GND</v>
      </c>
      <c r="G15" s="80"/>
      <c r="H15" s="76"/>
      <c r="I15" s="77"/>
    </row>
    <row r="16" spans="1:9" x14ac:dyDescent="0.25">
      <c r="A16" s="74"/>
      <c r="B16" s="52"/>
      <c r="C16" s="75" t="s">
        <v>205</v>
      </c>
      <c r="D16" s="52">
        <v>1</v>
      </c>
      <c r="E16" s="73"/>
      <c r="F16" s="52"/>
      <c r="G16" s="78" t="s">
        <v>193</v>
      </c>
      <c r="H16" s="79"/>
      <c r="I16" s="79"/>
    </row>
    <row r="17" spans="1:9" x14ac:dyDescent="0.25">
      <c r="A17" s="74"/>
      <c r="B17" s="52"/>
      <c r="C17" s="75"/>
      <c r="D17" s="52">
        <v>2</v>
      </c>
      <c r="E17" s="73"/>
      <c r="F17" s="52"/>
      <c r="G17" s="78"/>
      <c r="H17" s="79"/>
      <c r="I17" s="79"/>
    </row>
    <row r="18" spans="1:9" x14ac:dyDescent="0.25">
      <c r="A18" s="74"/>
      <c r="B18" s="52" t="s">
        <v>8</v>
      </c>
      <c r="C18" s="75"/>
      <c r="D18" s="52" t="s">
        <v>8</v>
      </c>
      <c r="E18" s="73"/>
      <c r="F18" s="52"/>
      <c r="G18" s="78"/>
      <c r="H18" s="79"/>
      <c r="I18" s="79"/>
    </row>
    <row r="19" spans="1:9" ht="60" x14ac:dyDescent="0.25">
      <c r="A19" s="53" t="s">
        <v>124</v>
      </c>
      <c r="B19" s="52"/>
      <c r="C19" s="52" t="s">
        <v>125</v>
      </c>
      <c r="D19" s="52"/>
      <c r="E19" s="54" t="s">
        <v>126</v>
      </c>
      <c r="F19" s="52"/>
      <c r="G19" s="55"/>
      <c r="H19" s="52"/>
      <c r="I19" s="56"/>
    </row>
    <row r="259" spans="1:4" ht="15.75" thickBot="1" x14ac:dyDescent="0.3"/>
    <row r="260" spans="1:4" ht="15.75" outlineLevel="1" thickBot="1" x14ac:dyDescent="0.3">
      <c r="A260" s="57" t="s">
        <v>69</v>
      </c>
      <c r="B260" s="58"/>
      <c r="C260" s="59"/>
      <c r="D260" s="60"/>
    </row>
    <row r="261" spans="1:4" ht="26.25" outlineLevel="1" thickBot="1" x14ac:dyDescent="0.3">
      <c r="A261" s="61" t="s">
        <v>70</v>
      </c>
      <c r="B261" s="62" t="s">
        <v>71</v>
      </c>
      <c r="C261" s="62" t="s">
        <v>72</v>
      </c>
      <c r="D261" s="62" t="s">
        <v>168</v>
      </c>
    </row>
    <row r="262" spans="1:4" outlineLevel="1" x14ac:dyDescent="0.25">
      <c r="A262" s="63" t="s">
        <v>23</v>
      </c>
      <c r="B262" s="64" t="s">
        <v>24</v>
      </c>
      <c r="C262" s="65">
        <f>SUMIF($G$4:$G$250,"2 x 1mm² +
GND (500V)",$I$4:$I$250)</f>
        <v>0</v>
      </c>
      <c r="D262" s="65">
        <f>COUNTIF($G$4:$G$250,"2 x 1mm² +
GND (500V)")</f>
        <v>0</v>
      </c>
    </row>
    <row r="263" spans="1:4" outlineLevel="1" x14ac:dyDescent="0.25">
      <c r="A263" s="66" t="s">
        <v>23</v>
      </c>
      <c r="B263" s="67" t="s">
        <v>26</v>
      </c>
      <c r="C263" s="65">
        <f>SUMIF($G$4:$G$250,"4 x 1mm² +
GND (500V)",$I$4:$I$250)</f>
        <v>0</v>
      </c>
      <c r="D263" s="65">
        <f>COUNTIF($G$4:$G$250,"4 x 1mm² +
GND (500V)")</f>
        <v>0</v>
      </c>
    </row>
    <row r="264" spans="1:4" outlineLevel="1" x14ac:dyDescent="0.25">
      <c r="A264" s="66" t="s">
        <v>23</v>
      </c>
      <c r="B264" s="67" t="s">
        <v>28</v>
      </c>
      <c r="C264" s="65">
        <f>SUMIF($G$4:$G$250,"6 x 1mm² +
GND (500V)",$I$4:$I$250)</f>
        <v>0</v>
      </c>
      <c r="D264" s="65">
        <f>COUNTIF($G$4:$G$250,"6 x 1mm² +
GND (500V)")</f>
        <v>0</v>
      </c>
    </row>
    <row r="265" spans="1:4" outlineLevel="1" x14ac:dyDescent="0.25">
      <c r="A265" s="66" t="s">
        <v>23</v>
      </c>
      <c r="B265" s="67" t="s">
        <v>30</v>
      </c>
      <c r="C265" s="65">
        <f>SUMIF($G$4:$G$250,"11 x 1mm² +
GND (500V)",$I$4:$I$250)</f>
        <v>0</v>
      </c>
      <c r="D265" s="65">
        <f>COUNTIF($G$4:$G$250,"11 x 1mm² +
GND (500V)")</f>
        <v>1</v>
      </c>
    </row>
    <row r="266" spans="1:4" outlineLevel="1" x14ac:dyDescent="0.25">
      <c r="A266" s="66" t="s">
        <v>23</v>
      </c>
      <c r="B266" s="67" t="s">
        <v>32</v>
      </c>
      <c r="C266" s="65">
        <f>SUMIF($G$4:$G$250,"18 x 1mm² +
GND (500V)",$I$4:$I$250)</f>
        <v>0</v>
      </c>
      <c r="D266" s="65">
        <f>COUNTIF($G$4:$G$250,"18 x 1mm² +
GND (500V)")</f>
        <v>0</v>
      </c>
    </row>
    <row r="267" spans="1:4" outlineLevel="1" x14ac:dyDescent="0.25">
      <c r="A267" s="66" t="s">
        <v>23</v>
      </c>
      <c r="B267" s="67" t="s">
        <v>33</v>
      </c>
      <c r="C267" s="65">
        <f>SUMIF($G$4:$G$250,"26 x 1mm² +
GND (500V)",$I$4:$I$250)</f>
        <v>0</v>
      </c>
      <c r="D267" s="65">
        <f>COUNTIF($G$4:$G$250,"26 x 1mm² +
GND (500V)")</f>
        <v>0</v>
      </c>
    </row>
    <row r="268" spans="1:4" outlineLevel="1" x14ac:dyDescent="0.25">
      <c r="A268" s="66" t="s">
        <v>23</v>
      </c>
      <c r="B268" s="67" t="s">
        <v>34</v>
      </c>
      <c r="C268" s="65">
        <f>SUMIF($G$4:$G$250,"2 x 1,5mm² +
GND (500V)",$I$4:$I$250)</f>
        <v>0</v>
      </c>
      <c r="D268" s="65">
        <f>COUNTIF($G$4:$G$250,"2 x 1,5mm² +
GND (500V)")</f>
        <v>0</v>
      </c>
    </row>
    <row r="269" spans="1:4" outlineLevel="1" x14ac:dyDescent="0.25">
      <c r="A269" s="66" t="s">
        <v>23</v>
      </c>
      <c r="B269" s="67" t="s">
        <v>35</v>
      </c>
      <c r="C269" s="65">
        <f>SUMIF($G$4:$G$250,"2 x 2,5mm² +
GND (500V)",$I$4:$I$250)</f>
        <v>0</v>
      </c>
      <c r="D269" s="65">
        <f>COUNTIF($G$4:$G$250,"2 x 2,5mm² +
GND (500V)")</f>
        <v>0</v>
      </c>
    </row>
    <row r="270" spans="1:4" outlineLevel="1" x14ac:dyDescent="0.25">
      <c r="A270" s="66" t="s">
        <v>23</v>
      </c>
      <c r="B270" s="67" t="s">
        <v>36</v>
      </c>
      <c r="C270" s="65">
        <f>SUMIF($G$4:$G$250,"4 x 2,5mm² +
GND (500V)",$I$4:$I$250)</f>
        <v>0</v>
      </c>
      <c r="D270" s="65">
        <f>COUNTIF($G$4:$G$250,"4 x 2,5mm² +
GND (500V)")</f>
        <v>0</v>
      </c>
    </row>
    <row r="271" spans="1:4" outlineLevel="1" x14ac:dyDescent="0.25">
      <c r="A271" s="66" t="s">
        <v>25</v>
      </c>
      <c r="B271" s="67" t="s">
        <v>44</v>
      </c>
      <c r="C271" s="65">
        <f>SUMIF($G$4:$G$315,"Shielded cable
2 x 1mm² +
GND (500V)",$I$4:$I$315)</f>
        <v>0</v>
      </c>
      <c r="D271" s="65">
        <f>COUNTIF($G$4:$G$315,"Shielded cable
2 x 1mm² +
GND (500V)")</f>
        <v>0</v>
      </c>
    </row>
    <row r="272" spans="1:4" outlineLevel="1" x14ac:dyDescent="0.25">
      <c r="A272" s="66" t="s">
        <v>25</v>
      </c>
      <c r="B272" s="67" t="s">
        <v>189</v>
      </c>
      <c r="C272" s="65">
        <f>SUMIF($G$4:$G$315,"Shielded cable
4 x 0,5mm² (500V)",$I$4:$I$315)</f>
        <v>0</v>
      </c>
      <c r="D272" s="65">
        <f>COUNTIF($G$4:$G$315,"Shielded cable
4 x 0,5mm² (500V)")</f>
        <v>1</v>
      </c>
    </row>
    <row r="273" spans="1:4" outlineLevel="1" x14ac:dyDescent="0.25">
      <c r="A273" s="66" t="s">
        <v>27</v>
      </c>
      <c r="B273" s="67" t="s">
        <v>37</v>
      </c>
      <c r="C273" s="65">
        <f>SUMIF($G$4:$G$315,"3 x 1,5mm² +
GND (1000V)",$I$4:$I$315)</f>
        <v>0</v>
      </c>
      <c r="D273" s="65">
        <f>COUNTIF($G$4:$G$315,"3 x 1,5mm² +
GND (1000V)")</f>
        <v>0</v>
      </c>
    </row>
    <row r="274" spans="1:4" outlineLevel="1" x14ac:dyDescent="0.25">
      <c r="A274" s="66" t="s">
        <v>27</v>
      </c>
      <c r="B274" s="67" t="s">
        <v>38</v>
      </c>
      <c r="C274" s="65">
        <f>SUMIF($G$4:$G$315,"3 x 2,5mm² +
GND (1000V)",$I$4:$I$315)</f>
        <v>0</v>
      </c>
      <c r="D274" s="65">
        <f>COUNTIF($G$4:$G$315,"3 x 2,5mm² +
GND (1000V)")</f>
        <v>0</v>
      </c>
    </row>
    <row r="275" spans="1:4" outlineLevel="1" x14ac:dyDescent="0.25">
      <c r="A275" s="66" t="s">
        <v>27</v>
      </c>
      <c r="B275" s="68" t="s">
        <v>86</v>
      </c>
      <c r="C275" s="65">
        <f>SUMIF($G$4:$G$315,"3 x 4mm² +
GND (1000V)",$I$4:$I$315)</f>
        <v>0</v>
      </c>
      <c r="D275" s="65">
        <f>COUNTIF($G$4:$G$315,"3 x 4mm² +
GND (1000V)")</f>
        <v>0</v>
      </c>
    </row>
    <row r="276" spans="1:4" outlineLevel="1" x14ac:dyDescent="0.25">
      <c r="A276" s="66" t="s">
        <v>27</v>
      </c>
      <c r="B276" s="68" t="s">
        <v>87</v>
      </c>
      <c r="C276" s="65">
        <f>SUMIF($G$4:$G$315,"3 x 6mm² +
GND (1000V)",$I$4:$I$315)</f>
        <v>0</v>
      </c>
      <c r="D276" s="65">
        <f>COUNTIF($G$4:$G$315,"3 x 6mm² +
GND (1000V)")</f>
        <v>0</v>
      </c>
    </row>
    <row r="277" spans="1:4" outlineLevel="1" x14ac:dyDescent="0.25">
      <c r="A277" s="66" t="s">
        <v>27</v>
      </c>
      <c r="B277" s="68" t="s">
        <v>88</v>
      </c>
      <c r="C277" s="65">
        <f>SUMIF($G$4:$G$315,"3 x 10mm² +
GND (1000V)",$I$4:$I$315)</f>
        <v>0</v>
      </c>
      <c r="D277" s="65">
        <f>COUNTIF($G$4:$G$315,"3 x 10mm² +
GND (1000V)")</f>
        <v>0</v>
      </c>
    </row>
    <row r="278" spans="1:4" outlineLevel="1" x14ac:dyDescent="0.25">
      <c r="A278" s="66" t="s">
        <v>25</v>
      </c>
      <c r="B278" s="67" t="s">
        <v>39</v>
      </c>
      <c r="C278" s="65">
        <f>SUMIF($G$4:$G$315,"Shielded cable
3 x 1,5mm² +
GND (1000V)",$I$4:$I$315)</f>
        <v>0</v>
      </c>
      <c r="D278" s="65">
        <f>COUNTIF($G$4:$G$315,"Shielded cable
3 x 1,5mm² +
GND (1000V)")</f>
        <v>0</v>
      </c>
    </row>
    <row r="279" spans="1:4" outlineLevel="1" x14ac:dyDescent="0.25">
      <c r="A279" s="66" t="s">
        <v>25</v>
      </c>
      <c r="B279" s="67" t="s">
        <v>40</v>
      </c>
      <c r="C279" s="65">
        <f>SUMIF($G$4:$G$315,"Shielded cable
3 x 2,5mm² +
GND (1000V)",$I$4:$I$315)</f>
        <v>0</v>
      </c>
      <c r="D279" s="65">
        <f>COUNTIF($G$4:$G$315,"Shielded cable
3 x 2,5mm² +
GND (1000V)")</f>
        <v>0</v>
      </c>
    </row>
    <row r="280" spans="1:4" outlineLevel="1" x14ac:dyDescent="0.25">
      <c r="A280" s="66" t="s">
        <v>25</v>
      </c>
      <c r="B280" s="67" t="s">
        <v>41</v>
      </c>
      <c r="C280" s="65">
        <f>SUMIF($G$4:$G$315,"Shielded cable
3 x 4mm² +
GND (1000V)",$I$4:$I$315)</f>
        <v>0</v>
      </c>
      <c r="D280" s="65">
        <f>COUNTIF($G$4:$G$315,"Shielded cable
3 x 4mm² +
GND (1000V)")</f>
        <v>0</v>
      </c>
    </row>
    <row r="281" spans="1:4" outlineLevel="1" x14ac:dyDescent="0.25">
      <c r="A281" s="66" t="s">
        <v>25</v>
      </c>
      <c r="B281" s="67" t="s">
        <v>42</v>
      </c>
      <c r="C281" s="65">
        <f>SUMIF($G$4:$G$315,"Shielded cable
3 x 6mm² +
GND (1000V)",$I$4:$I$315)</f>
        <v>0</v>
      </c>
      <c r="D281" s="65">
        <f>COUNTIF($G$4:$G$315,"Shielded cable
3 x 6mm² +
GND (1000V)")</f>
        <v>0</v>
      </c>
    </row>
    <row r="282" spans="1:4" outlineLevel="1" x14ac:dyDescent="0.25">
      <c r="A282" s="66" t="s">
        <v>25</v>
      </c>
      <c r="B282" s="67" t="s">
        <v>94</v>
      </c>
      <c r="C282" s="65">
        <f>SUMIF($G$4:$G$315,"Shielded cable
3 x 10mm² +
GND (1000V)",$I$4:$I$315)</f>
        <v>0</v>
      </c>
      <c r="D282" s="65">
        <f>COUNTIF($G$4:$G$315,"Shielded cable
3 x 10mm² +
GND (1000V)")</f>
        <v>0</v>
      </c>
    </row>
    <row r="283" spans="1:4" outlineLevel="1" x14ac:dyDescent="0.25">
      <c r="A283" s="66" t="s">
        <v>25</v>
      </c>
      <c r="B283" s="67" t="s">
        <v>95</v>
      </c>
      <c r="C283" s="65">
        <f>SUMIF($G$4:$G$315,"Shielded cable
3 x 16mm² +
GND (1000V)",$I$4:$I$315)</f>
        <v>0</v>
      </c>
      <c r="D283" s="65">
        <f>COUNTIF($G$4:$G$315,"Shielded cable
3 x 16mm² +
GND (1000V)")</f>
        <v>0</v>
      </c>
    </row>
    <row r="284" spans="1:4" outlineLevel="1" x14ac:dyDescent="0.25">
      <c r="A284" s="66" t="s">
        <v>25</v>
      </c>
      <c r="B284" s="67" t="s">
        <v>96</v>
      </c>
      <c r="C284" s="65">
        <f>SUMIF($G$4:$G$315,"Shielded cable
3 x 25mm² +
GND (1000V)",$I$4:$I$315)</f>
        <v>0</v>
      </c>
      <c r="D284" s="65">
        <f>COUNTIF($G$4:$G$315,"Shielded cable
3 x 25mm² +
GND (1000V)")</f>
        <v>0</v>
      </c>
    </row>
    <row r="285" spans="1:4" outlineLevel="1" x14ac:dyDescent="0.25">
      <c r="A285" s="66" t="s">
        <v>25</v>
      </c>
      <c r="B285" s="67" t="s">
        <v>97</v>
      </c>
      <c r="C285" s="65">
        <f>SUMIF($G$4:$G$315,"Shielded cable
3 x 35mm² +
GND (1000V)",$I$4:$I$315)</f>
        <v>0</v>
      </c>
      <c r="D285" s="65">
        <f>COUNTIF($G$4:$G$315,"Shielded cable
3 x 35mm² +
GND (1000V)")</f>
        <v>0</v>
      </c>
    </row>
    <row r="286" spans="1:4" outlineLevel="1" x14ac:dyDescent="0.25">
      <c r="A286" s="66" t="s">
        <v>25</v>
      </c>
      <c r="B286" s="67" t="s">
        <v>98</v>
      </c>
      <c r="C286" s="65">
        <f>SUMIF($G$4:$G$315,"Shielded cable
3 x 50mm² +
GND (1000V)",$I$4:$I$315)</f>
        <v>0</v>
      </c>
      <c r="D286" s="65">
        <f>COUNTIF($G$4:$G$315,"Shielded cable
3 x 50mm² +
GND (1000V)")</f>
        <v>0</v>
      </c>
    </row>
    <row r="287" spans="1:4" outlineLevel="1" x14ac:dyDescent="0.25">
      <c r="A287" s="66" t="s">
        <v>25</v>
      </c>
      <c r="B287" s="67" t="s">
        <v>99</v>
      </c>
      <c r="C287" s="65">
        <f>SUMIF($G$4:$G$315,"Shielded cable
3 x 70mm² +
GND (1000V)",$I$4:$I$315)</f>
        <v>0</v>
      </c>
      <c r="D287" s="65">
        <f>COUNTIF($G$4:$G$315,"Shielded cable
3 x 70mm² +
GND (1000V)")</f>
        <v>0</v>
      </c>
    </row>
    <row r="288" spans="1:4" outlineLevel="1" x14ac:dyDescent="0.25">
      <c r="A288" s="66" t="s">
        <v>25</v>
      </c>
      <c r="B288" s="67" t="s">
        <v>100</v>
      </c>
      <c r="C288" s="65">
        <f>SUMIF($G$4:$G$315,"Shielded cable
3 x 95mm² +
GND (1000V)",$I$4:$I$315)</f>
        <v>0</v>
      </c>
      <c r="D288" s="65">
        <f>COUNTIF($G$4:$G$315,"Shielded cable
3 x 95mm² +
GND (1000V)")</f>
        <v>0</v>
      </c>
    </row>
    <row r="289" spans="1:4" outlineLevel="1" x14ac:dyDescent="0.25">
      <c r="A289" s="66" t="s">
        <v>25</v>
      </c>
      <c r="B289" s="67" t="s">
        <v>214</v>
      </c>
      <c r="C289" s="65">
        <f>SUMIF($G$4:$G$315,"Shielded cable
3 x 120mm² +
GND (1000V)",$I$4:$I$315)</f>
        <v>0</v>
      </c>
      <c r="D289" s="65">
        <f>COUNTIF($G$4:$G$315,"Shielded cable
3 x 120mm² +
GND (1000V)")</f>
        <v>0</v>
      </c>
    </row>
    <row r="290" spans="1:4" outlineLevel="1" x14ac:dyDescent="0.25">
      <c r="A290" s="69" t="s">
        <v>31</v>
      </c>
      <c r="B290" s="70" t="s">
        <v>43</v>
      </c>
      <c r="C290" s="65">
        <f>SUMIF($G$4:$G$200,"PROFINET CABLE
6XV1840-2AH10",$I$4:$I$200)</f>
        <v>0</v>
      </c>
      <c r="D290" s="65">
        <f>COUNTIF($G$4:$G$200,"PROFINET CABLE
6XV1840-2AH10")</f>
        <v>0</v>
      </c>
    </row>
    <row r="291" spans="1:4" ht="15.75" outlineLevel="1" thickBot="1" x14ac:dyDescent="0.3">
      <c r="A291" s="71" t="s">
        <v>73</v>
      </c>
      <c r="B291" s="72" t="s">
        <v>74</v>
      </c>
      <c r="C291" s="65">
        <f>SUMIF($G$5:$G$315,"Earthing  cable
25 mm²",$I$5:$I$315)</f>
        <v>0</v>
      </c>
      <c r="D291" s="65">
        <f>COUNTIF($G$4:$G$315,"Earthing  cable
25 mm²")</f>
        <v>0</v>
      </c>
    </row>
  </sheetData>
  <sheetProtection insertRows="0" deleteRows="0"/>
  <mergeCells count="10">
    <mergeCell ref="A4:A18"/>
    <mergeCell ref="C4:C15"/>
    <mergeCell ref="H4:H15"/>
    <mergeCell ref="I4:I15"/>
    <mergeCell ref="G16:G18"/>
    <mergeCell ref="C16:C18"/>
    <mergeCell ref="H16:H18"/>
    <mergeCell ref="I16:I18"/>
    <mergeCell ref="G4:G15"/>
    <mergeCell ref="E4:E18"/>
  </mergeCells>
  <phoneticPr fontId="18" type="noConversion"/>
  <pageMargins left="0.23958333333333334" right="0.27083333333333331" top="0.75" bottom="0.75" header="0.3" footer="0.3"/>
  <pageSetup paperSize="9" orientation="landscape" r:id="rId1"/>
  <headerFooter>
    <oddHeader>&amp;R&amp;P/&amp;N</oddHeader>
  </headerFooter>
  <extLst>
    <ext xmlns:x14="http://schemas.microsoft.com/office/spreadsheetml/2009/9/main" uri="{CCE6A557-97BC-4b89-ADB6-D9C93CAAB3DF}">
      <x14:dataValidations xmlns:xm="http://schemas.microsoft.com/office/excel/2006/main" count="1">
        <x14:dataValidation type="list" allowBlank="1" showInputMessage="1" showErrorMessage="1" xr:uid="{C10B19EB-43D5-43B7-8FE1-AB60309396D0}">
          <x14:formula1>
            <xm:f>DONNEES!$L$2:$L$35</xm:f>
          </x14:formula1>
          <xm:sqref>G4 G16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28186F3-44DD-474D-807C-76C22396606E}">
  <sheetPr codeName="Feuil49">
    <tabColor rgb="FF00B0F0"/>
  </sheetPr>
  <dimension ref="A1:I291"/>
  <sheetViews>
    <sheetView view="pageLayout" topLeftCell="A261" zoomScaleNormal="100" workbookViewId="0">
      <selection activeCell="G4" sqref="G4:G8"/>
    </sheetView>
  </sheetViews>
  <sheetFormatPr baseColWidth="10" defaultRowHeight="15" outlineLevelRow="1" x14ac:dyDescent="0.25"/>
  <cols>
    <col min="1" max="1" width="24.42578125" style="22" customWidth="1"/>
    <col min="2" max="2" width="12.140625" style="22" customWidth="1"/>
    <col min="3" max="3" width="18.5703125" style="22" customWidth="1"/>
    <col min="4" max="4" width="12.7109375" style="22" customWidth="1"/>
    <col min="5" max="5" width="21.42578125" style="22" customWidth="1"/>
    <col min="6" max="6" width="12.140625" style="22" customWidth="1"/>
    <col min="7" max="7" width="18.5703125" style="22" customWidth="1"/>
    <col min="8" max="9" width="11.42578125" style="22" customWidth="1"/>
    <col min="10" max="12" width="7.7109375" customWidth="1"/>
    <col min="13" max="16" width="11.42578125" customWidth="1"/>
  </cols>
  <sheetData>
    <row r="1" spans="1:9" ht="18.75" x14ac:dyDescent="0.25">
      <c r="A1" s="28">
        <v>6</v>
      </c>
      <c r="B1" s="19" t="s">
        <v>136</v>
      </c>
    </row>
    <row r="3" spans="1:9" ht="25.5" x14ac:dyDescent="0.25">
      <c r="A3" s="44" t="s">
        <v>0</v>
      </c>
      <c r="B3" s="39" t="s">
        <v>1</v>
      </c>
      <c r="C3" s="39" t="s">
        <v>2</v>
      </c>
      <c r="D3" s="39" t="s">
        <v>3</v>
      </c>
      <c r="E3" s="39" t="s">
        <v>4</v>
      </c>
      <c r="F3" s="39" t="s">
        <v>1</v>
      </c>
      <c r="G3" s="39" t="s">
        <v>79</v>
      </c>
      <c r="H3" s="39" t="s">
        <v>5</v>
      </c>
      <c r="I3" s="39" t="s">
        <v>7</v>
      </c>
    </row>
    <row r="4" spans="1:9" ht="15.75" customHeight="1" x14ac:dyDescent="0.25">
      <c r="A4" s="85" t="s">
        <v>129</v>
      </c>
      <c r="B4" s="20" t="s">
        <v>110</v>
      </c>
      <c r="C4" s="86" t="s">
        <v>206</v>
      </c>
      <c r="D4" s="36" t="s">
        <v>16</v>
      </c>
      <c r="E4" s="89"/>
      <c r="F4" s="37" t="s">
        <v>80</v>
      </c>
      <c r="G4" s="92" t="s">
        <v>153</v>
      </c>
      <c r="H4" s="82"/>
      <c r="I4" s="81"/>
    </row>
    <row r="5" spans="1:9" ht="15" customHeight="1" x14ac:dyDescent="0.25">
      <c r="A5" s="85"/>
      <c r="B5" s="20" t="s">
        <v>111</v>
      </c>
      <c r="C5" s="87"/>
      <c r="D5" s="36" t="s">
        <v>17</v>
      </c>
      <c r="E5" s="90"/>
      <c r="F5" s="37" t="s">
        <v>81</v>
      </c>
      <c r="G5" s="92"/>
      <c r="H5" s="82"/>
      <c r="I5" s="81"/>
    </row>
    <row r="6" spans="1:9" ht="15" customHeight="1" x14ac:dyDescent="0.25">
      <c r="A6" s="85"/>
      <c r="B6" s="20" t="s">
        <v>112</v>
      </c>
      <c r="C6" s="87"/>
      <c r="D6" s="36" t="s">
        <v>18</v>
      </c>
      <c r="E6" s="90"/>
      <c r="F6" s="37" t="s">
        <v>82</v>
      </c>
      <c r="G6" s="92"/>
      <c r="H6" s="82"/>
      <c r="I6" s="81"/>
    </row>
    <row r="7" spans="1:9" ht="15" customHeight="1" x14ac:dyDescent="0.25">
      <c r="A7" s="85"/>
      <c r="B7" s="20" t="s">
        <v>109</v>
      </c>
      <c r="C7" s="87"/>
      <c r="D7" s="37" t="s">
        <v>15</v>
      </c>
      <c r="E7" s="90"/>
      <c r="F7" s="37" t="s">
        <v>83</v>
      </c>
      <c r="G7" s="92"/>
      <c r="H7" s="82"/>
      <c r="I7" s="81"/>
    </row>
    <row r="8" spans="1:9" ht="15" customHeight="1" x14ac:dyDescent="0.25">
      <c r="A8" s="85"/>
      <c r="B8" s="20" t="s">
        <v>113</v>
      </c>
      <c r="C8" s="88"/>
      <c r="D8" s="37" t="s">
        <v>8</v>
      </c>
      <c r="E8" s="91"/>
      <c r="F8" s="37" t="s">
        <v>84</v>
      </c>
      <c r="G8" s="92"/>
      <c r="H8" s="82"/>
      <c r="I8" s="81"/>
    </row>
    <row r="9" spans="1:9" ht="15" customHeight="1" x14ac:dyDescent="0.25">
      <c r="A9" s="85" t="s">
        <v>129</v>
      </c>
      <c r="B9" s="20" t="s">
        <v>110</v>
      </c>
      <c r="C9" s="86" t="s">
        <v>206</v>
      </c>
      <c r="D9" s="36" t="s">
        <v>16</v>
      </c>
      <c r="E9" s="95"/>
      <c r="F9" s="40" t="s">
        <v>80</v>
      </c>
      <c r="G9" s="92"/>
      <c r="H9" s="82"/>
      <c r="I9" s="81"/>
    </row>
    <row r="10" spans="1:9" ht="15" customHeight="1" x14ac:dyDescent="0.25">
      <c r="A10" s="85"/>
      <c r="B10" s="20" t="s">
        <v>111</v>
      </c>
      <c r="C10" s="87"/>
      <c r="D10" s="36" t="s">
        <v>17</v>
      </c>
      <c r="E10" s="96"/>
      <c r="F10" s="40" t="s">
        <v>81</v>
      </c>
      <c r="G10" s="92"/>
      <c r="H10" s="82"/>
      <c r="I10" s="81"/>
    </row>
    <row r="11" spans="1:9" ht="15" customHeight="1" x14ac:dyDescent="0.25">
      <c r="A11" s="85"/>
      <c r="B11" s="20" t="s">
        <v>112</v>
      </c>
      <c r="C11" s="87"/>
      <c r="D11" s="36" t="s">
        <v>18</v>
      </c>
      <c r="E11" s="96"/>
      <c r="F11" s="40" t="s">
        <v>82</v>
      </c>
      <c r="G11" s="92"/>
      <c r="H11" s="82"/>
      <c r="I11" s="81"/>
    </row>
    <row r="12" spans="1:9" ht="15.75" customHeight="1" x14ac:dyDescent="0.25">
      <c r="A12" s="85"/>
      <c r="B12" s="20" t="s">
        <v>109</v>
      </c>
      <c r="C12" s="87"/>
      <c r="D12" s="37" t="s">
        <v>15</v>
      </c>
      <c r="E12" s="96"/>
      <c r="F12" s="40" t="s">
        <v>83</v>
      </c>
      <c r="G12" s="92"/>
      <c r="H12" s="82"/>
      <c r="I12" s="81"/>
    </row>
    <row r="13" spans="1:9" ht="15.75" customHeight="1" x14ac:dyDescent="0.25">
      <c r="A13" s="85"/>
      <c r="B13" s="20" t="s">
        <v>113</v>
      </c>
      <c r="C13" s="88"/>
      <c r="D13" s="37" t="s">
        <v>8</v>
      </c>
      <c r="E13" s="96"/>
      <c r="F13" s="40" t="s">
        <v>84</v>
      </c>
      <c r="G13" s="92"/>
      <c r="H13" s="82"/>
      <c r="I13" s="81"/>
    </row>
    <row r="15" spans="1:9" ht="30" x14ac:dyDescent="0.25">
      <c r="A15" s="45"/>
      <c r="B15" s="40"/>
      <c r="C15" s="40"/>
      <c r="D15" s="40"/>
      <c r="E15" s="40"/>
      <c r="F15" s="40"/>
      <c r="G15" s="41" t="s">
        <v>75</v>
      </c>
      <c r="H15" s="41"/>
      <c r="I15" s="38"/>
    </row>
    <row r="17" spans="9:9" x14ac:dyDescent="0.25">
      <c r="I17" s="21"/>
    </row>
    <row r="33" spans="1:9" ht="25.5" x14ac:dyDescent="0.25">
      <c r="A33" s="44" t="s">
        <v>0</v>
      </c>
      <c r="B33" s="39" t="s">
        <v>1</v>
      </c>
      <c r="C33" s="39" t="s">
        <v>2</v>
      </c>
      <c r="D33" s="39" t="s">
        <v>3</v>
      </c>
      <c r="E33" s="39" t="s">
        <v>4</v>
      </c>
      <c r="F33" s="39" t="s">
        <v>1</v>
      </c>
      <c r="G33" s="39" t="s">
        <v>79</v>
      </c>
      <c r="H33" s="39" t="s">
        <v>5</v>
      </c>
      <c r="I33" s="39" t="s">
        <v>7</v>
      </c>
    </row>
    <row r="34" spans="1:9" ht="15" customHeight="1" x14ac:dyDescent="0.25">
      <c r="A34" s="85" t="s">
        <v>179</v>
      </c>
      <c r="B34" s="23">
        <v>1</v>
      </c>
      <c r="C34" s="93" t="s">
        <v>130</v>
      </c>
      <c r="D34" s="37">
        <v>1</v>
      </c>
      <c r="E34" s="94"/>
      <c r="F34" s="37">
        <f t="shared" ref="F34:F45" si="0">IF(B34=0,"",B34)</f>
        <v>1</v>
      </c>
      <c r="G34" s="92"/>
      <c r="H34" s="83"/>
      <c r="I34" s="84"/>
    </row>
    <row r="35" spans="1:9" ht="15" customHeight="1" x14ac:dyDescent="0.25">
      <c r="A35" s="85"/>
      <c r="B35" s="23">
        <v>2</v>
      </c>
      <c r="C35" s="93"/>
      <c r="D35" s="37">
        <v>2</v>
      </c>
      <c r="E35" s="94"/>
      <c r="F35" s="37">
        <f t="shared" si="0"/>
        <v>2</v>
      </c>
      <c r="G35" s="92"/>
      <c r="H35" s="83"/>
      <c r="I35" s="84"/>
    </row>
    <row r="36" spans="1:9" ht="15" customHeight="1" x14ac:dyDescent="0.25">
      <c r="A36" s="85"/>
      <c r="B36" s="23">
        <v>3</v>
      </c>
      <c r="C36" s="93"/>
      <c r="D36" s="37">
        <v>3</v>
      </c>
      <c r="E36" s="94"/>
      <c r="F36" s="37">
        <f t="shared" si="0"/>
        <v>3</v>
      </c>
      <c r="G36" s="92"/>
      <c r="H36" s="83"/>
      <c r="I36" s="84"/>
    </row>
    <row r="37" spans="1:9" ht="15" customHeight="1" x14ac:dyDescent="0.25">
      <c r="A37" s="85"/>
      <c r="B37" s="23">
        <v>4</v>
      </c>
      <c r="C37" s="93"/>
      <c r="D37" s="37">
        <v>4</v>
      </c>
      <c r="E37" s="94"/>
      <c r="F37" s="37">
        <f t="shared" si="0"/>
        <v>4</v>
      </c>
      <c r="G37" s="92"/>
      <c r="H37" s="83"/>
      <c r="I37" s="84"/>
    </row>
    <row r="38" spans="1:9" ht="15" customHeight="1" x14ac:dyDescent="0.25">
      <c r="A38" s="85"/>
      <c r="B38" s="23" t="s">
        <v>115</v>
      </c>
      <c r="C38" s="93"/>
      <c r="D38" s="37">
        <v>5</v>
      </c>
      <c r="E38" s="94"/>
      <c r="F38" s="37" t="str">
        <f t="shared" si="0"/>
        <v>L</v>
      </c>
      <c r="G38" s="92"/>
      <c r="H38" s="83"/>
      <c r="I38" s="84"/>
    </row>
    <row r="39" spans="1:9" ht="15" customHeight="1" x14ac:dyDescent="0.25">
      <c r="A39" s="85"/>
      <c r="B39" s="23" t="s">
        <v>116</v>
      </c>
      <c r="C39" s="93"/>
      <c r="D39" s="37">
        <v>6</v>
      </c>
      <c r="E39" s="94"/>
      <c r="F39" s="37" t="str">
        <f t="shared" si="0"/>
        <v>E</v>
      </c>
      <c r="G39" s="92"/>
      <c r="H39" s="83"/>
      <c r="I39" s="84"/>
    </row>
    <row r="40" spans="1:9" ht="15" customHeight="1" x14ac:dyDescent="0.25">
      <c r="A40" s="85"/>
      <c r="B40" s="23" t="s">
        <v>116</v>
      </c>
      <c r="C40" s="93"/>
      <c r="D40" s="37">
        <v>7</v>
      </c>
      <c r="E40" s="94"/>
      <c r="F40" s="37" t="str">
        <f t="shared" si="0"/>
        <v>E</v>
      </c>
      <c r="G40" s="92"/>
      <c r="H40" s="83"/>
      <c r="I40" s="84"/>
    </row>
    <row r="41" spans="1:9" ht="15" customHeight="1" x14ac:dyDescent="0.25">
      <c r="A41" s="85"/>
      <c r="B41" s="23">
        <v>7</v>
      </c>
      <c r="C41" s="93"/>
      <c r="D41" s="37">
        <v>8</v>
      </c>
      <c r="E41" s="94"/>
      <c r="F41" s="37">
        <f t="shared" si="0"/>
        <v>7</v>
      </c>
      <c r="G41" s="92"/>
      <c r="H41" s="83"/>
      <c r="I41" s="84"/>
    </row>
    <row r="42" spans="1:9" ht="15" customHeight="1" x14ac:dyDescent="0.25">
      <c r="A42" s="85"/>
      <c r="B42" s="23">
        <v>8</v>
      </c>
      <c r="C42" s="93"/>
      <c r="D42" s="37">
        <v>9</v>
      </c>
      <c r="E42" s="94"/>
      <c r="F42" s="37">
        <f t="shared" si="0"/>
        <v>8</v>
      </c>
      <c r="G42" s="92"/>
      <c r="H42" s="83"/>
      <c r="I42" s="84"/>
    </row>
    <row r="43" spans="1:9" ht="15" customHeight="1" x14ac:dyDescent="0.25">
      <c r="A43" s="85"/>
      <c r="B43" s="23">
        <v>9</v>
      </c>
      <c r="C43" s="93"/>
      <c r="D43" s="37">
        <v>10</v>
      </c>
      <c r="E43" s="94"/>
      <c r="F43" s="37">
        <f t="shared" si="0"/>
        <v>9</v>
      </c>
      <c r="G43" s="92"/>
      <c r="H43" s="83"/>
      <c r="I43" s="84"/>
    </row>
    <row r="44" spans="1:9" ht="15" customHeight="1" x14ac:dyDescent="0.25">
      <c r="A44" s="85"/>
      <c r="B44" s="23">
        <v>10</v>
      </c>
      <c r="C44" s="93"/>
      <c r="D44" s="37">
        <v>11</v>
      </c>
      <c r="E44" s="94"/>
      <c r="F44" s="37">
        <f t="shared" si="0"/>
        <v>10</v>
      </c>
      <c r="G44" s="92"/>
      <c r="H44" s="83"/>
      <c r="I44" s="84"/>
    </row>
    <row r="45" spans="1:9" ht="15" customHeight="1" x14ac:dyDescent="0.25">
      <c r="A45" s="85"/>
      <c r="B45" s="37" t="s">
        <v>117</v>
      </c>
      <c r="C45" s="93"/>
      <c r="D45" s="37" t="s">
        <v>8</v>
      </c>
      <c r="E45" s="94"/>
      <c r="F45" s="37" t="str">
        <f t="shared" si="0"/>
        <v>Stand-by</v>
      </c>
      <c r="G45" s="92"/>
      <c r="H45" s="83"/>
      <c r="I45" s="84"/>
    </row>
    <row r="47" spans="1:9" x14ac:dyDescent="0.25">
      <c r="I47" s="21"/>
    </row>
    <row r="48" spans="1:9" x14ac:dyDescent="0.25">
      <c r="I48" s="21"/>
    </row>
    <row r="49" spans="9:9" x14ac:dyDescent="0.25">
      <c r="I49" s="21"/>
    </row>
    <row r="50" spans="9:9" x14ac:dyDescent="0.25">
      <c r="I50" s="21"/>
    </row>
    <row r="51" spans="9:9" x14ac:dyDescent="0.25">
      <c r="I51" s="21"/>
    </row>
    <row r="52" spans="9:9" x14ac:dyDescent="0.25">
      <c r="I52" s="21"/>
    </row>
    <row r="53" spans="9:9" x14ac:dyDescent="0.25">
      <c r="I53" s="21"/>
    </row>
    <row r="54" spans="9:9" x14ac:dyDescent="0.25">
      <c r="I54" s="21"/>
    </row>
    <row r="259" spans="1:4" ht="15.75" thickBot="1" x14ac:dyDescent="0.3">
      <c r="B259" s="1"/>
      <c r="C259" s="1"/>
    </row>
    <row r="260" spans="1:4" ht="15.75" outlineLevel="1" thickBot="1" x14ac:dyDescent="0.3">
      <c r="A260" s="8" t="s">
        <v>69</v>
      </c>
      <c r="B260" s="9"/>
      <c r="C260" s="10"/>
    </row>
    <row r="261" spans="1:4" ht="26.25" outlineLevel="1" thickBot="1" x14ac:dyDescent="0.3">
      <c r="A261" s="11" t="s">
        <v>70</v>
      </c>
      <c r="B261" s="12" t="s">
        <v>71</v>
      </c>
      <c r="C261" s="12" t="s">
        <v>72</v>
      </c>
      <c r="D261" s="12" t="s">
        <v>168</v>
      </c>
    </row>
    <row r="262" spans="1:4" outlineLevel="1" x14ac:dyDescent="0.25">
      <c r="A262" s="27" t="s">
        <v>23</v>
      </c>
      <c r="B262" s="13" t="s">
        <v>24</v>
      </c>
      <c r="C262" s="15">
        <f>SUMIF($G$4:$G$250,"2 x 1mm² +
GND (500V)",$I$4:$I$250)</f>
        <v>0</v>
      </c>
      <c r="D262" s="15">
        <f>COUNTIF($G$4:$G$250,"2 x 1mm² +
GND (500V)")</f>
        <v>0</v>
      </c>
    </row>
    <row r="263" spans="1:4" outlineLevel="1" x14ac:dyDescent="0.25">
      <c r="A263" s="25" t="s">
        <v>23</v>
      </c>
      <c r="B263" s="42" t="s">
        <v>26</v>
      </c>
      <c r="C263" s="15">
        <f>SUMIF($G$4:$G$250,"4 x 1mm² +
GND (500V)",$I$4:$I$250)</f>
        <v>0</v>
      </c>
      <c r="D263" s="15">
        <f>COUNTIF($G$4:$G$250,"4 x 1mm² +
GND (500V)")</f>
        <v>0</v>
      </c>
    </row>
    <row r="264" spans="1:4" outlineLevel="1" x14ac:dyDescent="0.25">
      <c r="A264" s="25" t="s">
        <v>23</v>
      </c>
      <c r="B264" s="42" t="s">
        <v>28</v>
      </c>
      <c r="C264" s="15">
        <f>SUMIF($G$4:$G$250,"6 x 1mm² +
GND (500V)",$I$4:$I$250)</f>
        <v>0</v>
      </c>
      <c r="D264" s="15">
        <f>COUNTIF($G$4:$G$250,"6 x 1mm² +
GND (500V)")</f>
        <v>0</v>
      </c>
    </row>
    <row r="265" spans="1:4" outlineLevel="1" x14ac:dyDescent="0.25">
      <c r="A265" s="25" t="s">
        <v>23</v>
      </c>
      <c r="B265" s="42" t="s">
        <v>30</v>
      </c>
      <c r="C265" s="15">
        <f>SUMIF($G$4:$G$250,"11 x 1mm² +
GND (500V)",$I$4:$I$250)</f>
        <v>0</v>
      </c>
      <c r="D265" s="15">
        <f>COUNTIF($G$4:$G$250,"11 x 1mm² +
GND (500V)")</f>
        <v>1</v>
      </c>
    </row>
    <row r="266" spans="1:4" outlineLevel="1" x14ac:dyDescent="0.25">
      <c r="A266" s="25" t="s">
        <v>23</v>
      </c>
      <c r="B266" s="42" t="s">
        <v>32</v>
      </c>
      <c r="C266" s="15">
        <f>SUMIF($G$4:$G$250,"18 x 1mm² +
GND (500V)",$I$4:$I$250)</f>
        <v>0</v>
      </c>
      <c r="D266" s="15">
        <f>COUNTIF($G$4:$G$250,"18 x 1mm² +
GND (500V)")</f>
        <v>0</v>
      </c>
    </row>
    <row r="267" spans="1:4" outlineLevel="1" x14ac:dyDescent="0.25">
      <c r="A267" s="25" t="s">
        <v>23</v>
      </c>
      <c r="B267" s="42" t="s">
        <v>33</v>
      </c>
      <c r="C267" s="15">
        <f>SUMIF($G$4:$G$250,"26 x 1mm² +
GND (500V)",$I$4:$I$250)</f>
        <v>0</v>
      </c>
      <c r="D267" s="15">
        <f>COUNTIF($G$4:$G$250,"26 x 1mm² +
GND (500V)")</f>
        <v>0</v>
      </c>
    </row>
    <row r="268" spans="1:4" outlineLevel="1" x14ac:dyDescent="0.25">
      <c r="A268" s="25" t="s">
        <v>23</v>
      </c>
      <c r="B268" s="42" t="s">
        <v>34</v>
      </c>
      <c r="C268" s="15">
        <f>SUMIF($G$4:$G$250,"2 x 1,5mm² +
GND (500V)",$I$4:$I$250)</f>
        <v>0</v>
      </c>
      <c r="D268" s="15">
        <f>COUNTIF($G$4:$G$250,"2 x 1,5mm² +
GND (500V)")</f>
        <v>0</v>
      </c>
    </row>
    <row r="269" spans="1:4" outlineLevel="1" x14ac:dyDescent="0.25">
      <c r="A269" s="25" t="s">
        <v>23</v>
      </c>
      <c r="B269" s="42" t="s">
        <v>35</v>
      </c>
      <c r="C269" s="15">
        <f>SUMIF($G$4:$G$250,"2 x 2,5mm² +
GND (500V)",$I$4:$I$250)</f>
        <v>0</v>
      </c>
      <c r="D269" s="15">
        <f>COUNTIF($G$4:$G$250,"2 x 2,5mm² +
GND (500V)")</f>
        <v>0</v>
      </c>
    </row>
    <row r="270" spans="1:4" outlineLevel="1" x14ac:dyDescent="0.25">
      <c r="A270" s="25" t="s">
        <v>23</v>
      </c>
      <c r="B270" s="42" t="s">
        <v>36</v>
      </c>
      <c r="C270" s="15">
        <f>SUMIF($G$4:$G$250,"4 x 2,5mm² +
GND (500V)",$I$4:$I$250)</f>
        <v>0</v>
      </c>
      <c r="D270" s="15">
        <f>COUNTIF($G$4:$G$250,"4 x 2,5mm² +
GND (500V)")</f>
        <v>0</v>
      </c>
    </row>
    <row r="271" spans="1:4" outlineLevel="1" x14ac:dyDescent="0.25">
      <c r="A271" s="25" t="s">
        <v>25</v>
      </c>
      <c r="B271" s="42" t="s">
        <v>44</v>
      </c>
      <c r="C271" s="15">
        <f>SUMIF($G$4:$G$315,"Shielded cable
2 x 1mm² +
GND (500V)",$I$4:$I$315)</f>
        <v>0</v>
      </c>
      <c r="D271" s="15">
        <f>COUNTIF($G$4:$G$315,"Shielded cable
2 x 1mm² +
GND (500V)")</f>
        <v>0</v>
      </c>
    </row>
    <row r="272" spans="1:4" outlineLevel="1" x14ac:dyDescent="0.25">
      <c r="A272" s="25" t="s">
        <v>25</v>
      </c>
      <c r="B272" s="43" t="s">
        <v>189</v>
      </c>
      <c r="C272" s="15">
        <f>SUMIF($G$4:$G$315,"Shielded cable
4 x 0,5mm² (500V)",$I$4:$I$315)</f>
        <v>0</v>
      </c>
      <c r="D272" s="15">
        <f>COUNTIF($G$4:$G$315,"Shielded cable
4 x 0,5mm² (500V)")</f>
        <v>0</v>
      </c>
    </row>
    <row r="273" spans="1:4" outlineLevel="1" x14ac:dyDescent="0.25">
      <c r="A273" s="25" t="s">
        <v>27</v>
      </c>
      <c r="B273" s="42" t="s">
        <v>37</v>
      </c>
      <c r="C273" s="15">
        <f>SUMIF($G$4:$G$315,"3 x 1,5mm² +
GND (1000V)",$I$4:$I$315)</f>
        <v>0</v>
      </c>
      <c r="D273" s="15">
        <f>COUNTIF($G$4:$G$315,"3 x 1,5mm² +
GND (1000V)")</f>
        <v>0</v>
      </c>
    </row>
    <row r="274" spans="1:4" outlineLevel="1" x14ac:dyDescent="0.25">
      <c r="A274" s="25" t="s">
        <v>27</v>
      </c>
      <c r="B274" s="42" t="s">
        <v>38</v>
      </c>
      <c r="C274" s="15">
        <f>SUMIF($G$4:$G$315,"3 x 2,5mm² +
GND (1000V)",$I$4:$I$315)</f>
        <v>0</v>
      </c>
      <c r="D274" s="15">
        <f>COUNTIF($G$4:$G$315,"3 x 2,5mm² +
GND (1000V)")</f>
        <v>0</v>
      </c>
    </row>
    <row r="275" spans="1:4" outlineLevel="1" x14ac:dyDescent="0.25">
      <c r="A275" s="25" t="s">
        <v>27</v>
      </c>
      <c r="B275" s="24" t="s">
        <v>86</v>
      </c>
      <c r="C275" s="15">
        <f>SUMIF($G$4:$G$315,"3 x 4mm² +
GND (1000V)",$I$4:$I$315)</f>
        <v>0</v>
      </c>
      <c r="D275" s="15">
        <f>COUNTIF($G$4:$G$315,"3 x 4mm² +
GND (1000V)")</f>
        <v>0</v>
      </c>
    </row>
    <row r="276" spans="1:4" outlineLevel="1" x14ac:dyDescent="0.25">
      <c r="A276" s="25" t="s">
        <v>27</v>
      </c>
      <c r="B276" s="24" t="s">
        <v>87</v>
      </c>
      <c r="C276" s="15">
        <f>SUMIF($G$4:$G$315,"3 x 6mm² +
GND (1000V)",$I$4:$I$315)</f>
        <v>0</v>
      </c>
      <c r="D276" s="15">
        <f>COUNTIF($G$4:$G$315,"3 x 6mm² +
GND (1000V)")</f>
        <v>0</v>
      </c>
    </row>
    <row r="277" spans="1:4" outlineLevel="1" x14ac:dyDescent="0.25">
      <c r="A277" s="25" t="s">
        <v>27</v>
      </c>
      <c r="B277" s="24" t="s">
        <v>88</v>
      </c>
      <c r="C277" s="15">
        <f>SUMIF($G$4:$G$315,"3 x 10mm² +
GND (1000V)",$I$4:$I$315)</f>
        <v>0</v>
      </c>
      <c r="D277" s="15">
        <f>COUNTIF($G$4:$G$315,"3 x 10mm² +
GND (1000V)")</f>
        <v>0</v>
      </c>
    </row>
    <row r="278" spans="1:4" outlineLevel="1" x14ac:dyDescent="0.25">
      <c r="A278" s="25" t="s">
        <v>25</v>
      </c>
      <c r="B278" s="42" t="s">
        <v>39</v>
      </c>
      <c r="C278" s="15">
        <f>SUMIF($G$4:$G$315,"Shielded cable
3 x 1,5mm² +
GND (1000V)",$I$4:$I$315)</f>
        <v>0</v>
      </c>
      <c r="D278" s="15">
        <f>COUNTIF($G$4:$G$315,"Shielded cable
3 x 1,5mm² +
GND (1000V)")</f>
        <v>0</v>
      </c>
    </row>
    <row r="279" spans="1:4" outlineLevel="1" x14ac:dyDescent="0.25">
      <c r="A279" s="25" t="s">
        <v>25</v>
      </c>
      <c r="B279" s="42" t="s">
        <v>40</v>
      </c>
      <c r="C279" s="15">
        <f>SUMIF($G$4:$G$315,"Shielded cable
3 x 2,5mm² +
GND (1000V)",$I$4:$I$315)</f>
        <v>0</v>
      </c>
      <c r="D279" s="15">
        <f>COUNTIF($G$4:$G$315,"Shielded cable
3 x 2,5mm² +
GND (1000V)")</f>
        <v>0</v>
      </c>
    </row>
    <row r="280" spans="1:4" outlineLevel="1" x14ac:dyDescent="0.25">
      <c r="A280" s="25" t="s">
        <v>25</v>
      </c>
      <c r="B280" s="42" t="s">
        <v>41</v>
      </c>
      <c r="C280" s="15">
        <f>SUMIF($G$4:$G$315,"Shielded cable
3 x 4mm² +
GND (1000V)",$I$4:$I$315)</f>
        <v>0</v>
      </c>
      <c r="D280" s="15">
        <f>COUNTIF($G$4:$G$315,"Shielded cable
3 x 4mm² +
GND (1000V)")</f>
        <v>0</v>
      </c>
    </row>
    <row r="281" spans="1:4" outlineLevel="1" x14ac:dyDescent="0.25">
      <c r="A281" s="25" t="s">
        <v>25</v>
      </c>
      <c r="B281" s="42" t="s">
        <v>42</v>
      </c>
      <c r="C281" s="15">
        <f>SUMIF($G$4:$G$315,"Shielded cable
3 x 6mm² +
GND (1000V)",$I$4:$I$315)</f>
        <v>0</v>
      </c>
      <c r="D281" s="15">
        <f>COUNTIF($G$4:$G$315,"Shielded cable
3 x 6mm² +
GND (1000V)")</f>
        <v>0</v>
      </c>
    </row>
    <row r="282" spans="1:4" outlineLevel="1" x14ac:dyDescent="0.25">
      <c r="A282" s="25" t="s">
        <v>25</v>
      </c>
      <c r="B282" s="42" t="s">
        <v>94</v>
      </c>
      <c r="C282" s="15">
        <f>SUMIF($G$4:$G$315,"Shielded cable
3 x 10mm² +
GND (1000V)",$I$4:$I$315)</f>
        <v>0</v>
      </c>
      <c r="D282" s="15">
        <f>COUNTIF($G$4:$G$315,"Shielded cable
3 x 10mm² +
GND (1000V)")</f>
        <v>0</v>
      </c>
    </row>
    <row r="283" spans="1:4" outlineLevel="1" x14ac:dyDescent="0.25">
      <c r="A283" s="25" t="s">
        <v>25</v>
      </c>
      <c r="B283" s="42" t="s">
        <v>95</v>
      </c>
      <c r="C283" s="15">
        <f>SUMIF($G$4:$G$315,"Shielded cable
3 x 16mm² +
GND (1000V)",$I$4:$I$315)</f>
        <v>0</v>
      </c>
      <c r="D283" s="15">
        <f>COUNTIF($G$4:$G$315,"Shielded cable
3 x 16mm² +
GND (1000V)")</f>
        <v>0</v>
      </c>
    </row>
    <row r="284" spans="1:4" outlineLevel="1" x14ac:dyDescent="0.25">
      <c r="A284" s="25" t="s">
        <v>25</v>
      </c>
      <c r="B284" s="42" t="s">
        <v>96</v>
      </c>
      <c r="C284" s="15">
        <f>SUMIF($G$4:$G$315,"Shielded cable
3 x 25mm² +
GND (1000V)",$I$4:$I$315)</f>
        <v>0</v>
      </c>
      <c r="D284" s="15">
        <f>COUNTIF($G$4:$G$315,"Shielded cable
3 x 25mm² +
GND (1000V)")</f>
        <v>0</v>
      </c>
    </row>
    <row r="285" spans="1:4" outlineLevel="1" x14ac:dyDescent="0.25">
      <c r="A285" s="25" t="s">
        <v>25</v>
      </c>
      <c r="B285" s="42" t="s">
        <v>97</v>
      </c>
      <c r="C285" s="15">
        <f>SUMIF($G$4:$G$315,"Shielded cable
3 x 35mm² +
GND (1000V)",$I$4:$I$315)</f>
        <v>0</v>
      </c>
      <c r="D285" s="15">
        <f>COUNTIF($G$4:$G$315,"Shielded cable
3 x 35mm² +
GND (1000V)")</f>
        <v>0</v>
      </c>
    </row>
    <row r="286" spans="1:4" outlineLevel="1" x14ac:dyDescent="0.25">
      <c r="A286" s="25" t="s">
        <v>25</v>
      </c>
      <c r="B286" s="42" t="s">
        <v>98</v>
      </c>
      <c r="C286" s="15">
        <f>SUMIF($G$4:$G$315,"Shielded cable
3 x 50mm² +
GND (1000V)",$I$4:$I$315)</f>
        <v>0</v>
      </c>
      <c r="D286" s="15">
        <f>COUNTIF($G$4:$G$315,"Shielded cable
3 x 50mm² +
GND (1000V)")</f>
        <v>0</v>
      </c>
    </row>
    <row r="287" spans="1:4" outlineLevel="1" x14ac:dyDescent="0.25">
      <c r="A287" s="25" t="s">
        <v>25</v>
      </c>
      <c r="B287" s="42" t="s">
        <v>99</v>
      </c>
      <c r="C287" s="15">
        <f>SUMIF($G$4:$G$315,"Shielded cable
3 x 70mm² +
GND (1000V)",$I$4:$I$315)</f>
        <v>0</v>
      </c>
      <c r="D287" s="15">
        <f>COUNTIF($G$4:$G$315,"Shielded cable
3 x 70mm² +
GND (1000V)")</f>
        <v>0</v>
      </c>
    </row>
    <row r="288" spans="1:4" outlineLevel="1" x14ac:dyDescent="0.25">
      <c r="A288" s="25" t="s">
        <v>25</v>
      </c>
      <c r="B288" s="42" t="s">
        <v>100</v>
      </c>
      <c r="C288" s="15">
        <f>SUMIF($G$4:$G$315,"Shielded cable
3 x 95mm² +
GND (1000V)",$I$4:$I$315)</f>
        <v>0</v>
      </c>
      <c r="D288" s="15">
        <f>COUNTIF($G$4:$G$315,"Shielded cable
3 x 95mm² +
GND (1000V)")</f>
        <v>0</v>
      </c>
    </row>
    <row r="289" spans="1:4" outlineLevel="1" x14ac:dyDescent="0.25">
      <c r="A289" s="25" t="s">
        <v>216</v>
      </c>
      <c r="B289" s="46" t="s">
        <v>214</v>
      </c>
      <c r="C289" s="15">
        <f>SUMIF($G$4:$G$315,"Shielded cable
3 x 120mm² +
GND (1000V)",$I$4:$I$315)</f>
        <v>0</v>
      </c>
      <c r="D289" s="15">
        <f>COUNTIF($G$4:$G$315,"Shielded cable
3 x 120mm² +
GND (1000V)")</f>
        <v>0</v>
      </c>
    </row>
    <row r="290" spans="1:4" outlineLevel="1" x14ac:dyDescent="0.25">
      <c r="A290" s="16" t="s">
        <v>31</v>
      </c>
      <c r="B290" s="17" t="s">
        <v>43</v>
      </c>
      <c r="C290" s="15">
        <f>SUMIF($G$4:$G$200,"PROFINET CABLE
6XV1840-2AH10",$I$4:$I$200)</f>
        <v>0</v>
      </c>
      <c r="D290" s="15">
        <f>COUNTIF($G$4:$G$200,"PROFINET CABLE
6XV1840-2AH10")</f>
        <v>0</v>
      </c>
    </row>
    <row r="291" spans="1:4" ht="15.75" outlineLevel="1" thickBot="1" x14ac:dyDescent="0.3">
      <c r="A291" s="26" t="s">
        <v>73</v>
      </c>
      <c r="B291" s="18" t="s">
        <v>74</v>
      </c>
      <c r="C291" s="15">
        <f>SUMIF($G$5:$G$315,"Earthing  cable
25 mm²",$I$5:$I$315)</f>
        <v>0</v>
      </c>
      <c r="D291" s="15">
        <f>COUNTIF($G$4:$G$315,"Earthing  cable
25 mm²")</f>
        <v>1</v>
      </c>
    </row>
  </sheetData>
  <mergeCells count="18">
    <mergeCell ref="A4:A8"/>
    <mergeCell ref="C4:C8"/>
    <mergeCell ref="E4:E8"/>
    <mergeCell ref="G4:G8"/>
    <mergeCell ref="A34:A45"/>
    <mergeCell ref="C34:C45"/>
    <mergeCell ref="E34:E45"/>
    <mergeCell ref="A9:A13"/>
    <mergeCell ref="C9:C13"/>
    <mergeCell ref="E9:E13"/>
    <mergeCell ref="G34:G45"/>
    <mergeCell ref="G9:G13"/>
    <mergeCell ref="I4:I8"/>
    <mergeCell ref="I9:I13"/>
    <mergeCell ref="H4:H8"/>
    <mergeCell ref="H34:H45"/>
    <mergeCell ref="I34:I45"/>
    <mergeCell ref="H9:H13"/>
  </mergeCells>
  <pageMargins left="0.22916666666666666" right="0.25" top="0.75" bottom="0.75" header="0.3" footer="0.3"/>
  <pageSetup paperSize="9" orientation="landscape" r:id="rId1"/>
  <headerFooter>
    <oddHeader>&amp;R&amp;P/&amp;N</oddHeader>
    <oddFooter>&amp;RWARNING : All the grounds must be connected</oddFooter>
  </headerFooter>
  <extLst>
    <ext xmlns:x14="http://schemas.microsoft.com/office/spreadsheetml/2009/9/main" uri="{CCE6A557-97BC-4b89-ADB6-D9C93CAAB3DF}">
      <x14:dataValidations xmlns:xm="http://schemas.microsoft.com/office/excel/2006/main" count="1">
        <x14:dataValidation type="list" allowBlank="1" showInputMessage="1" showErrorMessage="1" xr:uid="{AB8B5348-8933-4CCF-9012-E1A5B48843C5}">
          <x14:formula1>
            <xm:f>DONNEES!$L$2:$L$35</xm:f>
          </x14:formula1>
          <xm:sqref>G4:G13 G34:G45</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F98DFEB-0139-4689-A548-E337E0A3434D}">
  <sheetPr codeName="Feuil38">
    <tabColor rgb="FF8064A2"/>
  </sheetPr>
  <dimension ref="A1:G46"/>
  <sheetViews>
    <sheetView view="pageLayout" zoomScaleNormal="100" workbookViewId="0">
      <selection activeCell="E16" sqref="E16"/>
    </sheetView>
  </sheetViews>
  <sheetFormatPr baseColWidth="10" defaultRowHeight="15" x14ac:dyDescent="0.25"/>
  <cols>
    <col min="1" max="2" width="12.140625" customWidth="1"/>
    <col min="3" max="4" width="10.42578125" customWidth="1"/>
    <col min="5" max="7" width="14" customWidth="1"/>
  </cols>
  <sheetData>
    <row r="1" spans="1:7" x14ac:dyDescent="0.25">
      <c r="A1">
        <v>51</v>
      </c>
      <c r="B1" s="30" t="str">
        <f>B6</f>
        <v>ELECTRICAL COPPER CABLES</v>
      </c>
    </row>
    <row r="6" spans="1:7" ht="18.75" x14ac:dyDescent="0.25">
      <c r="A6" s="29">
        <f>A1</f>
        <v>51</v>
      </c>
      <c r="B6" s="19" t="s">
        <v>139</v>
      </c>
    </row>
    <row r="8" spans="1:7" ht="25.5" x14ac:dyDescent="0.25">
      <c r="A8" s="101" t="s">
        <v>140</v>
      </c>
      <c r="B8" s="101"/>
      <c r="C8" s="101"/>
      <c r="D8" s="101"/>
      <c r="E8" s="101"/>
      <c r="F8" s="101"/>
      <c r="G8" s="101"/>
    </row>
    <row r="10" spans="1:7" x14ac:dyDescent="0.25">
      <c r="A10" s="102" t="s">
        <v>69</v>
      </c>
      <c r="B10" s="102"/>
      <c r="C10" s="102"/>
      <c r="D10" s="102"/>
      <c r="E10" s="102"/>
      <c r="F10" s="102"/>
      <c r="G10" s="102"/>
    </row>
    <row r="11" spans="1:7" ht="18.75" x14ac:dyDescent="0.3">
      <c r="A11" s="103" t="s">
        <v>170</v>
      </c>
      <c r="B11" s="103"/>
      <c r="C11" s="103"/>
      <c r="D11" s="103"/>
      <c r="E11" s="103"/>
      <c r="F11" s="103"/>
      <c r="G11" s="103"/>
    </row>
    <row r="12" spans="1:7" ht="15.75" customHeight="1" x14ac:dyDescent="0.25">
      <c r="A12" s="106" t="s">
        <v>70</v>
      </c>
      <c r="B12" s="106"/>
      <c r="C12" s="105" t="s">
        <v>71</v>
      </c>
      <c r="D12" s="105"/>
      <c r="E12" s="32" t="s">
        <v>169</v>
      </c>
      <c r="F12" s="32" t="s">
        <v>72</v>
      </c>
      <c r="G12" s="32" t="s">
        <v>72</v>
      </c>
    </row>
    <row r="13" spans="1:7" x14ac:dyDescent="0.25">
      <c r="A13" s="97" t="s">
        <v>23</v>
      </c>
      <c r="B13" s="97"/>
      <c r="C13" s="97" t="s">
        <v>24</v>
      </c>
      <c r="D13" s="97"/>
      <c r="E13" s="14" t="str">
        <f>IF(SUM('EXCHANGE:RECAP CABLE'!D262)=0,"",SUM('EXCHANGE:RECAP CABLE'!D262))</f>
        <v/>
      </c>
      <c r="F13" s="14" t="str">
        <f>IF(SUM('EXCHANGE:RECAP CABLE'!C262)=0,"",SUM('EXCHANGE:RECAP CABLE'!C262))</f>
        <v/>
      </c>
      <c r="G13" s="31" t="str">
        <f>IFERROR(ROUNDUP(((SUM('EXCHANGE:RECAP CABLE'!C262)*10%)+F13),-1),"")</f>
        <v/>
      </c>
    </row>
    <row r="14" spans="1:7" x14ac:dyDescent="0.25">
      <c r="A14" s="97" t="s">
        <v>23</v>
      </c>
      <c r="B14" s="97"/>
      <c r="C14" s="98" t="s">
        <v>26</v>
      </c>
      <c r="D14" s="98"/>
      <c r="E14" s="14" t="str">
        <f>IF(SUM('EXCHANGE:RECAP CABLE'!D263)=0,"",SUM('EXCHANGE:RECAP CABLE'!D263))</f>
        <v/>
      </c>
      <c r="F14" s="14" t="str">
        <f>IF(SUM('EXCHANGE:RECAP CABLE'!C263)=0,"",SUM('EXCHANGE:RECAP CABLE'!C263))</f>
        <v/>
      </c>
      <c r="G14" s="31" t="str">
        <f>IFERROR(ROUNDUP(((SUM('EXCHANGE:RECAP CABLE'!C263)*10%)+F14),-1),"")</f>
        <v/>
      </c>
    </row>
    <row r="15" spans="1:7" x14ac:dyDescent="0.25">
      <c r="A15" s="97" t="s">
        <v>23</v>
      </c>
      <c r="B15" s="97"/>
      <c r="C15" s="98" t="s">
        <v>28</v>
      </c>
      <c r="D15" s="98"/>
      <c r="E15" s="14" t="str">
        <f>IF(SUM('EXCHANGE:RECAP CABLE'!D264)=0,"",SUM('EXCHANGE:RECAP CABLE'!D264))</f>
        <v/>
      </c>
      <c r="F15" s="14" t="str">
        <f>IF(SUM('EXCHANGE:RECAP CABLE'!C264)=0,"",SUM('EXCHANGE:RECAP CABLE'!C264))</f>
        <v/>
      </c>
      <c r="G15" s="31" t="str">
        <f>IFERROR(ROUNDUP(((SUM('EXCHANGE:RECAP CABLE'!C264)*10%)+F15),-1),"")</f>
        <v/>
      </c>
    </row>
    <row r="16" spans="1:7" x14ac:dyDescent="0.25">
      <c r="A16" s="97" t="s">
        <v>23</v>
      </c>
      <c r="B16" s="97"/>
      <c r="C16" s="98" t="s">
        <v>30</v>
      </c>
      <c r="D16" s="98"/>
      <c r="E16" s="14">
        <f>IF(SUM('EXCHANGE:RECAP CABLE'!$D$265)=0,"",SUM('EXCHANGE:RECAP CABLE'!$D$265))</f>
        <v>2</v>
      </c>
      <c r="F16" s="14" t="str">
        <f>IF(SUM('EXCHANGE:RECAP CABLE'!C265)=0,"",SUM('EXCHANGE:RECAP CABLE'!C265))</f>
        <v/>
      </c>
      <c r="G16" s="31" t="str">
        <f>IFERROR(ROUNDUP(((SUM('EXCHANGE:RECAP CABLE'!C265)*10%)+F16),-1),"")</f>
        <v/>
      </c>
    </row>
    <row r="17" spans="1:7" x14ac:dyDescent="0.25">
      <c r="A17" s="97" t="s">
        <v>23</v>
      </c>
      <c r="B17" s="97"/>
      <c r="C17" s="98" t="s">
        <v>32</v>
      </c>
      <c r="D17" s="98"/>
      <c r="E17" s="14" t="str">
        <f>IF(SUM('EXCHANGE:RECAP CABLE'!D266)=0,"",SUM('EXCHANGE:RECAP CABLE'!D266))</f>
        <v/>
      </c>
      <c r="F17" s="14" t="str">
        <f>IF(SUM('EXCHANGE:RECAP CABLE'!C266)=0,"",SUM('EXCHANGE:RECAP CABLE'!C266))</f>
        <v/>
      </c>
      <c r="G17" s="31" t="str">
        <f>IFERROR(ROUNDUP(((SUM('EXCHANGE:RECAP CABLE'!C266)*10%)+F17),-1),"")</f>
        <v/>
      </c>
    </row>
    <row r="18" spans="1:7" x14ac:dyDescent="0.25">
      <c r="A18" s="97" t="s">
        <v>23</v>
      </c>
      <c r="B18" s="97"/>
      <c r="C18" s="98" t="s">
        <v>33</v>
      </c>
      <c r="D18" s="98"/>
      <c r="E18" s="14" t="str">
        <f>IF(SUM('EXCHANGE:RECAP CABLE'!D267)=0,"",SUM('EXCHANGE:RECAP CABLE'!D267))</f>
        <v/>
      </c>
      <c r="F18" s="14" t="str">
        <f>IF(SUM('EXCHANGE:RECAP CABLE'!C267)=0,"",SUM('EXCHANGE:RECAP CABLE'!C267))</f>
        <v/>
      </c>
      <c r="G18" s="31" t="str">
        <f>IFERROR(ROUNDUP(((SUM('EXCHANGE:RECAP CABLE'!C267)*10%)+F18),-1),"")</f>
        <v/>
      </c>
    </row>
    <row r="19" spans="1:7" x14ac:dyDescent="0.25">
      <c r="A19" s="97" t="s">
        <v>23</v>
      </c>
      <c r="B19" s="97"/>
      <c r="C19" s="98" t="s">
        <v>34</v>
      </c>
      <c r="D19" s="98"/>
      <c r="E19" s="14" t="str">
        <f>IF(SUM('EXCHANGE:RECAP CABLE'!D268)=0,"",SUM('EXCHANGE:RECAP CABLE'!D268))</f>
        <v/>
      </c>
      <c r="F19" s="14" t="str">
        <f>IF(SUM('EXCHANGE:RECAP CABLE'!C268)=0,"",SUM('EXCHANGE:RECAP CABLE'!C268))</f>
        <v/>
      </c>
      <c r="G19" s="31" t="str">
        <f>IFERROR(ROUNDUP(((SUM('EXCHANGE:RECAP CABLE'!C268)*10%)+F19),-1),"")</f>
        <v/>
      </c>
    </row>
    <row r="20" spans="1:7" x14ac:dyDescent="0.25">
      <c r="A20" s="97" t="s">
        <v>23</v>
      </c>
      <c r="B20" s="97"/>
      <c r="C20" s="98" t="s">
        <v>35</v>
      </c>
      <c r="D20" s="98"/>
      <c r="E20" s="14" t="str">
        <f>IF(SUM('EXCHANGE:RECAP CABLE'!D269)=0,"",SUM('EXCHANGE:RECAP CABLE'!D269))</f>
        <v/>
      </c>
      <c r="F20" s="14" t="str">
        <f>IF(SUM('EXCHANGE:RECAP CABLE'!C269)=0,"",SUM('EXCHANGE:RECAP CABLE'!C269))</f>
        <v/>
      </c>
      <c r="G20" s="31" t="str">
        <f>IFERROR(ROUNDUP(((SUM('EXCHANGE:RECAP CABLE'!C269)*10%)+F20),-1),"")</f>
        <v/>
      </c>
    </row>
    <row r="21" spans="1:7" x14ac:dyDescent="0.25">
      <c r="A21" s="97" t="s">
        <v>23</v>
      </c>
      <c r="B21" s="97"/>
      <c r="C21" s="98" t="s">
        <v>36</v>
      </c>
      <c r="D21" s="98"/>
      <c r="E21" s="14" t="str">
        <f>IF(SUM('EXCHANGE:RECAP CABLE'!D270)=0,"",SUM('EXCHANGE:RECAP CABLE'!D270))</f>
        <v/>
      </c>
      <c r="F21" s="14" t="str">
        <f>IF(SUM('EXCHANGE:RECAP CABLE'!C270)=0,"",SUM('EXCHANGE:RECAP CABLE'!C270))</f>
        <v/>
      </c>
      <c r="G21" s="31" t="str">
        <f>IFERROR(ROUNDUP(((SUM('EXCHANGE:RECAP CABLE'!C270)*10%)+F21),-1),"")</f>
        <v/>
      </c>
    </row>
    <row r="22" spans="1:7" x14ac:dyDescent="0.25">
      <c r="A22" s="97" t="s">
        <v>25</v>
      </c>
      <c r="B22" s="97"/>
      <c r="C22" s="98" t="s">
        <v>44</v>
      </c>
      <c r="D22" s="98"/>
      <c r="E22" s="14" t="str">
        <f>IF(SUM('EXCHANGE:RECAP CABLE'!D271)=0,"",SUM('EXCHANGE:RECAP CABLE'!D271))</f>
        <v/>
      </c>
      <c r="F22" s="14" t="str">
        <f>IF(SUM('EXCHANGE:RECAP CABLE'!C271)=0,"",SUM('EXCHANGE:RECAP CABLE'!C271))</f>
        <v/>
      </c>
      <c r="G22" s="31" t="str">
        <f>IFERROR(ROUNDUP(((SUM('EXCHANGE:RECAP CABLE'!C271)*10%)+F22),-1),"")</f>
        <v/>
      </c>
    </row>
    <row r="23" spans="1:7" x14ac:dyDescent="0.25">
      <c r="A23" s="97" t="s">
        <v>25</v>
      </c>
      <c r="B23" s="97"/>
      <c r="C23" s="98" t="s">
        <v>191</v>
      </c>
      <c r="D23" s="98"/>
      <c r="E23" s="43">
        <f>IF(SUM('EXCHANGE:RECAP CABLE'!D272)=0,"",SUM('EXCHANGE:RECAP CABLE'!D272))</f>
        <v>1</v>
      </c>
      <c r="F23" s="43" t="str">
        <f>IF(SUM('EXCHANGE:RECAP CABLE'!C272)=0,"",SUM('EXCHANGE:RECAP CABLE'!C272))</f>
        <v/>
      </c>
      <c r="G23" s="31" t="str">
        <f>IFERROR(ROUNDUP(((SUM('EXCHANGE:RECAP CABLE'!C272)*10%)+F23),-1),"")</f>
        <v/>
      </c>
    </row>
    <row r="24" spans="1:7" x14ac:dyDescent="0.25">
      <c r="A24" s="97" t="s">
        <v>27</v>
      </c>
      <c r="B24" s="97"/>
      <c r="C24" s="98" t="s">
        <v>37</v>
      </c>
      <c r="D24" s="98"/>
      <c r="E24" s="43" t="str">
        <f>IF(SUM('EXCHANGE:RECAP CABLE'!D273)=0,"",SUM('EXCHANGE:RECAP CABLE'!D273))</f>
        <v/>
      </c>
      <c r="F24" s="43" t="str">
        <f>IF(SUM('EXCHANGE:RECAP CABLE'!C273)=0,"",SUM('EXCHANGE:RECAP CABLE'!C273))</f>
        <v/>
      </c>
      <c r="G24" s="31" t="str">
        <f>IFERROR(ROUNDUP(((SUM('EXCHANGE:RECAP CABLE'!C273)*10%)+F24),-1),"")</f>
        <v/>
      </c>
    </row>
    <row r="25" spans="1:7" x14ac:dyDescent="0.25">
      <c r="A25" s="97" t="s">
        <v>27</v>
      </c>
      <c r="B25" s="97"/>
      <c r="C25" s="98" t="s">
        <v>38</v>
      </c>
      <c r="D25" s="98"/>
      <c r="E25" s="43" t="str">
        <f>IF(SUM('EXCHANGE:RECAP CABLE'!D274)=0,"",SUM('EXCHANGE:RECAP CABLE'!D274))</f>
        <v/>
      </c>
      <c r="F25" s="43" t="str">
        <f>IF(SUM('EXCHANGE:RECAP CABLE'!C274)=0,"",SUM('EXCHANGE:RECAP CABLE'!C274))</f>
        <v/>
      </c>
      <c r="G25" s="31" t="str">
        <f>IFERROR(ROUNDUP(((SUM('EXCHANGE:RECAP CABLE'!C274)*10%)+F25),-1),"")</f>
        <v/>
      </c>
    </row>
    <row r="26" spans="1:7" x14ac:dyDescent="0.25">
      <c r="A26" s="97" t="s">
        <v>27</v>
      </c>
      <c r="B26" s="97"/>
      <c r="C26" s="104" t="s">
        <v>86</v>
      </c>
      <c r="D26" s="104"/>
      <c r="E26" s="43" t="str">
        <f>IF(SUM('EXCHANGE:RECAP CABLE'!D275)=0,"",SUM('EXCHANGE:RECAP CABLE'!D275))</f>
        <v/>
      </c>
      <c r="F26" s="43" t="str">
        <f>IF(SUM('EXCHANGE:RECAP CABLE'!C275)=0,"",SUM('EXCHANGE:RECAP CABLE'!C275))</f>
        <v/>
      </c>
      <c r="G26" s="31" t="str">
        <f>IFERROR(ROUNDUP(((SUM('EXCHANGE:RECAP CABLE'!C275)*10%)+F26),-1),"")</f>
        <v/>
      </c>
    </row>
    <row r="27" spans="1:7" x14ac:dyDescent="0.25">
      <c r="A27" s="97" t="s">
        <v>27</v>
      </c>
      <c r="B27" s="97"/>
      <c r="C27" s="104" t="s">
        <v>87</v>
      </c>
      <c r="D27" s="104"/>
      <c r="E27" s="43" t="str">
        <f>IF(SUM('EXCHANGE:RECAP CABLE'!D276)=0,"",SUM('EXCHANGE:RECAP CABLE'!D276))</f>
        <v/>
      </c>
      <c r="F27" s="43" t="str">
        <f>IF(SUM('EXCHANGE:RECAP CABLE'!C276)=0,"",SUM('EXCHANGE:RECAP CABLE'!C276))</f>
        <v/>
      </c>
      <c r="G27" s="31" t="str">
        <f>IFERROR(ROUNDUP(((SUM('EXCHANGE:RECAP CABLE'!C276)*10%)+F27),-1),"")</f>
        <v/>
      </c>
    </row>
    <row r="28" spans="1:7" x14ac:dyDescent="0.25">
      <c r="A28" s="97" t="s">
        <v>27</v>
      </c>
      <c r="B28" s="97"/>
      <c r="C28" s="104" t="s">
        <v>88</v>
      </c>
      <c r="D28" s="104"/>
      <c r="E28" s="43" t="str">
        <f>IF(SUM('EXCHANGE:RECAP CABLE'!D277)=0,"",SUM('EXCHANGE:RECAP CABLE'!D277))</f>
        <v/>
      </c>
      <c r="F28" s="43" t="str">
        <f>IF(SUM('EXCHANGE:RECAP CABLE'!C277)=0,"",SUM('EXCHANGE:RECAP CABLE'!C277))</f>
        <v/>
      </c>
      <c r="G28" s="31" t="str">
        <f>IFERROR(ROUNDUP(((SUM('EXCHANGE:RECAP CABLE'!C277)*10%)+F28),-1),"")</f>
        <v/>
      </c>
    </row>
    <row r="29" spans="1:7" x14ac:dyDescent="0.25">
      <c r="A29" s="97" t="s">
        <v>25</v>
      </c>
      <c r="B29" s="97"/>
      <c r="C29" s="98" t="s">
        <v>39</v>
      </c>
      <c r="D29" s="98"/>
      <c r="E29" s="43" t="str">
        <f>IF(SUM('EXCHANGE:RECAP CABLE'!D278)=0,"",SUM('EXCHANGE:RECAP CABLE'!D278))</f>
        <v/>
      </c>
      <c r="F29" s="43" t="str">
        <f>IF(SUM('EXCHANGE:RECAP CABLE'!C278)=0,"",SUM('EXCHANGE:RECAP CABLE'!C278))</f>
        <v/>
      </c>
      <c r="G29" s="31" t="str">
        <f>IFERROR(ROUNDUP(((SUM('EXCHANGE:RECAP CABLE'!C278)*10%)+F29),-1),"")</f>
        <v/>
      </c>
    </row>
    <row r="30" spans="1:7" x14ac:dyDescent="0.25">
      <c r="A30" s="97" t="s">
        <v>25</v>
      </c>
      <c r="B30" s="97"/>
      <c r="C30" s="98" t="s">
        <v>40</v>
      </c>
      <c r="D30" s="98"/>
      <c r="E30" s="43" t="str">
        <f>IF(SUM('EXCHANGE:RECAP CABLE'!D279)=0,"",SUM('EXCHANGE:RECAP CABLE'!D279))</f>
        <v/>
      </c>
      <c r="F30" s="43" t="str">
        <f>IF(SUM('EXCHANGE:RECAP CABLE'!C279)=0,"",SUM('EXCHANGE:RECAP CABLE'!C279))</f>
        <v/>
      </c>
      <c r="G30" s="31" t="str">
        <f>IFERROR(ROUNDUP(((SUM('EXCHANGE:RECAP CABLE'!C279)*10%)+F30),-1),"")</f>
        <v/>
      </c>
    </row>
    <row r="31" spans="1:7" x14ac:dyDescent="0.25">
      <c r="A31" s="97" t="s">
        <v>25</v>
      </c>
      <c r="B31" s="97"/>
      <c r="C31" s="98" t="s">
        <v>41</v>
      </c>
      <c r="D31" s="98"/>
      <c r="E31" s="43" t="str">
        <f>IF(SUM('EXCHANGE:RECAP CABLE'!D280)=0,"",SUM('EXCHANGE:RECAP CABLE'!D280))</f>
        <v/>
      </c>
      <c r="F31" s="43" t="str">
        <f>IF(SUM('EXCHANGE:RECAP CABLE'!C280)=0,"",SUM('EXCHANGE:RECAP CABLE'!C280))</f>
        <v/>
      </c>
      <c r="G31" s="31" t="str">
        <f>IFERROR(ROUNDUP(((SUM('EXCHANGE:RECAP CABLE'!C280)*10%)+F31),-1),"")</f>
        <v/>
      </c>
    </row>
    <row r="32" spans="1:7" x14ac:dyDescent="0.25">
      <c r="A32" s="97" t="s">
        <v>25</v>
      </c>
      <c r="B32" s="97"/>
      <c r="C32" s="98" t="s">
        <v>42</v>
      </c>
      <c r="D32" s="98"/>
      <c r="E32" s="43" t="str">
        <f>IF(SUM('EXCHANGE:RECAP CABLE'!D281)=0,"",SUM('EXCHANGE:RECAP CABLE'!D281))</f>
        <v/>
      </c>
      <c r="F32" s="43" t="str">
        <f>IF(SUM('EXCHANGE:RECAP CABLE'!C281)=0,"",SUM('EXCHANGE:RECAP CABLE'!C281))</f>
        <v/>
      </c>
      <c r="G32" s="31" t="str">
        <f>IFERROR(ROUNDUP(((SUM('EXCHANGE:RECAP CABLE'!C281)*10%)+F32),-1),"")</f>
        <v/>
      </c>
    </row>
    <row r="33" spans="1:7" x14ac:dyDescent="0.25">
      <c r="A33" s="97" t="s">
        <v>25</v>
      </c>
      <c r="B33" s="97"/>
      <c r="C33" s="98" t="s">
        <v>94</v>
      </c>
      <c r="D33" s="98"/>
      <c r="E33" s="43" t="str">
        <f>IF(SUM('EXCHANGE:RECAP CABLE'!D282)=0,"",SUM('EXCHANGE:RECAP CABLE'!D282))</f>
        <v/>
      </c>
      <c r="F33" s="43" t="str">
        <f>IF(SUM('EXCHANGE:RECAP CABLE'!C282)=0,"",SUM('EXCHANGE:RECAP CABLE'!C282))</f>
        <v/>
      </c>
      <c r="G33" s="31" t="str">
        <f>IFERROR(ROUNDUP(((SUM('EXCHANGE:RECAP CABLE'!C282)*10%)+F33),-1),"")</f>
        <v/>
      </c>
    </row>
    <row r="34" spans="1:7" x14ac:dyDescent="0.25">
      <c r="A34" s="97" t="s">
        <v>25</v>
      </c>
      <c r="B34" s="97"/>
      <c r="C34" s="98" t="s">
        <v>95</v>
      </c>
      <c r="D34" s="98"/>
      <c r="E34" s="43" t="str">
        <f>IF(SUM('EXCHANGE:RECAP CABLE'!D283)=0,"",SUM('EXCHANGE:RECAP CABLE'!D283))</f>
        <v/>
      </c>
      <c r="F34" s="43" t="str">
        <f>IF(SUM('EXCHANGE:RECAP CABLE'!C283)=0,"",SUM('EXCHANGE:RECAP CABLE'!C283))</f>
        <v/>
      </c>
      <c r="G34" s="31" t="str">
        <f>IFERROR(ROUNDUP(((SUM('EXCHANGE:RECAP CABLE'!C283)*10%)+F34),-1),"")</f>
        <v/>
      </c>
    </row>
    <row r="35" spans="1:7" x14ac:dyDescent="0.25">
      <c r="A35" s="97" t="s">
        <v>25</v>
      </c>
      <c r="B35" s="97"/>
      <c r="C35" s="98" t="s">
        <v>96</v>
      </c>
      <c r="D35" s="98"/>
      <c r="E35" s="43" t="str">
        <f>IF(SUM('EXCHANGE:RECAP CABLE'!D284)=0,"",SUM('EXCHANGE:RECAP CABLE'!D284))</f>
        <v/>
      </c>
      <c r="F35" s="43" t="str">
        <f>IF(SUM('EXCHANGE:RECAP CABLE'!C284)=0,"",SUM('EXCHANGE:RECAP CABLE'!C284))</f>
        <v/>
      </c>
      <c r="G35" s="31" t="str">
        <f>IFERROR(ROUNDUP(((SUM('EXCHANGE:RECAP CABLE'!C284)*10%)+F35),-1),"")</f>
        <v/>
      </c>
    </row>
    <row r="36" spans="1:7" x14ac:dyDescent="0.25">
      <c r="A36" s="97" t="s">
        <v>25</v>
      </c>
      <c r="B36" s="97"/>
      <c r="C36" s="98" t="s">
        <v>97</v>
      </c>
      <c r="D36" s="98"/>
      <c r="E36" s="43" t="str">
        <f>IF(SUM('EXCHANGE:RECAP CABLE'!D285)=0,"",SUM('EXCHANGE:RECAP CABLE'!D285))</f>
        <v/>
      </c>
      <c r="F36" s="43" t="str">
        <f>IF(SUM('EXCHANGE:RECAP CABLE'!C285)=0,"",SUM('EXCHANGE:RECAP CABLE'!C285))</f>
        <v/>
      </c>
      <c r="G36" s="31" t="str">
        <f>IFERROR(ROUNDUP(((SUM('EXCHANGE:RECAP CABLE'!C285)*10%)+F36),-1),"")</f>
        <v/>
      </c>
    </row>
    <row r="37" spans="1:7" x14ac:dyDescent="0.25">
      <c r="A37" s="97" t="s">
        <v>25</v>
      </c>
      <c r="B37" s="97"/>
      <c r="C37" s="98" t="s">
        <v>98</v>
      </c>
      <c r="D37" s="98"/>
      <c r="E37" s="43" t="str">
        <f>IF(SUM('EXCHANGE:RECAP CABLE'!D286)=0,"",SUM('EXCHANGE:RECAP CABLE'!D286))</f>
        <v/>
      </c>
      <c r="F37" s="43" t="str">
        <f>IF(SUM('EXCHANGE:RECAP CABLE'!C286)=0,"",SUM('EXCHANGE:RECAP CABLE'!C286))</f>
        <v/>
      </c>
      <c r="G37" s="31" t="str">
        <f>IFERROR(ROUNDUP(((SUM('EXCHANGE:RECAP CABLE'!C286)*10%)+F37),-1),"")</f>
        <v/>
      </c>
    </row>
    <row r="38" spans="1:7" x14ac:dyDescent="0.25">
      <c r="A38" s="97" t="s">
        <v>25</v>
      </c>
      <c r="B38" s="97"/>
      <c r="C38" s="98" t="s">
        <v>99</v>
      </c>
      <c r="D38" s="98"/>
      <c r="E38" s="43" t="str">
        <f>IF(SUM('EXCHANGE:RECAP CABLE'!D287)=0,"",SUM('EXCHANGE:RECAP CABLE'!D287))</f>
        <v/>
      </c>
      <c r="F38" s="43" t="str">
        <f>IF(SUM('EXCHANGE:RECAP CABLE'!C287)=0,"",SUM('EXCHANGE:RECAP CABLE'!C287))</f>
        <v/>
      </c>
      <c r="G38" s="31" t="str">
        <f>IFERROR(ROUNDUP(((SUM('EXCHANGE:RECAP CABLE'!C287)*10%)+F38),-1),"")</f>
        <v/>
      </c>
    </row>
    <row r="39" spans="1:7" x14ac:dyDescent="0.25">
      <c r="A39" s="97" t="s">
        <v>25</v>
      </c>
      <c r="B39" s="97"/>
      <c r="C39" s="98" t="s">
        <v>100</v>
      </c>
      <c r="D39" s="98"/>
      <c r="E39" s="43" t="str">
        <f>IF(SUM('EXCHANGE:RECAP CABLE'!D288)=0,"",SUM('EXCHANGE:RECAP CABLE'!D288))</f>
        <v/>
      </c>
      <c r="F39" s="43" t="str">
        <f>IF(SUM('EXCHANGE:RECAP CABLE'!C288)=0,"",SUM('EXCHANGE:RECAP CABLE'!C288))</f>
        <v/>
      </c>
      <c r="G39" s="31" t="str">
        <f>IFERROR(ROUNDUP(((SUM('EXCHANGE:RECAP CABLE'!C288)*10%)+F39),-1),"")</f>
        <v/>
      </c>
    </row>
    <row r="40" spans="1:7" x14ac:dyDescent="0.25">
      <c r="A40" s="97" t="s">
        <v>25</v>
      </c>
      <c r="B40" s="97"/>
      <c r="C40" s="98" t="s">
        <v>214</v>
      </c>
      <c r="D40" s="98"/>
      <c r="E40" s="46" t="str">
        <f>IF(SUM('EXCHANGE:RECAP CABLE'!D289)=0,"",SUM('EXCHANGE:RECAP CABLE'!D289))</f>
        <v/>
      </c>
      <c r="F40" s="46" t="str">
        <f>IF(SUM('EXCHANGE:RECAP CABLE'!C289)=0,"",SUM('EXCHANGE:RECAP CABLE'!C289))</f>
        <v/>
      </c>
      <c r="G40" s="31" t="str">
        <f>IFERROR(ROUNDUP(((SUM('EXCHANGE:RECAP CABLE'!C289)*10%)+F40),-1),"")</f>
        <v/>
      </c>
    </row>
    <row r="41" spans="1:7" x14ac:dyDescent="0.25">
      <c r="A41" s="97" t="s">
        <v>31</v>
      </c>
      <c r="B41" s="97"/>
      <c r="C41" s="98" t="s">
        <v>43</v>
      </c>
      <c r="D41" s="98"/>
      <c r="E41" s="46" t="str">
        <f>IF(SUM('EXCHANGE:RECAP CABLE'!D290)=0,"",SUM('EXCHANGE:RECAP CABLE'!D290))</f>
        <v/>
      </c>
      <c r="F41" s="46" t="str">
        <f>IF(SUM('EXCHANGE:RECAP CABLE'!C290)=0,"",SUM('EXCHANGE:RECAP CABLE'!C290))</f>
        <v/>
      </c>
      <c r="G41" s="31" t="str">
        <f>IFERROR(ROUNDUP(((SUM('EXCHANGE:RECAP CABLE'!C290)*10%)+F41),-1),"")</f>
        <v/>
      </c>
    </row>
    <row r="42" spans="1:7" x14ac:dyDescent="0.25">
      <c r="A42" s="98" t="s">
        <v>73</v>
      </c>
      <c r="B42" s="98"/>
      <c r="C42" s="98" t="s">
        <v>74</v>
      </c>
      <c r="D42" s="98"/>
      <c r="E42" s="46">
        <f>IF(SUM('EXCHANGE:RECAP CABLE'!D291)=0,"",SUM('EXCHANGE:RECAP CABLE'!D291))</f>
        <v>1</v>
      </c>
      <c r="F42" s="46" t="str">
        <f>IF(SUM('EXCHANGE:RECAP CABLE'!C291)=0,"",SUM('EXCHANGE:RECAP CABLE'!C291))</f>
        <v/>
      </c>
      <c r="G42" s="31" t="str">
        <f>IFERROR(ROUNDUP(((SUM('EXCHANGE:RECAP CABLE'!C291)*10%)+F42),-1),"")</f>
        <v/>
      </c>
    </row>
    <row r="45" spans="1:7" ht="63.75" hidden="1" customHeight="1" x14ac:dyDescent="0.25">
      <c r="A45" s="99" t="s">
        <v>177</v>
      </c>
      <c r="B45" s="100"/>
      <c r="C45" s="100"/>
      <c r="D45" s="100"/>
      <c r="E45" s="100"/>
      <c r="F45" s="100"/>
      <c r="G45" s="100"/>
    </row>
    <row r="46" spans="1:7" ht="60" customHeight="1" x14ac:dyDescent="0.25">
      <c r="A46" s="99" t="s">
        <v>176</v>
      </c>
      <c r="B46" s="100"/>
      <c r="C46" s="100"/>
      <c r="D46" s="100"/>
      <c r="E46" s="100"/>
      <c r="F46" s="100"/>
      <c r="G46" s="100"/>
    </row>
  </sheetData>
  <mergeCells count="67">
    <mergeCell ref="A17:B17"/>
    <mergeCell ref="A12:B12"/>
    <mergeCell ref="A13:B13"/>
    <mergeCell ref="A14:B14"/>
    <mergeCell ref="A15:B15"/>
    <mergeCell ref="A16:B16"/>
    <mergeCell ref="C34:D34"/>
    <mergeCell ref="C12:D12"/>
    <mergeCell ref="C18:D18"/>
    <mergeCell ref="C17:D17"/>
    <mergeCell ref="C16:D16"/>
    <mergeCell ref="C15:D15"/>
    <mergeCell ref="C14:D14"/>
    <mergeCell ref="C13:D13"/>
    <mergeCell ref="A29:B29"/>
    <mergeCell ref="A34:B34"/>
    <mergeCell ref="A35:B35"/>
    <mergeCell ref="A42:B42"/>
    <mergeCell ref="C42:D42"/>
    <mergeCell ref="C41:D41"/>
    <mergeCell ref="C39:D39"/>
    <mergeCell ref="C38:D38"/>
    <mergeCell ref="A37:B37"/>
    <mergeCell ref="A38:B38"/>
    <mergeCell ref="A39:B39"/>
    <mergeCell ref="A41:B41"/>
    <mergeCell ref="A36:B36"/>
    <mergeCell ref="C36:D36"/>
    <mergeCell ref="C37:D37"/>
    <mergeCell ref="C35:D35"/>
    <mergeCell ref="A32:B32"/>
    <mergeCell ref="A33:B33"/>
    <mergeCell ref="C32:D32"/>
    <mergeCell ref="C33:D33"/>
    <mergeCell ref="C31:D31"/>
    <mergeCell ref="C19:D19"/>
    <mergeCell ref="A31:B31"/>
    <mergeCell ref="C30:D30"/>
    <mergeCell ref="C29:D29"/>
    <mergeCell ref="C28:D28"/>
    <mergeCell ref="C27:D27"/>
    <mergeCell ref="C26:D26"/>
    <mergeCell ref="C25:D25"/>
    <mergeCell ref="C24:D24"/>
    <mergeCell ref="C22:D22"/>
    <mergeCell ref="C21:D21"/>
    <mergeCell ref="C20:D20"/>
    <mergeCell ref="A23:B23"/>
    <mergeCell ref="C23:D23"/>
    <mergeCell ref="A27:B27"/>
    <mergeCell ref="A28:B28"/>
    <mergeCell ref="A40:B40"/>
    <mergeCell ref="C40:D40"/>
    <mergeCell ref="A46:G46"/>
    <mergeCell ref="A45:G45"/>
    <mergeCell ref="A8:G8"/>
    <mergeCell ref="A10:G10"/>
    <mergeCell ref="A11:G11"/>
    <mergeCell ref="A30:B30"/>
    <mergeCell ref="A18:B18"/>
    <mergeCell ref="A19:B19"/>
    <mergeCell ref="A20:B20"/>
    <mergeCell ref="A21:B21"/>
    <mergeCell ref="A22:B22"/>
    <mergeCell ref="A24:B24"/>
    <mergeCell ref="A25:B25"/>
    <mergeCell ref="A26:B26"/>
  </mergeCells>
  <pageMargins left="0.7" right="0.7" top="0.75" bottom="0.75" header="0.3" footer="0.3"/>
  <pageSetup paperSize="9" orientation="portrait" r:id="rId1"/>
  <headerFooter>
    <oddHeader>&amp;R&amp;P/&amp;N</oddHeader>
  </headerFooter>
  <drawing r:id="rId2"/>
</worksheet>
</file>

<file path=docMetadata/LabelInfo.xml><?xml version="1.0" encoding="utf-8"?>
<clbl:labelList xmlns:clbl="http://schemas.microsoft.com/office/2020/mipLabelMetadata">
  <clbl:label id="{6785298f-e857-464b-9b4b-807178402632}" enabled="0" method="" siteId="{6785298f-e857-464b-9b4b-807178402632}" removed="1"/>
</clbl:labelLis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2</vt:i4>
      </vt:variant>
    </vt:vector>
  </HeadingPairs>
  <TitlesOfParts>
    <vt:vector size="7" baseType="lpstr">
      <vt:lpstr>MENU</vt:lpstr>
      <vt:lpstr>DONNEES</vt:lpstr>
      <vt:lpstr>EXCHANGE</vt:lpstr>
      <vt:lpstr>MOTOR WITH CONTACT</vt:lpstr>
      <vt:lpstr>RECAP CABLE</vt:lpstr>
      <vt:lpstr>EXCHANGE!_Toc85181579</vt:lpstr>
      <vt:lpstr>section1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Benoit LACROIX</dc:creator>
  <cp:lastModifiedBy>LACROIX Benoit</cp:lastModifiedBy>
  <cp:lastPrinted>2023-10-31T13:23:58Z</cp:lastPrinted>
  <dcterms:created xsi:type="dcterms:W3CDTF">2022-05-02T14:47:19Z</dcterms:created>
  <dcterms:modified xsi:type="dcterms:W3CDTF">2024-12-05T10:11:49Z</dcterms:modified>
</cp:coreProperties>
</file>