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RV-DATAGL\Profils\thelvert\Desktop\GMAO Germline\"/>
    </mc:Choice>
  </mc:AlternateContent>
  <xr:revisionPtr revIDLastSave="0" documentId="13_ncr:1_{FDF856B1-9A02-40A7-9F9E-9ACEA16125E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Home" sheetId="1" r:id="rId1"/>
    <sheet name="Article" sheetId="2" r:id="rId2"/>
    <sheet name="Commande" sheetId="3" r:id="rId3"/>
    <sheet name="Etiquette" sheetId="4" r:id="rId4"/>
    <sheet name="Mouvement" sheetId="5" r:id="rId5"/>
    <sheet name="Fournisseur" sheetId="6" r:id="rId6"/>
    <sheet name="Client" sheetId="7" r:id="rId7"/>
    <sheet name="Config" sheetId="8" r:id="rId8"/>
    <sheet name="Intervention" sheetId="10" r:id="rId9"/>
    <sheet name="Equipement" sheetId="11" r:id="rId10"/>
    <sheet name="TDC" sheetId="12" r:id="rId11"/>
  </sheets>
  <definedNames>
    <definedName name="article" localSheetId="9">Intervention!$B$18:$B$25</definedName>
    <definedName name="article" localSheetId="8">Intervention!$B$18:$B$25</definedName>
    <definedName name="article">Article!$B$6:$B$17</definedName>
    <definedName name="Atelier">Equipement!$D$6:$D$49</definedName>
    <definedName name="CDC" localSheetId="9">Tableau29[Site]</definedName>
    <definedName name="CDC" localSheetId="8">Tableau29[Site]</definedName>
    <definedName name="CDC">Tableau2[Matricule]</definedName>
    <definedName name="client" localSheetId="9">Tableau29[Site]</definedName>
    <definedName name="client" localSheetId="8">Tableau29[Site]</definedName>
    <definedName name="client">Tableau2[Matricule]</definedName>
    <definedName name="Equipement">Tableau29[Equipement]</definedName>
    <definedName name="fournisseur">Tableau1[Nom]</definedName>
    <definedName name="Intervenant">Config!$H$27:$I$32</definedName>
    <definedName name="Mouvement">Tableau6[N° de mouvement]</definedName>
    <definedName name="Order">Tableau4[Nr Commande]</definedName>
    <definedName name="order_id">Tableau4[Nr Commande]</definedName>
    <definedName name="Prio">Config!$F$27:$F$29</definedName>
    <definedName name="Suffixe">Config!$G$19:$J$22</definedName>
    <definedName name="supplier">Tableau1[Nom]</definedName>
    <definedName name="Type_inter">Config!$M$19:$M$22</definedName>
    <definedName name="unite">Tableau5[Valeur d''unitée]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5" l="1"/>
  <c r="K6" i="3"/>
  <c r="L6" i="3" s="1"/>
  <c r="K7" i="3"/>
  <c r="L7" i="3" s="1"/>
  <c r="F7" i="3"/>
  <c r="I7" i="3"/>
  <c r="F6" i="3"/>
  <c r="I6" i="3"/>
  <c r="G8" i="2"/>
  <c r="H8" i="2" s="1"/>
  <c r="G7" i="2"/>
  <c r="H7" i="2" s="1"/>
  <c r="G6" i="2"/>
  <c r="K17" i="10"/>
  <c r="E22" i="8"/>
  <c r="J16" i="10"/>
  <c r="K16" i="10"/>
  <c r="J15" i="10"/>
  <c r="K15" i="10"/>
  <c r="J14" i="10"/>
  <c r="K14" i="10"/>
  <c r="J13" i="10"/>
  <c r="K13" i="10"/>
  <c r="J12" i="10"/>
  <c r="K12" i="10"/>
  <c r="J11" i="10"/>
  <c r="K11" i="10"/>
  <c r="J10" i="10"/>
  <c r="K10" i="10"/>
  <c r="J9" i="10"/>
  <c r="K9" i="10"/>
  <c r="J8" i="10"/>
  <c r="K8" i="10"/>
  <c r="J6" i="10"/>
  <c r="K6" i="10"/>
  <c r="K7" i="10"/>
  <c r="J7" i="10"/>
  <c r="J17" i="10"/>
  <c r="E48" i="8" l="1"/>
  <c r="L8" i="2"/>
  <c r="L7" i="2"/>
  <c r="J22" i="8" l="1"/>
  <c r="J21" i="8"/>
  <c r="J20" i="8"/>
  <c r="J19" i="8"/>
  <c r="E21" i="8" l="1"/>
  <c r="E20" i="8"/>
  <c r="E19" i="8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J8" i="6" l="1"/>
  <c r="H6" i="2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6" i="7"/>
  <c r="J7" i="6"/>
  <c r="J6" i="6"/>
  <c r="E52" i="8" l="1"/>
  <c r="G52" i="8"/>
  <c r="F52" i="8"/>
  <c r="E51" i="8"/>
  <c r="E47" i="8"/>
  <c r="L6" i="2"/>
  <c r="E49" i="8" l="1"/>
  <c r="E50" i="8" l="1"/>
</calcChain>
</file>

<file path=xl/sharedStrings.xml><?xml version="1.0" encoding="utf-8"?>
<sst xmlns="http://schemas.openxmlformats.org/spreadsheetml/2006/main" count="477" uniqueCount="255">
  <si>
    <t>Nom</t>
  </si>
  <si>
    <t>Adress</t>
  </si>
  <si>
    <t>Cp</t>
  </si>
  <si>
    <t>Ville</t>
  </si>
  <si>
    <t>Pays</t>
  </si>
  <si>
    <t>Téléphone</t>
  </si>
  <si>
    <t>Mail</t>
  </si>
  <si>
    <t>Contact</t>
  </si>
  <si>
    <t>Groupe</t>
  </si>
  <si>
    <t>theo.helvert@germline.fr</t>
  </si>
  <si>
    <t>Nr Article</t>
  </si>
  <si>
    <t>Description</t>
  </si>
  <si>
    <t>prix unité</t>
  </si>
  <si>
    <t>Stock</t>
  </si>
  <si>
    <t>Valeur stock</t>
  </si>
  <si>
    <t>Stock min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</si>
  <si>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</si>
  <si>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</si>
  <si>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</si>
  <si>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</si>
  <si>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</si>
  <si>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</si>
  <si>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</si>
  <si>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</si>
  <si>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</si>
  <si>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</si>
  <si>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</si>
  <si>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</si>
  <si>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</si>
  <si>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</si>
  <si>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</si>
  <si>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ART-</t>
  </si>
  <si>
    <t>Unité</t>
  </si>
  <si>
    <t>Emplacement</t>
  </si>
  <si>
    <t>Référance</t>
  </si>
  <si>
    <t>LC1D09</t>
  </si>
  <si>
    <t>Nr Commande</t>
  </si>
  <si>
    <t>Date</t>
  </si>
  <si>
    <t>Nr article</t>
  </si>
  <si>
    <t>Nombre</t>
  </si>
  <si>
    <t>Prix</t>
  </si>
  <si>
    <t>prix total</t>
  </si>
  <si>
    <t>Fournisseur</t>
  </si>
  <si>
    <t>Contacteur moteur</t>
  </si>
  <si>
    <t>Contacteur moteur bobine 24v</t>
  </si>
  <si>
    <t>ART-00002</t>
  </si>
  <si>
    <t>uèu</t>
  </si>
  <si>
    <t>unité</t>
  </si>
  <si>
    <t>Valeur d'unitée</t>
  </si>
  <si>
    <t>Mètre</t>
  </si>
  <si>
    <t>Litre</t>
  </si>
  <si>
    <t>Kilograme</t>
  </si>
  <si>
    <t>m2</t>
  </si>
  <si>
    <t>m3</t>
  </si>
  <si>
    <t>ART-00003</t>
  </si>
  <si>
    <t>test</t>
  </si>
  <si>
    <t>ART-00001</t>
  </si>
  <si>
    <t>Ord-00002</t>
  </si>
  <si>
    <t>Ord-00009</t>
  </si>
  <si>
    <t>Tel</t>
  </si>
  <si>
    <t>Bon de commande</t>
  </si>
  <si>
    <t>Entreprise</t>
  </si>
  <si>
    <t>Adresse</t>
  </si>
  <si>
    <t>Code postal</t>
  </si>
  <si>
    <t>Condition</t>
  </si>
  <si>
    <t>Germline</t>
  </si>
  <si>
    <t>Les grivelles</t>
  </si>
  <si>
    <t>Sancoins</t>
  </si>
  <si>
    <t>France</t>
  </si>
  <si>
    <t>Type</t>
  </si>
  <si>
    <t>Nr Facture</t>
  </si>
  <si>
    <t>Nr bon de commande</t>
  </si>
  <si>
    <t>Ranking</t>
  </si>
  <si>
    <t>Entrée</t>
  </si>
  <si>
    <t>Contrôle</t>
  </si>
  <si>
    <t>Check</t>
  </si>
  <si>
    <t>Tableau de bord</t>
  </si>
  <si>
    <t>Widget 1</t>
  </si>
  <si>
    <t>Widget 2</t>
  </si>
  <si>
    <t>Widget 3</t>
  </si>
  <si>
    <t>Widget 4</t>
  </si>
  <si>
    <t>Widget 5</t>
  </si>
  <si>
    <t>Widget 6</t>
  </si>
  <si>
    <t>Valeur de Stock</t>
  </si>
  <si>
    <t>Article en commande</t>
  </si>
  <si>
    <t>Artilce critique</t>
  </si>
  <si>
    <t>Volume du stock</t>
  </si>
  <si>
    <t>Top 3 articles vendue</t>
  </si>
  <si>
    <t>N/A</t>
  </si>
  <si>
    <t>Rexel</t>
  </si>
  <si>
    <t>ZI LES TAUPIÈRES</t>
  </si>
  <si>
    <t>Nevers</t>
  </si>
  <si>
    <t>nevers.zitaupieres@rexel.fr</t>
  </si>
  <si>
    <t>COLMAN LAURENCE</t>
  </si>
  <si>
    <t>298 Allée du Larry</t>
  </si>
  <si>
    <t>MARIN</t>
  </si>
  <si>
    <t>conseil@nelinkia.com</t>
  </si>
  <si>
    <t>04 58 64 00 00</t>
  </si>
  <si>
    <t>03 86 71 91 60</t>
  </si>
  <si>
    <t>Nelinkia</t>
  </si>
  <si>
    <t>Nav items</t>
  </si>
  <si>
    <t>Page 1</t>
  </si>
  <si>
    <t>Page 2</t>
  </si>
  <si>
    <t>Page 3</t>
  </si>
  <si>
    <t>Page 4</t>
  </si>
  <si>
    <t>Page 5</t>
  </si>
  <si>
    <t>Page 6</t>
  </si>
  <si>
    <t>Page 7</t>
  </si>
  <si>
    <t>Page 8</t>
  </si>
  <si>
    <t>Acceuil</t>
  </si>
  <si>
    <t>Articles</t>
  </si>
  <si>
    <t>Commande</t>
  </si>
  <si>
    <t>clients</t>
  </si>
  <si>
    <t>Récéption</t>
  </si>
  <si>
    <t>Référence</t>
  </si>
  <si>
    <t>Etiquette</t>
  </si>
  <si>
    <t>1A1</t>
  </si>
  <si>
    <t>RS</t>
  </si>
  <si>
    <t>Config</t>
  </si>
  <si>
    <t>Coût de non prod</t>
  </si>
  <si>
    <t>Cadénce</t>
  </si>
  <si>
    <t>Usine</t>
  </si>
  <si>
    <t>Matricule</t>
  </si>
  <si>
    <t>Quatro</t>
  </si>
  <si>
    <t>G2</t>
  </si>
  <si>
    <t>Nr d'OT</t>
  </si>
  <si>
    <t>G1</t>
  </si>
  <si>
    <t>traitement de l'eau</t>
  </si>
  <si>
    <t>reseau air</t>
  </si>
  <si>
    <t>Reseau eau</t>
  </si>
  <si>
    <t>Germoir 6</t>
  </si>
  <si>
    <t>Germoir 5</t>
  </si>
  <si>
    <t>Germoir 4</t>
  </si>
  <si>
    <t>Germoir 3</t>
  </si>
  <si>
    <t>Germoir 2</t>
  </si>
  <si>
    <t>Germoir 1</t>
  </si>
  <si>
    <t>Track droite</t>
  </si>
  <si>
    <t>Track gauche</t>
  </si>
  <si>
    <t>Evaporateur salle track</t>
  </si>
  <si>
    <t>Evaporateur salle Rota-Tech droite</t>
  </si>
  <si>
    <t>Evaporateur salle Rota-Tech gauche</t>
  </si>
  <si>
    <t>Rota-Tech 28</t>
  </si>
  <si>
    <t>Rota-Tech 27</t>
  </si>
  <si>
    <t>Rota-Tech 26</t>
  </si>
  <si>
    <t>Rota-Tech 25</t>
  </si>
  <si>
    <t>Rota-Tech 24</t>
  </si>
  <si>
    <t>Rota-Tech 23</t>
  </si>
  <si>
    <t>Rota-Tech 22</t>
  </si>
  <si>
    <t>Rota-Tech 21</t>
  </si>
  <si>
    <t>Rota-Tech 20</t>
  </si>
  <si>
    <t>Rota-Tech 19</t>
  </si>
  <si>
    <t>Rota-Tech 18</t>
  </si>
  <si>
    <t>Rota-Tech 17</t>
  </si>
  <si>
    <t>Rota-Tech 16</t>
  </si>
  <si>
    <t>Rota-Tech 15</t>
  </si>
  <si>
    <t>Rota-Tech 14</t>
  </si>
  <si>
    <t>Rota-Tech 13</t>
  </si>
  <si>
    <t>Rota-Tech 12</t>
  </si>
  <si>
    <t>Rota-Tech 11</t>
  </si>
  <si>
    <t>Rota-Tech 10</t>
  </si>
  <si>
    <t>Rota-Tech 9</t>
  </si>
  <si>
    <t>Rota-Tech 8</t>
  </si>
  <si>
    <t>Rota-Tech 7</t>
  </si>
  <si>
    <t>Rota-Tech 6</t>
  </si>
  <si>
    <t>Rota-Tech 5</t>
  </si>
  <si>
    <t>Rota-Tech 4</t>
  </si>
  <si>
    <t>Rota-Tech 3</t>
  </si>
  <si>
    <t>Rota-Tech 2</t>
  </si>
  <si>
    <t>Rota-Tech 1</t>
  </si>
  <si>
    <t>Coût imo par H</t>
  </si>
  <si>
    <t xml:space="preserve">Centre de coût </t>
  </si>
  <si>
    <t>Equipement</t>
  </si>
  <si>
    <t>Atelier</t>
  </si>
  <si>
    <t>Site</t>
  </si>
  <si>
    <t>N°</t>
  </si>
  <si>
    <t>Page 9</t>
  </si>
  <si>
    <t>Page 10</t>
  </si>
  <si>
    <t>Page 11</t>
  </si>
  <si>
    <t>Page 12</t>
  </si>
  <si>
    <t>Page 13</t>
  </si>
  <si>
    <t>Page 14</t>
  </si>
  <si>
    <t>Page 15</t>
  </si>
  <si>
    <t>Page 16</t>
  </si>
  <si>
    <t>Type d'inter</t>
  </si>
  <si>
    <t>Préventif</t>
  </si>
  <si>
    <t>PRE-</t>
  </si>
  <si>
    <t>Type 1</t>
  </si>
  <si>
    <t>Amélioratif</t>
  </si>
  <si>
    <t>AME-</t>
  </si>
  <si>
    <t>Type 2</t>
  </si>
  <si>
    <t>Curratif</t>
  </si>
  <si>
    <t>CUR-</t>
  </si>
  <si>
    <t>Type 3</t>
  </si>
  <si>
    <t>CMD-</t>
  </si>
  <si>
    <t>Nr de bon</t>
  </si>
  <si>
    <t>delais de réalisation</t>
  </si>
  <si>
    <t>Etat</t>
  </si>
  <si>
    <t>Type 4</t>
  </si>
  <si>
    <t>Qualité</t>
  </si>
  <si>
    <t>QUA-</t>
  </si>
  <si>
    <t>Sortie</t>
  </si>
  <si>
    <t/>
  </si>
  <si>
    <t>Intervenant</t>
  </si>
  <si>
    <t>Intervenant 1</t>
  </si>
  <si>
    <t>Intervenant 2</t>
  </si>
  <si>
    <t>Intervenant 3</t>
  </si>
  <si>
    <t>Intervenant 4</t>
  </si>
  <si>
    <t>Intervenant 5</t>
  </si>
  <si>
    <t>Intervenant 6</t>
  </si>
  <si>
    <t>Borja Fabrice</t>
  </si>
  <si>
    <t xml:space="preserve">Ibryam Yonus </t>
  </si>
  <si>
    <t>Prestaire froids</t>
  </si>
  <si>
    <t>Prestatire Chariot</t>
  </si>
  <si>
    <t>Autre</t>
  </si>
  <si>
    <t>David Guerroumie (Agirs)</t>
  </si>
  <si>
    <t>Salle</t>
  </si>
  <si>
    <t>Prio</t>
  </si>
  <si>
    <t>PRE-00001</t>
  </si>
  <si>
    <t>Temps d'inter</t>
  </si>
  <si>
    <t>Arret machine</t>
  </si>
  <si>
    <t>Attelier</t>
  </si>
  <si>
    <t>Arret ligne</t>
  </si>
  <si>
    <t>00:45</t>
  </si>
  <si>
    <t>Demande</t>
  </si>
  <si>
    <t>Prévu</t>
  </si>
  <si>
    <t>Réaliser</t>
  </si>
  <si>
    <t>00:30</t>
  </si>
  <si>
    <t>00:20</t>
  </si>
  <si>
    <t>Teste Gmao</t>
  </si>
  <si>
    <t>45</t>
  </si>
  <si>
    <t>AME-00001</t>
  </si>
  <si>
    <t>PRE-00002</t>
  </si>
  <si>
    <t>CUR-00001</t>
  </si>
  <si>
    <t>QUA-00001</t>
  </si>
  <si>
    <t>SOR-</t>
  </si>
  <si>
    <t>ENT-</t>
  </si>
  <si>
    <t>N° de mouvement</t>
  </si>
  <si>
    <t>SOR-0001</t>
  </si>
  <si>
    <t>AME-00002</t>
  </si>
  <si>
    <t>31/01/2023</t>
  </si>
  <si>
    <t>36</t>
  </si>
  <si>
    <t>60</t>
  </si>
  <si>
    <t>Temps d'arret moyen</t>
  </si>
  <si>
    <t>Mouvement</t>
  </si>
  <si>
    <t>Intervention</t>
  </si>
  <si>
    <t xml:space="preserve">Parc machine </t>
  </si>
  <si>
    <t>Admin</t>
  </si>
  <si>
    <t>Goulotte 60X60</t>
  </si>
  <si>
    <t>IBOB00319</t>
  </si>
  <si>
    <t>TA-E 60X60 W0 GOUL DISTRI AU METRE</t>
  </si>
  <si>
    <t>Boite de derivation 105X105</t>
  </si>
  <si>
    <t>LEG092022</t>
  </si>
  <si>
    <t>BOITE DERIVATION 105X105 PLEXO</t>
  </si>
  <si>
    <t>CMD-00001</t>
  </si>
  <si>
    <t>ENT-00005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</si>
</sst>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&quot;besoin&quot;"/>
    <numFmt numFmtId="167" formatCode="dd/mm/yy;@"/>
    <numFmt numFmtId="168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/>
    <xf numFmtId="0" fontId="1" fillId="4" borderId="0" xfId="0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8" fontId="0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8" fontId="0" fillId="6" borderId="3" xfId="2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8" fontId="0" fillId="7" borderId="0" xfId="0" applyNumberFormat="1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0" fillId="7" borderId="0" xfId="2" applyNumberFormat="1" applyFon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66" fontId="0" fillId="7" borderId="0" xfId="0" applyNumberForma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ill="1"/>
    <xf numFmtId="14" fontId="0" fillId="7" borderId="0" xfId="2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3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11" xfId="0" applyFill="1" applyBorder="1" applyAlignment="1">
      <alignment horizontal="left" vertical="top"/>
    </xf>
    <xf numFmtId="0" fontId="0" fillId="6" borderId="10" xfId="0" applyFill="1" applyBorder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  <xf numFmtId="0" fontId="0" fillId="0" borderId="0" xfId="0" applyNumberFormat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9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6" formatCode="&quot;besoin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6" formatCode="&quot;besoin&quot;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</dxf>
    <dxf>
      <numFmt numFmtId="1" formatCode="0"/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68" formatCode="#,##0.00\ &quot;€&quot;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&quot;besoin&quot;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168" formatCode="#,##0.00\ &quot;€&quot;"/>
    </dxf>
    <dxf>
      <numFmt numFmtId="1" formatCode="0"/>
    </dxf>
    <dxf>
      <numFmt numFmtId="168" formatCode="#,##0.00\ &quot;€&quot;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AE40"/>
      <color rgb="FF686868"/>
      <color rgb="FFFFD961"/>
      <color rgb="FFA162D0"/>
      <color rgb="FF0039AC"/>
      <color rgb="FFB889DB"/>
      <color rgb="FF15FF7F"/>
      <color rgb="FF00AC4E"/>
      <color rgb="FF0156FF"/>
      <color rgb="FF0093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290512</xdr:colOff>
      <xdr:row>18</xdr:row>
      <xdr:rowOff>52387</xdr:rowOff>
    </xdr:from>
    <xdr:to>
      <xdr:col>14</xdr:col>
      <xdr:colOff>232912</xdr:colOff>
      <xdr:row>28</xdr:row>
      <xdr:rowOff>91387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5319712" y="3767137"/>
          <a:ext cx="3600000" cy="1944000"/>
          <a:chOff x="1695450" y="2781300"/>
          <a:chExt cx="3600000" cy="1944000"/>
        </a:xfrm>
      </xdr:grpSpPr>
      <xdr:grpSp>
        <xdr:nvGrpSpPr>
          <xdr:cNvPr id="32" name="Group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D96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1">
        <xdr:nvSpPr>
          <xdr:cNvPr id="33" name="ZoneText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 txBox="1"/>
        </xdr:nvSpPr>
        <xdr:spPr>
          <a:xfrm>
            <a:off x="1962150" y="3182250"/>
            <a:ext cx="156686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84B9E0-1866-4FEF-A1EA-A09CF014896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26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1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AF04D1C-1274-4689-9740-C8D7E9EE872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Volume du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133350</xdr:colOff>
      <xdr:row>18</xdr:row>
      <xdr:rowOff>42862</xdr:rowOff>
    </xdr:from>
    <xdr:to>
      <xdr:col>21</xdr:col>
      <xdr:colOff>75750</xdr:colOff>
      <xdr:row>28</xdr:row>
      <xdr:rowOff>81862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9429750" y="3757612"/>
          <a:ext cx="3600000" cy="1944000"/>
          <a:chOff x="7315200" y="5333100"/>
          <a:chExt cx="3600000" cy="1944000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7315200" y="5333100"/>
            <a:ext cx="3600000" cy="1944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7315200" y="6917100"/>
            <a:ext cx="3600000" cy="360000"/>
          </a:xfrm>
          <a:prstGeom prst="rect">
            <a:avLst/>
          </a:prstGeom>
          <a:solidFill>
            <a:srgbClr val="68686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15</xdr:col>
      <xdr:colOff>180975</xdr:colOff>
      <xdr:row>26</xdr:row>
      <xdr:rowOff>119962</xdr:rowOff>
    </xdr:from>
    <xdr:to>
      <xdr:col>20</xdr:col>
      <xdr:colOff>390525</xdr:colOff>
      <xdr:row>27</xdr:row>
      <xdr:rowOff>167587</xdr:rowOff>
    </xdr:to>
    <xdr:sp macro="" textlink="Config!C52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324975" y="5072962"/>
          <a:ext cx="32575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8BDA865-6211-4B0F-8444-DDD7EEFD1F0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/>
            <a:t>Top 3 articles vendue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504825</xdr:colOff>
      <xdr:row>18</xdr:row>
      <xdr:rowOff>52387</xdr:rowOff>
    </xdr:from>
    <xdr:to>
      <xdr:col>7</xdr:col>
      <xdr:colOff>447225</xdr:colOff>
      <xdr:row>28</xdr:row>
      <xdr:rowOff>91387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266825" y="3767137"/>
          <a:ext cx="3600000" cy="1944000"/>
          <a:chOff x="1695450" y="2781300"/>
          <a:chExt cx="3600000" cy="1944000"/>
        </a:xfrm>
      </xdr:grpSpPr>
      <xdr:grpSp>
        <xdr:nvGrpSpPr>
          <xdr:cNvPr id="48" name="Group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1" name="Rectangle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7030A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2" name="Rectangle 51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A162D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0">
        <xdr:nvSpPr>
          <xdr:cNvPr id="49" name="ZoneText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/>
        </xdr:nvSpPr>
        <xdr:spPr>
          <a:xfrm>
            <a:off x="1971675" y="3182250"/>
            <a:ext cx="1409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811E819-4BA5-4EBB-B303-9E88E70C939A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0">
        <xdr:nvSpPr>
          <xdr:cNvPr id="50" name="ZoneText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A4B896F-8ABE-4EC7-A928-067D0DD0BDA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Temps d'arret moyen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290512</xdr:colOff>
      <xdr:row>6</xdr:row>
      <xdr:rowOff>61912</xdr:rowOff>
    </xdr:from>
    <xdr:to>
      <xdr:col>14</xdr:col>
      <xdr:colOff>232912</xdr:colOff>
      <xdr:row>16</xdr:row>
      <xdr:rowOff>100912</xdr:rowOff>
    </xdr:to>
    <xdr:grpSp>
      <xdr:nvGrpSpPr>
        <xdr:cNvPr id="54" name="Group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5319712" y="1490662"/>
          <a:ext cx="3600000" cy="1944000"/>
          <a:chOff x="1695450" y="2781300"/>
          <a:chExt cx="3600000" cy="1944000"/>
        </a:xfrm>
      </xdr:grpSpPr>
      <xdr:grpSp>
        <xdr:nvGrpSpPr>
          <xdr:cNvPr id="56" name="Groupe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9" name="Rectangle 58">
              <a:extLs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0" name="Rectangle 59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15FF7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8">
        <xdr:nvSpPr>
          <xdr:cNvPr id="57" name="ZoneText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2047875" y="3191775"/>
            <a:ext cx="128111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431F28FF-5C9B-4154-8B42-585BC42D8FB1}" type="TxLink">
              <a:rPr lang="en-US" sz="32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 algn="l"/>
              <a:t>0</a:t>
            </a:fld>
            <a:endParaRPr lang="fr-FR" sz="32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  <xdr:sp macro="" textlink="Config!C48">
        <xdr:nvSpPr>
          <xdr:cNvPr id="58" name="ZoneTexte 57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743075" y="4382400"/>
            <a:ext cx="3257550" cy="3181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D5359528-E2FB-40F0-922B-54D558DAD647}" type="TxLink">
              <a:rPr lang="en-US" sz="14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/>
              <a:t>Article en commande</a:t>
            </a:fld>
            <a:endParaRPr lang="fr-FR" sz="14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15</xdr:col>
      <xdr:colOff>76200</xdr:colOff>
      <xdr:row>6</xdr:row>
      <xdr:rowOff>61912</xdr:rowOff>
    </xdr:from>
    <xdr:to>
      <xdr:col>21</xdr:col>
      <xdr:colOff>18600</xdr:colOff>
      <xdr:row>16</xdr:row>
      <xdr:rowOff>100912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/>
      </xdr:nvGrpSpPr>
      <xdr:grpSpPr>
        <a:xfrm>
          <a:off x="9372600" y="1490662"/>
          <a:ext cx="3600000" cy="1944000"/>
          <a:chOff x="1695450" y="2781300"/>
          <a:chExt cx="3600000" cy="1944000"/>
        </a:xfrm>
        <a:solidFill>
          <a:srgbClr val="FF0000"/>
        </a:solidFill>
      </xdr:grpSpPr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  <a:grpFill/>
        </xdr:grpSpPr>
        <xdr:sp macro="" textlink="">
          <xdr:nvSpPr>
            <xdr:cNvPr id="67" name="Rectangle 66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8" name="Rectangle 67"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9">
        <xdr:nvSpPr>
          <xdr:cNvPr id="65" name="ZoneTexte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2000250" y="3182250"/>
            <a:ext cx="1028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5C0C438-5CFB-4F8A-B54D-B2CEA37C1B78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1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9">
        <xdr:nvSpPr>
          <xdr:cNvPr id="66" name="ZoneTexte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6B28C0C-53DF-4B36-990D-E80D2A4B046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Artilce critique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504825</xdr:colOff>
      <xdr:row>6</xdr:row>
      <xdr:rowOff>61912</xdr:rowOff>
    </xdr:from>
    <xdr:to>
      <xdr:col>7</xdr:col>
      <xdr:colOff>447225</xdr:colOff>
      <xdr:row>16</xdr:row>
      <xdr:rowOff>100912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1266825" y="1490662"/>
          <a:ext cx="3600000" cy="1944000"/>
          <a:chOff x="1695450" y="2781300"/>
          <a:chExt cx="3600000" cy="1944000"/>
        </a:xfrm>
      </xdr:grpSpPr>
      <xdr:grpSp>
        <xdr:nvGrpSpPr>
          <xdr:cNvPr id="72" name="Group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75" name="Rectangle 74"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206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6" name="Rectangle 75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0039AC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7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1847850" y="3182250"/>
            <a:ext cx="268605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C4D429F-D6FB-4ADC-87D6-52D8074B06B7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700,70 €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7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262809C-16B1-4FE8-AB5B-829B6F54132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Valeur de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228600</xdr:colOff>
      <xdr:row>19</xdr:row>
      <xdr:rowOff>5662</xdr:rowOff>
    </xdr:from>
    <xdr:to>
      <xdr:col>18</xdr:col>
      <xdr:colOff>76200</xdr:colOff>
      <xdr:row>25</xdr:row>
      <xdr:rowOff>94350</xdr:rowOff>
    </xdr:to>
    <xdr:grpSp>
      <xdr:nvGrpSpPr>
        <xdr:cNvPr id="79" name="Group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9525000" y="3910912"/>
          <a:ext cx="1676400" cy="1231688"/>
          <a:chOff x="9372600" y="3539437"/>
          <a:chExt cx="2686050" cy="1231688"/>
        </a:xfrm>
      </xdr:grpSpPr>
      <xdr:sp macro="" textlink="Config!E52">
        <xdr:nvSpPr>
          <xdr:cNvPr id="41" name="ZoneText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9372600" y="3539437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EE18E661-9909-4F2F-9C65-D5D071F27A09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G52">
        <xdr:nvSpPr>
          <xdr:cNvPr id="77" name="ZoneTexte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 txBox="1"/>
        </xdr:nvSpPr>
        <xdr:spPr>
          <a:xfrm>
            <a:off x="9372600" y="4310062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3F4A1FC-51ED-45AB-A493-2338D067015E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F52">
        <xdr:nvSpPr>
          <xdr:cNvPr id="78" name="ZoneText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9372600" y="3924750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AFEEBF8-D9B1-4F6F-8C03-E256E8E1889F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5</xdr:col>
      <xdr:colOff>371475</xdr:colOff>
      <xdr:row>8</xdr:row>
      <xdr:rowOff>57150</xdr:rowOff>
    </xdr:from>
    <xdr:to>
      <xdr:col>7</xdr:col>
      <xdr:colOff>232275</xdr:colOff>
      <xdr:row>13</xdr:row>
      <xdr:rowOff>184650</xdr:rowOff>
    </xdr:to>
    <xdr:pic>
      <xdr:nvPicPr>
        <xdr:cNvPr id="2" name="Graphique 6" descr="Pièces avec un remplissage uni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71875" y="18669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7</xdr:row>
      <xdr:rowOff>133350</xdr:rowOff>
    </xdr:from>
    <xdr:to>
      <xdr:col>14</xdr:col>
      <xdr:colOff>3675</xdr:colOff>
      <xdr:row>13</xdr:row>
      <xdr:rowOff>70350</xdr:rowOff>
    </xdr:to>
    <xdr:pic>
      <xdr:nvPicPr>
        <xdr:cNvPr id="3" name="Graphique 16" descr="Porte-bloc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610475" y="17526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457200</xdr:colOff>
      <xdr:row>7</xdr:row>
      <xdr:rowOff>171450</xdr:rowOff>
    </xdr:from>
    <xdr:to>
      <xdr:col>20</xdr:col>
      <xdr:colOff>318000</xdr:colOff>
      <xdr:row>13</xdr:row>
      <xdr:rowOff>108450</xdr:rowOff>
    </xdr:to>
    <xdr:pic>
      <xdr:nvPicPr>
        <xdr:cNvPr id="4" name="Graphique 8" descr="Sirène avec un remplissage uni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582400" y="1790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19</xdr:row>
      <xdr:rowOff>123825</xdr:rowOff>
    </xdr:from>
    <xdr:to>
      <xdr:col>7</xdr:col>
      <xdr:colOff>194175</xdr:colOff>
      <xdr:row>25</xdr:row>
      <xdr:rowOff>60825</xdr:rowOff>
    </xdr:to>
    <xdr:pic>
      <xdr:nvPicPr>
        <xdr:cNvPr id="5" name="Graphique 20" descr="Clé avec un remplissage un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533775" y="40290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123825</xdr:colOff>
      <xdr:row>19</xdr:row>
      <xdr:rowOff>171450</xdr:rowOff>
    </xdr:from>
    <xdr:to>
      <xdr:col>13</xdr:col>
      <xdr:colOff>594225</xdr:colOff>
      <xdr:row>25</xdr:row>
      <xdr:rowOff>108450</xdr:rowOff>
    </xdr:to>
    <xdr:pic>
      <xdr:nvPicPr>
        <xdr:cNvPr id="6" name="Graphique 18" descr="Inventaire avec un remplissage uni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591425" y="4076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571500</xdr:colOff>
      <xdr:row>19</xdr:row>
      <xdr:rowOff>142875</xdr:rowOff>
    </xdr:from>
    <xdr:to>
      <xdr:col>20</xdr:col>
      <xdr:colOff>432300</xdr:colOff>
      <xdr:row>25</xdr:row>
      <xdr:rowOff>79875</xdr:rowOff>
    </xdr:to>
    <xdr:pic>
      <xdr:nvPicPr>
        <xdr:cNvPr id="7" name="Graphique 12" descr="Graphique à barres avec un remplissage uni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1696700" y="4048125"/>
          <a:ext cx="1080000" cy="108000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0</xdr:row>
      <xdr:rowOff>19050</xdr:rowOff>
    </xdr:from>
    <xdr:to>
      <xdr:col>27</xdr:col>
      <xdr:colOff>533400</xdr:colOff>
      <xdr:row>2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371600" y="19050"/>
          <a:ext cx="15773400" cy="647700"/>
          <a:chOff x="762000" y="4762"/>
          <a:chExt cx="15773400" cy="647700"/>
        </a:xfrm>
      </xdr:grpSpPr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02" name="Page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03" name="Page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04" name="Page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105" name="Page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106" name="Page5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107" name="Page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8" name="Page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09" name="Page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0" name="Page5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2</xdr:col>
          <xdr:colOff>1333500</xdr:colOff>
          <xdr:row>4</xdr:row>
          <xdr:rowOff>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25</xdr:col>
      <xdr:colOff>457200</xdr:colOff>
      <xdr:row>1</xdr:row>
      <xdr:rowOff>171450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25" name="Page1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26" name="Page2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27" name="Page3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28" name="Page4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29" name="Page5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30" name="Page6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31" name="Page7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32" name="Page8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33" name="Page5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2</xdr:col>
          <xdr:colOff>666750</xdr:colOff>
          <xdr:row>4</xdr:row>
          <xdr:rowOff>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20</xdr:col>
      <xdr:colOff>152400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62000" y="0"/>
          <a:ext cx="163068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1</xdr:col>
          <xdr:colOff>1724025</xdr:colOff>
          <xdr:row>4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15</xdr:col>
      <xdr:colOff>266700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66675</xdr:rowOff>
        </xdr:from>
        <xdr:to>
          <xdr:col>1</xdr:col>
          <xdr:colOff>628650</xdr:colOff>
          <xdr:row>4</xdr:row>
          <xdr:rowOff>9525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20</xdr:col>
      <xdr:colOff>19050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18</xdr:col>
      <xdr:colOff>276225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19</xdr:col>
      <xdr:colOff>333375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76200</xdr:rowOff>
        </xdr:from>
        <xdr:to>
          <xdr:col>3</xdr:col>
          <xdr:colOff>485775</xdr:colOff>
          <xdr:row>4</xdr:row>
          <xdr:rowOff>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17</xdr:col>
      <xdr:colOff>19050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18</xdr:col>
      <xdr:colOff>400050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9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9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9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060D7A-494B-4437-8D64-854772F01D85}" name="Tableau3" displayName="Tableau3" ref="B5:X8" totalsRowShown="0" headerRowDxfId="94">
  <autoFilter ref="B5:X8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2F2BD834-EF90-4FF1-82AB-19B9A63662EA}" name="Nr Article"/>
    <tableColumn id="2" xr3:uid="{D6404116-A428-4370-B175-D50BDB1BE4DD}" name="Nom"/>
    <tableColumn id="24" xr3:uid="{268BE60A-9AB6-4353-B1B4-97C35CE18EC4}" name="Référance" dataDxfId="93"/>
    <tableColumn id="3" xr3:uid="{049488EA-6432-44F5-B6D0-2D9E09532DA4}" name="Description" dataDxfId="92"/>
    <tableColumn id="4" xr3:uid="{5423A2C8-F1A3-466E-8EB3-5B52F202EB45}" name="prix unité" dataDxfId="91"/>
    <tableColumn id="5" xr3:uid="{1DD97576-F23B-4A42-B161-1FBBF7E488C9}" name="Stock" dataDxfId="90">
      <calculatedColumnFormula>SUMIFS(Tableau6[Nombre],Tableau6[Nr article],Tableau3[[#This Row],[Nr Article]],Tableau6[Type],"Entrée")-SUMIFS(Tableau6[Nombre],Tableau6[Nr article],Tableau3[[#This Row],[Nr Article]],Tableau6[Type],"Sortie")</calculatedColumnFormula>
    </tableColumn>
    <tableColumn id="6" xr3:uid="{BCE20F8E-DA20-487E-8B37-5C9900406050}" name="Valeur stock" dataDxfId="89" dataCellStyle="Monétaire">
      <calculatedColumnFormula>F6*G6</calculatedColumnFormula>
    </tableColumn>
    <tableColumn id="7" xr3:uid="{C1C10131-D693-45D7-AB21-6E7DB515E795}" name="Stock min" dataDxfId="88"/>
    <tableColumn id="21" xr3:uid="{3E029B1F-2D13-49F7-AA5F-DBDB5E36F708}" name="Unité"/>
    <tableColumn id="23" xr3:uid="{96D08970-8D00-49E3-BE3E-2422E6E08ACA}" name="Emplacement" dataDxfId="87"/>
    <tableColumn id="8" xr3:uid="{C61CB89F-DA7D-424E-B109-5A10C3E1147F}" name="Flag" dataDxfId="86">
      <calculatedColumnFormula>IF(G6&lt;I6,1,"")</calculatedColumnFormula>
    </tableColumn>
    <tableColumn id="9" xr3:uid="{095E8897-FE24-4A85-98C1-850D0DF6BDCA}" name="Vide"/>
    <tableColumn id="10" xr3:uid="{62CBB076-A21C-44BC-8269-B60301BBCFF6}" name="1"/>
    <tableColumn id="11" xr3:uid="{19BC27E7-253E-44DD-9AFA-D172C61A29D5}" name="2"/>
    <tableColumn id="12" xr3:uid="{F8813AE9-B640-424D-BF57-E689D41C64F3}" name="3"/>
    <tableColumn id="13" xr3:uid="{39B30FFE-95DC-4A0B-AB2D-44A43A9914A2}" name="4"/>
    <tableColumn id="14" xr3:uid="{AE55E61F-BA0A-4696-91FB-FCCCA07AB26D}" name="5"/>
    <tableColumn id="15" xr3:uid="{904D699A-6870-4C5B-8BEC-64B1BC42333F}" name="6"/>
    <tableColumn id="16" xr3:uid="{30434113-7665-46C1-A290-AA56B86B76C1}" name="7"/>
    <tableColumn id="17" xr3:uid="{2EC7ACCA-F063-4EE1-B039-5A373D380312}" name="8"/>
    <tableColumn id="18" xr3:uid="{DD03FEA0-38A9-4027-AA73-BFCEDFE2FC03}" name="9"/>
    <tableColumn id="19" xr3:uid="{A7346A1D-AFA0-4455-AC03-74F77E906CDA}" name="10"/>
    <tableColumn id="20" xr3:uid="{4EBE8D12-32DD-4893-82F3-B940DE93850E}" name="&gt;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A87C0-7B50-404A-80CD-23696D391473}" name="Tableau4" displayName="Tableau4" ref="B5:L7" totalsRowShown="0" headerRowDxfId="85" dataDxfId="84">
  <autoFilter ref="B5:L7" xr:uid="{AB1A87C0-7B50-404A-80CD-23696D3914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96B4600-4F9E-4FB2-8148-E6055BEA716B}" name="Nr Commande" dataDxfId="83"/>
    <tableColumn id="2" xr3:uid="{F364C593-7D3E-4B04-B6A5-BB92F12451C7}" name="Date" dataDxfId="82"/>
    <tableColumn id="3" xr3:uid="{E71AEDAE-8C0D-40F7-A970-C6C252976366}" name="Nr article" dataDxfId="81"/>
    <tableColumn id="10" xr3:uid="{3BF54F52-48B4-4BBD-9AB9-D059911FE89D}" name="Référence" dataDxfId="80"/>
    <tableColumn id="4" xr3:uid="{8A8AD73A-5367-49EA-93DE-304F4B0E521B}" name="Nom" dataDxfId="79">
      <calculatedColumnFormula>IFERROR(INDEX(Tableau3[Nom],MATCH(Tableau4[Référence],Tableau3[Référance],0)),"")</calculatedColumnFormula>
    </tableColumn>
    <tableColumn id="5" xr3:uid="{23ECFD97-2DD3-47B6-8CC5-7EF25A6C26D3}" name="Nombre" dataDxfId="78"/>
    <tableColumn id="6" xr3:uid="{9DEF26EF-FDF3-488D-B5A2-9304BC03D666}" name="Prix" dataDxfId="77" dataCellStyle="Monétaire"/>
    <tableColumn id="7" xr3:uid="{3E57BF30-23FF-450B-96DA-84F54C6E92A7}" name="prix total" dataDxfId="76" dataCellStyle="Monétaire">
      <calculatedColumnFormula>Tableau4[[#This Row],[Prix]]*Tableau4[[#This Row],[Nombre]]</calculatedColumnFormula>
    </tableColumn>
    <tableColumn id="8" xr3:uid="{166CEC6A-8CF4-4AE0-AC22-250B61D6D0C9}" name="Fournisseur" dataDxfId="75"/>
    <tableColumn id="9" xr3:uid="{AF73CD27-2F03-47EE-A9D6-9E047A673707}" name="Contrôle" dataDxfId="74">
      <calculatedColumnFormula>IF(Tableau6[Type]="Entrée",INDEX(Tableau6[Nombre],MATCH(1,(Tableau4[[#This Row],[Nr Commande]]=Tableau6[Nr bon de commande])*(Tableau4[[#This Row],[Nr article]]=Tableau6[Nr article]),0)),"")</calculatedColumnFormula>
    </tableColumn>
    <tableColumn id="11" xr3:uid="{2B433C91-B38B-4DAB-A6E1-318F76A89588}" name="Check" dataDxfId="73">
      <calculatedColumnFormula>IF(Tableau4[[#This Row],[Contrôle]]=Tableau4[[#This Row],[Nombre]],"Close","Open")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F63930-81A9-4B27-BDB3-BC13185236F3}" name="Tableau6" displayName="Tableau6" ref="B5:J6" totalsRowShown="0" headerRowDxfId="72" dataDxfId="71">
  <autoFilter ref="B5:J6" xr:uid="{90F63930-81A9-4B27-BDB3-BC13185236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5C590782-E009-4208-8B2A-2B350DCD4A32}" name="Type" dataDxfId="70"/>
    <tableColumn id="2" xr3:uid="{3C55245B-2667-44F3-AFC5-6B7115B41995}" name="Nr Facture" dataDxfId="69"/>
    <tableColumn id="3" xr3:uid="{DD108C82-CFCE-49A1-91DC-7192AEA9183A}" name="Nr bon de commande" dataDxfId="68"/>
    <tableColumn id="4" xr3:uid="{5DF69667-2E9E-4896-8FB5-217568111682}" name="Fournisseur" dataDxfId="67"/>
    <tableColumn id="5" xr3:uid="{B95B879C-8635-42AA-921D-6E0971BE11AF}" name="Equipement" dataDxfId="66"/>
    <tableColumn id="6" xr3:uid="{262CA643-1ACD-4B8F-AFB0-169C5AAB9163}" name="Nr article" dataDxfId="65"/>
    <tableColumn id="7" xr3:uid="{6F872642-4E0D-4160-A389-F57A6BC4F4D0}" name="Nombre" dataDxfId="64"/>
    <tableColumn id="10" xr3:uid="{8FB64275-3795-46AB-9974-DC305A2A185D}" name="N° de mouvement" dataDxfId="63"/>
    <tableColumn id="8" xr3:uid="{722F785B-F38E-4D60-A36E-41111032BE4D}" name="Ranking" dataDxfId="62">
      <calculatedColumnFormula>IF(Tableau6[Type]="Sortie",COUNTIFS(Tableau6[Type],"Sortie",Tableau6[Nombre],"&gt;"&amp;Tableau6[[#This Row],[Nombre]])+1,"")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B5A2F1-FB7D-4840-A536-64D09A177053}" name="Tableau1" displayName="Tableau1" ref="B5:J8" totalsRowShown="0" headerRowDxfId="61" dataDxfId="60">
  <autoFilter ref="B5:J8" xr:uid="{37B5A2F1-FB7D-4840-A536-64D09A177053}"/>
  <tableColumns count="9">
    <tableColumn id="1" xr3:uid="{F1BB8F41-B569-4817-AFD7-8BDD95830632}" name="Nom" dataDxfId="59"/>
    <tableColumn id="2" xr3:uid="{5619EA1B-E1CF-4D08-A99A-4E91B77391CA}" name="Adress" dataDxfId="58"/>
    <tableColumn id="3" xr3:uid="{7777FF27-4C76-4F9A-8EBB-65CACBA33D51}" name="Cp" dataDxfId="57"/>
    <tableColumn id="4" xr3:uid="{1719B67F-ACF7-481A-90D2-729445A058E9}" name="Ville" dataDxfId="56"/>
    <tableColumn id="5" xr3:uid="{9E59FED1-F4FC-4CD2-A90C-AE3B7884AB39}" name="Pays" dataDxfId="55"/>
    <tableColumn id="6" xr3:uid="{EC22DDAD-7E01-469F-BDEE-F20C65702EBA}" name="Téléphone" dataDxfId="54"/>
    <tableColumn id="7" xr3:uid="{C0620521-8A1D-4CD1-85E6-C7CBE2C64EC8}" name="Mail" dataDxfId="53" dataCellStyle="Lien hypertexte"/>
    <tableColumn id="8" xr3:uid="{A6FB38A4-C084-4E35-A55B-6225E49775A8}" name="Contact" dataDxfId="52"/>
    <tableColumn id="9" xr3:uid="{7AEB20E3-AC9A-47FE-9A71-653674C98101}" name="Groupe" dataDxfId="51">
      <calculatedColumnFormula>CONCATENATE(B6,"-",D6,",",E6," ",LEFT(F6,2),)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7164E-C58F-4394-8199-E21C95E34433}" name="Tableau2" displayName="Tableau2" ref="B5:H19" totalsRowShown="0" headerRowDxfId="50" dataDxfId="48" headerRowBorderDxfId="49" tableBorderDxfId="47" totalsRowBorderDxfId="46">
  <autoFilter ref="B5:H19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7BBD542-2902-4E03-B860-C42B722843DC}" name="Matricule" dataDxfId="45"/>
    <tableColumn id="2" xr3:uid="{4D3346E3-CE1E-4857-98E1-60DB44ADEB75}" name="Coût de non prod" dataDxfId="44"/>
    <tableColumn id="3" xr3:uid="{8CF755EB-6D3E-478A-B36F-CB2EF513E9F4}" name="Cadénce" dataDxfId="43"/>
    <tableColumn id="4" xr3:uid="{1BEC49DF-D03C-4473-BE96-CBC156249BC5}" name="Usine" dataDxfId="42"/>
    <tableColumn id="5" xr3:uid="{309F81AB-B4F9-4E5D-97E9-895C01266362}" name="Nom" dataDxfId="41"/>
    <tableColumn id="8" xr3:uid="{911E7E4C-D0D4-4E70-AF95-5247525C3005}" name="Contact" dataDxfId="40"/>
    <tableColumn id="9" xr3:uid="{1479758D-4D7F-43E0-89C9-94D987A840F4}" name="Groupe" dataDxfId="39">
      <calculatedColumnFormula>CONCATENATE(B6,"-",D6,",",E6," ",LEFT(F6,2),)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9AF5AB-7B52-458F-8343-C80989A889F9}" name="Tableau5" displayName="Tableau5" ref="B77:B83" totalsRowShown="0" headerRowDxfId="38">
  <autoFilter ref="B77:B83" xr:uid="{FA9AF5AB-7B52-458F-8343-C80989A889F9}"/>
  <tableColumns count="1">
    <tableColumn id="1" xr3:uid="{FB6C210E-918E-456F-A03F-C8177F8B4BA3}" name="Valeur d'unité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DC9E2A6-A584-4C78-A01F-F250F68C1305}" name="Tableau38" displayName="Tableau38" ref="B5:R17" totalsRowShown="0" headerRowDxfId="37" dataDxfId="36">
  <autoFilter ref="B5:R17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2F2BD834-EF90-4FF1-82AB-19B9A63662EA}" name="Nr d'OT" dataDxfId="35"/>
    <tableColumn id="2" xr3:uid="{D6404116-A428-4370-B175-D50BDB1BE4DD}" name="Type" dataDxfId="34"/>
    <tableColumn id="24" xr3:uid="{268BE60A-9AB6-4353-B1B4-97C35CE18EC4}" name="Equipement" dataDxfId="33"/>
    <tableColumn id="3" xr3:uid="{049488EA-6432-44F5-B6D0-2D9E09532DA4}" name="Description" dataDxfId="32"/>
    <tableColumn id="4" xr3:uid="{5423A2C8-F1A3-466E-8EB3-5B52F202EB45}" name="Nr de bon" dataDxfId="31"/>
    <tableColumn id="5" xr3:uid="{1DD97576-F23B-4A42-B161-1FBBF7E488C9}" name="Demande" dataDxfId="30"/>
    <tableColumn id="9" xr3:uid="{4225B9EF-D1CE-4933-9756-36583D35F71E}" name="Prévu" dataDxfId="29"/>
    <tableColumn id="6" xr3:uid="{BCE20F8E-DA20-487E-8B37-5C9900406050}" name="Réaliser" dataDxfId="28" dataCellStyle="Monétaire"/>
    <tableColumn id="7" xr3:uid="{C1C10131-D693-45D7-AB21-6E7DB515E795}" name="delais de réalisation" dataDxfId="27">
      <calculatedColumnFormula>IF(Tableau38[[#This Row],[Demande]]="","",IF(Tableau38[[#This Row],[Réaliser]]="","",DATE_DIFF(Tableau38[[#This Row],[Demande]],Tableau38[[#This Row],[Réaliser]])))</calculatedColumnFormula>
    </tableColumn>
    <tableColumn id="21" xr3:uid="{3E029B1F-2D13-49F7-AA5F-DBDB5E36F708}" name="Etat" dataDxfId="26">
      <calculatedColumnFormula>IF(Tableau38[[#This Row],[Demande]]="","",IF(Tableau38[[#This Row],[Réaliser]]="",1,IF(Tableau38[[#This Row],[Réaliser]]="",2,IF(Tableau38[[#This Row],[Prévu]]&lt;TODAY(),3,""))))</calculatedColumnFormula>
    </tableColumn>
    <tableColumn id="23" xr3:uid="{96D08970-8D00-49E3-BE3E-2422E6E08ACA}" name="Temps d'inter" dataDxfId="25"/>
    <tableColumn id="8" xr3:uid="{C61CB89F-DA7D-424E-B109-5A10C3E1147F}" name="Arret machine" dataDxfId="24"/>
    <tableColumn id="14" xr3:uid="{315189EA-790D-4013-A1C2-E9C9D2E5CF4C}" name="Arret ligne" dataDxfId="23"/>
    <tableColumn id="10" xr3:uid="{C5785726-34A8-4108-B400-E1D92C2F5C56}" name="Attelier" dataDxfId="22"/>
    <tableColumn id="11" xr3:uid="{1CE7F96F-92C4-4AA6-B52D-FA1700F970D6}" name="Salle" dataDxfId="21"/>
    <tableColumn id="15" xr3:uid="{6CB2D6CD-1E83-4DBF-BDEF-23BBE8E692D6}" name="Intervenant" dataDxfId="20"/>
    <tableColumn id="13" xr3:uid="{A0C48CAA-3CA7-45EE-9654-752EB4286146}" name="Prio" dataDxfId="19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EF3E5A9-4D8F-451E-BCF8-1B2885E54296}" name="Tableau29" displayName="Tableau29" ref="B5:G48" totalsRowShown="0" headerRowDxfId="18" dataDxfId="16" headerRowBorderDxfId="17" tableBorderDxfId="15" totalsRowBorderDxfId="14">
  <autoFilter ref="B5:G48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10924BE9-7200-4EBC-80DB-9666C51AEB19}" name="N°" dataDxfId="13"/>
    <tableColumn id="1" xr3:uid="{47BBD542-2902-4E03-B860-C42B722843DC}" name="Site" dataDxfId="12"/>
    <tableColumn id="2" xr3:uid="{4D3346E3-CE1E-4857-98E1-60DB44ADEB75}" name="Atelier" dataDxfId="11"/>
    <tableColumn id="3" xr3:uid="{8CF755EB-6D3E-478A-B36F-CB2EF513E9F4}" name="Equipement" dataDxfId="10"/>
    <tableColumn id="9" xr3:uid="{1479758D-4D7F-43E0-89C9-94D987A840F4}" name="Centre de coût " dataDxfId="9">
      <calculatedColumnFormula>CONCATENATE(LEFT(Tableau29[[#This Row],[Site]],2),Tableau29[[#This Row],[Atelier]],TEXT(Tableau29[[#This Row],[N°]],"0000"))</calculatedColumnFormula>
    </tableColumn>
    <tableColumn id="6" xr3:uid="{5B869EC7-07CD-496A-A09C-527A57F30F10}" name="Coût imo par H" dataDxfId="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4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1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onseil@nelinkia.com" TargetMode="External"/><Relationship Id="rId1" Type="http://schemas.openxmlformats.org/officeDocument/2006/relationships/hyperlink" Target="mailto:nevers.zitaupieres@rexel.fr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hyperlink" Target="mailto:theo.helvert@germline.fr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image" Target="../media/image17.emf"/><Relationship Id="rId4" Type="http://schemas.openxmlformats.org/officeDocument/2006/relationships/control" Target="../activeX/activeX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zoomScaleNormal="100" workbookViewId="0">
      <selection activeCell="L37" sqref="L37"/>
    </sheetView>
  </sheetViews>
  <sheetFormatPr baseColWidth="10" defaultColWidth="9.140625" defaultRowHeight="15" x14ac:dyDescent="0.25"/>
  <cols>
    <col min="1" max="1" width="11.42578125" customWidth="1"/>
  </cols>
  <sheetData>
    <row r="1" ht="37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A471-3763-4E56-BA86-59F5EB099CE8}">
  <sheetPr codeName="Feuil2"/>
  <dimension ref="B1:X8"/>
  <sheetViews>
    <sheetView showGridLines="0" showRowColHeaders="0" workbookViewId="0">
      <selection activeCell="C8" sqref="C8"/>
    </sheetView>
  </sheetViews>
  <sheetFormatPr baseColWidth="10" defaultRowHeight="15" x14ac:dyDescent="0.25"/>
  <cols>
    <col min="3" max="3" width="28.5703125" bestFit="1" customWidth="1"/>
    <col min="4" max="4" width="14.7109375" bestFit="1" customWidth="1"/>
    <col min="5" max="5" width="28.28515625" bestFit="1" customWidth="1"/>
    <col min="8" max="8" width="13.7109375" customWidth="1"/>
    <col min="9" max="10" width="11.7109375" customWidth="1"/>
    <col min="11" max="11" width="13.140625" bestFit="1" customWidth="1"/>
    <col min="13" max="13" width="0.85546875" customWidth="1"/>
    <col min="14" max="22" width="4.28515625" customWidth="1"/>
    <col min="23" max="23" width="5.140625" customWidth="1"/>
    <col min="24" max="24" width="6.140625" customWidth="1"/>
  </cols>
  <sheetData>
    <row r="1" spans="2:24" ht="37.5" customHeight="1" x14ac:dyDescent="0.25"/>
    <row r="4" spans="2:24" x14ac:dyDescent="0.25">
      <c r="N4">
        <v>1</v>
      </c>
      <c r="O4">
        <v>2</v>
      </c>
      <c r="P4">
        <v>3</v>
      </c>
      <c r="Q4">
        <v>4</v>
      </c>
      <c r="R4">
        <v>5</v>
      </c>
      <c r="S4">
        <v>6</v>
      </c>
      <c r="T4">
        <v>7</v>
      </c>
      <c r="U4">
        <v>8</v>
      </c>
      <c r="V4">
        <v>9</v>
      </c>
      <c r="W4">
        <v>10</v>
      </c>
    </row>
    <row r="5" spans="2:24" s="5" customFormat="1" x14ac:dyDescent="0.25">
      <c r="B5" s="5" t="s">
        <v>10</v>
      </c>
      <c r="C5" s="5" t="s">
        <v>0</v>
      </c>
      <c r="D5" s="5" t="s">
        <v>34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32</v>
      </c>
      <c r="K5" s="5" t="s">
        <v>33</v>
      </c>
      <c r="L5" s="5" t="s">
        <v>16</v>
      </c>
      <c r="M5" s="6" t="s">
        <v>17</v>
      </c>
      <c r="N5" s="5" t="s">
        <v>19</v>
      </c>
      <c r="O5" s="5" t="s">
        <v>20</v>
      </c>
      <c r="P5" s="5" t="s">
        <v>21</v>
      </c>
      <c r="Q5" s="5" t="s">
        <v>22</v>
      </c>
      <c r="R5" s="5" t="s">
        <v>23</v>
      </c>
      <c r="S5" s="5" t="s">
        <v>24</v>
      </c>
      <c r="T5" s="5" t="s">
        <v>25</v>
      </c>
      <c r="U5" s="5" t="s">
        <v>26</v>
      </c>
      <c r="V5" s="5" t="s">
        <v>27</v>
      </c>
      <c r="W5" s="5" t="s">
        <v>28</v>
      </c>
      <c r="X5" s="5" t="s">
        <v>18</v>
      </c>
    </row>
    <row r="6" spans="2:24" x14ac:dyDescent="0.25">
      <c r="B6" s="5" t="s">
        <v>56</v>
      </c>
      <c r="C6" s="5" t="s">
        <v>43</v>
      </c>
      <c r="D6" s="5" t="s">
        <v>35</v>
      </c>
      <c r="E6" s="20" t="s">
        <v>44</v>
      </c>
      <c r="F6" s="24">
        <v>19.5</v>
      </c>
      <c r="G6" s="22">
        <f>SUMIFS(Tableau6[Nombre],Tableau6[Nr article],Tableau3[[#This Row],[Nr Article]],Tableau6[Type],"Entrée")-SUMIFS(Tableau6[Nombre],Tableau6[Nr article],Tableau3[[#This Row],[Nr Article]],Tableau6[Type],"Sortie")</f>
        <v>0</v>
      </c>
      <c r="H6" s="23">
        <f>F6*G6</f>
        <v>0</v>
      </c>
      <c r="I6" s="22">
        <v>2</v>
      </c>
      <c r="J6" s="5" t="s">
        <v>47</v>
      </c>
      <c r="K6" s="5" t="s">
        <v>116</v>
      </c>
      <c r="L6" s="13">
        <f t="shared" ref="L6" si="0">IF(G6&lt;I6,1,"")</f>
        <v>1</v>
      </c>
      <c r="M6" s="6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2:24" ht="30" x14ac:dyDescent="0.25">
      <c r="B7" s="5" t="s">
        <v>45</v>
      </c>
      <c r="C7" s="5" t="s">
        <v>247</v>
      </c>
      <c r="D7" s="5" t="s">
        <v>248</v>
      </c>
      <c r="E7" s="20" t="s">
        <v>249</v>
      </c>
      <c r="F7" s="24">
        <v>26.95</v>
      </c>
      <c r="G7" s="22">
        <f>SUMIFS(Tableau6[Nombre],Tableau6[Nr article],Tableau3[[#This Row],[Nr Article]],Tableau6[Type],"Entrée")-SUMIFS(Tableau6[Nombre],Tableau6[Nr article],Tableau3[[#This Row],[Nr Article]],Tableau6[Type],"Sortie")</f>
        <v>26</v>
      </c>
      <c r="H7" s="23">
        <f>F7*G7</f>
        <v>700.69999999999993</v>
      </c>
      <c r="I7" s="22"/>
      <c r="J7" s="5" t="s">
        <v>49</v>
      </c>
      <c r="K7" s="5" t="s">
        <v>88</v>
      </c>
      <c r="L7" s="13" t="str">
        <f>IF(G7&lt;I7,1,"")</f>
        <v/>
      </c>
      <c r="M7" s="6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2:24" ht="30" x14ac:dyDescent="0.25">
      <c r="B8" s="5" t="s">
        <v>54</v>
      </c>
      <c r="C8" s="5" t="s">
        <v>250</v>
      </c>
      <c r="D8" s="5" t="s">
        <v>251</v>
      </c>
      <c r="E8" s="20" t="s">
        <v>252</v>
      </c>
      <c r="F8" s="24">
        <v>26.95</v>
      </c>
      <c r="G8" s="22">
        <f>SUMIFS(Tableau6[Nombre],Tableau6[Nr article],Tableau3[[#This Row],[Nr Article]],Tableau6[Type],"Entrée")-SUMIFS(Tableau6[Nombre],Tableau6[Nr article],Tableau3[[#This Row],[Nr Article]],Tableau6[Type],"Sortie")</f>
        <v>0</v>
      </c>
      <c r="H8" s="23">
        <f>F8*G8</f>
        <v>0</v>
      </c>
      <c r="I8" s="22"/>
      <c r="J8" s="5" t="s">
        <v>47</v>
      </c>
      <c r="K8" s="5" t="s">
        <v>88</v>
      </c>
      <c r="L8" s="13" t="str">
        <f>IF(G8&lt;I8,1,"")</f>
        <v/>
      </c>
      <c r="M8" s="6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</sheetData>
  <conditionalFormatting sqref="N6:X8">
    <cfRule type="expression" dxfId="7" priority="7">
      <formula>$B6&lt;&gt;""</formula>
    </cfRule>
  </conditionalFormatting>
  <conditionalFormatting sqref="N6:W8">
    <cfRule type="expression" dxfId="6" priority="4">
      <formula>AND($B6&lt;&gt;"",$G6&lt;$I6,$G6&gt;=N$4)</formula>
    </cfRule>
    <cfRule type="expression" dxfId="5" priority="6">
      <formula>AND($B6&lt;&gt;"",$G6&gt;=$I6,$G6&gt;=N$4)</formula>
    </cfRule>
  </conditionalFormatting>
  <conditionalFormatting sqref="X6:X8">
    <cfRule type="expression" dxfId="4" priority="2">
      <formula>AND($B6&lt;&gt;"",$G6&lt;$I6,$G6&gt;$W$4)</formula>
    </cfRule>
    <cfRule type="expression" dxfId="3" priority="3">
      <formula>AND($B6&lt;&gt;"",$G6&gt;=$I6,$G6&gt;$W$4)</formula>
    </cfRule>
  </conditionalFormatting>
  <conditionalFormatting sqref="M6:M8">
    <cfRule type="expression" dxfId="2" priority="1">
      <formula>$B6&lt;&gt;""</formula>
    </cfRule>
  </conditionalFormatting>
  <dataValidations count="1">
    <dataValidation type="list" allowBlank="1" showInputMessage="1" showErrorMessage="1" error="veuilliez choisir parmis la liste deroulante" sqref="J6:J8" xr:uid="{21D43173-A3CE-4615-B6C9-9C8156D22466}">
      <formula1>"unité,litre,kilogramme,mètre"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2</xdr:col>
                <xdr:colOff>1333500</xdr:colOff>
                <xdr:row>4</xdr:row>
                <xdr:rowOff>0</xdr:rowOff>
              </to>
            </anchor>
          </controlPr>
        </control>
      </mc:Choice>
      <mc:Fallback>
        <control shapeId="307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9" id="{D1D6638A-D305-43FB-986A-B517308606E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L6:L8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85F0-A21C-44AE-B7DE-FE69340E98BB}">
  <sheetPr codeName="Feuil3"/>
  <dimension ref="B1:L78"/>
  <sheetViews>
    <sheetView showGridLines="0" tabSelected="1" workbookViewId="0">
      <selection activeCell="J17" sqref="J17"/>
    </sheetView>
  </sheetViews>
  <sheetFormatPr baseColWidth="10" defaultColWidth="11.42578125" defaultRowHeight="15" x14ac:dyDescent="0.25"/>
  <cols>
    <col min="1" max="1" width="11.42578125" style="5"/>
    <col min="2" max="2" width="15.85546875" style="5" customWidth="1"/>
    <col min="3" max="4" width="11.42578125" style="5"/>
    <col min="5" max="5" width="15.5703125" style="5" customWidth="1"/>
    <col min="6" max="6" width="25.85546875" style="5" bestFit="1" customWidth="1"/>
    <col min="7" max="9" width="11.42578125" style="5"/>
    <col min="10" max="10" width="13.5703125" style="5" customWidth="1"/>
    <col min="11" max="16384" width="11.42578125" style="5"/>
  </cols>
  <sheetData>
    <row r="1" spans="2:12" ht="37.5" customHeight="1" x14ac:dyDescent="0.25"/>
    <row r="5" spans="2:12" x14ac:dyDescent="0.25">
      <c r="B5" s="5" t="s">
        <v>36</v>
      </c>
      <c r="C5" s="5" t="s">
        <v>37</v>
      </c>
      <c r="D5" s="5" t="s">
        <v>38</v>
      </c>
      <c r="E5" s="5" t="s">
        <v>114</v>
      </c>
      <c r="F5" s="5" t="s">
        <v>0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74</v>
      </c>
      <c r="L5" s="5" t="s">
        <v>75</v>
      </c>
    </row>
    <row r="6" spans="2:12" x14ac:dyDescent="0.25">
      <c r="B6" s="5" t="s">
        <v>253</v>
      </c>
      <c r="C6" s="16">
        <v>44957.414803240739</v>
      </c>
      <c r="D6" s="5" t="s">
        <v>45</v>
      </c>
      <c r="E6" s="5" t="s">
        <v>248</v>
      </c>
      <c r="F6" s="5" t="str">
        <f>IFERROR(INDEX(Tableau3[Nom],MATCH(Tableau4[Référence],Tableau3[Référance],0)),"")</f>
        <v>Goulotte 60X60</v>
      </c>
      <c r="G6" s="22">
        <v>26</v>
      </c>
      <c r="H6" s="23">
        <v>26.95</v>
      </c>
      <c r="I6" s="23">
        <f>Tableau4[[#This Row],[Prix]]*Tableau4[[#This Row],[Nombre]]</f>
        <v>700.69999999999993</v>
      </c>
      <c r="J6" s="1" t="s">
        <v>89</v>
      </c>
      <c r="K6" s="22" t="e">
        <f>IF(Tableau6[Type]="Entrée",INDEX(Tableau6[Nombre],MATCH(1,(Tableau4[[#This Row],[Nr Commande]]=Tableau6[Nr bon de commande])*(Tableau4[[#This Row],[Nr article]]=Tableau6[Nr article]),0)),"")</f>
        <v>#N/A</v>
      </c>
      <c r="L6" s="5" t="e">
        <f>IF(Tableau4[[#This Row],[Contrôle]]=Tableau4[[#This Row],[Nombre]],"Close","Open")</f>
        <v>#N/A</v>
      </c>
    </row>
    <row r="7" spans="2:12" x14ac:dyDescent="0.25">
      <c r="B7" s="5" t="s">
        <v>253</v>
      </c>
      <c r="C7" s="16">
        <v>44957.414814814816</v>
      </c>
      <c r="D7" s="5" t="s">
        <v>54</v>
      </c>
      <c r="E7" s="5" t="s">
        <v>251</v>
      </c>
      <c r="F7" s="5" t="str">
        <f>IFERROR(INDEX(Tableau3[Nom],MATCH(Tableau4[Référence],Tableau3[Référance],0)),"")</f>
        <v>Boite de derivation 105X105</v>
      </c>
      <c r="G7" s="22">
        <v>4</v>
      </c>
      <c r="H7" s="23">
        <v>26.95</v>
      </c>
      <c r="I7" s="23">
        <f>Tableau4[[#This Row],[Prix]]*Tableau4[[#This Row],[Nombre]]</f>
        <v>107.8</v>
      </c>
      <c r="J7" s="1" t="s">
        <v>89</v>
      </c>
      <c r="K7" s="22" t="e">
        <f>IF(Tableau6[Type]="Entrée",INDEX(Tableau6[Nombre],MATCH(1,(Tableau4[[#This Row],[Nr Commande]]=Tableau6[Nr bon de commande])*(Tableau4[[#This Row],[Nr article]]=Tableau6[Nr article]),0)),"")</f>
        <v>#N/A</v>
      </c>
      <c r="L7" s="5" t="e">
        <f>IF(Tableau4[[#This Row],[Contrôle]]=Tableau4[[#This Row],[Nombre]],"Close","Open")</f>
        <v>#N/A</v>
      </c>
    </row>
    <row r="76" spans="2:8" x14ac:dyDescent="0.25">
      <c r="B76" s="5" t="s">
        <v>57</v>
      </c>
      <c r="C76" s="15">
        <v>44932.018043981479</v>
      </c>
      <c r="D76" s="5" t="s">
        <v>45</v>
      </c>
      <c r="F76" s="5" t="s">
        <v>46</v>
      </c>
      <c r="G76" s="5">
        <v>7</v>
      </c>
      <c r="H76" s="14">
        <v>8.5</v>
      </c>
    </row>
    <row r="77" spans="2:8" x14ac:dyDescent="0.25">
      <c r="B77" s="5" t="s">
        <v>57</v>
      </c>
      <c r="C77" s="15">
        <v>44932.01803240741</v>
      </c>
      <c r="D77" s="5" t="s">
        <v>54</v>
      </c>
      <c r="F77" s="5" t="s">
        <v>55</v>
      </c>
      <c r="G77" s="5">
        <v>4</v>
      </c>
      <c r="H77" s="14">
        <v>5</v>
      </c>
    </row>
    <row r="78" spans="2:8" x14ac:dyDescent="0.25">
      <c r="B78" s="5" t="s">
        <v>58</v>
      </c>
      <c r="C78" s="15">
        <v>44932.095590277779</v>
      </c>
      <c r="D78" s="5" t="s">
        <v>45</v>
      </c>
      <c r="F78" s="5" t="s">
        <v>46</v>
      </c>
      <c r="G78" s="5">
        <v>4</v>
      </c>
      <c r="H78" s="14">
        <v>8.5</v>
      </c>
    </row>
  </sheetData>
  <conditionalFormatting sqref="B6:L7">
    <cfRule type="expression" dxfId="1" priority="2">
      <formula>$L6="close"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2</xdr:col>
                <xdr:colOff>666750</xdr:colOff>
                <xdr:row>4</xdr:row>
                <xdr:rowOff>0</xdr:rowOff>
              </to>
            </anchor>
          </controlPr>
        </control>
      </mc:Choice>
      <mc:Fallback>
        <control shapeId="4098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07DDD-3859-4692-85CF-A188F01F39C7}">
  <sheetPr codeName="Feuil4">
    <pageSetUpPr fitToPage="1"/>
  </sheetPr>
  <dimension ref="B1:B11"/>
  <sheetViews>
    <sheetView showGridLines="0" showRowColHeaders="0" zoomScaleNormal="100" zoomScaleSheetLayoutView="80" workbookViewId="0">
      <selection activeCell="E5" sqref="E5"/>
    </sheetView>
  </sheetViews>
  <sheetFormatPr baseColWidth="10" defaultRowHeight="15" x14ac:dyDescent="0.25"/>
  <cols>
    <col min="2" max="2" width="48" customWidth="1"/>
    <col min="3" max="3" width="25.7109375" customWidth="1"/>
    <col min="4" max="4" width="18.85546875" customWidth="1"/>
    <col min="5" max="5" width="25.7109375" customWidth="1"/>
  </cols>
  <sheetData>
    <row r="1" spans="2:2" ht="37.5" customHeight="1" x14ac:dyDescent="0.25"/>
    <row r="5" spans="2:2" x14ac:dyDescent="0.25">
      <c r="B5" s="46"/>
    </row>
    <row r="6" spans="2:2" x14ac:dyDescent="0.25">
      <c r="B6" s="47"/>
    </row>
    <row r="7" spans="2:2" x14ac:dyDescent="0.25">
      <c r="B7" s="47"/>
    </row>
    <row r="8" spans="2:2" x14ac:dyDescent="0.25">
      <c r="B8" s="47"/>
    </row>
    <row r="9" spans="2:2" x14ac:dyDescent="0.25">
      <c r="B9" s="28"/>
    </row>
    <row r="10" spans="2:2" x14ac:dyDescent="0.25">
      <c r="B10" s="28"/>
    </row>
    <row r="11" spans="2:2" ht="26.25" customHeight="1" x14ac:dyDescent="0.25">
      <c r="B11" s="29"/>
    </row>
  </sheetData>
  <mergeCells count="1">
    <mergeCell ref="B5:B8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1</xdr:col>
                <xdr:colOff>1724025</xdr:colOff>
                <xdr:row>4</xdr:row>
                <xdr:rowOff>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34A0-ECC0-46EC-A5FB-57556BF0BFAF}">
  <sheetPr codeName="Feuil5"/>
  <dimension ref="B1:J6"/>
  <sheetViews>
    <sheetView showGridLines="0" showRowColHeaders="0" workbookViewId="0">
      <selection activeCell="F15" sqref="F15"/>
    </sheetView>
  </sheetViews>
  <sheetFormatPr baseColWidth="10" defaultColWidth="11.42578125" defaultRowHeight="15" x14ac:dyDescent="0.25"/>
  <cols>
    <col min="1" max="2" width="11.42578125" style="5"/>
    <col min="3" max="3" width="12.28515625" style="5" customWidth="1"/>
    <col min="4" max="4" width="22.140625" style="5" customWidth="1"/>
    <col min="5" max="5" width="13.5703125" style="5" customWidth="1"/>
    <col min="6" max="6" width="14" style="5" customWidth="1"/>
    <col min="7" max="8" width="11.42578125" style="5"/>
    <col min="9" max="9" width="14.28515625" style="5" customWidth="1"/>
    <col min="10" max="16384" width="11.42578125" style="5"/>
  </cols>
  <sheetData>
    <row r="1" spans="2:10" ht="37.5" customHeight="1" x14ac:dyDescent="0.25"/>
    <row r="5" spans="2:10" ht="30" x14ac:dyDescent="0.25">
      <c r="B5" s="20" t="s">
        <v>69</v>
      </c>
      <c r="C5" s="20" t="s">
        <v>70</v>
      </c>
      <c r="D5" s="20" t="s">
        <v>71</v>
      </c>
      <c r="E5" s="20" t="s">
        <v>42</v>
      </c>
      <c r="F5" s="20" t="s">
        <v>171</v>
      </c>
      <c r="G5" s="20" t="s">
        <v>38</v>
      </c>
      <c r="H5" s="20" t="s">
        <v>39</v>
      </c>
      <c r="I5" s="20" t="s">
        <v>236</v>
      </c>
      <c r="J5" s="20" t="s">
        <v>72</v>
      </c>
    </row>
    <row r="6" spans="2:10" x14ac:dyDescent="0.25">
      <c r="B6" s="5" t="s">
        <v>73</v>
      </c>
      <c r="C6" s="5" t="s">
        <v>201</v>
      </c>
      <c r="D6" s="5" t="s">
        <v>253</v>
      </c>
      <c r="E6" s="5" t="s">
        <v>89</v>
      </c>
      <c r="G6" s="5" t="s">
        <v>45</v>
      </c>
      <c r="H6" s="22">
        <v>26</v>
      </c>
      <c r="I6" s="22" t="s">
        <v>254</v>
      </c>
      <c r="J6" s="60" t="str">
        <f>IF(Tableau6[Type]="Sortie",COUNTIFS(Tableau6[Type],"Sortie",Tableau6[Nombre],"&gt;"&amp;Tableau6[[#This Row],[Nombre]])+1,"")</f>
        <v/>
      </c>
    </row>
  </sheetData>
  <dataValidations count="1">
    <dataValidation type="list" allowBlank="1" showInputMessage="1" showErrorMessage="1" sqref="B6" xr:uid="{BA9DDC94-0393-4B79-A032-31A017D409DD}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1">
          <controlPr defaultSize="0" autoLine="0" r:id="rId4">
            <anchor moveWithCells="1">
              <from>
                <xdr:col>0</xdr:col>
                <xdr:colOff>752475</xdr:colOff>
                <xdr:row>2</xdr:row>
                <xdr:rowOff>66675</xdr:rowOff>
              </from>
              <to>
                <xdr:col>1</xdr:col>
                <xdr:colOff>628650</xdr:colOff>
                <xdr:row>4</xdr:row>
                <xdr:rowOff>9525</xdr:rowOff>
              </to>
            </anchor>
          </controlPr>
        </control>
      </mc:Choice>
      <mc:Fallback>
        <control shapeId="6147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E144-9F4D-4140-97BC-EDA3A566ADE8}">
  <sheetPr codeName="Feuil6"/>
  <dimension ref="B1:J8"/>
  <sheetViews>
    <sheetView showGridLines="0" showRowColHeaders="0" workbookViewId="0">
      <selection activeCell="J15" sqref="J15"/>
    </sheetView>
  </sheetViews>
  <sheetFormatPr baseColWidth="10" defaultColWidth="11.42578125" defaultRowHeight="15" x14ac:dyDescent="0.25"/>
  <cols>
    <col min="1" max="6" width="11.42578125" style="1"/>
    <col min="7" max="7" width="15.140625" style="1" bestFit="1" customWidth="1"/>
    <col min="8" max="8" width="26.140625" style="1" bestFit="1" customWidth="1"/>
    <col min="9" max="9" width="18.5703125" style="1" bestFit="1" customWidth="1"/>
    <col min="10" max="10" width="24" style="1" bestFit="1" customWidth="1"/>
    <col min="11" max="16384" width="11.42578125" style="1"/>
  </cols>
  <sheetData>
    <row r="1" spans="2:10" ht="37.5" customHeight="1" x14ac:dyDescent="0.25"/>
    <row r="5" spans="2:1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2:10" x14ac:dyDescent="0.25">
      <c r="B6" s="1" t="s">
        <v>89</v>
      </c>
      <c r="C6" t="s">
        <v>90</v>
      </c>
      <c r="D6" s="5">
        <v>58000</v>
      </c>
      <c r="E6" s="1" t="s">
        <v>91</v>
      </c>
      <c r="F6" s="1" t="s">
        <v>68</v>
      </c>
      <c r="G6" t="s">
        <v>98</v>
      </c>
      <c r="H6" s="2" t="s">
        <v>92</v>
      </c>
      <c r="I6" s="1" t="s">
        <v>93</v>
      </c>
      <c r="J6" s="1" t="str">
        <f>CONCATENATE(B6,"-",D6,",",E6," ",LEFT(F6,2),)</f>
        <v>Rexel-58000,Nevers Fr</v>
      </c>
    </row>
    <row r="7" spans="2:10" x14ac:dyDescent="0.25">
      <c r="B7" s="1" t="s">
        <v>99</v>
      </c>
      <c r="C7" t="s">
        <v>94</v>
      </c>
      <c r="D7" s="1">
        <v>74200</v>
      </c>
      <c r="E7" s="1" t="s">
        <v>95</v>
      </c>
      <c r="F7" s="1" t="s">
        <v>68</v>
      </c>
      <c r="G7" s="1" t="s">
        <v>97</v>
      </c>
      <c r="H7" s="2" t="s">
        <v>96</v>
      </c>
      <c r="J7" s="1" t="str">
        <f t="shared" ref="J7" si="0">CONCATENATE(B7,"-",D7,",",E7," ",LEFT(F7,2),)</f>
        <v>Nelinkia-74200,MARIN Fr</v>
      </c>
    </row>
    <row r="8" spans="2:10" x14ac:dyDescent="0.25">
      <c r="B8" s="1" t="s">
        <v>117</v>
      </c>
      <c r="H8" s="2"/>
      <c r="J8" s="1" t="str">
        <f>CONCATENATE(B8,"-",D8,",",E8," ",LEFT(F8,2),)</f>
        <v xml:space="preserve">RS-, </v>
      </c>
    </row>
  </sheetData>
  <phoneticPr fontId="3" type="noConversion"/>
  <hyperlinks>
    <hyperlink ref="H6" r:id="rId1" xr:uid="{3B08A825-A234-49A8-9255-F8F09D09C0F2}"/>
    <hyperlink ref="H7" r:id="rId2" xr:uid="{6E40525C-8BCB-43FA-90C8-30974C06C0F9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E7A0-A1E7-4EB4-89AC-3565D03FBFA4}">
  <sheetPr codeName="Feuil7"/>
  <dimension ref="B1:H19"/>
  <sheetViews>
    <sheetView showGridLines="0" workbookViewId="0">
      <selection activeCell="B1" sqref="B1"/>
    </sheetView>
  </sheetViews>
  <sheetFormatPr baseColWidth="10" defaultRowHeight="15" x14ac:dyDescent="0.25"/>
  <cols>
    <col min="3" max="3" width="21" bestFit="1" customWidth="1"/>
    <col min="7" max="7" width="12.28515625" bestFit="1" customWidth="1"/>
    <col min="8" max="8" width="26.85546875" bestFit="1" customWidth="1"/>
  </cols>
  <sheetData>
    <row r="1" spans="2:8" ht="37.5" customHeight="1" x14ac:dyDescent="0.25"/>
    <row r="5" spans="2:8" x14ac:dyDescent="0.25">
      <c r="B5" s="3" t="s">
        <v>122</v>
      </c>
      <c r="C5" s="3" t="s">
        <v>119</v>
      </c>
      <c r="D5" s="3" t="s">
        <v>120</v>
      </c>
      <c r="E5" s="3" t="s">
        <v>121</v>
      </c>
      <c r="F5" s="3" t="s">
        <v>0</v>
      </c>
      <c r="G5" s="3" t="s">
        <v>7</v>
      </c>
      <c r="H5" s="3" t="s">
        <v>8</v>
      </c>
    </row>
    <row r="6" spans="2:8" x14ac:dyDescent="0.25">
      <c r="B6" s="4" t="s">
        <v>123</v>
      </c>
      <c r="C6" s="4"/>
      <c r="D6" s="4"/>
      <c r="E6" s="4" t="s">
        <v>124</v>
      </c>
      <c r="F6" s="4" t="s">
        <v>123</v>
      </c>
      <c r="G6" s="4"/>
      <c r="H6" s="4" t="str">
        <f>CONCATENATE(B6,"-",D6,",",E6," ",LEFT(F6,2),)</f>
        <v>Quatro-,G2 Qu</v>
      </c>
    </row>
    <row r="7" spans="2:8" x14ac:dyDescent="0.25">
      <c r="B7" s="4"/>
      <c r="C7" s="4"/>
      <c r="D7" s="4"/>
      <c r="E7" s="4"/>
      <c r="F7" s="4"/>
      <c r="G7" s="4"/>
      <c r="H7" s="4" t="str">
        <f t="shared" ref="H7:H19" si="0">CONCATENATE(B7,"-",D7,",",E7," ",LEFT(F7,2),)</f>
        <v xml:space="preserve">-, </v>
      </c>
    </row>
    <row r="8" spans="2:8" x14ac:dyDescent="0.25">
      <c r="B8" s="4"/>
      <c r="C8" s="4"/>
      <c r="D8" s="4"/>
      <c r="E8" s="4"/>
      <c r="F8" s="4"/>
      <c r="G8" s="4"/>
      <c r="H8" s="4" t="str">
        <f t="shared" si="0"/>
        <v xml:space="preserve">-, </v>
      </c>
    </row>
    <row r="9" spans="2:8" x14ac:dyDescent="0.25">
      <c r="B9" s="4"/>
      <c r="C9" s="4"/>
      <c r="D9" s="4"/>
      <c r="E9" s="4"/>
      <c r="F9" s="4"/>
      <c r="G9" s="4"/>
      <c r="H9" s="4" t="str">
        <f t="shared" si="0"/>
        <v xml:space="preserve">-, </v>
      </c>
    </row>
    <row r="10" spans="2:8" x14ac:dyDescent="0.25">
      <c r="B10" s="4"/>
      <c r="C10" s="4"/>
      <c r="D10" s="4"/>
      <c r="E10" s="4"/>
      <c r="F10" s="4"/>
      <c r="G10" s="4"/>
      <c r="H10" s="4" t="str">
        <f t="shared" si="0"/>
        <v xml:space="preserve">-, </v>
      </c>
    </row>
    <row r="11" spans="2:8" x14ac:dyDescent="0.25">
      <c r="B11" s="4"/>
      <c r="C11" s="4"/>
      <c r="D11" s="4"/>
      <c r="E11" s="4"/>
      <c r="F11" s="4"/>
      <c r="G11" s="4"/>
      <c r="H11" s="4" t="str">
        <f t="shared" si="0"/>
        <v xml:space="preserve">-, </v>
      </c>
    </row>
    <row r="12" spans="2:8" x14ac:dyDescent="0.25">
      <c r="B12" s="4"/>
      <c r="C12" s="4"/>
      <c r="D12" s="4"/>
      <c r="E12" s="4"/>
      <c r="F12" s="4"/>
      <c r="G12" s="4"/>
      <c r="H12" s="4" t="str">
        <f t="shared" si="0"/>
        <v xml:space="preserve">-, </v>
      </c>
    </row>
    <row r="13" spans="2:8" x14ac:dyDescent="0.25">
      <c r="B13" s="4"/>
      <c r="C13" s="4"/>
      <c r="D13" s="4"/>
      <c r="E13" s="4"/>
      <c r="F13" s="4"/>
      <c r="G13" s="4"/>
      <c r="H13" s="4" t="str">
        <f t="shared" si="0"/>
        <v xml:space="preserve">-, </v>
      </c>
    </row>
    <row r="14" spans="2:8" x14ac:dyDescent="0.25">
      <c r="B14" s="4"/>
      <c r="C14" s="4"/>
      <c r="D14" s="4"/>
      <c r="E14" s="4"/>
      <c r="F14" s="4"/>
      <c r="G14" s="4"/>
      <c r="H14" s="4" t="str">
        <f t="shared" si="0"/>
        <v xml:space="preserve">-, </v>
      </c>
    </row>
    <row r="15" spans="2:8" x14ac:dyDescent="0.25">
      <c r="B15" s="4"/>
      <c r="C15" s="4"/>
      <c r="D15" s="4"/>
      <c r="E15" s="4"/>
      <c r="F15" s="4"/>
      <c r="G15" s="4"/>
      <c r="H15" s="4" t="str">
        <f t="shared" si="0"/>
        <v xml:space="preserve">-, </v>
      </c>
    </row>
    <row r="16" spans="2:8" x14ac:dyDescent="0.25">
      <c r="B16" s="4"/>
      <c r="C16" s="4"/>
      <c r="D16" s="4"/>
      <c r="E16" s="4"/>
      <c r="F16" s="4"/>
      <c r="G16" s="4"/>
      <c r="H16" s="4" t="str">
        <f t="shared" si="0"/>
        <v xml:space="preserve">-, </v>
      </c>
    </row>
    <row r="17" spans="2:8" x14ac:dyDescent="0.25">
      <c r="B17" s="4"/>
      <c r="C17" s="4"/>
      <c r="D17" s="4"/>
      <c r="E17" s="4"/>
      <c r="F17" s="4"/>
      <c r="G17" s="4"/>
      <c r="H17" s="4" t="str">
        <f t="shared" si="0"/>
        <v xml:space="preserve">-, </v>
      </c>
    </row>
    <row r="18" spans="2:8" x14ac:dyDescent="0.25">
      <c r="B18" s="4"/>
      <c r="C18" s="4"/>
      <c r="D18" s="4"/>
      <c r="E18" s="4"/>
      <c r="F18" s="4"/>
      <c r="G18" s="4"/>
      <c r="H18" s="4" t="str">
        <f t="shared" si="0"/>
        <v xml:space="preserve">-, </v>
      </c>
    </row>
    <row r="19" spans="2:8" x14ac:dyDescent="0.25">
      <c r="B19" s="4"/>
      <c r="C19" s="4"/>
      <c r="D19" s="4"/>
      <c r="E19" s="4"/>
      <c r="F19" s="4"/>
      <c r="G19" s="4"/>
      <c r="H19" s="4" t="str">
        <f t="shared" si="0"/>
        <v xml:space="preserve">-, 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D24-8B7B-45F9-9D47-A0038F2747B8}">
  <sheetPr codeName="Feuil8"/>
  <dimension ref="B1:M83"/>
  <sheetViews>
    <sheetView showGridLines="0" topLeftCell="A20" workbookViewId="0">
      <selection activeCell="E48" sqref="E48"/>
    </sheetView>
  </sheetViews>
  <sheetFormatPr baseColWidth="10" defaultRowHeight="15" x14ac:dyDescent="0.25"/>
  <cols>
    <col min="2" max="2" width="17" style="5" customWidth="1"/>
    <col min="3" max="3" width="12.7109375" bestFit="1" customWidth="1"/>
    <col min="7" max="7" width="12.85546875" bestFit="1" customWidth="1"/>
  </cols>
  <sheetData>
    <row r="1" spans="2:7" ht="37.5" customHeight="1" x14ac:dyDescent="0.25"/>
    <row r="6" spans="2:7" x14ac:dyDescent="0.25">
      <c r="B6" s="8" t="s">
        <v>100</v>
      </c>
      <c r="C6" s="7"/>
      <c r="D6" s="7"/>
    </row>
    <row r="8" spans="2:7" x14ac:dyDescent="0.25">
      <c r="B8" s="27" t="s">
        <v>101</v>
      </c>
      <c r="C8" s="48" t="s">
        <v>109</v>
      </c>
      <c r="D8" s="48"/>
      <c r="E8" s="27" t="s">
        <v>175</v>
      </c>
      <c r="F8" s="48" t="s">
        <v>244</v>
      </c>
      <c r="G8" s="48"/>
    </row>
    <row r="9" spans="2:7" x14ac:dyDescent="0.25">
      <c r="B9" s="27" t="s">
        <v>102</v>
      </c>
      <c r="C9" s="48" t="s">
        <v>110</v>
      </c>
      <c r="D9" s="48"/>
      <c r="E9" s="27" t="s">
        <v>176</v>
      </c>
      <c r="F9" s="48" t="s">
        <v>110</v>
      </c>
      <c r="G9" s="48"/>
    </row>
    <row r="10" spans="2:7" x14ac:dyDescent="0.25">
      <c r="B10" s="27" t="s">
        <v>103</v>
      </c>
      <c r="C10" s="48" t="s">
        <v>111</v>
      </c>
      <c r="D10" s="48"/>
      <c r="E10" s="27" t="s">
        <v>177</v>
      </c>
      <c r="F10" s="48" t="s">
        <v>111</v>
      </c>
      <c r="G10" s="48"/>
    </row>
    <row r="11" spans="2:7" x14ac:dyDescent="0.25">
      <c r="B11" s="27" t="s">
        <v>104</v>
      </c>
      <c r="C11" s="48" t="s">
        <v>115</v>
      </c>
      <c r="D11" s="48"/>
      <c r="E11" s="27" t="s">
        <v>178</v>
      </c>
      <c r="F11" s="48" t="s">
        <v>115</v>
      </c>
      <c r="G11" s="48"/>
    </row>
    <row r="12" spans="2:7" x14ac:dyDescent="0.25">
      <c r="B12" s="27" t="s">
        <v>105</v>
      </c>
      <c r="C12" s="48" t="s">
        <v>243</v>
      </c>
      <c r="D12" s="48"/>
      <c r="E12" s="27" t="s">
        <v>179</v>
      </c>
      <c r="F12" s="48" t="s">
        <v>113</v>
      </c>
      <c r="G12" s="48"/>
    </row>
    <row r="13" spans="2:7" x14ac:dyDescent="0.25">
      <c r="B13" s="27" t="s">
        <v>106</v>
      </c>
      <c r="C13" s="48" t="s">
        <v>42</v>
      </c>
      <c r="D13" s="48"/>
      <c r="E13" s="27" t="s">
        <v>180</v>
      </c>
      <c r="F13" s="48" t="s">
        <v>42</v>
      </c>
      <c r="G13" s="48"/>
    </row>
    <row r="14" spans="2:7" x14ac:dyDescent="0.25">
      <c r="B14" s="27" t="s">
        <v>107</v>
      </c>
      <c r="C14" s="48" t="s">
        <v>245</v>
      </c>
      <c r="D14" s="48"/>
      <c r="E14" s="27" t="s">
        <v>181</v>
      </c>
      <c r="F14" s="48" t="s">
        <v>112</v>
      </c>
      <c r="G14" s="48"/>
    </row>
    <row r="15" spans="2:7" x14ac:dyDescent="0.25">
      <c r="B15" s="27" t="s">
        <v>108</v>
      </c>
      <c r="C15" s="48" t="s">
        <v>246</v>
      </c>
      <c r="D15" s="48"/>
      <c r="E15" s="27" t="s">
        <v>182</v>
      </c>
      <c r="F15" s="48" t="s">
        <v>118</v>
      </c>
      <c r="G15" s="48"/>
    </row>
    <row r="17" spans="2:13" x14ac:dyDescent="0.25">
      <c r="B17" s="8" t="s">
        <v>29</v>
      </c>
      <c r="C17" s="7"/>
      <c r="D17" s="7"/>
      <c r="G17" s="8" t="s">
        <v>29</v>
      </c>
      <c r="H17" s="7"/>
      <c r="I17" s="7"/>
      <c r="L17" s="8" t="s">
        <v>183</v>
      </c>
      <c r="M17" s="7"/>
    </row>
    <row r="18" spans="2:13" ht="15.75" thickBot="1" x14ac:dyDescent="0.3">
      <c r="G18" s="5"/>
      <c r="L18" s="5"/>
    </row>
    <row r="19" spans="2:13" ht="15.75" thickBot="1" x14ac:dyDescent="0.3">
      <c r="B19" s="27" t="s">
        <v>30</v>
      </c>
      <c r="C19" s="10" t="s">
        <v>31</v>
      </c>
      <c r="D19" s="11">
        <v>4</v>
      </c>
      <c r="E19" s="12" t="str">
        <f>C19&amp;TEXT(D19,"00000")</f>
        <v>ART-00004</v>
      </c>
      <c r="G19" s="27" t="s">
        <v>184</v>
      </c>
      <c r="H19" s="10" t="s">
        <v>185</v>
      </c>
      <c r="I19" s="11">
        <v>1</v>
      </c>
      <c r="J19" s="12" t="str">
        <f>H19&amp;TEXT(I19,"00000")</f>
        <v>PRE-00001</v>
      </c>
      <c r="L19" s="27" t="s">
        <v>186</v>
      </c>
      <c r="M19" s="10" t="s">
        <v>184</v>
      </c>
    </row>
    <row r="20" spans="2:13" ht="15.75" thickBot="1" x14ac:dyDescent="0.3">
      <c r="B20" s="27" t="s">
        <v>111</v>
      </c>
      <c r="C20" s="10" t="s">
        <v>193</v>
      </c>
      <c r="D20" s="11">
        <v>3</v>
      </c>
      <c r="E20" s="12" t="str">
        <f>C20&amp;TEXT(D20,"00000")</f>
        <v>CMD-00003</v>
      </c>
      <c r="G20" s="27" t="s">
        <v>190</v>
      </c>
      <c r="H20" s="10" t="s">
        <v>191</v>
      </c>
      <c r="I20" s="11">
        <v>1</v>
      </c>
      <c r="J20" s="12" t="str">
        <f>H20&amp;TEXT(I20,"00000")</f>
        <v>CUR-00001</v>
      </c>
      <c r="L20" s="27" t="s">
        <v>189</v>
      </c>
      <c r="M20" s="10" t="s">
        <v>190</v>
      </c>
    </row>
    <row r="21" spans="2:13" ht="15.75" thickBot="1" x14ac:dyDescent="0.3">
      <c r="B21" s="27" t="s">
        <v>73</v>
      </c>
      <c r="C21" s="10" t="s">
        <v>235</v>
      </c>
      <c r="D21" s="11">
        <v>6</v>
      </c>
      <c r="E21" s="12" t="str">
        <f>C21&amp;TEXT(D21,"00000")</f>
        <v>ENT-00006</v>
      </c>
      <c r="G21" s="27" t="s">
        <v>187</v>
      </c>
      <c r="H21" s="10" t="s">
        <v>188</v>
      </c>
      <c r="I21" s="11">
        <v>1</v>
      </c>
      <c r="J21" s="12" t="str">
        <f>H21&amp;TEXT(I21,"00000")</f>
        <v>AME-00001</v>
      </c>
      <c r="L21" s="27" t="s">
        <v>192</v>
      </c>
      <c r="M21" s="10" t="s">
        <v>187</v>
      </c>
    </row>
    <row r="22" spans="2:13" ht="15.75" thickBot="1" x14ac:dyDescent="0.3">
      <c r="B22" s="27" t="s">
        <v>200</v>
      </c>
      <c r="C22" s="10" t="s">
        <v>234</v>
      </c>
      <c r="D22" s="10">
        <v>2</v>
      </c>
      <c r="E22" s="12" t="str">
        <f>C22&amp;TEXT(D22,"00000")</f>
        <v>SOR-00002</v>
      </c>
      <c r="G22" s="27" t="s">
        <v>198</v>
      </c>
      <c r="H22" s="10" t="s">
        <v>199</v>
      </c>
      <c r="I22" s="11">
        <v>1</v>
      </c>
      <c r="J22" s="12" t="str">
        <f>H22&amp;TEXT(I22,"00000")</f>
        <v>QUA-00001</v>
      </c>
      <c r="L22" s="27" t="s">
        <v>197</v>
      </c>
      <c r="M22" s="10" t="s">
        <v>198</v>
      </c>
    </row>
    <row r="25" spans="2:13" x14ac:dyDescent="0.25">
      <c r="B25" s="8" t="s">
        <v>60</v>
      </c>
      <c r="C25" s="7"/>
      <c r="D25" s="7"/>
      <c r="G25" s="8" t="s">
        <v>202</v>
      </c>
      <c r="H25" s="7"/>
      <c r="I25" s="7"/>
    </row>
    <row r="27" spans="2:13" x14ac:dyDescent="0.25">
      <c r="B27" s="17" t="s">
        <v>61</v>
      </c>
      <c r="C27" s="49" t="s">
        <v>65</v>
      </c>
      <c r="D27" s="50"/>
      <c r="F27">
        <v>1</v>
      </c>
      <c r="G27" s="27" t="s">
        <v>203</v>
      </c>
      <c r="H27" s="49" t="s">
        <v>209</v>
      </c>
      <c r="I27" s="50"/>
    </row>
    <row r="28" spans="2:13" x14ac:dyDescent="0.25">
      <c r="B28" s="17" t="s">
        <v>62</v>
      </c>
      <c r="C28" s="49" t="s">
        <v>66</v>
      </c>
      <c r="D28" s="50"/>
      <c r="F28">
        <v>2</v>
      </c>
      <c r="G28" s="27" t="s">
        <v>204</v>
      </c>
      <c r="H28" s="49" t="s">
        <v>210</v>
      </c>
      <c r="I28" s="50"/>
    </row>
    <row r="29" spans="2:13" x14ac:dyDescent="0.25">
      <c r="B29" s="17" t="s">
        <v>63</v>
      </c>
      <c r="C29" s="49">
        <v>18600</v>
      </c>
      <c r="D29" s="50"/>
      <c r="F29">
        <v>3</v>
      </c>
      <c r="G29" s="27" t="s">
        <v>205</v>
      </c>
      <c r="H29" s="49" t="s">
        <v>214</v>
      </c>
      <c r="I29" s="50"/>
    </row>
    <row r="30" spans="2:13" x14ac:dyDescent="0.25">
      <c r="B30" s="17" t="s">
        <v>3</v>
      </c>
      <c r="C30" s="49" t="s">
        <v>67</v>
      </c>
      <c r="D30" s="50"/>
      <c r="G30" s="27" t="s">
        <v>206</v>
      </c>
      <c r="H30" s="49" t="s">
        <v>211</v>
      </c>
      <c r="I30" s="50"/>
    </row>
    <row r="31" spans="2:13" x14ac:dyDescent="0.25">
      <c r="B31" s="17" t="s">
        <v>4</v>
      </c>
      <c r="C31" s="49" t="s">
        <v>68</v>
      </c>
      <c r="D31" s="50"/>
      <c r="G31" s="27" t="s">
        <v>207</v>
      </c>
      <c r="H31" s="49" t="s">
        <v>212</v>
      </c>
      <c r="I31" s="50"/>
    </row>
    <row r="32" spans="2:13" x14ac:dyDescent="0.25">
      <c r="B32" s="17" t="s">
        <v>59</v>
      </c>
      <c r="C32" s="49">
        <v>248746390</v>
      </c>
      <c r="D32" s="50"/>
      <c r="G32" s="27" t="s">
        <v>208</v>
      </c>
      <c r="H32" s="49" t="s">
        <v>213</v>
      </c>
      <c r="I32" s="50"/>
    </row>
    <row r="33" spans="2:7" x14ac:dyDescent="0.25">
      <c r="B33" s="17" t="s">
        <v>6</v>
      </c>
      <c r="C33" s="21" t="s">
        <v>9</v>
      </c>
      <c r="D33" s="21"/>
    </row>
    <row r="34" spans="2:7" x14ac:dyDescent="0.25">
      <c r="B34" s="18"/>
    </row>
    <row r="35" spans="2:7" x14ac:dyDescent="0.25">
      <c r="B35" s="19" t="s">
        <v>64</v>
      </c>
      <c r="C35" s="51"/>
      <c r="D35" s="52"/>
      <c r="E35" s="52"/>
      <c r="F35" s="53"/>
    </row>
    <row r="36" spans="2:7" x14ac:dyDescent="0.25">
      <c r="C36" s="54"/>
      <c r="D36" s="55"/>
      <c r="E36" s="55"/>
      <c r="F36" s="56"/>
    </row>
    <row r="37" spans="2:7" x14ac:dyDescent="0.25">
      <c r="C37" s="54"/>
      <c r="D37" s="55"/>
      <c r="E37" s="55"/>
      <c r="F37" s="56"/>
    </row>
    <row r="38" spans="2:7" x14ac:dyDescent="0.25">
      <c r="C38" s="54"/>
      <c r="D38" s="55"/>
      <c r="E38" s="55"/>
      <c r="F38" s="56"/>
    </row>
    <row r="39" spans="2:7" x14ac:dyDescent="0.25">
      <c r="C39" s="54"/>
      <c r="D39" s="55"/>
      <c r="E39" s="55"/>
      <c r="F39" s="56"/>
    </row>
    <row r="40" spans="2:7" x14ac:dyDescent="0.25">
      <c r="C40" s="54"/>
      <c r="D40" s="55"/>
      <c r="E40" s="55"/>
      <c r="F40" s="56"/>
    </row>
    <row r="41" spans="2:7" x14ac:dyDescent="0.25">
      <c r="C41" s="57"/>
      <c r="D41" s="58"/>
      <c r="E41" s="58"/>
      <c r="F41" s="59"/>
    </row>
    <row r="45" spans="2:7" x14ac:dyDescent="0.25">
      <c r="B45" s="8" t="s">
        <v>76</v>
      </c>
      <c r="C45" s="7"/>
      <c r="D45" s="7"/>
    </row>
    <row r="47" spans="2:7" x14ac:dyDescent="0.25">
      <c r="B47" s="9" t="s">
        <v>77</v>
      </c>
      <c r="C47" s="48" t="s">
        <v>83</v>
      </c>
      <c r="D47" s="48"/>
      <c r="E47" s="26">
        <f>SUM(Tableau3[Valeur stock])</f>
        <v>700.69999999999993</v>
      </c>
      <c r="F47" s="1"/>
      <c r="G47" s="1"/>
    </row>
    <row r="48" spans="2:7" x14ac:dyDescent="0.25">
      <c r="B48" s="9" t="s">
        <v>78</v>
      </c>
      <c r="C48" s="48" t="s">
        <v>84</v>
      </c>
      <c r="D48" s="48"/>
      <c r="E48" s="25">
        <f>COUNTIF(Tableau4[Check],"Open")</f>
        <v>0</v>
      </c>
      <c r="F48" s="1"/>
      <c r="G48" s="1"/>
    </row>
    <row r="49" spans="2:7" x14ac:dyDescent="0.25">
      <c r="B49" s="9" t="s">
        <v>79</v>
      </c>
      <c r="C49" s="48" t="s">
        <v>85</v>
      </c>
      <c r="D49" s="48"/>
      <c r="E49" s="25">
        <f>COUNTIF(Tableau3[Flag],1)</f>
        <v>1</v>
      </c>
      <c r="F49" s="1"/>
      <c r="G49" s="1"/>
    </row>
    <row r="50" spans="2:7" x14ac:dyDescent="0.25">
      <c r="B50" s="9" t="s">
        <v>80</v>
      </c>
      <c r="C50" s="48" t="s">
        <v>242</v>
      </c>
      <c r="D50" s="48"/>
      <c r="E50" s="25">
        <f ca="1">SUM(OFFSET(INDIRECT(CHAR(MAX(IF(NOT(ISBLANK(Tableau38[Temps d''inter])),COLUMN(Tableau38[Temps d''inter])))+64)&amp;ROW()),0,,1,-12))</f>
        <v>0</v>
      </c>
      <c r="F50" s="1"/>
      <c r="G50" s="1"/>
    </row>
    <row r="51" spans="2:7" x14ac:dyDescent="0.25">
      <c r="B51" s="9" t="s">
        <v>81</v>
      </c>
      <c r="C51" s="48" t="s">
        <v>86</v>
      </c>
      <c r="D51" s="48"/>
      <c r="E51" s="25">
        <f>SUM(Tableau3[Stock])</f>
        <v>26</v>
      </c>
      <c r="F51" s="1"/>
      <c r="G51" s="1"/>
    </row>
    <row r="52" spans="2:7" x14ac:dyDescent="0.25">
      <c r="B52" s="9" t="s">
        <v>82</v>
      </c>
      <c r="C52" s="48" t="s">
        <v>87</v>
      </c>
      <c r="D52" s="48"/>
      <c r="E52" s="25" t="str">
        <f>IFERROR(INDEX(Tableau6[Nr article],MATCH(1,Tableau6[Ranking],0)),"")</f>
        <v/>
      </c>
      <c r="F52" s="25" t="str">
        <f>IFERROR(INDEX(Tableau6[Nr article],MATCH(2,Tableau6[Ranking],0)),"")</f>
        <v/>
      </c>
      <c r="G52" s="25" t="str">
        <f>IFERROR(INDEX(Tableau6[Nr article],MATCH(3,Tableau6[Ranking],0)),"")</f>
        <v/>
      </c>
    </row>
    <row r="77" spans="2:2" x14ac:dyDescent="0.25">
      <c r="B77" s="5" t="s">
        <v>48</v>
      </c>
    </row>
    <row r="78" spans="2:2" x14ac:dyDescent="0.25">
      <c r="B78" t="s">
        <v>49</v>
      </c>
    </row>
    <row r="79" spans="2:2" x14ac:dyDescent="0.25">
      <c r="B79" t="s">
        <v>47</v>
      </c>
    </row>
    <row r="80" spans="2:2" x14ac:dyDescent="0.25">
      <c r="B80" t="s">
        <v>50</v>
      </c>
    </row>
    <row r="81" spans="2:2" x14ac:dyDescent="0.25">
      <c r="B81" t="s">
        <v>51</v>
      </c>
    </row>
    <row r="82" spans="2:2" x14ac:dyDescent="0.25">
      <c r="B82" s="5" t="s">
        <v>52</v>
      </c>
    </row>
    <row r="83" spans="2:2" x14ac:dyDescent="0.25">
      <c r="B83" s="5" t="s">
        <v>53</v>
      </c>
    </row>
  </sheetData>
  <mergeCells count="35">
    <mergeCell ref="H32:I32"/>
    <mergeCell ref="H29:I29"/>
    <mergeCell ref="H27:I27"/>
    <mergeCell ref="H28:I28"/>
    <mergeCell ref="H30:I30"/>
    <mergeCell ref="H31:I31"/>
    <mergeCell ref="C13:D13"/>
    <mergeCell ref="C14:D14"/>
    <mergeCell ref="C15:D15"/>
    <mergeCell ref="C11:D11"/>
    <mergeCell ref="C8:D8"/>
    <mergeCell ref="C9:D9"/>
    <mergeCell ref="C10:D10"/>
    <mergeCell ref="C12:D12"/>
    <mergeCell ref="C51:D51"/>
    <mergeCell ref="C52:D52"/>
    <mergeCell ref="C27:D27"/>
    <mergeCell ref="C28:D28"/>
    <mergeCell ref="C29:D29"/>
    <mergeCell ref="C30:D30"/>
    <mergeCell ref="C31:D31"/>
    <mergeCell ref="C32:D32"/>
    <mergeCell ref="C35:F41"/>
    <mergeCell ref="C47:D47"/>
    <mergeCell ref="C48:D48"/>
    <mergeCell ref="C49:D49"/>
    <mergeCell ref="C50:D50"/>
    <mergeCell ref="F13:G13"/>
    <mergeCell ref="F14:G14"/>
    <mergeCell ref="F15:G15"/>
    <mergeCell ref="F8:G8"/>
    <mergeCell ref="F9:G9"/>
    <mergeCell ref="F10:G10"/>
    <mergeCell ref="F11:G11"/>
    <mergeCell ref="F12:G12"/>
  </mergeCells>
  <phoneticPr fontId="3" type="noConversion"/>
  <hyperlinks>
    <hyperlink ref="C33" r:id="rId1" xr:uid="{2816AA9E-5206-40A5-9DA9-0A7AA0711557}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987C1-E5DC-4157-BFAF-D38AB834E97F}">
  <sheetPr codeName="Feuil10"/>
  <dimension ref="A1:AA18"/>
  <sheetViews>
    <sheetView showGridLines="0" showRowColHeaders="0" zoomScaleNormal="100" workbookViewId="0">
      <selection activeCell="H34" sqref="H34"/>
    </sheetView>
  </sheetViews>
  <sheetFormatPr baseColWidth="10" defaultRowHeight="15" x14ac:dyDescent="0.25"/>
  <cols>
    <col min="1" max="1" width="11.42578125" style="34"/>
    <col min="3" max="3" width="22.42578125" customWidth="1"/>
    <col min="4" max="4" width="14.7109375" bestFit="1" customWidth="1"/>
    <col min="5" max="5" width="31.140625" customWidth="1"/>
    <col min="7" max="9" width="10.7109375" bestFit="1" customWidth="1"/>
    <col min="10" max="10" width="18.42578125" style="45" bestFit="1" customWidth="1"/>
    <col min="11" max="11" width="11.7109375" customWidth="1"/>
    <col min="12" max="12" width="13.140625" bestFit="1" customWidth="1"/>
    <col min="13" max="13" width="13.5703125" bestFit="1" customWidth="1"/>
    <col min="14" max="14" width="13.5703125" customWidth="1"/>
    <col min="15" max="15" width="8.5703125" customWidth="1"/>
    <col min="16" max="16" width="10.28515625" customWidth="1"/>
    <col min="17" max="17" width="23.7109375" bestFit="1" customWidth="1"/>
    <col min="18" max="25" width="4.28515625" customWidth="1"/>
    <col min="26" max="26" width="5.140625" customWidth="1"/>
    <col min="27" max="27" width="6.140625" customWidth="1"/>
  </cols>
  <sheetData>
    <row r="1" spans="1:27" ht="37.5" customHeight="1" x14ac:dyDescent="0.25"/>
    <row r="5" spans="1:27" s="5" customFormat="1" x14ac:dyDescent="0.25">
      <c r="A5" s="34"/>
      <c r="B5" s="5" t="s">
        <v>125</v>
      </c>
      <c r="C5" s="5" t="s">
        <v>69</v>
      </c>
      <c r="D5" s="5" t="s">
        <v>171</v>
      </c>
      <c r="E5" s="5" t="s">
        <v>11</v>
      </c>
      <c r="F5" s="5" t="s">
        <v>194</v>
      </c>
      <c r="G5" s="5" t="s">
        <v>223</v>
      </c>
      <c r="H5" s="5" t="s">
        <v>224</v>
      </c>
      <c r="I5" s="5" t="s">
        <v>225</v>
      </c>
      <c r="J5" s="22" t="s">
        <v>195</v>
      </c>
      <c r="K5" s="5" t="s">
        <v>196</v>
      </c>
      <c r="L5" s="5" t="s">
        <v>218</v>
      </c>
      <c r="M5" s="5" t="s">
        <v>219</v>
      </c>
      <c r="N5" s="5" t="s">
        <v>221</v>
      </c>
      <c r="O5" s="5" t="s">
        <v>220</v>
      </c>
      <c r="P5" s="5" t="s">
        <v>215</v>
      </c>
      <c r="Q5" s="5" t="s">
        <v>202</v>
      </c>
      <c r="R5" s="5" t="s">
        <v>216</v>
      </c>
    </row>
    <row r="6" spans="1:27" x14ac:dyDescent="0.25">
      <c r="B6" s="35"/>
      <c r="C6" s="35"/>
      <c r="D6" s="35"/>
      <c r="E6" s="36"/>
      <c r="F6" s="37"/>
      <c r="G6" s="38"/>
      <c r="H6" s="38"/>
      <c r="I6" s="39"/>
      <c r="J6" s="40" t="str">
        <f>IF(Tableau38[[#This Row],[Demande]]="","",IF(Tableau38[[#This Row],[Réaliser]]="","",DATE_DIFF(Tableau38[[#This Row],[Demande]],Tableau38[[#This Row],[Réaliser]])))</f>
        <v/>
      </c>
      <c r="K6" s="35" t="str">
        <f ca="1">IF(Tableau38[[#This Row],[Demande]]="","",IF(Tableau38[[#This Row],[Réaliser]]="",1,IF(Tableau38[[#This Row],[Réaliser]]="",2,IF(Tableau38[[#This Row],[Prévu]]&lt;TODAY(),3,""))))</f>
        <v/>
      </c>
      <c r="L6" s="35"/>
      <c r="M6" s="41"/>
      <c r="N6" s="41"/>
      <c r="O6" s="42"/>
      <c r="P6" s="35"/>
      <c r="Q6" s="35"/>
      <c r="R6" s="3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25">
      <c r="B7" s="35" t="s">
        <v>217</v>
      </c>
      <c r="C7" s="35" t="s">
        <v>184</v>
      </c>
      <c r="D7" s="35"/>
      <c r="E7" s="36" t="s">
        <v>228</v>
      </c>
      <c r="F7" s="37" t="s">
        <v>201</v>
      </c>
      <c r="G7" s="38">
        <v>44954</v>
      </c>
      <c r="H7" s="38">
        <v>44590</v>
      </c>
      <c r="I7" s="38">
        <v>44961</v>
      </c>
      <c r="J7" s="40">
        <f ca="1">IF(Tableau38[[#This Row],[Demande]]="","",IF(Tableau38[[#This Row],[Réaliser]]="","",DATE_DIFF(Tableau38[[#This Row],[Demande]],Tableau38[[#This Row],[Réaliser]])))</f>
        <v>7</v>
      </c>
      <c r="K7" s="35">
        <f ca="1">IF(Tableau38[[#This Row],[Demande]]="","",IF(Tableau38[[#This Row],[Réaliser]]="",1,IF(Tableau38[[#This Row],[Réaliser]]="",2,IF(Tableau38[[#This Row],[Prévu]]&lt;TODAY(),3,""))))</f>
        <v>3</v>
      </c>
      <c r="L7" s="35" t="s">
        <v>222</v>
      </c>
      <c r="M7" s="41" t="s">
        <v>226</v>
      </c>
      <c r="N7" s="41" t="s">
        <v>227</v>
      </c>
      <c r="O7" s="42"/>
      <c r="P7" s="35"/>
      <c r="Q7" s="35" t="s">
        <v>214</v>
      </c>
      <c r="R7" s="35">
        <v>2</v>
      </c>
    </row>
    <row r="8" spans="1:27" x14ac:dyDescent="0.25">
      <c r="B8" s="35" t="s">
        <v>217</v>
      </c>
      <c r="C8" s="35" t="s">
        <v>184</v>
      </c>
      <c r="D8" s="35"/>
      <c r="E8" s="36" t="s">
        <v>201</v>
      </c>
      <c r="F8" s="37" t="s">
        <v>201</v>
      </c>
      <c r="G8" s="38">
        <v>44956</v>
      </c>
      <c r="H8" s="38">
        <v>44956</v>
      </c>
      <c r="I8" s="39"/>
      <c r="J8" s="40" t="str">
        <f>IF(Tableau38[[#This Row],[Demande]]="","",IF(Tableau38[[#This Row],[Réaliser]]="","",DATE_DIFF(Tableau38[[#This Row],[Demande]],Tableau38[[#This Row],[Réaliser]])))</f>
        <v/>
      </c>
      <c r="K8" s="35">
        <f ca="1">IF(Tableau38[[#This Row],[Demande]]="","",IF(Tableau38[[#This Row],[Réaliser]]="",1,IF(Tableau38[[#This Row],[Réaliser]]="",2,IF(Tableau38[[#This Row],[Prévu]]&lt;TODAY(),3,""))))</f>
        <v>1</v>
      </c>
      <c r="L8" s="35"/>
      <c r="M8" s="41"/>
      <c r="N8" s="41"/>
      <c r="O8" s="42"/>
      <c r="P8" s="35"/>
      <c r="Q8" s="35"/>
      <c r="R8" s="35"/>
    </row>
    <row r="9" spans="1:27" x14ac:dyDescent="0.25">
      <c r="B9" s="35" t="s">
        <v>217</v>
      </c>
      <c r="C9" s="35" t="s">
        <v>184</v>
      </c>
      <c r="D9" s="35"/>
      <c r="E9" s="36" t="s">
        <v>201</v>
      </c>
      <c r="F9" s="37" t="s">
        <v>201</v>
      </c>
      <c r="G9" s="38">
        <v>44956</v>
      </c>
      <c r="H9" s="38">
        <v>44957</v>
      </c>
      <c r="I9" s="39" t="s">
        <v>201</v>
      </c>
      <c r="J9" s="40" t="str">
        <f>IF(Tableau38[[#This Row],[Demande]]="","",IF(Tableau38[[#This Row],[Réaliser]]="","",DATE_DIFF(Tableau38[[#This Row],[Demande]],Tableau38[[#This Row],[Réaliser]])))</f>
        <v/>
      </c>
      <c r="K9" s="35">
        <f ca="1">IF(Tableau38[[#This Row],[Demande]]="","",IF(Tableau38[[#This Row],[Réaliser]]="",1,IF(Tableau38[[#This Row],[Réaliser]]="",2,IF(Tableau38[[#This Row],[Prévu]]&lt;TODAY(),3,""))))</f>
        <v>1</v>
      </c>
      <c r="L9" s="35" t="s">
        <v>201</v>
      </c>
      <c r="M9" s="41" t="s">
        <v>229</v>
      </c>
      <c r="N9" s="41" t="s">
        <v>201</v>
      </c>
      <c r="O9" s="42"/>
      <c r="P9" s="35"/>
      <c r="Q9" s="35" t="s">
        <v>201</v>
      </c>
      <c r="R9" s="35" t="s">
        <v>201</v>
      </c>
    </row>
    <row r="10" spans="1:27" x14ac:dyDescent="0.25">
      <c r="B10" s="35" t="s">
        <v>217</v>
      </c>
      <c r="C10" s="35" t="s">
        <v>184</v>
      </c>
      <c r="D10" s="35"/>
      <c r="E10" s="36" t="s">
        <v>201</v>
      </c>
      <c r="F10" s="37" t="s">
        <v>201</v>
      </c>
      <c r="G10" s="38">
        <v>44956</v>
      </c>
      <c r="H10" s="38">
        <v>44956</v>
      </c>
      <c r="I10" s="39" t="s">
        <v>201</v>
      </c>
      <c r="J10" s="40" t="str">
        <f>IF(Tableau38[[#This Row],[Demande]]="","",IF(Tableau38[[#This Row],[Réaliser]]="","",DATE_DIFF(Tableau38[[#This Row],[Demande]],Tableau38[[#This Row],[Réaliser]])))</f>
        <v/>
      </c>
      <c r="K10" s="35">
        <f ca="1">IF(Tableau38[[#This Row],[Demande]]="","",IF(Tableau38[[#This Row],[Réaliser]]="",1,IF(Tableau38[[#This Row],[Réaliser]]="",2,IF(Tableau38[[#This Row],[Prévu]]&lt;TODAY(),3,""))))</f>
        <v>1</v>
      </c>
      <c r="L10" s="35" t="s">
        <v>201</v>
      </c>
      <c r="M10" s="41" t="s">
        <v>229</v>
      </c>
      <c r="N10" s="41" t="s">
        <v>201</v>
      </c>
      <c r="O10" s="42"/>
      <c r="P10" s="35"/>
      <c r="Q10" s="35" t="s">
        <v>201</v>
      </c>
      <c r="R10" s="35" t="s">
        <v>201</v>
      </c>
    </row>
    <row r="11" spans="1:27" x14ac:dyDescent="0.25">
      <c r="B11" s="35" t="s">
        <v>217</v>
      </c>
      <c r="C11" s="35" t="s">
        <v>184</v>
      </c>
      <c r="D11" s="35"/>
      <c r="E11" s="36" t="s">
        <v>201</v>
      </c>
      <c r="F11" s="37" t="s">
        <v>201</v>
      </c>
      <c r="G11" s="38">
        <v>44956</v>
      </c>
      <c r="H11" s="38">
        <v>44956</v>
      </c>
      <c r="I11" s="39" t="s">
        <v>201</v>
      </c>
      <c r="J11" s="40" t="str">
        <f>IF(Tableau38[[#This Row],[Demande]]="","",IF(Tableau38[[#This Row],[Réaliser]]="","",DATE_DIFF(Tableau38[[#This Row],[Demande]],Tableau38[[#This Row],[Réaliser]])))</f>
        <v/>
      </c>
      <c r="K11" s="35">
        <f ca="1">IF(Tableau38[[#This Row],[Demande]]="","",IF(Tableau38[[#This Row],[Réaliser]]="",1,IF(Tableau38[[#This Row],[Réaliser]]="",2,IF(Tableau38[[#This Row],[Prévu]]&lt;TODAY(),3,""))))</f>
        <v>1</v>
      </c>
      <c r="L11" s="35" t="s">
        <v>201</v>
      </c>
      <c r="M11" s="41" t="s">
        <v>201</v>
      </c>
      <c r="N11" s="41" t="s">
        <v>201</v>
      </c>
      <c r="O11" s="42"/>
      <c r="P11" s="35"/>
      <c r="Q11" s="35" t="s">
        <v>201</v>
      </c>
      <c r="R11" s="35" t="s">
        <v>201</v>
      </c>
    </row>
    <row r="12" spans="1:27" x14ac:dyDescent="0.25">
      <c r="B12" s="35" t="s">
        <v>230</v>
      </c>
      <c r="C12" s="35" t="s">
        <v>187</v>
      </c>
      <c r="D12" s="35"/>
      <c r="E12" s="36" t="s">
        <v>201</v>
      </c>
      <c r="F12" s="37" t="s">
        <v>201</v>
      </c>
      <c r="G12" s="38">
        <v>44956</v>
      </c>
      <c r="H12" s="38">
        <v>44956</v>
      </c>
      <c r="I12" s="39" t="s">
        <v>201</v>
      </c>
      <c r="J12" s="40" t="str">
        <f>IF(Tableau38[[#This Row],[Demande]]="","",IF(Tableau38[[#This Row],[Réaliser]]="","",DATE_DIFF(Tableau38[[#This Row],[Demande]],Tableau38[[#This Row],[Réaliser]])))</f>
        <v/>
      </c>
      <c r="K12" s="35">
        <f ca="1">IF(Tableau38[[#This Row],[Demande]]="","",IF(Tableau38[[#This Row],[Réaliser]]="",1,IF(Tableau38[[#This Row],[Réaliser]]="",2,IF(Tableau38[[#This Row],[Prévu]]&lt;TODAY(),3,""))))</f>
        <v>1</v>
      </c>
      <c r="L12" s="35" t="s">
        <v>201</v>
      </c>
      <c r="M12" s="41" t="s">
        <v>201</v>
      </c>
      <c r="N12" s="41" t="s">
        <v>201</v>
      </c>
      <c r="O12" s="42"/>
      <c r="P12" s="35"/>
      <c r="Q12" s="35" t="s">
        <v>201</v>
      </c>
      <c r="R12" s="35" t="s">
        <v>201</v>
      </c>
    </row>
    <row r="13" spans="1:27" x14ac:dyDescent="0.25">
      <c r="B13" s="35" t="s">
        <v>231</v>
      </c>
      <c r="C13" s="35" t="s">
        <v>184</v>
      </c>
      <c r="D13" s="35"/>
      <c r="E13" s="36" t="s">
        <v>201</v>
      </c>
      <c r="F13" s="37" t="s">
        <v>201</v>
      </c>
      <c r="G13" s="38">
        <v>44956</v>
      </c>
      <c r="H13" s="38">
        <v>44956</v>
      </c>
      <c r="I13" s="39" t="s">
        <v>201</v>
      </c>
      <c r="J13" s="40" t="str">
        <f>IF(Tableau38[[#This Row],[Demande]]="","",IF(Tableau38[[#This Row],[Réaliser]]="","",DATE_DIFF(Tableau38[[#This Row],[Demande]],Tableau38[[#This Row],[Réaliser]])))</f>
        <v/>
      </c>
      <c r="K13" s="35">
        <f ca="1">IF(Tableau38[[#This Row],[Demande]]="","",IF(Tableau38[[#This Row],[Réaliser]]="",1,IF(Tableau38[[#This Row],[Réaliser]]="",2,IF(Tableau38[[#This Row],[Prévu]]&lt;TODAY(),3,""))))</f>
        <v>1</v>
      </c>
      <c r="L13" s="35" t="s">
        <v>201</v>
      </c>
      <c r="M13" s="41" t="s">
        <v>201</v>
      </c>
      <c r="N13" s="41" t="s">
        <v>201</v>
      </c>
      <c r="O13" s="42"/>
      <c r="P13" s="35"/>
      <c r="Q13" s="35" t="s">
        <v>201</v>
      </c>
      <c r="R13" s="35" t="s">
        <v>201</v>
      </c>
    </row>
    <row r="14" spans="1:27" x14ac:dyDescent="0.25">
      <c r="B14" s="35" t="s">
        <v>232</v>
      </c>
      <c r="C14" s="35" t="s">
        <v>190</v>
      </c>
      <c r="D14" s="35"/>
      <c r="E14" s="36" t="s">
        <v>201</v>
      </c>
      <c r="F14" s="37" t="s">
        <v>201</v>
      </c>
      <c r="G14" s="38">
        <v>44956</v>
      </c>
      <c r="H14" s="38">
        <v>44956</v>
      </c>
      <c r="I14" s="39" t="s">
        <v>201</v>
      </c>
      <c r="J14" s="40" t="str">
        <f>IF(Tableau38[[#This Row],[Demande]]="","",IF(Tableau38[[#This Row],[Réaliser]]="","",DATE_DIFF(Tableau38[[#This Row],[Demande]],Tableau38[[#This Row],[Réaliser]])))</f>
        <v/>
      </c>
      <c r="K14" s="35">
        <f ca="1">IF(Tableau38[[#This Row],[Demande]]="","",IF(Tableau38[[#This Row],[Réaliser]]="",1,IF(Tableau38[[#This Row],[Réaliser]]="",2,IF(Tableau38[[#This Row],[Prévu]]&lt;TODAY(),3,""))))</f>
        <v>1</v>
      </c>
      <c r="L14" s="35" t="s">
        <v>201</v>
      </c>
      <c r="M14" s="41" t="s">
        <v>201</v>
      </c>
      <c r="N14" s="41" t="s">
        <v>201</v>
      </c>
      <c r="O14" s="42"/>
      <c r="P14" s="35"/>
      <c r="Q14" s="35" t="s">
        <v>201</v>
      </c>
      <c r="R14" s="35" t="s">
        <v>201</v>
      </c>
    </row>
    <row r="15" spans="1:27" x14ac:dyDescent="0.25">
      <c r="B15" s="35" t="s">
        <v>230</v>
      </c>
      <c r="C15" s="35" t="s">
        <v>187</v>
      </c>
      <c r="D15" s="35"/>
      <c r="E15" s="36" t="s">
        <v>201</v>
      </c>
      <c r="F15" s="37" t="s">
        <v>201</v>
      </c>
      <c r="G15" s="38">
        <v>44956</v>
      </c>
      <c r="H15" s="38">
        <v>44956</v>
      </c>
      <c r="I15" s="39" t="s">
        <v>201</v>
      </c>
      <c r="J15" s="40" t="str">
        <f>IF(Tableau38[[#This Row],[Demande]]="","",IF(Tableau38[[#This Row],[Réaliser]]="","",DATE_DIFF(Tableau38[[#This Row],[Demande]],Tableau38[[#This Row],[Réaliser]])))</f>
        <v/>
      </c>
      <c r="K15" s="35">
        <f ca="1">IF(Tableau38[[#This Row],[Demande]]="","",IF(Tableau38[[#This Row],[Réaliser]]="",1,IF(Tableau38[[#This Row],[Réaliser]]="",2,IF(Tableau38[[#This Row],[Prévu]]&lt;TODAY(),3,""))))</f>
        <v>1</v>
      </c>
      <c r="L15" s="35" t="s">
        <v>201</v>
      </c>
      <c r="M15" s="41" t="s">
        <v>201</v>
      </c>
      <c r="N15" s="41" t="s">
        <v>201</v>
      </c>
      <c r="O15" s="42"/>
      <c r="P15" s="35"/>
      <c r="Q15" s="35" t="s">
        <v>201</v>
      </c>
      <c r="R15" s="35" t="s">
        <v>201</v>
      </c>
    </row>
    <row r="16" spans="1:27" x14ac:dyDescent="0.25">
      <c r="B16" s="35" t="s">
        <v>233</v>
      </c>
      <c r="C16" s="35" t="s">
        <v>198</v>
      </c>
      <c r="D16" s="35"/>
      <c r="E16" s="36" t="s">
        <v>201</v>
      </c>
      <c r="F16" s="37" t="s">
        <v>201</v>
      </c>
      <c r="G16" s="38">
        <v>44956</v>
      </c>
      <c r="H16" s="38">
        <v>44956</v>
      </c>
      <c r="I16" s="39" t="s">
        <v>201</v>
      </c>
      <c r="J16" s="40" t="str">
        <f>IF(Tableau38[[#This Row],[Demande]]="","",IF(Tableau38[[#This Row],[Réaliser]]="","",DATE_DIFF(Tableau38[[#This Row],[Demande]],Tableau38[[#This Row],[Réaliser]])))</f>
        <v/>
      </c>
      <c r="K16" s="35">
        <f ca="1">IF(Tableau38[[#This Row],[Demande]]="","",IF(Tableau38[[#This Row],[Réaliser]]="",1,IF(Tableau38[[#This Row],[Réaliser]]="",2,IF(Tableau38[[#This Row],[Prévu]]&lt;TODAY(),3,""))))</f>
        <v>1</v>
      </c>
      <c r="L16" s="35" t="s">
        <v>201</v>
      </c>
      <c r="M16" s="41" t="s">
        <v>201</v>
      </c>
      <c r="N16" s="41" t="s">
        <v>201</v>
      </c>
      <c r="O16" s="42"/>
      <c r="P16" s="35"/>
      <c r="Q16" s="35" t="s">
        <v>201</v>
      </c>
      <c r="R16" s="35" t="s">
        <v>201</v>
      </c>
    </row>
    <row r="17" spans="2:18" x14ac:dyDescent="0.25">
      <c r="B17" s="35" t="s">
        <v>238</v>
      </c>
      <c r="C17" s="35" t="s">
        <v>187</v>
      </c>
      <c r="D17" s="35"/>
      <c r="E17" s="36" t="s">
        <v>201</v>
      </c>
      <c r="F17" s="37" t="s">
        <v>237</v>
      </c>
      <c r="G17" s="38">
        <v>44956</v>
      </c>
      <c r="H17" s="38">
        <v>44956</v>
      </c>
      <c r="I17" s="39" t="s">
        <v>239</v>
      </c>
      <c r="J17" s="40">
        <f ca="1">IF(Tableau38[[#This Row],[Demande]]="","",IF(Tableau38[[#This Row],[Réaliser]]="","",DATE_DIFF(Tableau38[[#This Row],[Demande]],Tableau38[[#This Row],[Réaliser]])))</f>
        <v>1</v>
      </c>
      <c r="K17" s="35">
        <f ca="1">IF(Tableau38[[#This Row],[Demande]]="","",IF(Tableau38[[#This Row],[Réaliser]]="",1,IF(Tableau38[[#This Row],[Réaliser]]="",2,IF(Tableau38[[#This Row],[Prévu]]&lt;TODAY(),3,""))))</f>
        <v>3</v>
      </c>
      <c r="L17" s="35" t="s">
        <v>229</v>
      </c>
      <c r="M17" s="41" t="s">
        <v>240</v>
      </c>
      <c r="N17" s="41" t="s">
        <v>241</v>
      </c>
      <c r="O17" s="42"/>
      <c r="P17" s="35"/>
      <c r="Q17" s="35" t="s">
        <v>209</v>
      </c>
      <c r="R17" s="35" t="s">
        <v>19</v>
      </c>
    </row>
    <row r="18" spans="2:18" x14ac:dyDescent="0.25">
      <c r="B18" s="43"/>
      <c r="C18" s="35"/>
      <c r="D18" s="35"/>
      <c r="E18" s="36"/>
      <c r="F18" s="37"/>
      <c r="G18" s="38"/>
      <c r="H18" s="38"/>
      <c r="I18" s="44"/>
      <c r="J18" s="40"/>
      <c r="K18" s="35"/>
      <c r="L18" s="35"/>
      <c r="M18" s="41"/>
      <c r="N18" s="41"/>
      <c r="O18" s="42"/>
      <c r="P18" s="35"/>
      <c r="Q18" s="35"/>
      <c r="R18" s="35"/>
    </row>
  </sheetData>
  <conditionalFormatting sqref="S7">
    <cfRule type="expression" dxfId="0" priority="1">
      <formula>IF(K7=1,Plannifier,"")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76200</xdr:rowOff>
              </from>
              <to>
                <xdr:col>3</xdr:col>
                <xdr:colOff>485775</xdr:colOff>
                <xdr:row>4</xdr:row>
                <xdr:rowOff>0</xdr:rowOff>
              </to>
            </anchor>
          </controlPr>
        </control>
      </mc:Choice>
      <mc:Fallback>
        <control shapeId="11265" r:id="rId4" name="CommandButton1"/>
      </mc:Fallback>
    </mc:AlternateContent>
  </controls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B516-FC54-458B-BBCF-2194447127B9}">
  <sheetPr codeName="Feuil9"/>
  <dimension ref="B1:G48"/>
  <sheetViews>
    <sheetView showGridLines="0" workbookViewId="0">
      <selection activeCell="L8" sqref="L8"/>
    </sheetView>
  </sheetViews>
  <sheetFormatPr baseColWidth="10" defaultRowHeight="15" x14ac:dyDescent="0.25"/>
  <cols>
    <col min="2" max="2" width="14.5703125" bestFit="1" customWidth="1"/>
    <col min="4" max="4" width="21" bestFit="1" customWidth="1"/>
    <col min="5" max="5" width="30.5703125" style="30" bestFit="1" customWidth="1"/>
    <col min="6" max="6" width="13.7109375" bestFit="1" customWidth="1"/>
    <col min="7" max="7" width="13.5703125" bestFit="1" customWidth="1"/>
  </cols>
  <sheetData>
    <row r="1" spans="2:7" ht="37.5" customHeight="1" x14ac:dyDescent="0.25"/>
    <row r="5" spans="2:7" x14ac:dyDescent="0.25">
      <c r="B5" s="3" t="s">
        <v>174</v>
      </c>
      <c r="C5" s="3" t="s">
        <v>173</v>
      </c>
      <c r="D5" s="3" t="s">
        <v>172</v>
      </c>
      <c r="E5" s="33" t="s">
        <v>171</v>
      </c>
      <c r="F5" s="3" t="s">
        <v>170</v>
      </c>
      <c r="G5" s="3" t="s">
        <v>169</v>
      </c>
    </row>
    <row r="6" spans="2:7" x14ac:dyDescent="0.25">
      <c r="B6" s="31">
        <v>1</v>
      </c>
      <c r="C6" s="4" t="s">
        <v>65</v>
      </c>
      <c r="D6" s="4" t="s">
        <v>126</v>
      </c>
      <c r="E6" s="32" t="s">
        <v>168</v>
      </c>
      <c r="F6" s="4" t="str">
        <f>CONCATENATE(LEFT(Tableau29[[#This Row],[Site]],2),Tableau29[[#This Row],[Atelier]],TEXT(Tableau29[[#This Row],[N°]],"0000"))</f>
        <v>GeG10001</v>
      </c>
      <c r="G6" s="31"/>
    </row>
    <row r="7" spans="2:7" x14ac:dyDescent="0.25">
      <c r="B7" s="31">
        <v>2</v>
      </c>
      <c r="C7" s="4" t="s">
        <v>65</v>
      </c>
      <c r="D7" s="4" t="s">
        <v>126</v>
      </c>
      <c r="E7" s="32" t="s">
        <v>167</v>
      </c>
      <c r="F7" s="4" t="str">
        <f>CONCATENATE(LEFT(Tableau29[[#This Row],[Site]],2),Tableau29[[#This Row],[Atelier]],TEXT(Tableau29[[#This Row],[N°]],"0000"))</f>
        <v>GeG10002</v>
      </c>
      <c r="G7" s="31"/>
    </row>
    <row r="8" spans="2:7" x14ac:dyDescent="0.25">
      <c r="B8" s="31">
        <v>3</v>
      </c>
      <c r="C8" s="4" t="s">
        <v>65</v>
      </c>
      <c r="D8" s="4" t="s">
        <v>126</v>
      </c>
      <c r="E8" s="32" t="s">
        <v>166</v>
      </c>
      <c r="F8" s="4" t="str">
        <f>CONCATENATE(LEFT(Tableau29[[#This Row],[Site]],2),Tableau29[[#This Row],[Atelier]],TEXT(Tableau29[[#This Row],[N°]],"0000"))</f>
        <v>GeG10003</v>
      </c>
      <c r="G8" s="31"/>
    </row>
    <row r="9" spans="2:7" x14ac:dyDescent="0.25">
      <c r="B9" s="31">
        <v>4</v>
      </c>
      <c r="C9" s="4" t="s">
        <v>65</v>
      </c>
      <c r="D9" s="4" t="s">
        <v>126</v>
      </c>
      <c r="E9" s="32" t="s">
        <v>165</v>
      </c>
      <c r="F9" s="4" t="str">
        <f>CONCATENATE(LEFT(Tableau29[[#This Row],[Site]],2),Tableau29[[#This Row],[Atelier]],TEXT(Tableau29[[#This Row],[N°]],"0000"))</f>
        <v>GeG10004</v>
      </c>
      <c r="G9" s="31"/>
    </row>
    <row r="10" spans="2:7" x14ac:dyDescent="0.25">
      <c r="B10" s="31">
        <v>5</v>
      </c>
      <c r="C10" s="4" t="s">
        <v>65</v>
      </c>
      <c r="D10" s="4" t="s">
        <v>126</v>
      </c>
      <c r="E10" s="32" t="s">
        <v>164</v>
      </c>
      <c r="F10" s="4" t="str">
        <f>CONCATENATE(LEFT(Tableau29[[#This Row],[Site]],2),Tableau29[[#This Row],[Atelier]],TEXT(Tableau29[[#This Row],[N°]],"0000"))</f>
        <v>GeG10005</v>
      </c>
      <c r="G10" s="31"/>
    </row>
    <row r="11" spans="2:7" x14ac:dyDescent="0.25">
      <c r="B11" s="31">
        <v>6</v>
      </c>
      <c r="C11" s="4" t="s">
        <v>65</v>
      </c>
      <c r="D11" s="4" t="s">
        <v>126</v>
      </c>
      <c r="E11" s="32" t="s">
        <v>163</v>
      </c>
      <c r="F11" s="4" t="str">
        <f>CONCATENATE(LEFT(Tableau29[[#This Row],[Site]],2),Tableau29[[#This Row],[Atelier]],TEXT(Tableau29[[#This Row],[N°]],"0000"))</f>
        <v>GeG10006</v>
      </c>
      <c r="G11" s="31"/>
    </row>
    <row r="12" spans="2:7" x14ac:dyDescent="0.25">
      <c r="B12" s="31">
        <v>7</v>
      </c>
      <c r="C12" s="4" t="s">
        <v>65</v>
      </c>
      <c r="D12" s="4" t="s">
        <v>126</v>
      </c>
      <c r="E12" s="32" t="s">
        <v>162</v>
      </c>
      <c r="F12" s="4" t="str">
        <f>CONCATENATE(LEFT(Tableau29[[#This Row],[Site]],2),Tableau29[[#This Row],[Atelier]],TEXT(Tableau29[[#This Row],[N°]],"0000"))</f>
        <v>GeG10007</v>
      </c>
      <c r="G12" s="31"/>
    </row>
    <row r="13" spans="2:7" x14ac:dyDescent="0.25">
      <c r="B13" s="31">
        <v>8</v>
      </c>
      <c r="C13" s="4" t="s">
        <v>65</v>
      </c>
      <c r="D13" s="4" t="s">
        <v>126</v>
      </c>
      <c r="E13" s="32" t="s">
        <v>161</v>
      </c>
      <c r="F13" s="4" t="str">
        <f>CONCATENATE(LEFT(Tableau29[[#This Row],[Site]],2),Tableau29[[#This Row],[Atelier]],TEXT(Tableau29[[#This Row],[N°]],"0000"))</f>
        <v>GeG10008</v>
      </c>
      <c r="G13" s="31"/>
    </row>
    <row r="14" spans="2:7" x14ac:dyDescent="0.25">
      <c r="B14" s="31">
        <v>9</v>
      </c>
      <c r="C14" s="4" t="s">
        <v>65</v>
      </c>
      <c r="D14" s="4" t="s">
        <v>126</v>
      </c>
      <c r="E14" s="32" t="s">
        <v>160</v>
      </c>
      <c r="F14" s="4" t="str">
        <f>CONCATENATE(LEFT(Tableau29[[#This Row],[Site]],2),Tableau29[[#This Row],[Atelier]],TEXT(Tableau29[[#This Row],[N°]],"0000"))</f>
        <v>GeG10009</v>
      </c>
      <c r="G14" s="31"/>
    </row>
    <row r="15" spans="2:7" x14ac:dyDescent="0.25">
      <c r="B15" s="31">
        <v>10</v>
      </c>
      <c r="C15" s="4" t="s">
        <v>65</v>
      </c>
      <c r="D15" s="4" t="s">
        <v>126</v>
      </c>
      <c r="E15" s="32" t="s">
        <v>159</v>
      </c>
      <c r="F15" s="4" t="str">
        <f>CONCATENATE(LEFT(Tableau29[[#This Row],[Site]],2),Tableau29[[#This Row],[Atelier]],TEXT(Tableau29[[#This Row],[N°]],"0000"))</f>
        <v>GeG10010</v>
      </c>
      <c r="G15" s="31"/>
    </row>
    <row r="16" spans="2:7" x14ac:dyDescent="0.25">
      <c r="B16" s="31">
        <v>11</v>
      </c>
      <c r="C16" s="4" t="s">
        <v>65</v>
      </c>
      <c r="D16" s="4" t="s">
        <v>126</v>
      </c>
      <c r="E16" s="32" t="s">
        <v>158</v>
      </c>
      <c r="F16" s="4" t="str">
        <f>CONCATENATE(LEFT(Tableau29[[#This Row],[Site]],2),Tableau29[[#This Row],[Atelier]],TEXT(Tableau29[[#This Row],[N°]],"0000"))</f>
        <v>GeG10011</v>
      </c>
      <c r="G16" s="31"/>
    </row>
    <row r="17" spans="2:7" x14ac:dyDescent="0.25">
      <c r="B17" s="31">
        <v>12</v>
      </c>
      <c r="C17" s="4" t="s">
        <v>65</v>
      </c>
      <c r="D17" s="4" t="s">
        <v>126</v>
      </c>
      <c r="E17" s="32" t="s">
        <v>157</v>
      </c>
      <c r="F17" s="4" t="str">
        <f>CONCATENATE(LEFT(Tableau29[[#This Row],[Site]],2),Tableau29[[#This Row],[Atelier]],TEXT(Tableau29[[#This Row],[N°]],"0000"))</f>
        <v>GeG10012</v>
      </c>
      <c r="G17" s="31"/>
    </row>
    <row r="18" spans="2:7" x14ac:dyDescent="0.25">
      <c r="B18" s="31">
        <v>13</v>
      </c>
      <c r="C18" s="4" t="s">
        <v>65</v>
      </c>
      <c r="D18" s="4" t="s">
        <v>126</v>
      </c>
      <c r="E18" s="32" t="s">
        <v>156</v>
      </c>
      <c r="F18" s="4" t="str">
        <f>CONCATENATE(LEFT(Tableau29[[#This Row],[Site]],2),Tableau29[[#This Row],[Atelier]],TEXT(Tableau29[[#This Row],[N°]],"0000"))</f>
        <v>GeG10013</v>
      </c>
      <c r="G18" s="31"/>
    </row>
    <row r="19" spans="2:7" x14ac:dyDescent="0.25">
      <c r="B19" s="31">
        <v>14</v>
      </c>
      <c r="C19" s="4" t="s">
        <v>65</v>
      </c>
      <c r="D19" s="4" t="s">
        <v>126</v>
      </c>
      <c r="E19" s="32" t="s">
        <v>155</v>
      </c>
      <c r="F19" s="4" t="str">
        <f>CONCATENATE(LEFT(Tableau29[[#This Row],[Site]],2),Tableau29[[#This Row],[Atelier]],TEXT(Tableau29[[#This Row],[N°]],"0000"))</f>
        <v>GeG10014</v>
      </c>
      <c r="G19" s="31"/>
    </row>
    <row r="20" spans="2:7" x14ac:dyDescent="0.25">
      <c r="B20" s="31">
        <v>15</v>
      </c>
      <c r="C20" s="4" t="s">
        <v>65</v>
      </c>
      <c r="D20" s="4" t="s">
        <v>126</v>
      </c>
      <c r="E20" s="32" t="s">
        <v>154</v>
      </c>
      <c r="F20" s="4" t="str">
        <f>CONCATENATE(LEFT(Tableau29[[#This Row],[Site]],2),Tableau29[[#This Row],[Atelier]],TEXT(Tableau29[[#This Row],[N°]],"0000"))</f>
        <v>GeG10015</v>
      </c>
      <c r="G20" s="31"/>
    </row>
    <row r="21" spans="2:7" x14ac:dyDescent="0.25">
      <c r="B21" s="31">
        <v>16</v>
      </c>
      <c r="C21" s="4" t="s">
        <v>65</v>
      </c>
      <c r="D21" s="4" t="s">
        <v>126</v>
      </c>
      <c r="E21" s="32" t="s">
        <v>153</v>
      </c>
      <c r="F21" s="4" t="str">
        <f>CONCATENATE(LEFT(Tableau29[[#This Row],[Site]],2),Tableau29[[#This Row],[Atelier]],TEXT(Tableau29[[#This Row],[N°]],"0000"))</f>
        <v>GeG10016</v>
      </c>
      <c r="G21" s="31"/>
    </row>
    <row r="22" spans="2:7" x14ac:dyDescent="0.25">
      <c r="B22" s="31">
        <v>17</v>
      </c>
      <c r="C22" s="4" t="s">
        <v>65</v>
      </c>
      <c r="D22" s="4" t="s">
        <v>126</v>
      </c>
      <c r="E22" s="32" t="s">
        <v>152</v>
      </c>
      <c r="F22" s="4" t="str">
        <f>CONCATENATE(LEFT(Tableau29[[#This Row],[Site]],2),Tableau29[[#This Row],[Atelier]],TEXT(Tableau29[[#This Row],[N°]],"0000"))</f>
        <v>GeG10017</v>
      </c>
      <c r="G22" s="31"/>
    </row>
    <row r="23" spans="2:7" x14ac:dyDescent="0.25">
      <c r="B23" s="31">
        <v>18</v>
      </c>
      <c r="C23" s="4" t="s">
        <v>65</v>
      </c>
      <c r="D23" s="4" t="s">
        <v>126</v>
      </c>
      <c r="E23" s="32" t="s">
        <v>151</v>
      </c>
      <c r="F23" s="4" t="str">
        <f>CONCATENATE(LEFT(Tableau29[[#This Row],[Site]],2),Tableau29[[#This Row],[Atelier]],TEXT(Tableau29[[#This Row],[N°]],"0000"))</f>
        <v>GeG10018</v>
      </c>
      <c r="G23" s="31"/>
    </row>
    <row r="24" spans="2:7" x14ac:dyDescent="0.25">
      <c r="B24" s="31">
        <v>19</v>
      </c>
      <c r="C24" s="4" t="s">
        <v>65</v>
      </c>
      <c r="D24" s="4" t="s">
        <v>126</v>
      </c>
      <c r="E24" s="32" t="s">
        <v>150</v>
      </c>
      <c r="F24" s="4" t="str">
        <f>CONCATENATE(LEFT(Tableau29[[#This Row],[Site]],2),Tableau29[[#This Row],[Atelier]],TEXT(Tableau29[[#This Row],[N°]],"0000"))</f>
        <v>GeG10019</v>
      </c>
      <c r="G24" s="31"/>
    </row>
    <row r="25" spans="2:7" x14ac:dyDescent="0.25">
      <c r="B25" s="31">
        <v>20</v>
      </c>
      <c r="C25" s="4" t="s">
        <v>65</v>
      </c>
      <c r="D25" s="4" t="s">
        <v>126</v>
      </c>
      <c r="E25" s="32" t="s">
        <v>149</v>
      </c>
      <c r="F25" s="4" t="str">
        <f>CONCATENATE(LEFT(Tableau29[[#This Row],[Site]],2),Tableau29[[#This Row],[Atelier]],TEXT(Tableau29[[#This Row],[N°]],"0000"))</f>
        <v>GeG10020</v>
      </c>
      <c r="G25" s="31"/>
    </row>
    <row r="26" spans="2:7" x14ac:dyDescent="0.25">
      <c r="B26" s="31">
        <v>21</v>
      </c>
      <c r="C26" s="4" t="s">
        <v>65</v>
      </c>
      <c r="D26" s="4" t="s">
        <v>126</v>
      </c>
      <c r="E26" s="32" t="s">
        <v>148</v>
      </c>
      <c r="F26" s="4" t="str">
        <f>CONCATENATE(LEFT(Tableau29[[#This Row],[Site]],2),Tableau29[[#This Row],[Atelier]],TEXT(Tableau29[[#This Row],[N°]],"0000"))</f>
        <v>GeG10021</v>
      </c>
      <c r="G26" s="31"/>
    </row>
    <row r="27" spans="2:7" x14ac:dyDescent="0.25">
      <c r="B27" s="31">
        <v>22</v>
      </c>
      <c r="C27" s="4" t="s">
        <v>65</v>
      </c>
      <c r="D27" s="4" t="s">
        <v>126</v>
      </c>
      <c r="E27" s="32" t="s">
        <v>147</v>
      </c>
      <c r="F27" s="4" t="str">
        <f>CONCATENATE(LEFT(Tableau29[[#This Row],[Site]],2),Tableau29[[#This Row],[Atelier]],TEXT(Tableau29[[#This Row],[N°]],"0000"))</f>
        <v>GeG10022</v>
      </c>
      <c r="G27" s="31"/>
    </row>
    <row r="28" spans="2:7" x14ac:dyDescent="0.25">
      <c r="B28" s="31">
        <v>23</v>
      </c>
      <c r="C28" s="4" t="s">
        <v>65</v>
      </c>
      <c r="D28" s="4" t="s">
        <v>126</v>
      </c>
      <c r="E28" s="32" t="s">
        <v>146</v>
      </c>
      <c r="F28" s="4" t="str">
        <f>CONCATENATE(LEFT(Tableau29[[#This Row],[Site]],2),Tableau29[[#This Row],[Atelier]],TEXT(Tableau29[[#This Row],[N°]],"0000"))</f>
        <v>GeG10023</v>
      </c>
      <c r="G28" s="31"/>
    </row>
    <row r="29" spans="2:7" x14ac:dyDescent="0.25">
      <c r="B29" s="31">
        <v>24</v>
      </c>
      <c r="C29" s="4" t="s">
        <v>65</v>
      </c>
      <c r="D29" s="4" t="s">
        <v>126</v>
      </c>
      <c r="E29" s="32" t="s">
        <v>145</v>
      </c>
      <c r="F29" s="4" t="str">
        <f>CONCATENATE(LEFT(Tableau29[[#This Row],[Site]],2),Tableau29[[#This Row],[Atelier]],TEXT(Tableau29[[#This Row],[N°]],"0000"))</f>
        <v>GeG10024</v>
      </c>
      <c r="G29" s="31"/>
    </row>
    <row r="30" spans="2:7" x14ac:dyDescent="0.25">
      <c r="B30" s="31">
        <v>25</v>
      </c>
      <c r="C30" s="4" t="s">
        <v>65</v>
      </c>
      <c r="D30" s="4" t="s">
        <v>126</v>
      </c>
      <c r="E30" s="32" t="s">
        <v>144</v>
      </c>
      <c r="F30" s="4" t="str">
        <f>CONCATENATE(LEFT(Tableau29[[#This Row],[Site]],2),Tableau29[[#This Row],[Atelier]],TEXT(Tableau29[[#This Row],[N°]],"0000"))</f>
        <v>GeG10025</v>
      </c>
      <c r="G30" s="31"/>
    </row>
    <row r="31" spans="2:7" x14ac:dyDescent="0.25">
      <c r="B31" s="31">
        <v>26</v>
      </c>
      <c r="C31" s="4" t="s">
        <v>65</v>
      </c>
      <c r="D31" s="4" t="s">
        <v>126</v>
      </c>
      <c r="E31" s="32" t="s">
        <v>143</v>
      </c>
      <c r="F31" s="4" t="str">
        <f>CONCATENATE(LEFT(Tableau29[[#This Row],[Site]],2),Tableau29[[#This Row],[Atelier]],TEXT(Tableau29[[#This Row],[N°]],"0000"))</f>
        <v>GeG10026</v>
      </c>
      <c r="G31" s="31"/>
    </row>
    <row r="32" spans="2:7" x14ac:dyDescent="0.25">
      <c r="B32" s="31">
        <v>27</v>
      </c>
      <c r="C32" s="4" t="s">
        <v>65</v>
      </c>
      <c r="D32" s="4" t="s">
        <v>126</v>
      </c>
      <c r="E32" s="32" t="s">
        <v>142</v>
      </c>
      <c r="F32" s="4" t="str">
        <f>CONCATENATE(LEFT(Tableau29[[#This Row],[Site]],2),Tableau29[[#This Row],[Atelier]],TEXT(Tableau29[[#This Row],[N°]],"0000"))</f>
        <v>GeG10027</v>
      </c>
      <c r="G32" s="31"/>
    </row>
    <row r="33" spans="2:7" x14ac:dyDescent="0.25">
      <c r="B33" s="31">
        <v>28</v>
      </c>
      <c r="C33" s="4" t="s">
        <v>65</v>
      </c>
      <c r="D33" s="4" t="s">
        <v>126</v>
      </c>
      <c r="E33" s="32" t="s">
        <v>141</v>
      </c>
      <c r="F33" s="4" t="str">
        <f>CONCATENATE(LEFT(Tableau29[[#This Row],[Site]],2),Tableau29[[#This Row],[Atelier]],TEXT(Tableau29[[#This Row],[N°]],"0000"))</f>
        <v>GeG10028</v>
      </c>
      <c r="G33" s="31"/>
    </row>
    <row r="34" spans="2:7" ht="30" x14ac:dyDescent="0.25">
      <c r="B34" s="31">
        <v>29</v>
      </c>
      <c r="C34" s="4" t="s">
        <v>65</v>
      </c>
      <c r="D34" s="4" t="s">
        <v>126</v>
      </c>
      <c r="E34" s="32" t="s">
        <v>140</v>
      </c>
      <c r="F34" s="4" t="str">
        <f>CONCATENATE(LEFT(Tableau29[[#This Row],[Site]],2),Tableau29[[#This Row],[Atelier]],TEXT(Tableau29[[#This Row],[N°]],"0000"))</f>
        <v>GeG10029</v>
      </c>
      <c r="G34" s="31"/>
    </row>
    <row r="35" spans="2:7" ht="30" x14ac:dyDescent="0.25">
      <c r="B35" s="31">
        <v>30</v>
      </c>
      <c r="C35" s="4" t="s">
        <v>65</v>
      </c>
      <c r="D35" s="4" t="s">
        <v>126</v>
      </c>
      <c r="E35" s="32" t="s">
        <v>139</v>
      </c>
      <c r="F35" s="4" t="str">
        <f>CONCATENATE(LEFT(Tableau29[[#This Row],[Site]],2),Tableau29[[#This Row],[Atelier]],TEXT(Tableau29[[#This Row],[N°]],"0000"))</f>
        <v>GeG10030</v>
      </c>
      <c r="G35" s="31"/>
    </row>
    <row r="36" spans="2:7" x14ac:dyDescent="0.25">
      <c r="B36" s="31">
        <v>31</v>
      </c>
      <c r="C36" s="4" t="s">
        <v>65</v>
      </c>
      <c r="D36" s="4" t="s">
        <v>126</v>
      </c>
      <c r="E36" s="32" t="s">
        <v>138</v>
      </c>
      <c r="F36" s="4" t="str">
        <f>CONCATENATE(LEFT(Tableau29[[#This Row],[Site]],2),Tableau29[[#This Row],[Atelier]],TEXT(Tableau29[[#This Row],[N°]],"0000"))</f>
        <v>GeG10031</v>
      </c>
      <c r="G36" s="31"/>
    </row>
    <row r="37" spans="2:7" x14ac:dyDescent="0.25">
      <c r="B37" s="31">
        <v>32</v>
      </c>
      <c r="C37" s="4" t="s">
        <v>65</v>
      </c>
      <c r="D37" s="4" t="s">
        <v>126</v>
      </c>
      <c r="E37" s="32" t="s">
        <v>137</v>
      </c>
      <c r="F37" s="4" t="str">
        <f>CONCATENATE(LEFT(Tableau29[[#This Row],[Site]],2),Tableau29[[#This Row],[Atelier]],TEXT(Tableau29[[#This Row],[N°]],"0000"))</f>
        <v>GeG10032</v>
      </c>
      <c r="G37" s="31"/>
    </row>
    <row r="38" spans="2:7" x14ac:dyDescent="0.25">
      <c r="B38" s="31">
        <v>33</v>
      </c>
      <c r="C38" s="4" t="s">
        <v>65</v>
      </c>
      <c r="D38" s="4" t="s">
        <v>126</v>
      </c>
      <c r="E38" s="32" t="s">
        <v>136</v>
      </c>
      <c r="F38" s="31" t="str">
        <f>CONCATENATE(LEFT(Tableau29[[#This Row],[Site]],2),Tableau29[[#This Row],[Atelier]],TEXT(Tableau29[[#This Row],[N°]],"0000"))</f>
        <v>GeG10033</v>
      </c>
      <c r="G38" s="31"/>
    </row>
    <row r="39" spans="2:7" x14ac:dyDescent="0.25">
      <c r="B39" s="31">
        <v>34</v>
      </c>
      <c r="C39" s="4" t="s">
        <v>65</v>
      </c>
      <c r="D39" s="4" t="s">
        <v>126</v>
      </c>
      <c r="E39" s="32" t="s">
        <v>135</v>
      </c>
      <c r="F39" s="4" t="str">
        <f>CONCATENATE(LEFT(Tableau29[[#This Row],[Site]],2),Tableau29[[#This Row],[Atelier]],TEXT(Tableau29[[#This Row],[N°]],"0000"))</f>
        <v>GeG10034</v>
      </c>
      <c r="G39" s="31"/>
    </row>
    <row r="40" spans="2:7" x14ac:dyDescent="0.25">
      <c r="B40" s="31">
        <v>35</v>
      </c>
      <c r="C40" s="4" t="s">
        <v>65</v>
      </c>
      <c r="D40" s="4" t="s">
        <v>126</v>
      </c>
      <c r="E40" s="32" t="s">
        <v>134</v>
      </c>
      <c r="F40" s="31" t="str">
        <f>CONCATENATE(LEFT(Tableau29[[#This Row],[Site]],2),Tableau29[[#This Row],[Atelier]],TEXT(Tableau29[[#This Row],[N°]],"0000"))</f>
        <v>GeG10035</v>
      </c>
      <c r="G40" s="31"/>
    </row>
    <row r="41" spans="2:7" x14ac:dyDescent="0.25">
      <c r="B41" s="31">
        <v>36</v>
      </c>
      <c r="C41" s="4" t="s">
        <v>65</v>
      </c>
      <c r="D41" s="4" t="s">
        <v>126</v>
      </c>
      <c r="E41" s="32" t="s">
        <v>133</v>
      </c>
      <c r="F41" s="31" t="str">
        <f>CONCATENATE(LEFT(Tableau29[[#This Row],[Site]],2),Tableau29[[#This Row],[Atelier]],TEXT(Tableau29[[#This Row],[N°]],"0000"))</f>
        <v>GeG10036</v>
      </c>
      <c r="G41" s="31"/>
    </row>
    <row r="42" spans="2:7" x14ac:dyDescent="0.25">
      <c r="B42" s="31">
        <v>37</v>
      </c>
      <c r="C42" s="4" t="s">
        <v>65</v>
      </c>
      <c r="D42" s="4" t="s">
        <v>126</v>
      </c>
      <c r="E42" s="32" t="s">
        <v>132</v>
      </c>
      <c r="F42" s="31" t="str">
        <f>CONCATENATE(LEFT(Tableau29[[#This Row],[Site]],2),Tableau29[[#This Row],[Atelier]],TEXT(Tableau29[[#This Row],[N°]],"0000"))</f>
        <v>GeG10037</v>
      </c>
      <c r="G42" s="31"/>
    </row>
    <row r="43" spans="2:7" x14ac:dyDescent="0.25">
      <c r="B43" s="31">
        <v>38</v>
      </c>
      <c r="C43" s="4" t="s">
        <v>65</v>
      </c>
      <c r="D43" s="4" t="s">
        <v>126</v>
      </c>
      <c r="E43" s="32" t="s">
        <v>131</v>
      </c>
      <c r="F43" s="31" t="str">
        <f>CONCATENATE(LEFT(Tableau29[[#This Row],[Site]],2),Tableau29[[#This Row],[Atelier]],TEXT(Tableau29[[#This Row],[N°]],"0000"))</f>
        <v>GeG10038</v>
      </c>
      <c r="G43" s="31"/>
    </row>
    <row r="44" spans="2:7" x14ac:dyDescent="0.25">
      <c r="B44" s="31">
        <v>39</v>
      </c>
      <c r="C44" s="4" t="s">
        <v>65</v>
      </c>
      <c r="D44" s="4" t="s">
        <v>126</v>
      </c>
      <c r="E44" s="32" t="s">
        <v>130</v>
      </c>
      <c r="F44" s="31" t="str">
        <f>CONCATENATE(LEFT(Tableau29[[#This Row],[Site]],2),Tableau29[[#This Row],[Atelier]],TEXT(Tableau29[[#This Row],[N°]],"0000"))</f>
        <v>GeG10039</v>
      </c>
      <c r="G44" s="31"/>
    </row>
    <row r="45" spans="2:7" x14ac:dyDescent="0.25">
      <c r="B45" s="31">
        <v>40</v>
      </c>
      <c r="C45" s="4" t="s">
        <v>65</v>
      </c>
      <c r="D45" s="4" t="s">
        <v>126</v>
      </c>
      <c r="E45" s="32" t="s">
        <v>129</v>
      </c>
      <c r="F45" s="31" t="str">
        <f>CONCATENATE(LEFT(Tableau29[[#This Row],[Site]],2),Tableau29[[#This Row],[Atelier]],TEXT(Tableau29[[#This Row],[N°]],"0000"))</f>
        <v>GeG10040</v>
      </c>
      <c r="G45" s="31"/>
    </row>
    <row r="46" spans="2:7" x14ac:dyDescent="0.25">
      <c r="B46" s="31">
        <v>41</v>
      </c>
      <c r="C46" s="4" t="s">
        <v>65</v>
      </c>
      <c r="D46" s="4" t="s">
        <v>126</v>
      </c>
      <c r="E46" s="32" t="s">
        <v>128</v>
      </c>
      <c r="F46" s="31" t="str">
        <f>CONCATENATE(LEFT(Tableau29[[#This Row],[Site]],2),Tableau29[[#This Row],[Atelier]],TEXT(Tableau29[[#This Row],[N°]],"0000"))</f>
        <v>GeG10041</v>
      </c>
      <c r="G46" s="31"/>
    </row>
    <row r="47" spans="2:7" x14ac:dyDescent="0.25">
      <c r="B47" s="31">
        <v>42</v>
      </c>
      <c r="C47" s="4" t="s">
        <v>65</v>
      </c>
      <c r="D47" s="4" t="s">
        <v>126</v>
      </c>
      <c r="E47" s="32" t="s">
        <v>127</v>
      </c>
      <c r="F47" s="31" t="str">
        <f>CONCATENATE(LEFT(Tableau29[[#This Row],[Site]],2),Tableau29[[#This Row],[Atelier]],TEXT(Tableau29[[#This Row],[N°]],"0000"))</f>
        <v>GeG10042</v>
      </c>
      <c r="G47" s="31"/>
    </row>
    <row r="48" spans="2:7" x14ac:dyDescent="0.25">
      <c r="B48" s="31">
        <v>43</v>
      </c>
      <c r="C48" s="4" t="s">
        <v>65</v>
      </c>
      <c r="D48" s="4" t="s">
        <v>126</v>
      </c>
      <c r="E48" s="32"/>
      <c r="F48" s="31" t="str">
        <f>CONCATENATE(LEFT(Tableau29[[#This Row],[Site]],2),Tableau29[[#This Row],[Atelier]],TEXT(Tableau29[[#This Row],[N°]],"0000"))</f>
        <v>GeG10043</v>
      </c>
      <c r="G48" s="3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EC32-F4C5-4931-9D4B-412E040082AE}">
  <sheetPr codeName="Feuil11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21</vt:i4>
      </vt:variant>
    </vt:vector>
  </HeadingPairs>
  <TitlesOfParts>
    <vt:vector size="32" baseType="lpstr">
      <vt:lpstr>Home</vt:lpstr>
      <vt:lpstr>Article</vt:lpstr>
      <vt:lpstr>Commande</vt:lpstr>
      <vt:lpstr>Etiquette</vt:lpstr>
      <vt:lpstr>Mouvement</vt:lpstr>
      <vt:lpstr>Fournisseur</vt:lpstr>
      <vt:lpstr>Client</vt:lpstr>
      <vt:lpstr>Config</vt:lpstr>
      <vt:lpstr>Intervention</vt:lpstr>
      <vt:lpstr>Equipement</vt:lpstr>
      <vt:lpstr>TDC</vt:lpstr>
      <vt:lpstr>Equipement!article</vt:lpstr>
      <vt:lpstr>Intervention!article</vt:lpstr>
      <vt:lpstr>article</vt:lpstr>
      <vt:lpstr>Atelier</vt:lpstr>
      <vt:lpstr>Equipement!CDC</vt:lpstr>
      <vt:lpstr>Intervention!CDC</vt:lpstr>
      <vt:lpstr>CDC</vt:lpstr>
      <vt:lpstr>Equipement!client</vt:lpstr>
      <vt:lpstr>Intervention!client</vt:lpstr>
      <vt:lpstr>client</vt:lpstr>
      <vt:lpstr>Equipement</vt:lpstr>
      <vt:lpstr>fournisseur</vt:lpstr>
      <vt:lpstr>Intervenant</vt:lpstr>
      <vt:lpstr>Mouvement</vt:lpstr>
      <vt:lpstr>Order</vt:lpstr>
      <vt:lpstr>order_id</vt:lpstr>
      <vt:lpstr>Prio</vt:lpstr>
      <vt:lpstr>Suffixe</vt:lpstr>
      <vt:lpstr>supplier</vt:lpstr>
      <vt:lpstr>Type_inter</vt:lpstr>
      <vt:lpstr>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Helvert</dc:creator>
  <cp:lastModifiedBy>Theo Helvert</cp:lastModifiedBy>
  <cp:lastPrinted>2023-01-12T09:47:00Z</cp:lastPrinted>
  <dcterms:created xsi:type="dcterms:W3CDTF">2015-06-05T18:19:34Z</dcterms:created>
  <dcterms:modified xsi:type="dcterms:W3CDTF">2023-01-31T14:10:17Z</dcterms:modified>
</cp:coreProperties>
</file>