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codeName="ThisWorkbook" defaultThemeVersion="166925"/>
  <mc:AlternateContent xmlns:mc="http://schemas.openxmlformats.org/markup-compatibility/2006">
    <mc:Choice Requires="x15">
      <x15ac:absPath xmlns:x15ac="http://schemas.microsoft.com/office/spreadsheetml/2010/11/ac" url="E:\4 Rapports\PLAN\"/>
    </mc:Choice>
  </mc:AlternateContent>
  <xr:revisionPtr revIDLastSave="0" documentId="13_ncr:1_{49235601-F16B-4978-9D4A-C1F17D91BC40}" xr6:coauthVersionLast="47" xr6:coauthVersionMax="47" xr10:uidLastSave="{00000000-0000-0000-0000-000000000000}"/>
  <workbookProtection workbookAlgorithmName="SHA-512" workbookHashValue="9vDADxPSmwRz6ZeAggxOPrxK6dICJzF61QBr7G2woRLw79dWxSVuylnz4bjt5IjR+U8C+wBRQHDreGzYDWLsuA==" workbookSaltValue="cVDCKZfMEKozTJEJw41GzA==" workbookSpinCount="100000" lockStructure="1"/>
  <bookViews>
    <workbookView xWindow="-120" yWindow="-120" windowWidth="29040" windowHeight="15720" activeTab="3" xr2:uid="{B51B7CB1-59D9-4D81-ABA8-370A3B8A8A32}"/>
  </bookViews>
  <sheets>
    <sheet name="Situation" sheetId="1" r:id="rId1"/>
    <sheet name="Tableau de répartition plan" sheetId="14" r:id="rId2"/>
    <sheet name="Tableau de répartion actuel" sheetId="15" state="hidden" r:id="rId3"/>
    <sheet name="Fiche comptable" sheetId="7" r:id="rId4"/>
    <sheet name="TX-J" sheetId="16" state="hidden" r:id="rId5"/>
    <sheet name="Quotités" sheetId="4" state="hidden" r:id="rId6"/>
    <sheet name="Budget" sheetId="5" state="hidden" r:id="rId7"/>
    <sheet name="Tableaux" sheetId="3" state="hidden" r:id="rId8"/>
  </sheets>
  <definedNames>
    <definedName name="_xlnm._FilterDatabase" localSheetId="3" hidden="1">'Fiche comptable'!$A$18:$D$226</definedName>
    <definedName name="_xlnm._FilterDatabase" localSheetId="0" hidden="1">Situation!$A$28:$F$88</definedName>
    <definedName name="quotite_saisissable">Tableaux!$G$9:$G$11</definedName>
    <definedName name="tab_quotites">Tableaux!$G$9:$H$11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1" i="7" l="1"/>
  <c r="Q20" i="7"/>
  <c r="Q22" i="7"/>
  <c r="Q23" i="7"/>
  <c r="Q24" i="7"/>
  <c r="Q25" i="7"/>
  <c r="Q26" i="7"/>
  <c r="Q27" i="7"/>
  <c r="Q28" i="7"/>
  <c r="Q29" i="7"/>
  <c r="Q30" i="7"/>
  <c r="Q31" i="7"/>
  <c r="Q32" i="7"/>
  <c r="Q33" i="7"/>
  <c r="Q34" i="7"/>
  <c r="Q35" i="7"/>
  <c r="R20" i="7"/>
  <c r="R21" i="7"/>
  <c r="R22" i="7"/>
  <c r="R23" i="7"/>
  <c r="R24" i="7"/>
  <c r="R25" i="7"/>
  <c r="R26" i="7"/>
  <c r="R27" i="7"/>
  <c r="R28" i="7"/>
  <c r="R29" i="7"/>
  <c r="R30" i="7"/>
  <c r="R31" i="7"/>
  <c r="R32" i="7"/>
  <c r="R33" i="7"/>
  <c r="R34" i="7"/>
  <c r="R35" i="7"/>
  <c r="D187" i="1"/>
  <c r="C128" i="1" l="1"/>
  <c r="C127" i="1"/>
  <c r="C126" i="1"/>
  <c r="C125" i="1"/>
  <c r="C124" i="1"/>
  <c r="B12" i="3"/>
  <c r="B11" i="3"/>
  <c r="B9" i="3"/>
  <c r="P159" i="1" l="1"/>
  <c r="A3" i="16"/>
  <c r="B3" i="16" s="1"/>
  <c r="B2" i="16"/>
  <c r="C176" i="1"/>
  <c r="A4" i="16" l="1"/>
  <c r="A5" i="16" l="1"/>
  <c r="B4" i="16"/>
  <c r="B201" i="1"/>
  <c r="A6" i="16" l="1"/>
  <c r="B5" i="16"/>
  <c r="A7" i="16" l="1"/>
  <c r="B6" i="16"/>
  <c r="P37" i="14"/>
  <c r="B117" i="1"/>
  <c r="L22" i="7" a="1"/>
  <c r="L22" i="7" s="1"/>
  <c r="P38" i="14"/>
  <c r="N33" i="7"/>
  <c r="N32" i="7"/>
  <c r="M33" i="7"/>
  <c r="M32" i="7"/>
  <c r="E117" i="1"/>
  <c r="N25" i="7"/>
  <c r="G171" i="1"/>
  <c r="D186" i="1"/>
  <c r="A8" i="16" l="1"/>
  <c r="B7" i="16"/>
  <c r="M25" i="7"/>
  <c r="E190" i="1" s="1"/>
  <c r="N29" i="7"/>
  <c r="M29" i="7" s="1"/>
  <c r="A9" i="16" l="1"/>
  <c r="B8" i="16"/>
  <c r="C142" i="1"/>
  <c r="D142" i="1" s="1"/>
  <c r="B142" i="1"/>
  <c r="C59" i="1"/>
  <c r="F59" i="1"/>
  <c r="D61" i="1"/>
  <c r="D60" i="1"/>
  <c r="A61" i="1"/>
  <c r="A60" i="1"/>
  <c r="C39" i="1"/>
  <c r="F39" i="1"/>
  <c r="D41" i="1"/>
  <c r="D40" i="1"/>
  <c r="A41" i="1"/>
  <c r="A40" i="1"/>
  <c r="D58" i="1"/>
  <c r="D57" i="1"/>
  <c r="D55" i="1"/>
  <c r="D54" i="1"/>
  <c r="E36" i="1"/>
  <c r="D38" i="1"/>
  <c r="D37" i="1"/>
  <c r="D35" i="1"/>
  <c r="D34" i="1"/>
  <c r="E33" i="1"/>
  <c r="A58" i="1"/>
  <c r="A57" i="1"/>
  <c r="A55" i="1"/>
  <c r="A54" i="1"/>
  <c r="A38" i="1"/>
  <c r="A37" i="1"/>
  <c r="A34" i="1"/>
  <c r="A35" i="1"/>
  <c r="B204" i="1"/>
  <c r="B197" i="1" s="1"/>
  <c r="A10" i="16" l="1"/>
  <c r="B9" i="16"/>
  <c r="O8" i="3"/>
  <c r="D203" i="1"/>
  <c r="D202" i="1"/>
  <c r="A11" i="16" l="1"/>
  <c r="B10" i="16"/>
  <c r="A11" i="1"/>
  <c r="C203" i="1"/>
  <c r="C202" i="1"/>
  <c r="A12" i="16" l="1"/>
  <c r="B11" i="16"/>
  <c r="L39" i="4"/>
  <c r="L38" i="4"/>
  <c r="L37" i="4"/>
  <c r="J40" i="4"/>
  <c r="J39" i="4"/>
  <c r="J38" i="4"/>
  <c r="J37" i="4"/>
  <c r="J36" i="4"/>
  <c r="J22" i="4"/>
  <c r="L21" i="4"/>
  <c r="J21" i="4"/>
  <c r="L20" i="4"/>
  <c r="J20" i="4"/>
  <c r="J19" i="4"/>
  <c r="E124" i="1"/>
  <c r="E128" i="1"/>
  <c r="E127" i="1"/>
  <c r="E126" i="1"/>
  <c r="E125" i="1"/>
  <c r="B171" i="1"/>
  <c r="P38" i="15"/>
  <c r="N33" i="15"/>
  <c r="N34" i="15"/>
  <c r="N35" i="15"/>
  <c r="N36" i="15"/>
  <c r="N37" i="15"/>
  <c r="N38" i="15"/>
  <c r="N32" i="15"/>
  <c r="D191" i="1"/>
  <c r="D189" i="1"/>
  <c r="C191" i="1"/>
  <c r="D5" i="16" a="1"/>
  <c r="D2" i="16" a="1"/>
  <c r="D11" i="16" a="1"/>
  <c r="D10" i="16" a="1"/>
  <c r="D8" i="16" a="1"/>
  <c r="D9" i="16" a="1"/>
  <c r="D4" i="16" a="1"/>
  <c r="D3" i="16" a="1"/>
  <c r="D6" i="16" a="1"/>
  <c r="D7" i="16" a="1"/>
  <c r="A13" i="16" l="1"/>
  <c r="B12" i="16"/>
  <c r="D185" i="1"/>
  <c r="K8" i="3"/>
  <c r="L8" i="3" s="1"/>
  <c r="A171" i="1" s="1"/>
  <c r="A191" i="1" s="1"/>
  <c r="D8" i="16"/>
  <c r="E8" i="16" s="1"/>
  <c r="D5" i="16"/>
  <c r="E5" i="16" s="1"/>
  <c r="D9" i="16"/>
  <c r="E9" i="16" s="1"/>
  <c r="D2" i="16"/>
  <c r="E2" i="16" s="1"/>
  <c r="D6" i="16"/>
  <c r="E6" i="16" s="1"/>
  <c r="D10" i="16"/>
  <c r="E10" i="16" s="1"/>
  <c r="D4" i="16"/>
  <c r="E4" i="16" s="1"/>
  <c r="D3" i="16"/>
  <c r="E3" i="16" s="1"/>
  <c r="D7" i="16"/>
  <c r="E7" i="16" s="1"/>
  <c r="D11" i="16"/>
  <c r="E11" i="16" s="1"/>
  <c r="N33" i="14"/>
  <c r="N34" i="14"/>
  <c r="N35" i="14"/>
  <c r="N36" i="14"/>
  <c r="N37" i="14"/>
  <c r="N38" i="14"/>
  <c r="N32" i="14"/>
  <c r="H177" i="1"/>
  <c r="C177" i="1"/>
  <c r="D177" i="1" s="1"/>
  <c r="B173" i="1"/>
  <c r="K10" i="3" s="1"/>
  <c r="L10" i="3" s="1"/>
  <c r="A173" i="1" s="1"/>
  <c r="B174" i="1"/>
  <c r="K11" i="3" s="1"/>
  <c r="L11" i="3" s="1"/>
  <c r="B175" i="1"/>
  <c r="K12" i="3" s="1"/>
  <c r="L12" i="3" s="1"/>
  <c r="A175" i="1" s="1"/>
  <c r="B176" i="1"/>
  <c r="K13" i="3" s="1"/>
  <c r="L13" i="3" s="1"/>
  <c r="A176" i="1" s="1"/>
  <c r="B177" i="1"/>
  <c r="K14" i="3" s="1"/>
  <c r="L14" i="3" s="1"/>
  <c r="A177" i="1" s="1"/>
  <c r="P2" i="14"/>
  <c r="B18" i="1"/>
  <c r="D12" i="16" a="1"/>
  <c r="D12" i="16" l="1"/>
  <c r="E12" i="16" s="1"/>
  <c r="A14" i="16"/>
  <c r="B13" i="16"/>
  <c r="A174" i="1"/>
  <c r="F6" i="16"/>
  <c r="G6" i="16" s="1"/>
  <c r="N60" i="14"/>
  <c r="D13" i="16" a="1"/>
  <c r="D13" i="16" l="1"/>
  <c r="E13" i="16" s="1"/>
  <c r="A15" i="16"/>
  <c r="B14" i="16"/>
  <c r="C86" i="1"/>
  <c r="D14" i="16" a="1"/>
  <c r="D14" i="16" l="1"/>
  <c r="E14" i="16" s="1"/>
  <c r="A16" i="16"/>
  <c r="B15" i="16"/>
  <c r="F31" i="5"/>
  <c r="F32" i="5"/>
  <c r="F26" i="5"/>
  <c r="F27" i="5"/>
  <c r="F28" i="5"/>
  <c r="F22" i="5"/>
  <c r="F23" i="5"/>
  <c r="F24" i="5"/>
  <c r="F9" i="5"/>
  <c r="F7" i="5"/>
  <c r="B32" i="5"/>
  <c r="B31" i="5"/>
  <c r="B28" i="5"/>
  <c r="B27" i="5"/>
  <c r="B24" i="5"/>
  <c r="B23" i="5"/>
  <c r="B22" i="5"/>
  <c r="B9" i="5"/>
  <c r="B7" i="5"/>
  <c r="G35" i="5"/>
  <c r="C189" i="1"/>
  <c r="D15" i="16" a="1"/>
  <c r="D15" i="16" l="1"/>
  <c r="E15" i="16" s="1"/>
  <c r="A17" i="16"/>
  <c r="B16" i="16"/>
  <c r="F35" i="5"/>
  <c r="B35" i="5"/>
  <c r="D1" i="15"/>
  <c r="B1" i="15"/>
  <c r="D16" i="16" a="1"/>
  <c r="D16" i="16" l="1"/>
  <c r="E16" i="16" s="1"/>
  <c r="A18" i="16"/>
  <c r="B17" i="16"/>
  <c r="P4" i="15"/>
  <c r="O23" i="15" s="1"/>
  <c r="B86" i="15"/>
  <c r="B11" i="15"/>
  <c r="B19" i="15"/>
  <c r="B27" i="15"/>
  <c r="B35" i="15"/>
  <c r="B43" i="15"/>
  <c r="B51" i="15"/>
  <c r="B59" i="15"/>
  <c r="B67" i="15"/>
  <c r="B75" i="15"/>
  <c r="B83" i="15"/>
  <c r="B5" i="15"/>
  <c r="B13" i="15"/>
  <c r="B21" i="15"/>
  <c r="B29" i="15"/>
  <c r="B37" i="15"/>
  <c r="B45" i="15"/>
  <c r="B53" i="15"/>
  <c r="B61" i="15"/>
  <c r="B69" i="15"/>
  <c r="B77" i="15"/>
  <c r="B85" i="15"/>
  <c r="B8" i="15"/>
  <c r="B24" i="15"/>
  <c r="B40" i="15"/>
  <c r="B64" i="15"/>
  <c r="B72" i="15"/>
  <c r="B17" i="15"/>
  <c r="B33" i="15"/>
  <c r="B49" i="15"/>
  <c r="B65" i="15"/>
  <c r="B81" i="15"/>
  <c r="B6" i="15"/>
  <c r="B14" i="15"/>
  <c r="B22" i="15"/>
  <c r="B30" i="15"/>
  <c r="B38" i="15"/>
  <c r="B46" i="15"/>
  <c r="B54" i="15"/>
  <c r="B62" i="15"/>
  <c r="B70" i="15"/>
  <c r="B78" i="15"/>
  <c r="B3" i="15"/>
  <c r="B16" i="15"/>
  <c r="B32" i="15"/>
  <c r="B48" i="15"/>
  <c r="B56" i="15"/>
  <c r="B80" i="15"/>
  <c r="B9" i="15"/>
  <c r="B25" i="15"/>
  <c r="B41" i="15"/>
  <c r="B57" i="15"/>
  <c r="B73" i="15"/>
  <c r="B7" i="15"/>
  <c r="B15" i="15"/>
  <c r="B23" i="15"/>
  <c r="B31" i="15"/>
  <c r="B39" i="15"/>
  <c r="B47" i="15"/>
  <c r="B55" i="15"/>
  <c r="B63" i="15"/>
  <c r="B71" i="15"/>
  <c r="B79" i="15"/>
  <c r="B10" i="15"/>
  <c r="B18" i="15"/>
  <c r="B26" i="15"/>
  <c r="B34" i="15"/>
  <c r="B42" i="15"/>
  <c r="B50" i="15"/>
  <c r="B58" i="15"/>
  <c r="B66" i="15"/>
  <c r="B74" i="15"/>
  <c r="B82" i="15"/>
  <c r="B4" i="15"/>
  <c r="B12" i="15"/>
  <c r="B20" i="15"/>
  <c r="B28" i="15"/>
  <c r="B36" i="15"/>
  <c r="B44" i="15"/>
  <c r="B52" i="15"/>
  <c r="B60" i="15"/>
  <c r="B68" i="15"/>
  <c r="B76" i="15"/>
  <c r="B84" i="15"/>
  <c r="O2" i="15"/>
  <c r="P2" i="15"/>
  <c r="D1" i="14"/>
  <c r="B1" i="14"/>
  <c r="D17" i="16" a="1"/>
  <c r="B4" i="14" l="1"/>
  <c r="P4" i="14"/>
  <c r="O23" i="14" s="1"/>
  <c r="D17" i="16"/>
  <c r="E17" i="16" s="1"/>
  <c r="A19" i="16"/>
  <c r="B18" i="16"/>
  <c r="G86" i="15" a="1"/>
  <c r="G86" i="15" s="1"/>
  <c r="B8" i="14"/>
  <c r="B16" i="14"/>
  <c r="B24" i="14"/>
  <c r="B32" i="14"/>
  <c r="B40" i="14"/>
  <c r="B48" i="14"/>
  <c r="B56" i="14"/>
  <c r="B64" i="14"/>
  <c r="B72" i="14"/>
  <c r="B80" i="14"/>
  <c r="B25" i="14"/>
  <c r="B41" i="14"/>
  <c r="B57" i="14"/>
  <c r="B73" i="14"/>
  <c r="B10" i="14"/>
  <c r="B18" i="14"/>
  <c r="B26" i="14"/>
  <c r="B34" i="14"/>
  <c r="B42" i="14"/>
  <c r="B50" i="14"/>
  <c r="B58" i="14"/>
  <c r="B66" i="14"/>
  <c r="B74" i="14"/>
  <c r="B82" i="14"/>
  <c r="B52" i="14"/>
  <c r="B60" i="14"/>
  <c r="B76" i="14"/>
  <c r="B5" i="14"/>
  <c r="B21" i="14"/>
  <c r="B37" i="14"/>
  <c r="B53" i="14"/>
  <c r="B69" i="14"/>
  <c r="B85" i="14"/>
  <c r="B14" i="14"/>
  <c r="B30" i="14"/>
  <c r="B46" i="14"/>
  <c r="B62" i="14"/>
  <c r="B78" i="14"/>
  <c r="B11" i="14"/>
  <c r="B19" i="14"/>
  <c r="B27" i="14"/>
  <c r="B35" i="14"/>
  <c r="B43" i="14"/>
  <c r="B51" i="14"/>
  <c r="B59" i="14"/>
  <c r="B67" i="14"/>
  <c r="B75" i="14"/>
  <c r="B83" i="14"/>
  <c r="B44" i="14"/>
  <c r="B68" i="14"/>
  <c r="B84" i="14"/>
  <c r="B13" i="14"/>
  <c r="B29" i="14"/>
  <c r="B45" i="14"/>
  <c r="B61" i="14"/>
  <c r="B77" i="14"/>
  <c r="B6" i="14"/>
  <c r="B22" i="14"/>
  <c r="B38" i="14"/>
  <c r="B54" i="14"/>
  <c r="B70" i="14"/>
  <c r="B86" i="14"/>
  <c r="B12" i="14"/>
  <c r="B20" i="14"/>
  <c r="B28" i="14"/>
  <c r="B36" i="14"/>
  <c r="B7" i="14"/>
  <c r="B15" i="14"/>
  <c r="B23" i="14"/>
  <c r="B31" i="14"/>
  <c r="B39" i="14"/>
  <c r="B47" i="14"/>
  <c r="B55" i="14"/>
  <c r="B63" i="14"/>
  <c r="B71" i="14"/>
  <c r="B79" i="14"/>
  <c r="B3" i="14"/>
  <c r="B9" i="14"/>
  <c r="B17" i="14"/>
  <c r="B33" i="14"/>
  <c r="B49" i="14"/>
  <c r="B65" i="14"/>
  <c r="B81" i="14"/>
  <c r="O2" i="14"/>
  <c r="C3" i="15"/>
  <c r="C4" i="15" s="1"/>
  <c r="K4" i="15" s="1"/>
  <c r="D18" i="16" a="1"/>
  <c r="D18" i="16" l="1"/>
  <c r="E18" i="16" s="1"/>
  <c r="A20" i="16"/>
  <c r="B19" i="16"/>
  <c r="K3" i="15"/>
  <c r="J3" i="15" s="1"/>
  <c r="G86" i="14" a="1"/>
  <c r="G86" i="14" s="1"/>
  <c r="E4" i="15" a="1"/>
  <c r="E4" i="15" s="1"/>
  <c r="C5" i="15"/>
  <c r="K5" i="15" s="1"/>
  <c r="E3" i="15"/>
  <c r="D3" i="15"/>
  <c r="I3" i="15"/>
  <c r="C3" i="14"/>
  <c r="K3" i="14" s="1"/>
  <c r="D19" i="16" a="1"/>
  <c r="F18" i="16" l="1"/>
  <c r="G18" i="16" s="1"/>
  <c r="D19" i="16"/>
  <c r="E19" i="16" s="1"/>
  <c r="A21" i="16"/>
  <c r="B20" i="16"/>
  <c r="I3" i="14"/>
  <c r="E3" i="14"/>
  <c r="E5" i="15" a="1"/>
  <c r="E5" i="15" s="1"/>
  <c r="C6" i="15"/>
  <c r="K6" i="15" s="1"/>
  <c r="C4" i="14"/>
  <c r="K4" i="14" s="1"/>
  <c r="D4" i="15"/>
  <c r="I4" i="15"/>
  <c r="D3" i="14"/>
  <c r="J4" i="15"/>
  <c r="D20" i="16" a="1"/>
  <c r="D20" i="16" l="1"/>
  <c r="E20" i="16" s="1"/>
  <c r="A22" i="16"/>
  <c r="B21" i="16"/>
  <c r="E4" i="14" a="1"/>
  <c r="E4" i="14" s="1"/>
  <c r="E6" i="15" a="1"/>
  <c r="E6" i="15" s="1"/>
  <c r="C5" i="14"/>
  <c r="K5" i="14" s="1"/>
  <c r="C7" i="15"/>
  <c r="K7" i="15" s="1"/>
  <c r="D4" i="14"/>
  <c r="I4" i="14"/>
  <c r="D5" i="15"/>
  <c r="I5" i="15"/>
  <c r="J5" i="15"/>
  <c r="J3" i="14"/>
  <c r="D21" i="16" a="1"/>
  <c r="D21" i="16" l="1"/>
  <c r="E21" i="16" s="1"/>
  <c r="A23" i="16"/>
  <c r="B22" i="16"/>
  <c r="E5" i="14" a="1"/>
  <c r="E5" i="14" s="1"/>
  <c r="E7" i="15" a="1"/>
  <c r="E7" i="15" s="1"/>
  <c r="C6" i="14"/>
  <c r="K6" i="14" s="1"/>
  <c r="C8" i="15"/>
  <c r="K8" i="15" s="1"/>
  <c r="D6" i="15"/>
  <c r="I6" i="15"/>
  <c r="I5" i="14"/>
  <c r="D5" i="14"/>
  <c r="J6" i="15"/>
  <c r="D22" i="16" a="1"/>
  <c r="D22" i="16" l="1"/>
  <c r="E22" i="16" s="1"/>
  <c r="A24" i="16"/>
  <c r="B23" i="16"/>
  <c r="E8" i="15" a="1"/>
  <c r="E8" i="15" s="1"/>
  <c r="C9" i="15"/>
  <c r="K9" i="15" s="1"/>
  <c r="D6" i="14"/>
  <c r="I6" i="14"/>
  <c r="D7" i="15"/>
  <c r="I7" i="15"/>
  <c r="J7" i="15"/>
  <c r="D23" i="16" a="1"/>
  <c r="D23" i="16" l="1"/>
  <c r="E23" i="16" s="1"/>
  <c r="A25" i="16"/>
  <c r="B24" i="16"/>
  <c r="E9" i="15" a="1"/>
  <c r="E9" i="15" s="1"/>
  <c r="C10" i="15"/>
  <c r="K10" i="15" s="1"/>
  <c r="D8" i="15"/>
  <c r="I8" i="15"/>
  <c r="J8" i="15"/>
  <c r="D24" i="16" a="1"/>
  <c r="D24" i="16" l="1"/>
  <c r="E24" i="16" s="1"/>
  <c r="B25" i="16"/>
  <c r="E10" i="15" a="1"/>
  <c r="E10" i="15" s="1"/>
  <c r="C11" i="15"/>
  <c r="K11" i="15" s="1"/>
  <c r="D9" i="15"/>
  <c r="I9" i="15"/>
  <c r="J9" i="15"/>
  <c r="D25" i="16" a="1"/>
  <c r="D25" i="16" l="1"/>
  <c r="E25" i="16" s="1"/>
  <c r="E11" i="15" a="1"/>
  <c r="E11" i="15" s="1"/>
  <c r="C12" i="15"/>
  <c r="K12" i="15" s="1"/>
  <c r="D10" i="15"/>
  <c r="I10" i="15"/>
  <c r="J10" i="15"/>
  <c r="B21" i="4"/>
  <c r="B19" i="4"/>
  <c r="B40" i="4"/>
  <c r="D39" i="4"/>
  <c r="B39" i="4"/>
  <c r="D38" i="4"/>
  <c r="B38" i="4"/>
  <c r="D37" i="4"/>
  <c r="B37" i="4"/>
  <c r="B36" i="4"/>
  <c r="B22" i="4"/>
  <c r="D21" i="4"/>
  <c r="D20" i="4"/>
  <c r="B20" i="4"/>
  <c r="E12" i="3"/>
  <c r="B16" i="3"/>
  <c r="E11" i="3"/>
  <c r="B15" i="3"/>
  <c r="E9" i="3"/>
  <c r="B13" i="3"/>
  <c r="C11" i="1"/>
  <c r="C9" i="1"/>
  <c r="A22" i="1"/>
  <c r="E12" i="15" l="1" a="1"/>
  <c r="E12" i="15" s="1"/>
  <c r="C13" i="15"/>
  <c r="K13" i="15" s="1"/>
  <c r="I11" i="15"/>
  <c r="D11" i="15"/>
  <c r="J11" i="15"/>
  <c r="C187" i="1"/>
  <c r="B186" i="1"/>
  <c r="D190" i="1"/>
  <c r="C190" i="1"/>
  <c r="C186" i="1"/>
  <c r="C201" i="1" l="1"/>
  <c r="C204" i="1" s="1"/>
  <c r="C205" i="1" s="1"/>
  <c r="D201" i="1"/>
  <c r="D204" i="1" s="1"/>
  <c r="D205" i="1" s="1"/>
  <c r="E13" i="15" a="1"/>
  <c r="E13" i="15" s="1"/>
  <c r="C14" i="15"/>
  <c r="K14" i="15" s="1"/>
  <c r="D12" i="15"/>
  <c r="I12" i="15"/>
  <c r="J12" i="15"/>
  <c r="E14" i="15" l="1" a="1"/>
  <c r="E14" i="15" s="1"/>
  <c r="C15" i="15"/>
  <c r="K15" i="15" s="1"/>
  <c r="D13" i="15"/>
  <c r="I13" i="15"/>
  <c r="J13" i="15"/>
  <c r="E15" i="15" l="1" a="1"/>
  <c r="E15" i="15" s="1"/>
  <c r="C16" i="15"/>
  <c r="K16" i="15" s="1"/>
  <c r="I14" i="15"/>
  <c r="D14" i="15"/>
  <c r="J14" i="15"/>
  <c r="E16" i="15" l="1" a="1"/>
  <c r="E16" i="15" s="1"/>
  <c r="C17" i="15"/>
  <c r="K17" i="15" s="1"/>
  <c r="D15" i="15"/>
  <c r="I15" i="15"/>
  <c r="J15" i="15"/>
  <c r="C35" i="5"/>
  <c r="E10" i="3"/>
  <c r="E14" i="3" s="1"/>
  <c r="B10" i="3"/>
  <c r="B14" i="3" s="1"/>
  <c r="E13" i="3"/>
  <c r="E17" i="15" l="1" a="1"/>
  <c r="E17" i="15" s="1"/>
  <c r="C18" i="15"/>
  <c r="K18" i="15" s="1"/>
  <c r="D16" i="15"/>
  <c r="I16" i="15"/>
  <c r="J16" i="15"/>
  <c r="E111" i="1"/>
  <c r="A204" i="1"/>
  <c r="E18" i="15" l="1" a="1"/>
  <c r="E18" i="15" s="1"/>
  <c r="C19" i="15"/>
  <c r="K19" i="15" s="1"/>
  <c r="D17" i="15"/>
  <c r="I17" i="15"/>
  <c r="J17" i="15"/>
  <c r="B118" i="1"/>
  <c r="E19" i="15" l="1" a="1"/>
  <c r="E19" i="15" s="1"/>
  <c r="C20" i="15"/>
  <c r="K20" i="15" s="1"/>
  <c r="D18" i="15"/>
  <c r="I18" i="15"/>
  <c r="J18" i="15"/>
  <c r="E20" i="15" l="1" a="1"/>
  <c r="E20" i="15" s="1"/>
  <c r="C21" i="15"/>
  <c r="K21" i="15" s="1"/>
  <c r="D19" i="15"/>
  <c r="I19" i="15"/>
  <c r="J19" i="15"/>
  <c r="D26" i="1"/>
  <c r="E21" i="15" l="1" a="1"/>
  <c r="E21" i="15" s="1"/>
  <c r="C22" i="15"/>
  <c r="K22" i="15" s="1"/>
  <c r="D20" i="15"/>
  <c r="I20" i="15"/>
  <c r="J20" i="15"/>
  <c r="L161" i="1"/>
  <c r="E86" i="1"/>
  <c r="E118" i="1"/>
  <c r="E22" i="15" l="1" a="1"/>
  <c r="E22" i="15" s="1"/>
  <c r="C23" i="15"/>
  <c r="K23" i="15" s="1"/>
  <c r="D21" i="15"/>
  <c r="I21" i="15"/>
  <c r="J21" i="15"/>
  <c r="C148" i="1"/>
  <c r="B148" i="1"/>
  <c r="O34" i="4"/>
  <c r="O17" i="4"/>
  <c r="O5" i="4"/>
  <c r="C36" i="1"/>
  <c r="D22" i="15" l="1"/>
  <c r="I22" i="15"/>
  <c r="D23" i="15" l="1"/>
  <c r="I23" i="15"/>
  <c r="C33" i="1"/>
  <c r="E115" i="1"/>
  <c r="E113" i="1" s="1"/>
  <c r="F114" i="1" s="1"/>
  <c r="B115" i="1"/>
  <c r="E16" i="3"/>
  <c r="D93" i="1"/>
  <c r="E15" i="3"/>
  <c r="A93" i="1"/>
  <c r="B112" i="1" l="1"/>
  <c r="B113" i="1"/>
  <c r="L164" i="1"/>
  <c r="E112" i="1"/>
  <c r="G34" i="4" l="1"/>
  <c r="G17" i="4"/>
  <c r="G5" i="4"/>
  <c r="B111" i="1"/>
  <c r="B194" i="1"/>
  <c r="P171" i="1"/>
  <c r="E56" i="1"/>
  <c r="C56" i="1"/>
  <c r="E53" i="1"/>
  <c r="C53" i="1"/>
  <c r="E67" i="1" l="1"/>
  <c r="C67" i="1"/>
  <c r="C5" i="4" s="1"/>
  <c r="B130" i="1"/>
  <c r="C130" i="1"/>
  <c r="B107" i="1" s="1"/>
  <c r="B150" i="1" s="1"/>
  <c r="M31" i="7" s="1"/>
  <c r="E130" i="1"/>
  <c r="E107" i="1" s="1"/>
  <c r="C150" i="1" s="1"/>
  <c r="N31" i="7" s="1"/>
  <c r="D130" i="1"/>
  <c r="K5" i="4" l="1"/>
  <c r="H170" i="1" a="1"/>
  <c r="H170" i="1" s="1"/>
  <c r="C34" i="4"/>
  <c r="C17" i="4"/>
  <c r="F29" i="1"/>
  <c r="E109" i="1"/>
  <c r="B93" i="1"/>
  <c r="B109" i="1"/>
  <c r="F1" i="15"/>
  <c r="L160" i="1"/>
  <c r="F1" i="14"/>
  <c r="L162" i="1"/>
  <c r="F81" i="1"/>
  <c r="F74" i="1"/>
  <c r="F80" i="1"/>
  <c r="F77" i="1"/>
  <c r="F85" i="1"/>
  <c r="F76" i="1"/>
  <c r="F84" i="1"/>
  <c r="F75" i="1"/>
  <c r="F83" i="1"/>
  <c r="F82" i="1"/>
  <c r="F73" i="1"/>
  <c r="F72" i="1"/>
  <c r="F71" i="1"/>
  <c r="F79" i="1"/>
  <c r="F66" i="1"/>
  <c r="D131" i="1"/>
  <c r="C149" i="1" s="1"/>
  <c r="N24" i="7" s="1"/>
  <c r="D107" i="1"/>
  <c r="F53" i="1"/>
  <c r="B131" i="1"/>
  <c r="B149" i="1" s="1"/>
  <c r="A107" i="1"/>
  <c r="F56" i="1"/>
  <c r="F33" i="1"/>
  <c r="F36" i="1"/>
  <c r="E101" i="1"/>
  <c r="E94" i="1"/>
  <c r="B101" i="1"/>
  <c r="B94" i="1"/>
  <c r="C140" i="1"/>
  <c r="C144" i="1" s="1"/>
  <c r="D144" i="1" s="1"/>
  <c r="F65" i="1"/>
  <c r="F46" i="1"/>
  <c r="F45" i="1"/>
  <c r="B140" i="1"/>
  <c r="F51" i="1"/>
  <c r="F44" i="1"/>
  <c r="F50" i="1"/>
  <c r="F63" i="1"/>
  <c r="F49" i="1"/>
  <c r="F62" i="1"/>
  <c r="F43" i="1"/>
  <c r="F64" i="1"/>
  <c r="F30" i="1"/>
  <c r="F47" i="1"/>
  <c r="F31" i="1"/>
  <c r="F42" i="1"/>
  <c r="D90" i="1"/>
  <c r="E93" i="1"/>
  <c r="M24" i="7" l="1"/>
  <c r="B151" i="1"/>
  <c r="M34" i="7"/>
  <c r="C151" i="1"/>
  <c r="N34" i="7" s="1"/>
  <c r="F12" i="4"/>
  <c r="G12" i="4" s="1"/>
  <c r="F9" i="4"/>
  <c r="G9" i="4" s="1"/>
  <c r="F21" i="4"/>
  <c r="G21" i="4" s="1"/>
  <c r="F22" i="4"/>
  <c r="G22" i="4" s="1"/>
  <c r="F40" i="4"/>
  <c r="G40" i="4" s="1"/>
  <c r="F67" i="1"/>
  <c r="F86" i="1"/>
  <c r="F10" i="4"/>
  <c r="G10" i="4" s="1"/>
  <c r="F11" i="4"/>
  <c r="G11" i="4" s="1"/>
  <c r="B132" i="1"/>
  <c r="C132" i="1" s="1"/>
  <c r="D140" i="1"/>
  <c r="D132" i="1"/>
  <c r="E132" i="1" s="1"/>
  <c r="F37" i="4"/>
  <c r="G37" i="4" s="1"/>
  <c r="F39" i="4"/>
  <c r="G39" i="4" s="1"/>
  <c r="F38" i="4"/>
  <c r="G38" i="4" s="1"/>
  <c r="F20" i="4"/>
  <c r="G20" i="4" s="1"/>
  <c r="B91" i="1"/>
  <c r="F91" i="1"/>
  <c r="D151" i="1" l="1"/>
  <c r="B152" i="1"/>
  <c r="M21" i="7" s="1"/>
  <c r="F68" i="1"/>
  <c r="C152" i="1"/>
  <c r="N21" i="7" s="1"/>
  <c r="G23" i="4"/>
  <c r="H10" i="3" s="1"/>
  <c r="G41" i="4"/>
  <c r="H11" i="3" s="1"/>
  <c r="G13" i="4"/>
  <c r="H9" i="3" s="1"/>
  <c r="E68" i="1"/>
  <c r="B143" i="1"/>
  <c r="C131" i="1"/>
  <c r="E131" i="1"/>
  <c r="C143" i="1"/>
  <c r="D143" i="1" s="1"/>
  <c r="E189" i="1" l="1"/>
  <c r="F189" i="1" s="1"/>
  <c r="K34" i="4"/>
  <c r="K17" i="4"/>
  <c r="N9" i="4"/>
  <c r="O9" i="4" s="1"/>
  <c r="N11" i="4"/>
  <c r="O11" i="4" s="1"/>
  <c r="N12" i="4"/>
  <c r="O12" i="4" s="1"/>
  <c r="N10" i="4"/>
  <c r="O10" i="4" s="1"/>
  <c r="B97" i="1"/>
  <c r="O13" i="4" l="1"/>
  <c r="H14" i="3" s="1"/>
  <c r="N21" i="4"/>
  <c r="O21" i="4" s="1"/>
  <c r="N22" i="4"/>
  <c r="O22" i="4" s="1"/>
  <c r="N20" i="4"/>
  <c r="O20" i="4" s="1"/>
  <c r="N39" i="4"/>
  <c r="O39" i="4" s="1"/>
  <c r="N40" i="4"/>
  <c r="O40" i="4" s="1"/>
  <c r="N37" i="4"/>
  <c r="O37" i="4" s="1"/>
  <c r="N38" i="4"/>
  <c r="O38" i="4" s="1"/>
  <c r="A96" i="1"/>
  <c r="B100" i="1"/>
  <c r="B99" i="1" s="1"/>
  <c r="C114" i="1" s="1"/>
  <c r="F113" i="1"/>
  <c r="O41" i="4" l="1"/>
  <c r="H16" i="3" s="1"/>
  <c r="O23" i="4"/>
  <c r="H15" i="3" s="1"/>
  <c r="B106" i="1"/>
  <c r="A106" i="1" s="1"/>
  <c r="A103" i="1"/>
  <c r="E97" i="1" l="1"/>
  <c r="B141" i="1"/>
  <c r="B144" i="1" s="1"/>
  <c r="C113" i="1"/>
  <c r="L165" i="1"/>
  <c r="D96" i="1" l="1"/>
  <c r="E100" i="1"/>
  <c r="F99" i="1" s="1"/>
  <c r="D103" i="1" s="1"/>
  <c r="C141" i="1" s="1"/>
  <c r="D141" i="1" s="1"/>
  <c r="D120" i="1"/>
  <c r="G161" i="1"/>
  <c r="B161" i="1"/>
  <c r="B145" i="1"/>
  <c r="G1" i="14" s="1"/>
  <c r="B120" i="1"/>
  <c r="D149" i="1"/>
  <c r="D148" i="1"/>
  <c r="E106" i="1" l="1"/>
  <c r="C145" i="1"/>
  <c r="C146" i="1" s="1"/>
  <c r="G164" i="1"/>
  <c r="N28" i="7" s="1"/>
  <c r="N26" i="7"/>
  <c r="M26" i="7" s="1"/>
  <c r="E196" i="1" s="1"/>
  <c r="G1" i="15"/>
  <c r="D106" i="1"/>
  <c r="B164" i="1"/>
  <c r="B146" i="1"/>
  <c r="B153" i="1" s="1"/>
  <c r="C155" i="1" l="1"/>
  <c r="M28" i="7"/>
  <c r="E198" i="1" s="1"/>
  <c r="G165" i="1"/>
  <c r="N19" i="7" s="1"/>
  <c r="B165" i="1"/>
  <c r="M19" i="7" s="1"/>
  <c r="E1" i="15"/>
  <c r="O7" i="15" s="1"/>
  <c r="D150" i="1"/>
  <c r="B155" i="1"/>
  <c r="D145" i="1"/>
  <c r="C153" i="1"/>
  <c r="C170" i="1" l="1"/>
  <c r="E186" i="1"/>
  <c r="K1" i="15"/>
  <c r="O4" i="15" s="1"/>
  <c r="J22" i="15"/>
  <c r="E1" i="14"/>
  <c r="O7" i="14" s="1"/>
  <c r="N56" i="14"/>
  <c r="K1" i="14"/>
  <c r="D152" i="1"/>
  <c r="D146" i="1"/>
  <c r="O4" i="14" l="1"/>
  <c r="D153" i="1"/>
  <c r="L1" i="14" l="1"/>
  <c r="O3" i="14" s="1"/>
  <c r="O5" i="14" s="1"/>
  <c r="F87" i="1"/>
  <c r="E87" i="1" s="1"/>
  <c r="M7" i="14" l="1"/>
  <c r="P8" i="14" s="1"/>
  <c r="P22" i="14"/>
  <c r="Q8" i="14" l="1"/>
  <c r="N9" i="14" l="1"/>
  <c r="P9" i="14" s="1"/>
  <c r="M9" i="14" l="1"/>
  <c r="O9" i="14" a="1"/>
  <c r="O9" i="14" s="1"/>
  <c r="Q9" i="14" s="1"/>
  <c r="R9" i="14" s="1"/>
  <c r="N10" i="14" s="1"/>
  <c r="P10" i="14" s="1"/>
  <c r="O10" i="14" l="1" a="1"/>
  <c r="O10" i="14" s="1"/>
  <c r="M10" i="14"/>
  <c r="Q10" i="14" l="1"/>
  <c r="R10" i="14" l="1"/>
  <c r="N11" i="14" s="1"/>
  <c r="P11" i="14" s="1"/>
  <c r="M11" i="14" l="1"/>
  <c r="O11" i="14" a="1"/>
  <c r="O11" i="14" s="1"/>
  <c r="J4" i="14" l="1"/>
  <c r="J5" i="14" l="1"/>
  <c r="J6" i="14" l="1"/>
  <c r="E6" i="14" a="1"/>
  <c r="E6" i="14" s="1"/>
  <c r="C7" i="14"/>
  <c r="K7" i="14" s="1"/>
  <c r="J7" i="14" l="1"/>
  <c r="C8" i="14"/>
  <c r="K8" i="14" s="1"/>
  <c r="D7" i="14"/>
  <c r="I7" i="14"/>
  <c r="E7" i="14" s="1" a="1"/>
  <c r="E7" i="14" s="1"/>
  <c r="D8" i="14" l="1"/>
  <c r="J8" i="14"/>
  <c r="I8" i="14"/>
  <c r="E8" i="14" s="1" a="1"/>
  <c r="E8" i="14" s="1"/>
  <c r="C9" i="14"/>
  <c r="K9" i="14" s="1"/>
  <c r="D9" i="14" l="1"/>
  <c r="I9" i="14"/>
  <c r="E9" i="14" s="1" a="1"/>
  <c r="E9" i="14" s="1"/>
  <c r="C10" i="14"/>
  <c r="K10" i="14" s="1"/>
  <c r="J10" i="14" l="1"/>
  <c r="I10" i="14"/>
  <c r="D10" i="14"/>
  <c r="E10" i="14" a="1"/>
  <c r="E10" i="14" s="1"/>
  <c r="C11" i="14"/>
  <c r="K11" i="14" s="1"/>
  <c r="D11" i="14" l="1"/>
  <c r="J11" i="14"/>
  <c r="I11" i="14"/>
  <c r="E11" i="14" s="1" a="1"/>
  <c r="E11" i="14" s="1"/>
  <c r="C12" i="14"/>
  <c r="K12" i="14" s="1"/>
  <c r="D12" i="14" l="1"/>
  <c r="J12" i="14"/>
  <c r="C13" i="14"/>
  <c r="K13" i="14" s="1"/>
  <c r="I12" i="14"/>
  <c r="E12" i="14" s="1" a="1"/>
  <c r="E12" i="14" s="1"/>
  <c r="E13" i="14" l="1" a="1"/>
  <c r="E13" i="14" s="1"/>
  <c r="I13" i="14"/>
  <c r="J13" i="14"/>
  <c r="D13" i="14"/>
  <c r="C14" i="14"/>
  <c r="K14" i="14" s="1"/>
  <c r="J14" i="14" l="1"/>
  <c r="C15" i="14"/>
  <c r="K15" i="14" s="1"/>
  <c r="D14" i="14"/>
  <c r="I14" i="14"/>
  <c r="E14" i="14" s="1" a="1"/>
  <c r="E14" i="14" s="1"/>
  <c r="D15" i="14" l="1"/>
  <c r="C16" i="14"/>
  <c r="K16" i="14" s="1"/>
  <c r="J15" i="14"/>
  <c r="I15" i="14"/>
  <c r="E15" i="14" s="1" a="1"/>
  <c r="E15" i="14" s="1"/>
  <c r="I16" i="14" l="1"/>
  <c r="J16" i="14"/>
  <c r="C17" i="14"/>
  <c r="K17" i="14" s="1"/>
  <c r="D16" i="14"/>
  <c r="E16" i="14" l="1" a="1"/>
  <c r="E16" i="14" s="1"/>
  <c r="E17" i="14" a="1"/>
  <c r="E17" i="14" s="1"/>
  <c r="I17" i="14"/>
  <c r="J17" i="14"/>
  <c r="D17" i="14"/>
  <c r="C18" i="14"/>
  <c r="K18" i="14" s="1"/>
  <c r="J18" i="14" l="1"/>
  <c r="C19" i="14"/>
  <c r="K19" i="14" s="1"/>
  <c r="I18" i="14"/>
  <c r="E18" i="14" s="1" a="1"/>
  <c r="E18" i="14" s="1"/>
  <c r="D18" i="14"/>
  <c r="D19" i="14" l="1"/>
  <c r="J19" i="14"/>
  <c r="C20" i="14"/>
  <c r="K20" i="14" s="1"/>
  <c r="I19" i="14"/>
  <c r="E19" i="14" s="1" a="1"/>
  <c r="E19" i="14" s="1"/>
  <c r="J20" i="14" l="1"/>
  <c r="C21" i="14"/>
  <c r="K21" i="14" s="1"/>
  <c r="D20" i="14"/>
  <c r="I20" i="14"/>
  <c r="E20" i="14" s="1" a="1"/>
  <c r="E20" i="14" s="1"/>
  <c r="I21" i="14" l="1"/>
  <c r="E21" i="14" s="1" a="1"/>
  <c r="E21" i="14" s="1"/>
  <c r="D21" i="14"/>
  <c r="J21" i="14"/>
  <c r="C22" i="14"/>
  <c r="K22" i="14" s="1"/>
  <c r="C23" i="14" l="1"/>
  <c r="K23" i="14" s="1"/>
  <c r="I22" i="14"/>
  <c r="E22" i="14" s="1" a="1"/>
  <c r="E22" i="14" s="1"/>
  <c r="D22" i="14"/>
  <c r="J22" i="14"/>
  <c r="D23" i="14" l="1"/>
  <c r="I23" i="14"/>
  <c r="C24" i="14"/>
  <c r="K24" i="14" s="1"/>
  <c r="E23" i="14" a="1"/>
  <c r="E23" i="14" s="1"/>
  <c r="J23" i="14"/>
  <c r="I24" i="14" l="1"/>
  <c r="E24" i="14" s="1" a="1"/>
  <c r="E24" i="14" s="1"/>
  <c r="C25" i="14"/>
  <c r="K25" i="14" s="1"/>
  <c r="D24" i="14"/>
  <c r="I25" i="14" l="1"/>
  <c r="C26" i="14"/>
  <c r="K26" i="14" s="1"/>
  <c r="D25" i="14"/>
  <c r="E25" i="14" l="1" a="1"/>
  <c r="E25" i="14" s="1"/>
  <c r="J26" i="14"/>
  <c r="D26" i="14"/>
  <c r="I26" i="14"/>
  <c r="E26" i="14" s="1" a="1"/>
  <c r="E26" i="14" s="1"/>
  <c r="C27" i="14"/>
  <c r="K27" i="14" s="1"/>
  <c r="C28" i="14" l="1"/>
  <c r="K28" i="14" s="1"/>
  <c r="I27" i="14"/>
  <c r="E27" i="14" s="1" a="1"/>
  <c r="E27" i="14" s="1"/>
  <c r="D27" i="14"/>
  <c r="C29" i="14" l="1"/>
  <c r="K29" i="14" s="1"/>
  <c r="D28" i="14"/>
  <c r="I28" i="14"/>
  <c r="E28" i="14" s="1" a="1"/>
  <c r="E28" i="14" s="1"/>
  <c r="D29" i="14" l="1"/>
  <c r="J29" i="14"/>
  <c r="C30" i="14"/>
  <c r="K30" i="14" s="1"/>
  <c r="I29" i="14"/>
  <c r="E29" i="14" s="1" a="1"/>
  <c r="E29" i="14" s="1"/>
  <c r="C31" i="14" l="1"/>
  <c r="D30" i="14"/>
  <c r="I30" i="14"/>
  <c r="E30" i="14" s="1" a="1"/>
  <c r="E30" i="14" s="1"/>
  <c r="D31" i="14" l="1"/>
  <c r="I31" i="14"/>
  <c r="B172" i="1" l="1"/>
  <c r="K9" i="3" l="1"/>
  <c r="L9" i="3" s="1"/>
  <c r="A172" i="1" l="1"/>
  <c r="A192" i="1" s="1" a="1"/>
  <c r="A192" i="1" s="1"/>
  <c r="N8" i="3"/>
  <c r="N9" i="3" s="1"/>
  <c r="O9" i="3" s="1"/>
  <c r="F171" i="1" s="1"/>
  <c r="P161" i="1" l="1"/>
  <c r="P164" i="1" s="1"/>
  <c r="J25" i="14"/>
  <c r="J27" i="14"/>
  <c r="J28" i="14"/>
  <c r="J30" i="14"/>
  <c r="J24" i="14"/>
  <c r="P36" i="14" l="1"/>
  <c r="C175" i="1" s="1"/>
  <c r="P35" i="14"/>
  <c r="C174" i="1" s="1"/>
  <c r="A205" i="1" l="1"/>
  <c r="L1" i="15"/>
  <c r="P22" i="15" l="1"/>
  <c r="P162" i="1"/>
  <c r="P175" i="1"/>
  <c r="O165" i="1"/>
  <c r="P167" i="1" s="1"/>
  <c r="O3" i="15"/>
  <c r="O5" i="15" s="1"/>
  <c r="M7" i="15" s="1"/>
  <c r="P8" i="15" l="1"/>
  <c r="P165" i="1"/>
  <c r="Q167" i="1" l="1"/>
  <c r="P166" i="1"/>
  <c r="P176" i="1"/>
  <c r="P177" i="1" s="1"/>
  <c r="P168" i="1"/>
  <c r="Q8" i="15"/>
  <c r="N9" i="15" s="1"/>
  <c r="P9" i="15" s="1"/>
  <c r="O9" i="15" l="1" a="1"/>
  <c r="O9" i="15" s="1"/>
  <c r="Q9" i="15" l="1"/>
  <c r="M9" i="15"/>
  <c r="R9" i="15" l="1"/>
  <c r="N10" i="15" s="1"/>
  <c r="P10" i="15" s="1"/>
  <c r="O10" i="15" l="1" a="1"/>
  <c r="O10" i="15" s="1"/>
  <c r="Q10" i="15" s="1"/>
  <c r="R10" i="15" s="1"/>
  <c r="N11" i="15" s="1"/>
  <c r="P11" i="15" s="1"/>
  <c r="M10" i="15"/>
  <c r="O11" i="15" l="1" a="1"/>
  <c r="O11" i="15" s="1"/>
  <c r="M11" i="15" l="1"/>
  <c r="Q11" i="15"/>
  <c r="R11" i="15" s="1"/>
  <c r="N12" i="15" s="1"/>
  <c r="P12" i="15" s="1"/>
  <c r="M12" i="15" l="1"/>
  <c r="O12" i="15" a="1"/>
  <c r="O12" i="15" s="1"/>
  <c r="Q12" i="15" s="1"/>
  <c r="R12" i="15" s="1"/>
  <c r="N13" i="15" s="1"/>
  <c r="P13" i="15" s="1"/>
  <c r="M13" i="15" l="1"/>
  <c r="O13" i="15" a="1"/>
  <c r="O13" i="15" s="1"/>
  <c r="Q13" i="15" s="1"/>
  <c r="R13" i="15" s="1"/>
  <c r="N14" i="15" s="1"/>
  <c r="P14" i="15" s="1"/>
  <c r="M14" i="15" l="1"/>
  <c r="O14" i="15" a="1"/>
  <c r="O14" i="15" s="1"/>
  <c r="Q14" i="15" s="1"/>
  <c r="R14" i="15" s="1"/>
  <c r="N15" i="15" s="1"/>
  <c r="P15" i="15" s="1"/>
  <c r="O15" i="15" l="1" a="1"/>
  <c r="O15" i="15" s="1"/>
  <c r="M15" i="15"/>
  <c r="Q15" i="15" l="1"/>
  <c r="R15" i="15" s="1"/>
  <c r="N16" i="15" s="1"/>
  <c r="P16" i="15" s="1"/>
  <c r="M16" i="15" l="1"/>
  <c r="O16" i="15" a="1"/>
  <c r="O16" i="15" s="1"/>
  <c r="Q16" i="15" s="1"/>
  <c r="R16" i="15" s="1"/>
  <c r="N17" i="15" s="1"/>
  <c r="P17" i="15" s="1"/>
  <c r="O17" i="15" l="1" a="1"/>
  <c r="O17" i="15" s="1"/>
  <c r="Q17" i="15" s="1"/>
  <c r="R17" i="15" s="1"/>
  <c r="N18" i="15" s="1"/>
  <c r="P18" i="15" s="1"/>
  <c r="M17" i="15"/>
  <c r="O18" i="15" l="1" a="1"/>
  <c r="O18" i="15" s="1"/>
  <c r="Q18" i="15" s="1"/>
  <c r="R18" i="15" s="1"/>
  <c r="N19" i="15" s="1"/>
  <c r="P19" i="15" s="1"/>
  <c r="M18" i="15"/>
  <c r="M19" i="15" l="1"/>
  <c r="O19" i="15" a="1"/>
  <c r="O19" i="15" s="1"/>
  <c r="Q19" i="15" s="1"/>
  <c r="R19" i="15" s="1"/>
  <c r="N20" i="15" s="1"/>
  <c r="P20" i="15" s="1"/>
  <c r="G5" i="15" l="1" a="1"/>
  <c r="G5" i="15" s="1"/>
  <c r="G3" i="15" a="1"/>
  <c r="G3" i="15" s="1"/>
  <c r="H3" i="15" s="1"/>
  <c r="L3" i="15" s="1"/>
  <c r="G13" i="15" a="1"/>
  <c r="G13" i="15" s="1"/>
  <c r="G21" i="15" a="1"/>
  <c r="G21" i="15" s="1"/>
  <c r="G22" i="15" a="1"/>
  <c r="G22" i="15" s="1"/>
  <c r="M20" i="15"/>
  <c r="O20" i="15" a="1"/>
  <c r="O20" i="15" s="1"/>
  <c r="G20" i="15" a="1"/>
  <c r="G20" i="15" s="1"/>
  <c r="G9" i="15" a="1"/>
  <c r="G9" i="15" s="1"/>
  <c r="G17" i="15" a="1"/>
  <c r="G17" i="15" s="1"/>
  <c r="G15" i="15" a="1"/>
  <c r="G15" i="15" s="1"/>
  <c r="G16" i="15" a="1"/>
  <c r="G16" i="15" s="1"/>
  <c r="G4" i="15" a="1"/>
  <c r="G4" i="15" s="1"/>
  <c r="G10" i="15" a="1"/>
  <c r="G10" i="15" s="1"/>
  <c r="G6" i="15" a="1"/>
  <c r="G6" i="15" s="1"/>
  <c r="G14" i="15" a="1"/>
  <c r="G14" i="15" s="1"/>
  <c r="G18" i="15" a="1"/>
  <c r="G18" i="15" s="1"/>
  <c r="G8" i="15" a="1"/>
  <c r="G8" i="15" s="1"/>
  <c r="G19" i="15" a="1"/>
  <c r="G19" i="15" s="1"/>
  <c r="G23" i="15" a="1"/>
  <c r="G23" i="15" s="1"/>
  <c r="G12" i="15" a="1"/>
  <c r="G12" i="15" s="1"/>
  <c r="G7" i="15" a="1"/>
  <c r="G7" i="15" s="1"/>
  <c r="G11" i="15" a="1"/>
  <c r="G11" i="15" s="1"/>
  <c r="Q20" i="15"/>
  <c r="O8" i="15" s="1"/>
  <c r="H4" i="15" l="1"/>
  <c r="L4" i="15" s="1"/>
  <c r="H5" i="15" s="1"/>
  <c r="L5" i="15" s="1"/>
  <c r="H6" i="15" s="1"/>
  <c r="L6" i="15" s="1"/>
  <c r="H7" i="15" s="1"/>
  <c r="L7" i="15" s="1"/>
  <c r="H8" i="15" s="1"/>
  <c r="L8" i="15" s="1"/>
  <c r="H9" i="15" s="1"/>
  <c r="L9" i="15" s="1"/>
  <c r="H10" i="15" s="1"/>
  <c r="L10" i="15" s="1"/>
  <c r="H11" i="15" s="1"/>
  <c r="L11" i="15" s="1"/>
  <c r="H12" i="15" s="1"/>
  <c r="L12" i="15" s="1"/>
  <c r="H13" i="15" s="1"/>
  <c r="L13" i="15" s="1"/>
  <c r="H14" i="15" s="1"/>
  <c r="L14" i="15" s="1"/>
  <c r="H15" i="15" s="1"/>
  <c r="L15" i="15" s="1"/>
  <c r="H16" i="15" s="1"/>
  <c r="L16" i="15" s="1"/>
  <c r="H17" i="15" s="1"/>
  <c r="L17" i="15" s="1"/>
  <c r="H18" i="15" s="1"/>
  <c r="L18" i="15" s="1"/>
  <c r="H19" i="15" s="1"/>
  <c r="L19" i="15" s="1"/>
  <c r="H20" i="15" s="1"/>
  <c r="L20" i="15" s="1"/>
  <c r="H21" i="15" s="1"/>
  <c r="L21" i="15" s="1"/>
  <c r="H22" i="15" s="1"/>
  <c r="L22" i="15" s="1"/>
  <c r="P6" i="15" a="1"/>
  <c r="P6" i="15" s="1"/>
  <c r="E23" i="15" s="1" a="1"/>
  <c r="E23" i="15" s="1"/>
  <c r="R20" i="15"/>
  <c r="M8" i="15" a="1"/>
  <c r="M8" i="15" s="1"/>
  <c r="O6" i="15" s="1"/>
  <c r="C24" i="15" s="1"/>
  <c r="D24" i="15" l="1"/>
  <c r="K24" i="15"/>
  <c r="J24" i="15" s="1"/>
  <c r="F24" i="15"/>
  <c r="F15" i="15"/>
  <c r="F4" i="15"/>
  <c r="G24" i="15" a="1"/>
  <c r="G24" i="15" s="1"/>
  <c r="F6" i="15"/>
  <c r="F14" i="15"/>
  <c r="F22" i="15"/>
  <c r="F13" i="15"/>
  <c r="F21" i="15"/>
  <c r="F9" i="15"/>
  <c r="F20" i="15"/>
  <c r="F8" i="15"/>
  <c r="F16" i="15"/>
  <c r="F7" i="15"/>
  <c r="C25" i="15"/>
  <c r="F19" i="15"/>
  <c r="F12" i="15"/>
  <c r="F3" i="15"/>
  <c r="F18" i="15"/>
  <c r="F10" i="15"/>
  <c r="J23" i="15"/>
  <c r="H23" i="15"/>
  <c r="L23" i="15" s="1"/>
  <c r="I24" i="15"/>
  <c r="E24" i="15" s="1" a="1"/>
  <c r="E24" i="15" s="1"/>
  <c r="F23" i="15"/>
  <c r="F17" i="15"/>
  <c r="F11" i="15"/>
  <c r="F5" i="15"/>
  <c r="I25" i="15" l="1"/>
  <c r="K25" i="15"/>
  <c r="J25" i="15" s="1"/>
  <c r="G25" i="15" a="1"/>
  <c r="G25" i="15" s="1"/>
  <c r="D25" i="15"/>
  <c r="F25" i="15" s="1"/>
  <c r="H24" i="15"/>
  <c r="L24" i="15" s="1"/>
  <c r="C26" i="15"/>
  <c r="G26" i="15" s="1" a="1"/>
  <c r="G26" i="15" s="1"/>
  <c r="E25" i="15" a="1"/>
  <c r="E25" i="15" s="1"/>
  <c r="I26" i="15" l="1"/>
  <c r="K26" i="15"/>
  <c r="J26" i="15" s="1"/>
  <c r="C27" i="15"/>
  <c r="D26" i="15"/>
  <c r="F26" i="15" s="1"/>
  <c r="H25" i="15"/>
  <c r="L25" i="15" s="1"/>
  <c r="E26" i="15" a="1"/>
  <c r="E26" i="15" s="1"/>
  <c r="G27" i="15" a="1"/>
  <c r="G27" i="15" s="1"/>
  <c r="K27" i="15" l="1"/>
  <c r="J27" i="15" s="1"/>
  <c r="C28" i="15"/>
  <c r="I27" i="15"/>
  <c r="D27" i="15"/>
  <c r="F27" i="15" s="1"/>
  <c r="H26" i="15"/>
  <c r="L26" i="15" s="1"/>
  <c r="G28" i="15" a="1"/>
  <c r="G28" i="15" s="1"/>
  <c r="C29" i="15" l="1"/>
  <c r="K29" i="15" s="1"/>
  <c r="J29" i="15" s="1"/>
  <c r="K28" i="15"/>
  <c r="J28" i="15" s="1"/>
  <c r="I28" i="15"/>
  <c r="E28" i="15" s="1" a="1"/>
  <c r="E28" i="15" s="1"/>
  <c r="D28" i="15"/>
  <c r="F28" i="15" s="1"/>
  <c r="E27" i="15" a="1"/>
  <c r="E27" i="15" s="1"/>
  <c r="H27" i="15" s="1"/>
  <c r="L27" i="15" s="1"/>
  <c r="G29" i="15" a="1"/>
  <c r="G29" i="15" s="1"/>
  <c r="D29" i="15" l="1"/>
  <c r="F29" i="15" s="1"/>
  <c r="C30" i="15"/>
  <c r="K30" i="15" s="1"/>
  <c r="J30" i="15" s="1"/>
  <c r="I29" i="15"/>
  <c r="E29" i="15" s="1" a="1"/>
  <c r="E29" i="15" s="1"/>
  <c r="H28" i="15"/>
  <c r="L28" i="15" s="1"/>
  <c r="G30" i="15" a="1"/>
  <c r="G30" i="15" s="1"/>
  <c r="I30" i="15" l="1"/>
  <c r="E30" i="15" s="1" a="1"/>
  <c r="E30" i="15" s="1"/>
  <c r="D30" i="15"/>
  <c r="F30" i="15" s="1"/>
  <c r="C31" i="15"/>
  <c r="K31" i="15" s="1"/>
  <c r="J31" i="15" s="1"/>
  <c r="H29" i="15"/>
  <c r="L29" i="15" s="1"/>
  <c r="G31" i="15" a="1"/>
  <c r="G31" i="15" s="1"/>
  <c r="D31" i="15" l="1"/>
  <c r="F31" i="15" s="1"/>
  <c r="C32" i="15"/>
  <c r="K32" i="15" s="1"/>
  <c r="J32" i="15" s="1"/>
  <c r="H30" i="15"/>
  <c r="L30" i="15" s="1"/>
  <c r="I31" i="15"/>
  <c r="E31" i="15" s="1" a="1"/>
  <c r="E31" i="15" s="1"/>
  <c r="H31" i="15" s="1"/>
  <c r="L31" i="15" s="1"/>
  <c r="C33" i="15"/>
  <c r="K33" i="15" s="1"/>
  <c r="D32" i="15"/>
  <c r="F32" i="15" s="1"/>
  <c r="G32" i="15" a="1"/>
  <c r="G32" i="15" s="1"/>
  <c r="I32" i="15" l="1"/>
  <c r="E32" i="15" s="1" a="1"/>
  <c r="E32" i="15" s="1"/>
  <c r="H32" i="15" s="1"/>
  <c r="L32" i="15" s="1"/>
  <c r="J33" i="15"/>
  <c r="C34" i="15"/>
  <c r="K34" i="15" s="1"/>
  <c r="I33" i="15"/>
  <c r="E33" i="15" s="1" a="1"/>
  <c r="E33" i="15" s="1"/>
  <c r="D33" i="15"/>
  <c r="F33" i="15" s="1"/>
  <c r="G33" i="15" a="1"/>
  <c r="G33" i="15" s="1"/>
  <c r="H33" i="15" l="1"/>
  <c r="L33" i="15" s="1"/>
  <c r="E34" i="15" a="1"/>
  <c r="E34" i="15" s="1"/>
  <c r="J34" i="15"/>
  <c r="C35" i="15"/>
  <c r="K35" i="15" s="1"/>
  <c r="I34" i="15"/>
  <c r="D34" i="15"/>
  <c r="F34" i="15" s="1"/>
  <c r="G34" i="15" a="1"/>
  <c r="G34" i="15" s="1"/>
  <c r="J35" i="15" l="1"/>
  <c r="C36" i="15"/>
  <c r="K36" i="15" s="1"/>
  <c r="I35" i="15"/>
  <c r="E35" i="15" s="1" a="1"/>
  <c r="E35" i="15" s="1"/>
  <c r="D35" i="15"/>
  <c r="F35" i="15" s="1"/>
  <c r="G35" i="15" a="1"/>
  <c r="G35" i="15" s="1"/>
  <c r="H34" i="15"/>
  <c r="L34" i="15" s="1"/>
  <c r="H35" i="15" l="1"/>
  <c r="L35" i="15" s="1"/>
  <c r="J36" i="15"/>
  <c r="C37" i="15"/>
  <c r="K37" i="15" s="1"/>
  <c r="I36" i="15"/>
  <c r="E36" i="15" s="1" a="1"/>
  <c r="E36" i="15" s="1"/>
  <c r="D36" i="15"/>
  <c r="F36" i="15" s="1"/>
  <c r="G36" i="15" a="1"/>
  <c r="G36" i="15" s="1"/>
  <c r="J37" i="15" l="1"/>
  <c r="C38" i="15"/>
  <c r="K38" i="15" s="1"/>
  <c r="D37" i="15"/>
  <c r="F37" i="15" s="1"/>
  <c r="I37" i="15"/>
  <c r="E37" i="15" s="1" a="1"/>
  <c r="E37" i="15" s="1"/>
  <c r="G37" i="15" a="1"/>
  <c r="G37" i="15" s="1"/>
  <c r="H36" i="15"/>
  <c r="L36" i="15" s="1"/>
  <c r="H37" i="15" l="1"/>
  <c r="L37" i="15" s="1"/>
  <c r="J38" i="15"/>
  <c r="C39" i="15"/>
  <c r="K39" i="15" s="1"/>
  <c r="I38" i="15"/>
  <c r="E38" i="15" s="1" a="1"/>
  <c r="E38" i="15" s="1"/>
  <c r="D38" i="15"/>
  <c r="F38" i="15" s="1"/>
  <c r="G38" i="15" a="1"/>
  <c r="G38" i="15" s="1"/>
  <c r="J39" i="15" l="1"/>
  <c r="C40" i="15"/>
  <c r="K40" i="15" s="1"/>
  <c r="D39" i="15"/>
  <c r="F39" i="15" s="1"/>
  <c r="I39" i="15"/>
  <c r="E39" i="15" s="1" a="1"/>
  <c r="E39" i="15" s="1"/>
  <c r="G39" i="15" a="1"/>
  <c r="G39" i="15" s="1"/>
  <c r="H38" i="15"/>
  <c r="L38" i="15" s="1"/>
  <c r="H39" i="15" l="1"/>
  <c r="L39" i="15" s="1"/>
  <c r="J40" i="15"/>
  <c r="C41" i="15"/>
  <c r="K41" i="15" s="1"/>
  <c r="I40" i="15"/>
  <c r="D40" i="15"/>
  <c r="F40" i="15" s="1"/>
  <c r="G40" i="15" a="1"/>
  <c r="G40" i="15" s="1"/>
  <c r="E40" i="15" l="1" a="1"/>
  <c r="E40" i="15" s="1"/>
  <c r="H40" i="15" s="1"/>
  <c r="L40" i="15" s="1"/>
  <c r="J41" i="15"/>
  <c r="C42" i="15"/>
  <c r="K42" i="15" s="1"/>
  <c r="D41" i="15"/>
  <c r="F41" i="15" s="1"/>
  <c r="I41" i="15"/>
  <c r="E41" i="15" s="1" a="1"/>
  <c r="E41" i="15" s="1"/>
  <c r="G41" i="15" a="1"/>
  <c r="G41" i="15" s="1"/>
  <c r="H41" i="15" l="1"/>
  <c r="L41" i="15" s="1"/>
  <c r="J42" i="15"/>
  <c r="C43" i="15"/>
  <c r="K43" i="15" s="1"/>
  <c r="I42" i="15"/>
  <c r="D42" i="15"/>
  <c r="F42" i="15" s="1"/>
  <c r="G42" i="15" a="1"/>
  <c r="G42" i="15" s="1"/>
  <c r="E42" i="15" l="1" a="1"/>
  <c r="E42" i="15" s="1"/>
  <c r="H42" i="15" s="1"/>
  <c r="L42" i="15" s="1"/>
  <c r="J43" i="15"/>
  <c r="C44" i="15"/>
  <c r="K44" i="15" s="1"/>
  <c r="I43" i="15"/>
  <c r="D43" i="15"/>
  <c r="F43" i="15" s="1"/>
  <c r="G43" i="15" a="1"/>
  <c r="G43" i="15" s="1"/>
  <c r="E43" i="15" l="1" a="1"/>
  <c r="E43" i="15" s="1"/>
  <c r="H43" i="15" s="1"/>
  <c r="L43" i="15" s="1"/>
  <c r="J44" i="15"/>
  <c r="C45" i="15"/>
  <c r="K45" i="15" s="1"/>
  <c r="D44" i="15"/>
  <c r="I44" i="15"/>
  <c r="E44" i="15" s="1" a="1"/>
  <c r="E44" i="15" s="1"/>
  <c r="G44" i="15" a="1"/>
  <c r="G44" i="15" s="1"/>
  <c r="F44" i="15" l="1"/>
  <c r="H44" i="15"/>
  <c r="L44" i="15" s="1"/>
  <c r="J45" i="15"/>
  <c r="C46" i="15"/>
  <c r="K46" i="15" s="1"/>
  <c r="D45" i="15"/>
  <c r="F45" i="15" s="1"/>
  <c r="I45" i="15"/>
  <c r="E45" i="15" s="1" a="1"/>
  <c r="E45" i="15" s="1"/>
  <c r="G45" i="15" a="1"/>
  <c r="G45" i="15" s="1"/>
  <c r="E46" i="15" l="1" a="1"/>
  <c r="E46" i="15" s="1"/>
  <c r="J46" i="15"/>
  <c r="C47" i="15"/>
  <c r="K47" i="15" s="1"/>
  <c r="I46" i="15"/>
  <c r="D46" i="15"/>
  <c r="F46" i="15" s="1"/>
  <c r="G46" i="15" a="1"/>
  <c r="G46" i="15" s="1"/>
  <c r="H45" i="15"/>
  <c r="L45" i="15" s="1"/>
  <c r="H46" i="15" l="1"/>
  <c r="L46" i="15" s="1"/>
  <c r="J47" i="15"/>
  <c r="C48" i="15"/>
  <c r="K48" i="15" s="1"/>
  <c r="D47" i="15"/>
  <c r="F47" i="15" s="1"/>
  <c r="I47" i="15"/>
  <c r="E47" i="15" s="1" a="1"/>
  <c r="E47" i="15" s="1"/>
  <c r="G47" i="15" a="1"/>
  <c r="G47" i="15" s="1"/>
  <c r="J48" i="15" l="1"/>
  <c r="C49" i="15"/>
  <c r="K49" i="15" s="1"/>
  <c r="D48" i="15"/>
  <c r="F48" i="15" s="1"/>
  <c r="I48" i="15"/>
  <c r="E48" i="15" s="1" a="1"/>
  <c r="E48" i="15" s="1"/>
  <c r="G48" i="15" a="1"/>
  <c r="G48" i="15" s="1"/>
  <c r="H47" i="15"/>
  <c r="L47" i="15" s="1"/>
  <c r="H48" i="15" l="1"/>
  <c r="L48" i="15" s="1"/>
  <c r="J49" i="15"/>
  <c r="C50" i="15"/>
  <c r="K50" i="15" s="1"/>
  <c r="D49" i="15"/>
  <c r="F49" i="15" s="1"/>
  <c r="I49" i="15"/>
  <c r="E49" i="15" s="1" a="1"/>
  <c r="E49" i="15" s="1"/>
  <c r="G49" i="15" a="1"/>
  <c r="G49" i="15" s="1"/>
  <c r="J50" i="15" l="1"/>
  <c r="C51" i="15"/>
  <c r="K51" i="15" s="1"/>
  <c r="I50" i="15"/>
  <c r="E50" i="15" s="1" a="1"/>
  <c r="E50" i="15" s="1"/>
  <c r="D50" i="15"/>
  <c r="F50" i="15" s="1"/>
  <c r="G50" i="15" a="1"/>
  <c r="G50" i="15" s="1"/>
  <c r="H49" i="15"/>
  <c r="L49" i="15" s="1"/>
  <c r="H50" i="15" l="1"/>
  <c r="L50" i="15" s="1"/>
  <c r="J51" i="15"/>
  <c r="C52" i="15"/>
  <c r="K52" i="15" s="1"/>
  <c r="D51" i="15"/>
  <c r="F51" i="15" s="1"/>
  <c r="I51" i="15"/>
  <c r="E51" i="15" s="1" a="1"/>
  <c r="E51" i="15" s="1"/>
  <c r="G51" i="15" a="1"/>
  <c r="G51" i="15" s="1"/>
  <c r="C53" i="15" l="1"/>
  <c r="K53" i="15" s="1"/>
  <c r="J52" i="15"/>
  <c r="D52" i="15"/>
  <c r="F52" i="15" s="1"/>
  <c r="I52" i="15"/>
  <c r="G52" i="15" a="1"/>
  <c r="G52" i="15" s="1"/>
  <c r="H51" i="15"/>
  <c r="L51" i="15" s="1"/>
  <c r="E52" i="15" l="1" a="1"/>
  <c r="E52" i="15" s="1"/>
  <c r="H52" i="15" s="1"/>
  <c r="L52" i="15" s="1"/>
  <c r="J53" i="15"/>
  <c r="C54" i="15"/>
  <c r="K54" i="15" s="1"/>
  <c r="D53" i="15"/>
  <c r="F53" i="15" s="1"/>
  <c r="I53" i="15"/>
  <c r="E53" i="15" s="1" a="1"/>
  <c r="E53" i="15" s="1"/>
  <c r="G53" i="15" a="1"/>
  <c r="G53" i="15" s="1"/>
  <c r="J54" i="15" l="1"/>
  <c r="C55" i="15"/>
  <c r="K55" i="15" s="1"/>
  <c r="D54" i="15"/>
  <c r="F54" i="15" s="1"/>
  <c r="I54" i="15"/>
  <c r="E54" i="15" s="1" a="1"/>
  <c r="E54" i="15" s="1"/>
  <c r="G54" i="15" a="1"/>
  <c r="G54" i="15" s="1"/>
  <c r="H53" i="15"/>
  <c r="L53" i="15" s="1"/>
  <c r="H54" i="15" l="1"/>
  <c r="L54" i="15" s="1"/>
  <c r="C56" i="15"/>
  <c r="K56" i="15" s="1"/>
  <c r="J55" i="15"/>
  <c r="D55" i="15"/>
  <c r="F55" i="15" s="1"/>
  <c r="I55" i="15"/>
  <c r="E55" i="15" s="1" a="1"/>
  <c r="E55" i="15" s="1"/>
  <c r="G55" i="15" a="1"/>
  <c r="G55" i="15" s="1"/>
  <c r="J56" i="15" l="1"/>
  <c r="C57" i="15"/>
  <c r="K57" i="15" s="1"/>
  <c r="I56" i="15"/>
  <c r="E56" i="15" s="1" a="1"/>
  <c r="E56" i="15" s="1"/>
  <c r="D56" i="15"/>
  <c r="F56" i="15" s="1"/>
  <c r="G56" i="15" a="1"/>
  <c r="G56" i="15" s="1"/>
  <c r="H55" i="15"/>
  <c r="L55" i="15" s="1"/>
  <c r="H56" i="15" l="1"/>
  <c r="L56" i="15" s="1"/>
  <c r="J57" i="15"/>
  <c r="C58" i="15"/>
  <c r="K58" i="15" s="1"/>
  <c r="D57" i="15"/>
  <c r="F57" i="15" s="1"/>
  <c r="I57" i="15"/>
  <c r="E57" i="15" s="1" a="1"/>
  <c r="E57" i="15" s="1"/>
  <c r="G57" i="15" a="1"/>
  <c r="G57" i="15" s="1"/>
  <c r="E58" i="15" l="1" a="1"/>
  <c r="E58" i="15" s="1"/>
  <c r="C59" i="15"/>
  <c r="K59" i="15" s="1"/>
  <c r="J58" i="15"/>
  <c r="D58" i="15"/>
  <c r="F58" i="15" s="1"/>
  <c r="I58" i="15"/>
  <c r="G58" i="15" a="1"/>
  <c r="G58" i="15" s="1"/>
  <c r="H57" i="15"/>
  <c r="L57" i="15" s="1"/>
  <c r="J59" i="15" l="1"/>
  <c r="C60" i="15"/>
  <c r="K60" i="15" s="1"/>
  <c r="I59" i="15"/>
  <c r="D59" i="15"/>
  <c r="F59" i="15" s="1"/>
  <c r="G59" i="15" a="1"/>
  <c r="G59" i="15" s="1"/>
  <c r="H58" i="15"/>
  <c r="L58" i="15" s="1"/>
  <c r="E59" i="15" l="1" a="1"/>
  <c r="E59" i="15" s="1"/>
  <c r="H59" i="15" s="1"/>
  <c r="L59" i="15" s="1"/>
  <c r="J60" i="15"/>
  <c r="C61" i="15"/>
  <c r="K61" i="15" s="1"/>
  <c r="D60" i="15"/>
  <c r="F60" i="15" s="1"/>
  <c r="I60" i="15"/>
  <c r="E60" i="15" s="1" a="1"/>
  <c r="E60" i="15" s="1"/>
  <c r="G60" i="15" a="1"/>
  <c r="G60" i="15" s="1"/>
  <c r="J61" i="15" l="1"/>
  <c r="C62" i="15"/>
  <c r="K62" i="15" s="1"/>
  <c r="D61" i="15"/>
  <c r="F61" i="15" s="1"/>
  <c r="I61" i="15"/>
  <c r="E61" i="15" s="1" a="1"/>
  <c r="E61" i="15" s="1"/>
  <c r="G61" i="15" a="1"/>
  <c r="G61" i="15" s="1"/>
  <c r="H60" i="15"/>
  <c r="L60" i="15" s="1"/>
  <c r="H61" i="15" l="1"/>
  <c r="L61" i="15" s="1"/>
  <c r="J62" i="15"/>
  <c r="C63" i="15"/>
  <c r="K63" i="15" s="1"/>
  <c r="I62" i="15"/>
  <c r="E62" i="15" s="1" a="1"/>
  <c r="E62" i="15" s="1"/>
  <c r="D62" i="15"/>
  <c r="F62" i="15" s="1"/>
  <c r="G62" i="15" a="1"/>
  <c r="G62" i="15" s="1"/>
  <c r="J63" i="15" l="1"/>
  <c r="C64" i="15"/>
  <c r="K64" i="15" s="1"/>
  <c r="I63" i="15"/>
  <c r="D63" i="15"/>
  <c r="F63" i="15" s="1"/>
  <c r="G63" i="15" a="1"/>
  <c r="G63" i="15" s="1"/>
  <c r="H62" i="15"/>
  <c r="L62" i="15" s="1"/>
  <c r="E63" i="15" l="1" a="1"/>
  <c r="E63" i="15" s="1"/>
  <c r="H63" i="15" s="1"/>
  <c r="L63" i="15" s="1"/>
  <c r="C65" i="15"/>
  <c r="K65" i="15" s="1"/>
  <c r="J64" i="15"/>
  <c r="D64" i="15"/>
  <c r="F64" i="15" s="1"/>
  <c r="I64" i="15"/>
  <c r="E64" i="15" s="1" a="1"/>
  <c r="E64" i="15" s="1"/>
  <c r="G64" i="15" a="1"/>
  <c r="G64" i="15" s="1"/>
  <c r="J65" i="15" l="1"/>
  <c r="C66" i="15"/>
  <c r="K66" i="15" s="1"/>
  <c r="I65" i="15"/>
  <c r="D65" i="15"/>
  <c r="G65" i="15" a="1"/>
  <c r="G65" i="15" s="1"/>
  <c r="H64" i="15"/>
  <c r="L64" i="15" s="1"/>
  <c r="E65" i="15" l="1" a="1"/>
  <c r="E65" i="15" s="1"/>
  <c r="H65" i="15" s="1"/>
  <c r="L65" i="15" s="1"/>
  <c r="F65" i="15"/>
  <c r="C67" i="15"/>
  <c r="K67" i="15" s="1"/>
  <c r="J66" i="15"/>
  <c r="I66" i="15"/>
  <c r="E66" i="15" s="1" a="1"/>
  <c r="E66" i="15" s="1"/>
  <c r="D66" i="15"/>
  <c r="F66" i="15" s="1"/>
  <c r="G66" i="15" a="1"/>
  <c r="G66" i="15" s="1"/>
  <c r="J67" i="15" l="1"/>
  <c r="C68" i="15"/>
  <c r="K68" i="15" s="1"/>
  <c r="D67" i="15"/>
  <c r="F67" i="15" s="1"/>
  <c r="I67" i="15"/>
  <c r="E67" i="15" s="1" a="1"/>
  <c r="E67" i="15" s="1"/>
  <c r="G67" i="15" a="1"/>
  <c r="G67" i="15" s="1"/>
  <c r="H66" i="15"/>
  <c r="L66" i="15" s="1"/>
  <c r="H67" i="15" l="1"/>
  <c r="L67" i="15" s="1"/>
  <c r="C69" i="15"/>
  <c r="K69" i="15" s="1"/>
  <c r="J68" i="15"/>
  <c r="D68" i="15"/>
  <c r="F68" i="15" s="1"/>
  <c r="I68" i="15"/>
  <c r="E68" i="15" s="1" a="1"/>
  <c r="E68" i="15" s="1"/>
  <c r="G68" i="15" a="1"/>
  <c r="G68" i="15" s="1"/>
  <c r="J69" i="15" l="1"/>
  <c r="C70" i="15"/>
  <c r="K70" i="15" s="1"/>
  <c r="D69" i="15"/>
  <c r="F69" i="15" s="1"/>
  <c r="I69" i="15"/>
  <c r="E69" i="15" s="1" a="1"/>
  <c r="E69" i="15" s="1"/>
  <c r="G69" i="15" a="1"/>
  <c r="G69" i="15" s="1"/>
  <c r="H68" i="15"/>
  <c r="L68" i="15" s="1"/>
  <c r="H69" i="15" l="1"/>
  <c r="L69" i="15" s="1"/>
  <c r="E70" i="15" a="1"/>
  <c r="E70" i="15" s="1"/>
  <c r="J70" i="15"/>
  <c r="C71" i="15"/>
  <c r="K71" i="15" s="1"/>
  <c r="I70" i="15"/>
  <c r="D70" i="15"/>
  <c r="F70" i="15" s="1"/>
  <c r="G70" i="15" a="1"/>
  <c r="G70" i="15" s="1"/>
  <c r="J71" i="15" l="1"/>
  <c r="C72" i="15"/>
  <c r="K72" i="15" s="1"/>
  <c r="I71" i="15"/>
  <c r="E71" i="15" s="1" a="1"/>
  <c r="E71" i="15" s="1"/>
  <c r="D71" i="15"/>
  <c r="F71" i="15" s="1"/>
  <c r="G71" i="15" a="1"/>
  <c r="G71" i="15" s="1"/>
  <c r="H70" i="15"/>
  <c r="L70" i="15" s="1"/>
  <c r="C73" i="15" l="1"/>
  <c r="K73" i="15" s="1"/>
  <c r="J72" i="15"/>
  <c r="I72" i="15"/>
  <c r="E72" i="15" s="1" a="1"/>
  <c r="E72" i="15" s="1"/>
  <c r="D72" i="15"/>
  <c r="F72" i="15" s="1"/>
  <c r="G72" i="15" a="1"/>
  <c r="G72" i="15" s="1"/>
  <c r="H71" i="15"/>
  <c r="L71" i="15" s="1"/>
  <c r="J73" i="15" l="1"/>
  <c r="C74" i="15"/>
  <c r="K74" i="15" s="1"/>
  <c r="I73" i="15"/>
  <c r="E73" i="15" s="1" a="1"/>
  <c r="E73" i="15" s="1"/>
  <c r="D73" i="15"/>
  <c r="F73" i="15" s="1"/>
  <c r="G73" i="15" a="1"/>
  <c r="G73" i="15" s="1"/>
  <c r="H72" i="15"/>
  <c r="L72" i="15" s="1"/>
  <c r="H73" i="15" l="1"/>
  <c r="L73" i="15" s="1"/>
  <c r="J74" i="15"/>
  <c r="C75" i="15"/>
  <c r="K75" i="15" s="1"/>
  <c r="D74" i="15"/>
  <c r="F74" i="15" s="1"/>
  <c r="I74" i="15"/>
  <c r="E74" i="15" s="1" a="1"/>
  <c r="E74" i="15" s="1"/>
  <c r="G74" i="15" a="1"/>
  <c r="G74" i="15" s="1"/>
  <c r="J75" i="15" l="1"/>
  <c r="C76" i="15"/>
  <c r="K76" i="15" s="1"/>
  <c r="D75" i="15"/>
  <c r="F75" i="15" s="1"/>
  <c r="I75" i="15"/>
  <c r="E75" i="15" s="1" a="1"/>
  <c r="E75" i="15" s="1"/>
  <c r="G75" i="15" a="1"/>
  <c r="G75" i="15" s="1"/>
  <c r="H74" i="15"/>
  <c r="L74" i="15" s="1"/>
  <c r="H75" i="15" l="1"/>
  <c r="L75" i="15" s="1"/>
  <c r="J76" i="15"/>
  <c r="C77" i="15"/>
  <c r="K77" i="15" s="1"/>
  <c r="D76" i="15"/>
  <c r="I76" i="15"/>
  <c r="E76" i="15" s="1" a="1"/>
  <c r="E76" i="15" s="1"/>
  <c r="G76" i="15" a="1"/>
  <c r="G76" i="15" s="1"/>
  <c r="F76" i="15" l="1"/>
  <c r="J77" i="15"/>
  <c r="C78" i="15"/>
  <c r="K78" i="15" s="1"/>
  <c r="D77" i="15"/>
  <c r="F77" i="15" s="1"/>
  <c r="I77" i="15"/>
  <c r="E77" i="15" s="1" a="1"/>
  <c r="E77" i="15" s="1"/>
  <c r="G77" i="15" a="1"/>
  <c r="G77" i="15" s="1"/>
  <c r="H76" i="15"/>
  <c r="L76" i="15" s="1"/>
  <c r="H77" i="15" l="1"/>
  <c r="L77" i="15" s="1"/>
  <c r="J78" i="15"/>
  <c r="C79" i="15"/>
  <c r="K79" i="15" s="1"/>
  <c r="I78" i="15"/>
  <c r="E78" i="15" s="1" a="1"/>
  <c r="E78" i="15" s="1"/>
  <c r="D78" i="15"/>
  <c r="F78" i="15" s="1"/>
  <c r="G78" i="15" a="1"/>
  <c r="G78" i="15" s="1"/>
  <c r="C80" i="15" l="1"/>
  <c r="K80" i="15" s="1"/>
  <c r="J79" i="15"/>
  <c r="I79" i="15"/>
  <c r="E79" i="15" s="1" a="1"/>
  <c r="E79" i="15" s="1"/>
  <c r="D79" i="15"/>
  <c r="F79" i="15" s="1"/>
  <c r="G79" i="15" a="1"/>
  <c r="G79" i="15" s="1"/>
  <c r="H78" i="15"/>
  <c r="L78" i="15" s="1"/>
  <c r="H79" i="15" l="1"/>
  <c r="L79" i="15" s="1"/>
  <c r="J80" i="15"/>
  <c r="C81" i="15"/>
  <c r="K81" i="15" s="1"/>
  <c r="I80" i="15"/>
  <c r="E80" i="15" s="1" a="1"/>
  <c r="E80" i="15" s="1"/>
  <c r="D80" i="15"/>
  <c r="F80" i="15" s="1"/>
  <c r="G80" i="15" a="1"/>
  <c r="G80" i="15" s="1"/>
  <c r="C82" i="15" l="1"/>
  <c r="K82" i="15" s="1"/>
  <c r="J81" i="15"/>
  <c r="D81" i="15"/>
  <c r="I81" i="15"/>
  <c r="E81" i="15" s="1" a="1"/>
  <c r="E81" i="15" s="1"/>
  <c r="G81" i="15" a="1"/>
  <c r="G81" i="15" s="1"/>
  <c r="H80" i="15"/>
  <c r="L80" i="15" s="1"/>
  <c r="F81" i="15" l="1"/>
  <c r="H81" i="15"/>
  <c r="L81" i="15" s="1"/>
  <c r="E82" i="15" a="1"/>
  <c r="E82" i="15" s="1"/>
  <c r="J82" i="15"/>
  <c r="C83" i="15"/>
  <c r="K83" i="15" s="1"/>
  <c r="D82" i="15"/>
  <c r="F82" i="15" s="1"/>
  <c r="I82" i="15"/>
  <c r="G82" i="15" a="1"/>
  <c r="G82" i="15" s="1"/>
  <c r="J83" i="15" l="1"/>
  <c r="C84" i="15"/>
  <c r="K84" i="15" s="1"/>
  <c r="D83" i="15"/>
  <c r="F83" i="15" s="1"/>
  <c r="I83" i="15"/>
  <c r="E83" i="15" s="1" a="1"/>
  <c r="E83" i="15" s="1"/>
  <c r="G83" i="15" a="1"/>
  <c r="G83" i="15" s="1"/>
  <c r="H82" i="15"/>
  <c r="L82" i="15" s="1"/>
  <c r="G177" i="1"/>
  <c r="C85" i="15" l="1"/>
  <c r="K85" i="15" s="1"/>
  <c r="D84" i="15"/>
  <c r="I84" i="15"/>
  <c r="G84" i="15" a="1"/>
  <c r="G84" i="15" s="1"/>
  <c r="H83" i="15"/>
  <c r="L83" i="15" s="1"/>
  <c r="N15" i="3"/>
  <c r="O15" i="3" s="1"/>
  <c r="F177" i="1" s="1"/>
  <c r="G176" i="1"/>
  <c r="F84" i="15" l="1"/>
  <c r="E84" i="15" a="1"/>
  <c r="E84" i="15" s="1"/>
  <c r="H84" i="15" s="1"/>
  <c r="J85" i="15"/>
  <c r="C86" i="15"/>
  <c r="K86" i="15" s="1"/>
  <c r="I85" i="15"/>
  <c r="D85" i="15"/>
  <c r="F85" i="15" s="1"/>
  <c r="G85" i="15" a="1"/>
  <c r="G85" i="15" s="1"/>
  <c r="J84" i="15"/>
  <c r="E85" i="15" l="1" a="1"/>
  <c r="E85" i="15" s="1"/>
  <c r="J86" i="15"/>
  <c r="D86" i="15"/>
  <c r="N20" i="7" s="1"/>
  <c r="I86" i="15"/>
  <c r="E86" i="15" s="1" a="1"/>
  <c r="E86" i="15" s="1"/>
  <c r="L84" i="15"/>
  <c r="P24" i="15" l="1" a="1"/>
  <c r="P24" i="15" s="1"/>
  <c r="P33" i="15" s="1"/>
  <c r="H172" i="1" s="1"/>
  <c r="G175" i="1"/>
  <c r="G174" i="1"/>
  <c r="G172" i="1"/>
  <c r="G173" i="1"/>
  <c r="F86" i="15"/>
  <c r="N30" i="7"/>
  <c r="N27" i="7"/>
  <c r="N23" i="7"/>
  <c r="O27" i="15" a="1"/>
  <c r="O27" i="15" s="1"/>
  <c r="P25" i="15" a="1"/>
  <c r="P25" i="15" s="1"/>
  <c r="P34" i="15" s="1"/>
  <c r="H173" i="1" s="1"/>
  <c r="K87" i="15"/>
  <c r="P30" i="15" a="1"/>
  <c r="P30" i="15" s="1"/>
  <c r="P23" i="15" a="1"/>
  <c r="P23" i="15" s="1"/>
  <c r="P32" i="15" s="1"/>
  <c r="H171" i="1" s="1"/>
  <c r="H85" i="15"/>
  <c r="L85" i="15" s="1"/>
  <c r="H86" i="15" s="1"/>
  <c r="N14" i="3"/>
  <c r="O14" i="3" s="1"/>
  <c r="F176" i="1" s="1"/>
  <c r="P28" i="15" a="1"/>
  <c r="P28" i="15" s="1"/>
  <c r="P37" i="15" s="1"/>
  <c r="H176" i="1" s="1"/>
  <c r="O24" i="15" a="1"/>
  <c r="O24" i="15" s="1"/>
  <c r="P29" i="15" a="1"/>
  <c r="P29" i="15" s="1"/>
  <c r="O28" i="15" a="1"/>
  <c r="O28" i="15" s="1"/>
  <c r="O29" i="15" a="1"/>
  <c r="O29" i="15" s="1"/>
  <c r="P26" i="15" a="1"/>
  <c r="P26" i="15" s="1"/>
  <c r="P35" i="15" s="1"/>
  <c r="H174" i="1" s="1"/>
  <c r="O25" i="15" a="1"/>
  <c r="O25" i="15" s="1"/>
  <c r="O30" i="15" a="1"/>
  <c r="O30" i="15" s="1"/>
  <c r="O26" i="15" a="1"/>
  <c r="O26" i="15" s="1"/>
  <c r="P27" i="15" a="1"/>
  <c r="P27" i="15" s="1"/>
  <c r="P36" i="15" s="1"/>
  <c r="H175" i="1" s="1"/>
  <c r="A193" i="1" l="1" a="1"/>
  <c r="A193" i="1" s="1"/>
  <c r="N10" i="3"/>
  <c r="I176" i="1"/>
  <c r="H180" i="1"/>
  <c r="F180" i="1" a="1"/>
  <c r="F180" i="1" s="1"/>
  <c r="H87" i="15"/>
  <c r="J87" i="15" s="1"/>
  <c r="Q6" i="15" a="1"/>
  <c r="Q6" i="15" s="1"/>
  <c r="P31" i="15"/>
  <c r="I171" i="1"/>
  <c r="L86" i="15"/>
  <c r="N11" i="3" l="1"/>
  <c r="O10" i="3"/>
  <c r="F172" i="1" s="1"/>
  <c r="I172" i="1"/>
  <c r="I178" i="1"/>
  <c r="G182" i="1"/>
  <c r="N12" i="3" l="1"/>
  <c r="O11" i="3"/>
  <c r="F173" i="1" s="1"/>
  <c r="I173" i="1"/>
  <c r="I177" i="1"/>
  <c r="O12" i="3" l="1"/>
  <c r="F174" i="1" s="1"/>
  <c r="N13" i="3"/>
  <c r="O13" i="3" s="1"/>
  <c r="F175" i="1" s="1"/>
  <c r="I174" i="1"/>
  <c r="N22" i="7" l="1"/>
  <c r="I175" i="1"/>
  <c r="G166" i="1" l="1"/>
  <c r="F178" i="1" s="1"/>
  <c r="J9" i="14"/>
  <c r="Q11" i="14"/>
  <c r="R11" i="14" s="1"/>
  <c r="N12" i="14" l="1"/>
  <c r="P12" i="14" l="1"/>
  <c r="M12" i="14"/>
  <c r="O12" i="14" a="1"/>
  <c r="O12" i="14" s="1"/>
  <c r="Q12" i="14" s="1"/>
  <c r="R12" i="14" l="1"/>
  <c r="D174" i="1" l="1"/>
  <c r="N13" i="14"/>
  <c r="D175" i="1" l="1"/>
  <c r="P13" i="14"/>
  <c r="M13" i="14"/>
  <c r="O13" i="14" a="1"/>
  <c r="O13" i="14" s="1"/>
  <c r="Q13" i="14" s="1"/>
  <c r="D176" i="1" l="1"/>
  <c r="R13" i="14"/>
  <c r="N14" i="14" l="1"/>
  <c r="P14" i="14" l="1"/>
  <c r="O14" i="14" a="1"/>
  <c r="O14" i="14" s="1"/>
  <c r="Q14" i="14" s="1"/>
  <c r="M14" i="14"/>
  <c r="R14" i="14" l="1"/>
  <c r="N15" i="14" l="1"/>
  <c r="P15" i="14" l="1"/>
  <c r="M15" i="14"/>
  <c r="O15" i="14" a="1"/>
  <c r="O15" i="14" s="1"/>
  <c r="Q15" i="14" s="1"/>
  <c r="R15" i="14" s="1"/>
  <c r="N16" i="14" l="1"/>
  <c r="P16" i="14" l="1"/>
  <c r="O16" i="14" a="1"/>
  <c r="O16" i="14" s="1"/>
  <c r="Q16" i="14" s="1"/>
  <c r="R16" i="14" s="1"/>
  <c r="N17" i="14" s="1"/>
  <c r="M16" i="14"/>
  <c r="P17" i="14" l="1"/>
  <c r="M17" i="14"/>
  <c r="O17" i="14" a="1"/>
  <c r="O17" i="14" s="1"/>
  <c r="Q17" i="14" s="1"/>
  <c r="R17" i="14" s="1"/>
  <c r="N18" i="14" s="1"/>
  <c r="P18" i="14" l="1"/>
  <c r="O18" i="14" a="1"/>
  <c r="O18" i="14" s="1"/>
  <c r="Q18" i="14" s="1"/>
  <c r="R18" i="14" s="1"/>
  <c r="N19" i="14" s="1"/>
  <c r="M18" i="14"/>
  <c r="P19" i="14" l="1"/>
  <c r="Q19" i="14"/>
  <c r="R19" i="14" s="1"/>
  <c r="N20" i="14"/>
  <c r="O19" i="14" a="1"/>
  <c r="O19" i="14" s="1"/>
  <c r="M19" i="14"/>
  <c r="P20" i="14" l="1"/>
  <c r="O20" i="14" a="1"/>
  <c r="O20" i="14" s="1"/>
  <c r="Q20" i="14"/>
  <c r="O8" i="14" s="1"/>
  <c r="M20" i="14"/>
  <c r="G16" i="14" a="1"/>
  <c r="G16" i="14" s="1"/>
  <c r="G3" i="14" a="1"/>
  <c r="G3" i="14" s="1"/>
  <c r="H3" i="14" s="1"/>
  <c r="G9" i="14" a="1"/>
  <c r="G9" i="14" s="1"/>
  <c r="G12" i="14" a="1"/>
  <c r="G12" i="14" s="1"/>
  <c r="G28" i="14" a="1"/>
  <c r="G28" i="14" s="1"/>
  <c r="G30" i="14" a="1"/>
  <c r="G30" i="14" s="1"/>
  <c r="G23" i="14" a="1"/>
  <c r="G23" i="14" s="1"/>
  <c r="G5" i="14" a="1"/>
  <c r="G5" i="14" s="1"/>
  <c r="G25" i="14" a="1"/>
  <c r="G25" i="14" s="1"/>
  <c r="G6" i="14" a="1"/>
  <c r="G6" i="14" s="1"/>
  <c r="G19" i="14" a="1"/>
  <c r="G19" i="14" s="1"/>
  <c r="G10" i="14" a="1"/>
  <c r="G10" i="14" s="1"/>
  <c r="G17" i="14" a="1"/>
  <c r="G17" i="14" s="1"/>
  <c r="G26" i="14" a="1"/>
  <c r="G26" i="14" s="1"/>
  <c r="G15" i="14" a="1"/>
  <c r="G15" i="14" s="1"/>
  <c r="G22" i="14" a="1"/>
  <c r="G22" i="14" s="1"/>
  <c r="G8" i="14" a="1"/>
  <c r="G8" i="14" s="1"/>
  <c r="G13" i="14" a="1"/>
  <c r="G13" i="14" s="1"/>
  <c r="G4" i="14" a="1"/>
  <c r="G4" i="14" s="1"/>
  <c r="G21" i="14" a="1"/>
  <c r="G21" i="14" s="1"/>
  <c r="G29" i="14" a="1"/>
  <c r="G29" i="14" s="1"/>
  <c r="G24" i="14" a="1"/>
  <c r="G24" i="14" s="1"/>
  <c r="G20" i="14" a="1"/>
  <c r="G20" i="14" s="1"/>
  <c r="G14" i="14" a="1"/>
  <c r="G14" i="14" s="1"/>
  <c r="G31" i="14" a="1"/>
  <c r="G31" i="14" s="1"/>
  <c r="G27" i="14" a="1"/>
  <c r="G27" i="14" s="1"/>
  <c r="G18" i="14" a="1"/>
  <c r="G18" i="14" s="1"/>
  <c r="G11" i="14" a="1"/>
  <c r="G11" i="14" s="1"/>
  <c r="G7" i="14" a="1"/>
  <c r="G7" i="14" s="1"/>
  <c r="M8" i="14" a="1"/>
  <c r="M8" i="14" s="1"/>
  <c r="P6" i="14" l="1" a="1"/>
  <c r="P6" i="14" s="1"/>
  <c r="O6" i="14"/>
  <c r="L3" i="14"/>
  <c r="R20" i="14"/>
  <c r="C32" i="14" l="1"/>
  <c r="K31" i="14"/>
  <c r="J31" i="14" s="1"/>
  <c r="E31" i="14" a="1"/>
  <c r="E31" i="14" s="1"/>
  <c r="H4" i="14"/>
  <c r="L4" i="14" s="1"/>
  <c r="F28" i="14"/>
  <c r="F31" i="14"/>
  <c r="F9" i="14"/>
  <c r="F16" i="14"/>
  <c r="F10" i="14"/>
  <c r="F13" i="14"/>
  <c r="F21" i="14"/>
  <c r="F12" i="14"/>
  <c r="F26" i="14"/>
  <c r="F23" i="14"/>
  <c r="F20" i="14"/>
  <c r="F27" i="14"/>
  <c r="F11" i="14"/>
  <c r="F7" i="14"/>
  <c r="F17" i="14"/>
  <c r="F6" i="14"/>
  <c r="F18" i="14"/>
  <c r="F15" i="14"/>
  <c r="F29" i="14"/>
  <c r="F24" i="14"/>
  <c r="F3" i="14"/>
  <c r="F19" i="14"/>
  <c r="F5" i="14"/>
  <c r="F14" i="14"/>
  <c r="F4" i="14"/>
  <c r="F25" i="14"/>
  <c r="F30" i="14"/>
  <c r="F8" i="14"/>
  <c r="F22" i="14"/>
  <c r="K32" i="14" l="1"/>
  <c r="J32" i="14" s="1"/>
  <c r="I32" i="14"/>
  <c r="E32" i="14" s="1" a="1"/>
  <c r="E32" i="14" s="1"/>
  <c r="D32" i="14"/>
  <c r="M32" i="14" s="1"/>
  <c r="C33" i="14"/>
  <c r="G32" i="14" a="1"/>
  <c r="G32" i="14" s="1"/>
  <c r="H5" i="14"/>
  <c r="L5" i="14" s="1"/>
  <c r="F32" i="14" l="1"/>
  <c r="K33" i="14"/>
  <c r="J33" i="14" s="1"/>
  <c r="D33" i="14"/>
  <c r="I33" i="14"/>
  <c r="E33" i="14" s="1" a="1"/>
  <c r="E33" i="14" s="1"/>
  <c r="C34" i="14"/>
  <c r="G33" i="14" a="1"/>
  <c r="G33" i="14" s="1"/>
  <c r="H6" i="14"/>
  <c r="L6" i="14" s="1"/>
  <c r="F33" i="14" l="1"/>
  <c r="M33" i="14"/>
  <c r="K34" i="14"/>
  <c r="J34" i="14" s="1"/>
  <c r="I34" i="14"/>
  <c r="C35" i="14"/>
  <c r="D34" i="14"/>
  <c r="E34" i="14" a="1"/>
  <c r="E34" i="14" s="1"/>
  <c r="G34" i="14" a="1"/>
  <c r="G34" i="14" s="1"/>
  <c r="H7" i="14"/>
  <c r="L7" i="14" s="1"/>
  <c r="F34" i="14" l="1"/>
  <c r="M34" i="14"/>
  <c r="K35" i="14"/>
  <c r="J35" i="14" s="1"/>
  <c r="I35" i="14"/>
  <c r="E35" i="14" s="1" a="1"/>
  <c r="E35" i="14" s="1"/>
  <c r="C36" i="14"/>
  <c r="D35" i="14"/>
  <c r="G35" i="14" a="1"/>
  <c r="G35" i="14" s="1"/>
  <c r="H8" i="14"/>
  <c r="L8" i="14" s="1"/>
  <c r="F35" i="14" l="1"/>
  <c r="M35" i="14"/>
  <c r="K36" i="14"/>
  <c r="J36" i="14" s="1"/>
  <c r="C37" i="14"/>
  <c r="D36" i="14"/>
  <c r="I36" i="14"/>
  <c r="E36" i="14" s="1" a="1"/>
  <c r="E36" i="14" s="1"/>
  <c r="G36" i="14" a="1"/>
  <c r="G36" i="14" s="1"/>
  <c r="H9" i="14"/>
  <c r="L9" i="14" s="1"/>
  <c r="F36" i="14" l="1"/>
  <c r="M36" i="14"/>
  <c r="K37" i="14"/>
  <c r="J37" i="14" s="1"/>
  <c r="I37" i="14"/>
  <c r="C38" i="14"/>
  <c r="D37" i="14"/>
  <c r="E37" i="14" a="1"/>
  <c r="E37" i="14" s="1"/>
  <c r="G37" i="14" a="1"/>
  <c r="G37" i="14" s="1"/>
  <c r="H10" i="14"/>
  <c r="L10" i="14" s="1"/>
  <c r="F37" i="14" l="1"/>
  <c r="M37" i="14"/>
  <c r="K38" i="14"/>
  <c r="J38" i="14" s="1"/>
  <c r="D38" i="14"/>
  <c r="I38" i="14"/>
  <c r="E38" i="14" a="1"/>
  <c r="E38" i="14" s="1"/>
  <c r="C39" i="14"/>
  <c r="G38" i="14" a="1"/>
  <c r="G38" i="14" s="1"/>
  <c r="H11" i="14"/>
  <c r="L11" i="14" s="1"/>
  <c r="F38" i="14" l="1"/>
  <c r="M38" i="14"/>
  <c r="K39" i="14"/>
  <c r="J39" i="14" s="1"/>
  <c r="D39" i="14"/>
  <c r="C40" i="14"/>
  <c r="I39" i="14"/>
  <c r="E39" i="14" s="1" a="1"/>
  <c r="E39" i="14" s="1"/>
  <c r="G39" i="14" a="1"/>
  <c r="G39" i="14" s="1"/>
  <c r="H12" i="14"/>
  <c r="L12" i="14" s="1"/>
  <c r="F39" i="14" l="1"/>
  <c r="M39" i="14"/>
  <c r="D40" i="14"/>
  <c r="I40" i="14"/>
  <c r="E40" i="14" s="1" a="1"/>
  <c r="E40" i="14" s="1"/>
  <c r="G40" i="14" a="1"/>
  <c r="G40" i="14" s="1"/>
  <c r="C41" i="14"/>
  <c r="K40" i="14"/>
  <c r="J40" i="14" s="1"/>
  <c r="H13" i="14"/>
  <c r="L13" i="14" s="1"/>
  <c r="F40" i="14" l="1"/>
  <c r="M40" i="14"/>
  <c r="N55" i="14"/>
  <c r="I41" i="14"/>
  <c r="E41" i="14" s="1" a="1"/>
  <c r="E41" i="14" s="1"/>
  <c r="K41" i="14"/>
  <c r="J41" i="14" s="1"/>
  <c r="D41" i="14"/>
  <c r="C42" i="14"/>
  <c r="G41" i="14" a="1"/>
  <c r="G41" i="14" s="1"/>
  <c r="H14" i="14"/>
  <c r="L14" i="14" s="1"/>
  <c r="F41" i="14" l="1"/>
  <c r="M41" i="14"/>
  <c r="E42" i="14" a="1"/>
  <c r="E42" i="14" s="1"/>
  <c r="D42" i="14"/>
  <c r="C43" i="14"/>
  <c r="I42" i="14"/>
  <c r="G42" i="14" a="1"/>
  <c r="G42" i="14" s="1"/>
  <c r="K42" i="14"/>
  <c r="J42" i="14" s="1"/>
  <c r="H15" i="14"/>
  <c r="L15" i="14" s="1"/>
  <c r="F42" i="14" l="1"/>
  <c r="M42" i="14"/>
  <c r="D43" i="14"/>
  <c r="C44" i="14"/>
  <c r="I43" i="14"/>
  <c r="G43" i="14" a="1"/>
  <c r="G43" i="14" s="1"/>
  <c r="K43" i="14"/>
  <c r="J43" i="14" s="1"/>
  <c r="E43" i="14" a="1"/>
  <c r="E43" i="14" s="1"/>
  <c r="H16" i="14"/>
  <c r="L16" i="14" s="1"/>
  <c r="F43" i="14" l="1"/>
  <c r="M43" i="14"/>
  <c r="C45" i="14"/>
  <c r="D44" i="14"/>
  <c r="I44" i="14"/>
  <c r="G44" i="14" a="1"/>
  <c r="G44" i="14" s="1"/>
  <c r="E44" i="14" a="1"/>
  <c r="E44" i="14" s="1"/>
  <c r="K44" i="14"/>
  <c r="J44" i="14" s="1"/>
  <c r="H17" i="14"/>
  <c r="L17" i="14" s="1"/>
  <c r="T20" i="7" l="1"/>
  <c r="U20" i="7" s="1"/>
  <c r="V20" i="7"/>
  <c r="F44" i="14"/>
  <c r="T23" i="7"/>
  <c r="U23" i="7" s="1"/>
  <c r="T31" i="7"/>
  <c r="U31" i="7" s="1"/>
  <c r="T24" i="7"/>
  <c r="U24" i="7" s="1"/>
  <c r="T28" i="7"/>
  <c r="U28" i="7" s="1"/>
  <c r="T25" i="7"/>
  <c r="U25" i="7" s="1"/>
  <c r="T26" i="7"/>
  <c r="U26" i="7" s="1"/>
  <c r="M44" i="14"/>
  <c r="T27" i="7"/>
  <c r="U27" i="7" s="1"/>
  <c r="T21" i="7"/>
  <c r="U21" i="7" s="1"/>
  <c r="T29" i="7"/>
  <c r="U29" i="7" s="1"/>
  <c r="T22" i="7"/>
  <c r="U22" i="7" s="1"/>
  <c r="T30" i="7"/>
  <c r="U30" i="7" s="1"/>
  <c r="K45" i="14"/>
  <c r="J45" i="14" s="1"/>
  <c r="D45" i="14"/>
  <c r="C46" i="14"/>
  <c r="G45" i="14" a="1"/>
  <c r="G45" i="14" s="1"/>
  <c r="I45" i="14"/>
  <c r="H18" i="14"/>
  <c r="L18" i="14" s="1"/>
  <c r="E45" i="14" l="1" a="1"/>
  <c r="E45" i="14" s="1"/>
  <c r="F45" i="14"/>
  <c r="M45" i="14"/>
  <c r="I46" i="14"/>
  <c r="C47" i="14"/>
  <c r="G46" i="14" a="1"/>
  <c r="G46" i="14" s="1"/>
  <c r="D46" i="14"/>
  <c r="K46" i="14"/>
  <c r="J46" i="14" s="1"/>
  <c r="H19" i="14"/>
  <c r="L19" i="14" s="1"/>
  <c r="F46" i="14" l="1"/>
  <c r="M46" i="14"/>
  <c r="E46" i="14" a="1"/>
  <c r="E46" i="14" s="1"/>
  <c r="K47" i="14"/>
  <c r="J47" i="14" s="1"/>
  <c r="C48" i="14"/>
  <c r="D47" i="14"/>
  <c r="G47" i="14" a="1"/>
  <c r="G47" i="14" s="1"/>
  <c r="I47" i="14"/>
  <c r="E47" i="14" s="1" a="1"/>
  <c r="E47" i="14" s="1"/>
  <c r="H20" i="14"/>
  <c r="L20" i="14" s="1"/>
  <c r="F47" i="14" l="1"/>
  <c r="M47" i="14"/>
  <c r="D48" i="14"/>
  <c r="C49" i="14"/>
  <c r="G48" i="14" a="1"/>
  <c r="G48" i="14" s="1"/>
  <c r="I48" i="14"/>
  <c r="E48" i="14" s="1" a="1"/>
  <c r="E48" i="14" s="1"/>
  <c r="K48" i="14"/>
  <c r="J48" i="14" s="1"/>
  <c r="H21" i="14"/>
  <c r="L21" i="14" s="1"/>
  <c r="F48" i="14" l="1"/>
  <c r="M48" i="14"/>
  <c r="I49" i="14"/>
  <c r="G49" i="14" a="1"/>
  <c r="G49" i="14" s="1"/>
  <c r="C50" i="14"/>
  <c r="D49" i="14"/>
  <c r="K49" i="14"/>
  <c r="J49" i="14" s="1"/>
  <c r="H22" i="14"/>
  <c r="L22" i="14" s="1"/>
  <c r="F49" i="14" l="1"/>
  <c r="M49" i="14"/>
  <c r="D50" i="14"/>
  <c r="C51" i="14"/>
  <c r="G50" i="14" a="1"/>
  <c r="G50" i="14" s="1"/>
  <c r="I50" i="14"/>
  <c r="E50" i="14" s="1" a="1"/>
  <c r="E50" i="14" s="1"/>
  <c r="K50" i="14"/>
  <c r="J50" i="14" s="1"/>
  <c r="E49" i="14" a="1"/>
  <c r="E49" i="14" s="1"/>
  <c r="H23" i="14"/>
  <c r="L23" i="14" s="1"/>
  <c r="F50" i="14" l="1"/>
  <c r="M50" i="14"/>
  <c r="K51" i="14"/>
  <c r="J51" i="14" s="1"/>
  <c r="D51" i="14"/>
  <c r="C52" i="14"/>
  <c r="G51" i="14" a="1"/>
  <c r="G51" i="14" s="1"/>
  <c r="I51" i="14"/>
  <c r="E51" i="14" s="1" a="1"/>
  <c r="E51" i="14" s="1"/>
  <c r="H24" i="14"/>
  <c r="L24" i="14" s="1"/>
  <c r="F51" i="14" l="1"/>
  <c r="M51" i="14"/>
  <c r="I52" i="14"/>
  <c r="K52" i="14"/>
  <c r="J52" i="14" s="1"/>
  <c r="C53" i="14"/>
  <c r="G52" i="14" a="1"/>
  <c r="G52" i="14" s="1"/>
  <c r="D52" i="14"/>
  <c r="H25" i="14"/>
  <c r="L25" i="14" s="1"/>
  <c r="F52" i="14" l="1"/>
  <c r="M52" i="14"/>
  <c r="E52" i="14" a="1"/>
  <c r="E52" i="14" s="1"/>
  <c r="K53" i="14"/>
  <c r="J53" i="14" s="1"/>
  <c r="D53" i="14"/>
  <c r="F53" i="14" s="1"/>
  <c r="C54" i="14"/>
  <c r="G53" i="14" a="1"/>
  <c r="G53" i="14" s="1"/>
  <c r="I53" i="14"/>
  <c r="E53" i="14" s="1" a="1"/>
  <c r="E53" i="14" s="1"/>
  <c r="H26" i="14"/>
  <c r="L26" i="14" s="1"/>
  <c r="K54" i="14" l="1"/>
  <c r="J54" i="14" s="1"/>
  <c r="I54" i="14"/>
  <c r="G54" i="14" a="1"/>
  <c r="G54" i="14" s="1"/>
  <c r="E54" i="14" a="1"/>
  <c r="E54" i="14" s="1"/>
  <c r="C55" i="14"/>
  <c r="D54" i="14"/>
  <c r="F54" i="14" s="1"/>
  <c r="H27" i="14"/>
  <c r="L27" i="14" s="1"/>
  <c r="C56" i="14" l="1"/>
  <c r="G55" i="14" a="1"/>
  <c r="G55" i="14" s="1"/>
  <c r="I55" i="14"/>
  <c r="E55" i="14" s="1" a="1"/>
  <c r="E55" i="14" s="1"/>
  <c r="D55" i="14"/>
  <c r="F55" i="14" s="1"/>
  <c r="K55" i="14"/>
  <c r="J55" i="14" s="1"/>
  <c r="H28" i="14"/>
  <c r="L28" i="14" s="1"/>
  <c r="G56" i="14" l="1" a="1"/>
  <c r="G56" i="14" s="1"/>
  <c r="D56" i="14"/>
  <c r="F56" i="14" s="1"/>
  <c r="I56" i="14"/>
  <c r="E56" i="14" s="1" a="1"/>
  <c r="E56" i="14" s="1"/>
  <c r="C57" i="14"/>
  <c r="K56" i="14"/>
  <c r="J56" i="14" s="1"/>
  <c r="H29" i="14"/>
  <c r="L29" i="14" s="1"/>
  <c r="K57" i="14" l="1"/>
  <c r="J57" i="14" s="1"/>
  <c r="C58" i="14"/>
  <c r="D57" i="14"/>
  <c r="F57" i="14" s="1"/>
  <c r="G57" i="14" a="1"/>
  <c r="G57" i="14" s="1"/>
  <c r="I57" i="14"/>
  <c r="E57" i="14" s="1" a="1"/>
  <c r="E57" i="14" s="1"/>
  <c r="H30" i="14"/>
  <c r="L30" i="14" s="1"/>
  <c r="D58" i="14" l="1"/>
  <c r="F58" i="14" s="1"/>
  <c r="G58" i="14" a="1"/>
  <c r="G58" i="14" s="1"/>
  <c r="C59" i="14"/>
  <c r="I58" i="14"/>
  <c r="E58" i="14" s="1" a="1"/>
  <c r="E58" i="14" s="1"/>
  <c r="K58" i="14"/>
  <c r="J58" i="14" s="1"/>
  <c r="H31" i="14"/>
  <c r="L31" i="14" s="1"/>
  <c r="E59" i="14" l="1" a="1"/>
  <c r="E59" i="14" s="1"/>
  <c r="I59" i="14"/>
  <c r="D59" i="14"/>
  <c r="F59" i="14" s="1"/>
  <c r="C60" i="14"/>
  <c r="G59" i="14" a="1"/>
  <c r="G59" i="14" s="1"/>
  <c r="K59" i="14"/>
  <c r="J59" i="14" s="1"/>
  <c r="H32" i="14"/>
  <c r="L32" i="14" s="1"/>
  <c r="I60" i="14" l="1"/>
  <c r="D60" i="14"/>
  <c r="F60" i="14" s="1"/>
  <c r="E60" i="14" a="1"/>
  <c r="E60" i="14" s="1"/>
  <c r="C61" i="14"/>
  <c r="K60" i="14"/>
  <c r="J60" i="14" s="1"/>
  <c r="G60" i="14" a="1"/>
  <c r="G60" i="14" s="1"/>
  <c r="H33" i="14"/>
  <c r="L33" i="14" s="1"/>
  <c r="I61" i="14" l="1"/>
  <c r="E61" i="14" a="1"/>
  <c r="E61" i="14" s="1"/>
  <c r="C62" i="14"/>
  <c r="D61" i="14"/>
  <c r="F61" i="14" s="1"/>
  <c r="G61" i="14" a="1"/>
  <c r="G61" i="14" s="1"/>
  <c r="K61" i="14"/>
  <c r="J61" i="14" s="1"/>
  <c r="H34" i="14"/>
  <c r="L34" i="14" s="1"/>
  <c r="K62" i="14" l="1"/>
  <c r="J62" i="14" s="1"/>
  <c r="I62" i="14"/>
  <c r="C63" i="14"/>
  <c r="G62" i="14" a="1"/>
  <c r="G62" i="14" s="1"/>
  <c r="D62" i="14"/>
  <c r="F62" i="14" s="1"/>
  <c r="H35" i="14"/>
  <c r="L35" i="14" s="1"/>
  <c r="D63" i="14" l="1"/>
  <c r="F63" i="14" s="1"/>
  <c r="K63" i="14"/>
  <c r="J63" i="14" s="1"/>
  <c r="C64" i="14"/>
  <c r="I63" i="14"/>
  <c r="E63" i="14" s="1" a="1"/>
  <c r="E63" i="14" s="1"/>
  <c r="G63" i="14" a="1"/>
  <c r="G63" i="14" s="1"/>
  <c r="E62" i="14" a="1"/>
  <c r="E62" i="14" s="1"/>
  <c r="H36" i="14"/>
  <c r="L36" i="14" s="1"/>
  <c r="D64" i="14" l="1"/>
  <c r="F64" i="14" s="1"/>
  <c r="C65" i="14"/>
  <c r="G64" i="14" a="1"/>
  <c r="G64" i="14" s="1"/>
  <c r="I64" i="14"/>
  <c r="E64" i="14" s="1" a="1"/>
  <c r="E64" i="14" s="1"/>
  <c r="K64" i="14"/>
  <c r="J64" i="14" s="1"/>
  <c r="H37" i="14"/>
  <c r="L37" i="14" s="1"/>
  <c r="I65" i="14" l="1"/>
  <c r="K65" i="14"/>
  <c r="J65" i="14" s="1"/>
  <c r="C66" i="14"/>
  <c r="G65" i="14" a="1"/>
  <c r="G65" i="14" s="1"/>
  <c r="E65" i="14" a="1"/>
  <c r="E65" i="14" s="1"/>
  <c r="D65" i="14"/>
  <c r="H38" i="14"/>
  <c r="L38" i="14" s="1"/>
  <c r="F65" i="14" l="1"/>
  <c r="I66" i="14"/>
  <c r="E66" i="14" a="1"/>
  <c r="E66" i="14" s="1"/>
  <c r="K66" i="14"/>
  <c r="J66" i="14" s="1"/>
  <c r="D66" i="14"/>
  <c r="F66" i="14" s="1"/>
  <c r="C67" i="14"/>
  <c r="G66" i="14" a="1"/>
  <c r="G66" i="14" s="1"/>
  <c r="H39" i="14"/>
  <c r="L39" i="14" s="1"/>
  <c r="C68" i="14" l="1"/>
  <c r="D67" i="14"/>
  <c r="F67" i="14" s="1"/>
  <c r="G67" i="14" a="1"/>
  <c r="G67" i="14" s="1"/>
  <c r="I67" i="14"/>
  <c r="E67" i="14" s="1" a="1"/>
  <c r="E67" i="14" s="1"/>
  <c r="K67" i="14"/>
  <c r="J67" i="14" s="1"/>
  <c r="H40" i="14"/>
  <c r="L40" i="14" s="1"/>
  <c r="C69" i="14" l="1"/>
  <c r="D68" i="14"/>
  <c r="F68" i="14" s="1"/>
  <c r="I68" i="14"/>
  <c r="E68" i="14" s="1" a="1"/>
  <c r="E68" i="14" s="1"/>
  <c r="G68" i="14" a="1"/>
  <c r="G68" i="14" s="1"/>
  <c r="K68" i="14"/>
  <c r="J68" i="14" s="1"/>
  <c r="H41" i="14"/>
  <c r="L41" i="14" s="1"/>
  <c r="I69" i="14" l="1"/>
  <c r="E69" i="14" s="1" a="1"/>
  <c r="E69" i="14" s="1"/>
  <c r="C70" i="14"/>
  <c r="G69" i="14" a="1"/>
  <c r="G69" i="14" s="1"/>
  <c r="K69" i="14"/>
  <c r="J69" i="14" s="1"/>
  <c r="D69" i="14"/>
  <c r="F69" i="14" s="1"/>
  <c r="H42" i="14"/>
  <c r="L42" i="14" s="1"/>
  <c r="D70" i="14" l="1"/>
  <c r="F70" i="14" s="1"/>
  <c r="G70" i="14" a="1"/>
  <c r="G70" i="14" s="1"/>
  <c r="C71" i="14"/>
  <c r="I70" i="14"/>
  <c r="E70" i="14" a="1"/>
  <c r="E70" i="14" s="1"/>
  <c r="K70" i="14"/>
  <c r="J70" i="14" s="1"/>
  <c r="H43" i="14"/>
  <c r="L43" i="14" s="1"/>
  <c r="D71" i="14" l="1"/>
  <c r="F71" i="14" s="1"/>
  <c r="C72" i="14"/>
  <c r="G71" i="14" a="1"/>
  <c r="G71" i="14" s="1"/>
  <c r="K71" i="14"/>
  <c r="J71" i="14" s="1"/>
  <c r="I71" i="14"/>
  <c r="E71" i="14" s="1" a="1"/>
  <c r="E71" i="14" s="1"/>
  <c r="H44" i="14"/>
  <c r="L44" i="14" s="1"/>
  <c r="I72" i="14" l="1"/>
  <c r="E72" i="14" a="1"/>
  <c r="E72" i="14" s="1"/>
  <c r="K72" i="14"/>
  <c r="J72" i="14" s="1"/>
  <c r="D72" i="14"/>
  <c r="F72" i="14" s="1"/>
  <c r="C73" i="14"/>
  <c r="G72" i="14" a="1"/>
  <c r="G72" i="14" s="1"/>
  <c r="H45" i="14"/>
  <c r="L45" i="14" s="1"/>
  <c r="G73" i="14" l="1" a="1"/>
  <c r="G73" i="14" s="1"/>
  <c r="I73" i="14"/>
  <c r="E73" i="14" s="1" a="1"/>
  <c r="E73" i="14" s="1"/>
  <c r="K73" i="14"/>
  <c r="J73" i="14" s="1"/>
  <c r="C74" i="14"/>
  <c r="D73" i="14"/>
  <c r="F73" i="14" s="1"/>
  <c r="H46" i="14"/>
  <c r="L46" i="14" s="1"/>
  <c r="K74" i="14" l="1"/>
  <c r="J74" i="14" s="1"/>
  <c r="C75" i="14"/>
  <c r="G74" i="14" a="1"/>
  <c r="G74" i="14" s="1"/>
  <c r="I74" i="14"/>
  <c r="E74" i="14" s="1" a="1"/>
  <c r="E74" i="14" s="1"/>
  <c r="D74" i="14"/>
  <c r="F74" i="14" s="1"/>
  <c r="H47" i="14"/>
  <c r="L47" i="14" s="1"/>
  <c r="G75" i="14" l="1" a="1"/>
  <c r="G75" i="14" s="1"/>
  <c r="K75" i="14"/>
  <c r="J75" i="14" s="1"/>
  <c r="I75" i="14"/>
  <c r="C76" i="14"/>
  <c r="D75" i="14"/>
  <c r="F75" i="14" s="1"/>
  <c r="E75" i="14" a="1"/>
  <c r="E75" i="14" s="1"/>
  <c r="H48" i="14"/>
  <c r="L48" i="14" s="1"/>
  <c r="G76" i="14" l="1" a="1"/>
  <c r="G76" i="14" s="1"/>
  <c r="I76" i="14"/>
  <c r="E76" i="14" a="1"/>
  <c r="E76" i="14" s="1"/>
  <c r="C77" i="14"/>
  <c r="K76" i="14"/>
  <c r="J76" i="14" s="1"/>
  <c r="D76" i="14"/>
  <c r="H49" i="14"/>
  <c r="L49" i="14" s="1"/>
  <c r="F76" i="14" l="1"/>
  <c r="G77" i="14" a="1"/>
  <c r="G77" i="14" s="1"/>
  <c r="I77" i="14"/>
  <c r="E77" i="14" a="1"/>
  <c r="E77" i="14" s="1"/>
  <c r="D77" i="14"/>
  <c r="F77" i="14" s="1"/>
  <c r="K77" i="14"/>
  <c r="J77" i="14" s="1"/>
  <c r="C78" i="14"/>
  <c r="H50" i="14"/>
  <c r="L50" i="14" s="1"/>
  <c r="G78" i="14" l="1" a="1"/>
  <c r="G78" i="14" s="1"/>
  <c r="I78" i="14"/>
  <c r="E78" i="14" a="1"/>
  <c r="E78" i="14" s="1"/>
  <c r="K78" i="14"/>
  <c r="J78" i="14" s="1"/>
  <c r="C79" i="14"/>
  <c r="D78" i="14"/>
  <c r="F78" i="14" s="1"/>
  <c r="H51" i="14"/>
  <c r="L51" i="14" s="1"/>
  <c r="G79" i="14" l="1" a="1"/>
  <c r="G79" i="14" s="1"/>
  <c r="C80" i="14"/>
  <c r="D79" i="14"/>
  <c r="F79" i="14" s="1"/>
  <c r="K79" i="14"/>
  <c r="I79" i="14"/>
  <c r="E79" i="14" s="1" a="1"/>
  <c r="E79" i="14" s="1"/>
  <c r="H52" i="14"/>
  <c r="L52" i="14" s="1"/>
  <c r="J79" i="14" l="1"/>
  <c r="G80" i="14" a="1"/>
  <c r="G80" i="14" s="1"/>
  <c r="I80" i="14"/>
  <c r="D80" i="14"/>
  <c r="F80" i="14" s="1"/>
  <c r="K80" i="14"/>
  <c r="J80" i="14" s="1"/>
  <c r="C81" i="14"/>
  <c r="E80" i="14" a="1"/>
  <c r="E80" i="14" s="1"/>
  <c r="H53" i="14"/>
  <c r="L53" i="14" s="1"/>
  <c r="G81" i="14" l="1" a="1"/>
  <c r="G81" i="14" s="1"/>
  <c r="D81" i="14"/>
  <c r="K81" i="14"/>
  <c r="J81" i="14" s="1"/>
  <c r="C82" i="14"/>
  <c r="I81" i="14"/>
  <c r="E81" i="14" a="1"/>
  <c r="E81" i="14" s="1"/>
  <c r="H54" i="14"/>
  <c r="L54" i="14" s="1"/>
  <c r="F81" i="14" l="1"/>
  <c r="G82" i="14" a="1"/>
  <c r="G82" i="14" s="1"/>
  <c r="I82" i="14"/>
  <c r="D82" i="14"/>
  <c r="F82" i="14" s="1"/>
  <c r="C83" i="14"/>
  <c r="K82" i="14"/>
  <c r="J82" i="14" s="1"/>
  <c r="E82" i="14" a="1"/>
  <c r="E82" i="14" s="1"/>
  <c r="H55" i="14"/>
  <c r="L55" i="14" s="1"/>
  <c r="C84" i="14" l="1"/>
  <c r="G83" i="14" a="1"/>
  <c r="G83" i="14" s="1"/>
  <c r="I83" i="14"/>
  <c r="E83" i="14" s="1" a="1"/>
  <c r="E83" i="14" s="1"/>
  <c r="D83" i="14"/>
  <c r="F83" i="14" s="1"/>
  <c r="K83" i="14"/>
  <c r="J83" i="14" s="1"/>
  <c r="H56" i="14"/>
  <c r="L56" i="14" s="1"/>
  <c r="I84" i="14" l="1"/>
  <c r="E84" i="14" a="1"/>
  <c r="E84" i="14" s="1"/>
  <c r="D84" i="14"/>
  <c r="G84" i="14" a="1"/>
  <c r="G84" i="14" s="1"/>
  <c r="K84" i="14"/>
  <c r="J84" i="14" s="1"/>
  <c r="C85" i="14"/>
  <c r="H57" i="14"/>
  <c r="L57" i="14" s="1"/>
  <c r="F84" i="14" l="1"/>
  <c r="G85" i="14" a="1"/>
  <c r="G85" i="14" s="1"/>
  <c r="K85" i="14"/>
  <c r="J85" i="14" s="1"/>
  <c r="C86" i="14"/>
  <c r="I85" i="14"/>
  <c r="E85" i="14" s="1" a="1"/>
  <c r="E85" i="14" s="1"/>
  <c r="D85" i="14"/>
  <c r="F85" i="14" s="1"/>
  <c r="H58" i="14"/>
  <c r="L58" i="14" s="1"/>
  <c r="M30" i="7" l="1"/>
  <c r="E199" i="1" s="1"/>
  <c r="E200" i="1" s="1"/>
  <c r="I86" i="14"/>
  <c r="E86" i="14" s="1" a="1"/>
  <c r="E86" i="14" s="1"/>
  <c r="K86" i="14"/>
  <c r="D86" i="14"/>
  <c r="H59" i="14"/>
  <c r="L59" i="14" s="1"/>
  <c r="M20" i="7" l="1"/>
  <c r="E187" i="1" s="1"/>
  <c r="T33" i="7"/>
  <c r="U33" i="7" s="1"/>
  <c r="M23" i="7"/>
  <c r="E188" i="1" s="1"/>
  <c r="T32" i="7"/>
  <c r="U32" i="7" s="1"/>
  <c r="M27" i="7"/>
  <c r="F86" i="14"/>
  <c r="T34" i="7"/>
  <c r="U34" i="7" s="1"/>
  <c r="T35" i="7"/>
  <c r="U35" i="7" s="1"/>
  <c r="J86" i="14"/>
  <c r="K87" i="14"/>
  <c r="H60" i="14"/>
  <c r="L60" i="14" s="1"/>
  <c r="E195" i="1" l="1"/>
  <c r="F187" i="1"/>
  <c r="O24" i="14" a="1"/>
  <c r="O24" i="14" s="1"/>
  <c r="P26" i="14" a="1"/>
  <c r="P26" i="14" s="1"/>
  <c r="P23" i="14" a="1"/>
  <c r="P23" i="14" s="1"/>
  <c r="P32" i="14" s="1"/>
  <c r="C171" i="1" s="1"/>
  <c r="O30" i="14" a="1"/>
  <c r="O30" i="14" s="1"/>
  <c r="P27" i="14" a="1"/>
  <c r="P27" i="14" s="1"/>
  <c r="O29" i="14" a="1"/>
  <c r="O29" i="14" s="1"/>
  <c r="P25" i="14" a="1"/>
  <c r="P25" i="14" s="1"/>
  <c r="P34" i="14" s="1"/>
  <c r="P29" i="14" a="1"/>
  <c r="P29" i="14" s="1"/>
  <c r="P24" i="14" a="1"/>
  <c r="P24" i="14" s="1"/>
  <c r="P33" i="14" s="1"/>
  <c r="C172" i="1" s="1"/>
  <c r="O26" i="14" a="1"/>
  <c r="O26" i="14" s="1"/>
  <c r="O28" i="14" a="1"/>
  <c r="O28" i="14" s="1"/>
  <c r="O25" i="14" a="1"/>
  <c r="O25" i="14" s="1"/>
  <c r="P28" i="14" a="1"/>
  <c r="P28" i="14" s="1"/>
  <c r="O27" i="14" a="1"/>
  <c r="O27" i="14" s="1"/>
  <c r="P30" i="14" a="1"/>
  <c r="P30" i="14" s="1"/>
  <c r="H61" i="14"/>
  <c r="L61" i="14" s="1"/>
  <c r="M22" i="7" l="1"/>
  <c r="E191" i="1" s="1"/>
  <c r="E194" i="1" s="1"/>
  <c r="E197" i="1" s="1"/>
  <c r="E201" i="1" s="1"/>
  <c r="F201" i="1" s="1"/>
  <c r="D171" i="1"/>
  <c r="D172" i="1" s="1"/>
  <c r="P31" i="14"/>
  <c r="H62" i="14"/>
  <c r="L62" i="14" s="1"/>
  <c r="E202" i="1" l="1"/>
  <c r="F203" i="1"/>
  <c r="E203" i="1"/>
  <c r="H63" i="14"/>
  <c r="L63" i="14" s="1"/>
  <c r="E204" i="1" l="1"/>
  <c r="F204" i="1" s="1"/>
  <c r="F194" i="1"/>
  <c r="F202" i="1"/>
  <c r="F195" i="1"/>
  <c r="F200" i="1"/>
  <c r="F196" i="1"/>
  <c r="H64" i="14"/>
  <c r="L64" i="14" s="1"/>
  <c r="H65" i="14" l="1"/>
  <c r="L65" i="14" s="1"/>
  <c r="H66" i="14" l="1"/>
  <c r="L66" i="14" s="1"/>
  <c r="H67" i="14" l="1"/>
  <c r="L67" i="14" s="1"/>
  <c r="H68" i="14" l="1"/>
  <c r="L68" i="14" s="1"/>
  <c r="H69" i="14" l="1"/>
  <c r="L69" i="14" s="1"/>
  <c r="H70" i="14" l="1"/>
  <c r="L70" i="14" s="1"/>
  <c r="H71" i="14" l="1"/>
  <c r="L71" i="14" s="1"/>
  <c r="H72" i="14" l="1"/>
  <c r="L72" i="14" s="1"/>
  <c r="H73" i="14" l="1"/>
  <c r="L73" i="14" s="1"/>
  <c r="H74" i="14" l="1"/>
  <c r="L74" i="14" s="1"/>
  <c r="H75" i="14" l="1"/>
  <c r="L75" i="14" s="1"/>
  <c r="H76" i="14" l="1"/>
  <c r="L76" i="14" s="1"/>
  <c r="H77" i="14" l="1"/>
  <c r="L77" i="14" s="1"/>
  <c r="H78" i="14" l="1"/>
  <c r="L78" i="14" s="1"/>
  <c r="H79" i="14" l="1"/>
  <c r="L79" i="14" s="1"/>
  <c r="H80" i="14" l="1"/>
  <c r="L80" i="14" s="1"/>
  <c r="H81" i="14" l="1"/>
  <c r="L81" i="14" s="1"/>
  <c r="H82" i="14" l="1"/>
  <c r="L82" i="14" s="1"/>
  <c r="H83" i="14" l="1"/>
  <c r="L83" i="14" s="1"/>
  <c r="H84" i="14" l="1"/>
  <c r="L84" i="14" s="1"/>
  <c r="H85" i="14" l="1"/>
  <c r="L85" i="14" s="1"/>
  <c r="H86" i="14" l="1"/>
  <c r="H87" i="14" l="1"/>
  <c r="J87" i="14" s="1"/>
  <c r="B166" i="1" s="1"/>
  <c r="C173" i="1" s="1"/>
  <c r="Q6" i="14" a="1"/>
  <c r="Q6" i="14" s="1"/>
  <c r="L86" i="14"/>
  <c r="A180" i="1" l="1" a="1"/>
  <c r="A180" i="1" s="1"/>
  <c r="C180" i="1"/>
  <c r="D178" i="1" s="1"/>
  <c r="A178" i="1" s="1"/>
  <c r="D173" i="1"/>
  <c r="B182" i="1"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<sst xmlns="http://schemas.openxmlformats.org/spreadsheetml/2006/main" count="1087" uniqueCount="328">
  <si>
    <t>des créances en principal</t>
  </si>
  <si>
    <t xml:space="preserve">remboursement de </t>
  </si>
  <si>
    <t>Somme remboursée en</t>
  </si>
  <si>
    <t>Nouveau disponible</t>
  </si>
  <si>
    <t>Somme à épargner par mois</t>
  </si>
  <si>
    <t>Nombre de mois restant</t>
  </si>
  <si>
    <t>Augmentation du disponible pour atteindre les 3 ans de procédure :</t>
  </si>
  <si>
    <t>3 ans de procédure :</t>
  </si>
  <si>
    <t>Passif en principal:</t>
  </si>
  <si>
    <t>Inclure les intérêts et les frais</t>
  </si>
  <si>
    <t>Le paiement se ferait en</t>
  </si>
  <si>
    <t>Total restant du au</t>
  </si>
  <si>
    <t>Annuité 1</t>
  </si>
  <si>
    <t>Solde de compte</t>
  </si>
  <si>
    <t>Réserve :</t>
  </si>
  <si>
    <t>Dernier EFH</t>
  </si>
  <si>
    <t>EFH homologation :</t>
  </si>
  <si>
    <t xml:space="preserve">Solde du passif restant dû </t>
  </si>
  <si>
    <t>Pécule d'avance :</t>
  </si>
  <si>
    <t>Solde du compte :</t>
  </si>
  <si>
    <t xml:space="preserve">Fin de procédure avant termes du plan </t>
  </si>
  <si>
    <t>Projet de plan établi</t>
  </si>
  <si>
    <t>EFH payés</t>
  </si>
  <si>
    <t>Epargne annuelle</t>
  </si>
  <si>
    <t>Estimation du solde du compte</t>
  </si>
  <si>
    <t>Somme totale épargnée mensuellement</t>
  </si>
  <si>
    <t>Annuité :</t>
  </si>
  <si>
    <t>Disponible mensuel :</t>
  </si>
  <si>
    <t>Réserve</t>
  </si>
  <si>
    <t>Impôts</t>
  </si>
  <si>
    <t>Ch. Incom.</t>
  </si>
  <si>
    <t>Revenus</t>
  </si>
  <si>
    <t>Boni/déficit</t>
  </si>
  <si>
    <t>Situation actuelle</t>
  </si>
  <si>
    <t>Disponible pour les créanciers</t>
  </si>
  <si>
    <t xml:space="preserve">Total : </t>
  </si>
  <si>
    <t xml:space="preserve">Frais : </t>
  </si>
  <si>
    <t>Intérêts :</t>
  </si>
  <si>
    <t>Principal :</t>
  </si>
  <si>
    <t>Total/mois :</t>
  </si>
  <si>
    <t>Total/an :</t>
  </si>
  <si>
    <t>corresp.</t>
  </si>
  <si>
    <t>Vers cr.</t>
  </si>
  <si>
    <t>supp</t>
  </si>
  <si>
    <t>pécule</t>
  </si>
  <si>
    <t>cr. Supp</t>
  </si>
  <si>
    <t>Base</t>
  </si>
  <si>
    <t>RIS</t>
  </si>
  <si>
    <t xml:space="preserve">Total annuel : </t>
  </si>
  <si>
    <t>Timbres</t>
  </si>
  <si>
    <t>Prime de fin d'année</t>
  </si>
  <si>
    <t>Congés payés</t>
  </si>
  <si>
    <t>Prime rattrapage</t>
  </si>
  <si>
    <t>Rente</t>
  </si>
  <si>
    <t xml:space="preserve">Total mensuel : </t>
  </si>
  <si>
    <t>Alloc. Fam</t>
  </si>
  <si>
    <t>Participation autre</t>
  </si>
  <si>
    <t>Pension ali.</t>
  </si>
  <si>
    <t>Prime syndicale</t>
  </si>
  <si>
    <t>SPF séc. So</t>
  </si>
  <si>
    <t>Pension</t>
  </si>
  <si>
    <t>Mutuelle tx/j</t>
  </si>
  <si>
    <t>Chômage tx/j</t>
  </si>
  <si>
    <t>Compl. Mut</t>
  </si>
  <si>
    <t>Compl. Ch</t>
  </si>
  <si>
    <t>Salaire</t>
  </si>
  <si>
    <t>Ordonnance d'admissibilité</t>
  </si>
  <si>
    <t>Enfants</t>
  </si>
  <si>
    <t>SITUATION AU :</t>
  </si>
  <si>
    <t>Ce tableau de calcul est à utiliser lorsque que les revenus cédés ou saisis relèvent au moins de deux catégories de revenus différentes (voir "mode d'emploi" situé en première feuille de ce fichier Excel).</t>
  </si>
  <si>
    <t xml:space="preserve">Total saisissable/cessible : </t>
  </si>
  <si>
    <t>Tout</t>
  </si>
  <si>
    <t>Sur la partie de votre rémunération supérieure à</t>
  </si>
  <si>
    <t>et</t>
  </si>
  <si>
    <t>Sur la partie de votre rémunération située entre</t>
  </si>
  <si>
    <t xml:space="preserve">Sur la partie de votre rémunération située entre </t>
  </si>
  <si>
    <t>rien</t>
  </si>
  <si>
    <t xml:space="preserve">Sur la partie de votre rémunération inférieure ou égale à </t>
  </si>
  <si>
    <t>Montant saisissable</t>
  </si>
  <si>
    <t>Part saisissable/cessible</t>
  </si>
  <si>
    <t>Montant de base</t>
  </si>
  <si>
    <t xml:space="preserve">Nombre d'enfants à charge : </t>
  </si>
  <si>
    <t>€</t>
  </si>
  <si>
    <t xml:space="preserve">Montant mensuel perçu : </t>
  </si>
  <si>
    <t>Cumul des revenus</t>
  </si>
  <si>
    <t>Il s'agit des provisions et pensions alimentaires, des pensions allouées après divorce à l'époux non coupable, les pensions, les allocations de chômage, les allocations payées par les fonds de sécurité d'existence, les indemnités pour incapacité de travail, les allocations d'invalidité, les sommes payées en raison d'accidents du travail ou de maladies professionnelles (à l'exception de la partie de l'indemnité qui dépasse 100 %, qui est accordée aux grands blessés dont l'état nécessite absolument et normalement l'assistance d'une autre personne est insaisissable) et l'indemnité accordée en cas d'interruption de carrière professionnelle.</t>
  </si>
  <si>
    <t xml:space="preserve">Sur la partie de votre rémunération supérieure à </t>
  </si>
  <si>
    <t>à</t>
  </si>
  <si>
    <t>Revenus de remplacement</t>
  </si>
  <si>
    <t>Revenus du travail</t>
  </si>
  <si>
    <t>cumul des revenus</t>
  </si>
  <si>
    <t xml:space="preserve">              </t>
  </si>
  <si>
    <t>Catégorie</t>
  </si>
  <si>
    <t>Revenu d'intégration</t>
  </si>
  <si>
    <t xml:space="preserve">PROCEDURE : </t>
  </si>
  <si>
    <t>RESSOURCES</t>
  </si>
  <si>
    <t>Disponible pour un remboursement de 100% hors état des frais et honoraires</t>
  </si>
  <si>
    <t>PECULE :</t>
  </si>
  <si>
    <t>ESTIMATION DE L'EFH</t>
  </si>
  <si>
    <t>Pécule en fonction du RIS :</t>
  </si>
  <si>
    <t xml:space="preserve">PROJET DE PLAN : </t>
  </si>
  <si>
    <t>situation actuelle</t>
  </si>
  <si>
    <t xml:space="preserve">1ère annuité </t>
  </si>
  <si>
    <t>Tableau de répartition</t>
  </si>
  <si>
    <t>Madame</t>
  </si>
  <si>
    <t>Monsieur</t>
  </si>
  <si>
    <t>Allocations Familiales</t>
  </si>
  <si>
    <t>mensuel</t>
  </si>
  <si>
    <t>annuel</t>
  </si>
  <si>
    <t xml:space="preserve">Loyer </t>
  </si>
  <si>
    <t>prêt hypothécaire</t>
  </si>
  <si>
    <t>eau</t>
  </si>
  <si>
    <t>électricité</t>
  </si>
  <si>
    <t>chauffage</t>
  </si>
  <si>
    <t>tel - tv - internet</t>
  </si>
  <si>
    <t>gsm</t>
  </si>
  <si>
    <t>frais médecin+médicaments</t>
  </si>
  <si>
    <t>Courses ménage</t>
  </si>
  <si>
    <t>essence</t>
  </si>
  <si>
    <t>Vêtements</t>
  </si>
  <si>
    <t>sport enfants</t>
  </si>
  <si>
    <t>gardienne</t>
  </si>
  <si>
    <t>frais scolaires</t>
  </si>
  <si>
    <t>cotisation mutuelle</t>
  </si>
  <si>
    <t>cotisation chômage</t>
  </si>
  <si>
    <t>assurance hospitalisation</t>
  </si>
  <si>
    <t>assurance auto</t>
  </si>
  <si>
    <t>assurance familiale</t>
  </si>
  <si>
    <t>assurance incendie</t>
  </si>
  <si>
    <t>taxe voiture</t>
  </si>
  <si>
    <t>taxe immondices</t>
  </si>
  <si>
    <t>précompte immobilier</t>
  </si>
  <si>
    <t>prêt voiture</t>
  </si>
  <si>
    <t>divers</t>
  </si>
  <si>
    <t>Total :</t>
  </si>
  <si>
    <t>Entretien voiture</t>
  </si>
  <si>
    <t xml:space="preserve">Disponible annuel : </t>
  </si>
  <si>
    <t xml:space="preserve">Totalité annuité : </t>
  </si>
  <si>
    <r>
      <t>13</t>
    </r>
    <r>
      <rPr>
        <vertAlign val="superscript"/>
        <sz val="11"/>
        <color theme="1"/>
        <rFont val="Calibri"/>
        <family val="2"/>
        <scheme val="minor"/>
      </rPr>
      <t xml:space="preserve">ème </t>
    </r>
    <r>
      <rPr>
        <sz val="11"/>
        <color theme="1"/>
        <rFont val="Calibri"/>
        <family val="2"/>
        <scheme val="minor"/>
      </rPr>
      <t>mois</t>
    </r>
  </si>
  <si>
    <r>
      <t>13</t>
    </r>
    <r>
      <rPr>
        <vertAlign val="superscript"/>
        <sz val="11"/>
        <color theme="1"/>
        <rFont val="Calibri"/>
        <family val="2"/>
        <scheme val="minor"/>
      </rPr>
      <t>ème</t>
    </r>
    <r>
      <rPr>
        <sz val="11"/>
        <color theme="1"/>
        <rFont val="Calibri"/>
        <family val="2"/>
        <scheme val="minor"/>
      </rPr>
      <t xml:space="preserve"> mois</t>
    </r>
  </si>
  <si>
    <t>Plan établi</t>
  </si>
  <si>
    <t>Pécule minimum à verser :</t>
  </si>
  <si>
    <t>PROJET DE PLAN</t>
  </si>
  <si>
    <t>SITUATION ACTUELLE</t>
  </si>
  <si>
    <t>Part saisissable/
cessible</t>
  </si>
  <si>
    <t>Quotité saisissable projet de plan</t>
  </si>
  <si>
    <t>Quotité saisissable situation actuelle</t>
  </si>
  <si>
    <t>Projet de plan</t>
  </si>
  <si>
    <t>Situation actuelle :</t>
  </si>
  <si>
    <t>Escompte :</t>
  </si>
  <si>
    <t>Date</t>
  </si>
  <si>
    <t>Montant</t>
  </si>
  <si>
    <t>Suppléments</t>
  </si>
  <si>
    <t>Dettes nouvelles</t>
  </si>
  <si>
    <t>Pécule</t>
  </si>
  <si>
    <t>Homologation clôture</t>
  </si>
  <si>
    <t>Passif :</t>
  </si>
  <si>
    <t>EFH Homologation :</t>
  </si>
  <si>
    <t>solde pour clôture :</t>
  </si>
  <si>
    <t>solde pour homologation :</t>
  </si>
  <si>
    <t>pécule :</t>
  </si>
  <si>
    <t>pension alimentaire :</t>
  </si>
  <si>
    <t xml:space="preserve">loyer : </t>
  </si>
  <si>
    <t>Pension alimentaire</t>
  </si>
  <si>
    <t>chef de famille</t>
  </si>
  <si>
    <t>être isolé et payer minimum 111,55 €</t>
  </si>
  <si>
    <t>être isolé et payer n'importe quel montant</t>
  </si>
  <si>
    <t>prendre la situation du médié et prendre 50% de la PA avec un maximum de 91,66 € (Loi organique du 8 juillet 1976, article 68 quinquies)</t>
  </si>
  <si>
    <t>Pension alimentaire :</t>
  </si>
  <si>
    <t>Communication</t>
  </si>
  <si>
    <t>Revenu</t>
  </si>
  <si>
    <t>Supplément</t>
  </si>
  <si>
    <t>Honoraires</t>
  </si>
  <si>
    <t>Annuité</t>
  </si>
  <si>
    <t>FICHE COMPTABLE</t>
  </si>
  <si>
    <t>Nouveau Budget :</t>
  </si>
  <si>
    <t>Budget plan :</t>
  </si>
  <si>
    <t>Taux</t>
  </si>
  <si>
    <t>Epargne théorique</t>
  </si>
  <si>
    <t>Epargne selon le pécule :</t>
  </si>
  <si>
    <t>Pécule plan : ok</t>
  </si>
  <si>
    <t>Nouveau Pécule : ok</t>
  </si>
  <si>
    <t>Frais bancaires</t>
  </si>
  <si>
    <t>Dette nouvelle</t>
  </si>
  <si>
    <t>Somme annuelle</t>
  </si>
  <si>
    <t>revenu perçu directement</t>
  </si>
  <si>
    <t xml:space="preserve">Pécule réel : </t>
  </si>
  <si>
    <t>Sur les revenus mensuels</t>
  </si>
  <si>
    <t>Sur les revenus annuels</t>
  </si>
  <si>
    <t>EFH annuel minimum</t>
  </si>
  <si>
    <t>Frais bancaire</t>
  </si>
  <si>
    <t>Revenus mensuels</t>
  </si>
  <si>
    <t>Revenus annuels</t>
  </si>
  <si>
    <t>cohabitant</t>
  </si>
  <si>
    <t>2 cohabitants</t>
  </si>
  <si>
    <t>isolé</t>
  </si>
  <si>
    <t>revenus travail</t>
  </si>
  <si>
    <t>revenus de remplacement</t>
  </si>
  <si>
    <t xml:space="preserve">Réserve impôt : </t>
  </si>
  <si>
    <t>*</t>
  </si>
  <si>
    <t>Budget plan</t>
  </si>
  <si>
    <t>Budget actuel</t>
  </si>
  <si>
    <t>Allocations familiales</t>
  </si>
  <si>
    <t>Avantage social</t>
  </si>
  <si>
    <t>Communcation</t>
  </si>
  <si>
    <t>Fiche comptable</t>
  </si>
  <si>
    <t>SOLDE PLAN</t>
  </si>
  <si>
    <t>EFH :</t>
  </si>
  <si>
    <t>Divers :</t>
  </si>
  <si>
    <t>Divers</t>
  </si>
  <si>
    <t>Annuité 2</t>
  </si>
  <si>
    <t>Disponible</t>
  </si>
  <si>
    <t>Nombre de mois</t>
  </si>
  <si>
    <t>Date d'admissibilité</t>
  </si>
  <si>
    <t>Date de plan</t>
  </si>
  <si>
    <t>Total</t>
  </si>
  <si>
    <t>EFH</t>
  </si>
  <si>
    <t>Solde restant dû</t>
  </si>
  <si>
    <t>Nbre de mois</t>
  </si>
  <si>
    <t>Revenus annuel</t>
  </si>
  <si>
    <t>Montant du revenu d'intégration</t>
  </si>
  <si>
    <t>Cohabitant</t>
  </si>
  <si>
    <t>Isolé</t>
  </si>
  <si>
    <t>Chef de famille</t>
  </si>
  <si>
    <t>cohabitant + PA (RIS)</t>
  </si>
  <si>
    <t>2 cohabitants + PA (RIS)</t>
  </si>
  <si>
    <t>isolé + PA (RIS)</t>
  </si>
  <si>
    <t>chef de famille + PA (RIS)</t>
  </si>
  <si>
    <t>Revenu d'intégration social :</t>
  </si>
  <si>
    <t>Indemnités de mutuelle :</t>
  </si>
  <si>
    <t>Allocation de chômage :</t>
  </si>
  <si>
    <t>Montant annuité</t>
  </si>
  <si>
    <t>Tableau récapitulatif</t>
  </si>
  <si>
    <t>Annuité 3</t>
  </si>
  <si>
    <t>Annuité 4</t>
  </si>
  <si>
    <t>Annuité 5</t>
  </si>
  <si>
    <t>Annuité 6</t>
  </si>
  <si>
    <t>Annuité 7</t>
  </si>
  <si>
    <t>Date paiement</t>
  </si>
  <si>
    <t>TOTAL :</t>
  </si>
  <si>
    <t>Passif</t>
  </si>
  <si>
    <t>Mois : Dernière annuité</t>
  </si>
  <si>
    <t>Solde :</t>
  </si>
  <si>
    <t>1/2 AF</t>
  </si>
  <si>
    <t>PASSIF : PROVISOIRE</t>
  </si>
  <si>
    <t>Projet de plan PROVISOIRE</t>
  </si>
  <si>
    <t>frais de déplacement (bus)</t>
  </si>
  <si>
    <t xml:space="preserve">Prime </t>
  </si>
  <si>
    <t>N°</t>
  </si>
  <si>
    <t>Nb de mois</t>
  </si>
  <si>
    <t>Mois</t>
  </si>
  <si>
    <t>Indemnité</t>
  </si>
  <si>
    <t>Jour ouvrable</t>
  </si>
  <si>
    <t>taux/J</t>
  </si>
  <si>
    <t>Indemnité mai</t>
  </si>
  <si>
    <t>Rattrapage</t>
  </si>
  <si>
    <t>PLAN</t>
  </si>
  <si>
    <t>Solde</t>
  </si>
  <si>
    <t>Annuité plan</t>
  </si>
  <si>
    <t>Annuité modification plan</t>
  </si>
  <si>
    <t>Enfant à charge</t>
  </si>
  <si>
    <t>Annuité 8</t>
  </si>
  <si>
    <t>Réserve juin/décembre</t>
  </si>
  <si>
    <t>Mutuelle ATP tx/j</t>
  </si>
  <si>
    <t>Médiation</t>
  </si>
  <si>
    <t>Disponible mensuel</t>
  </si>
  <si>
    <t>Disponible annuel</t>
  </si>
  <si>
    <t>Pécule d'avance</t>
  </si>
  <si>
    <t>Solde de compte plan</t>
  </si>
  <si>
    <t>Bonus</t>
  </si>
  <si>
    <t>Mensuelle</t>
  </si>
  <si>
    <t>Annuelle</t>
  </si>
  <si>
    <t>!! Changer la source de données</t>
  </si>
  <si>
    <t>Honoraires mensuels</t>
  </si>
  <si>
    <t>Honoraires annuels</t>
  </si>
  <si>
    <t>Solde plan</t>
  </si>
  <si>
    <t>Boni
Déficit</t>
  </si>
  <si>
    <t>Réserve impôt</t>
  </si>
  <si>
    <t>Epargne/Disponible</t>
  </si>
  <si>
    <t>Réserve EFH</t>
  </si>
  <si>
    <t>Epargne</t>
  </si>
  <si>
    <t>Solde de compte plan - divers</t>
  </si>
  <si>
    <t>Total réserve :</t>
  </si>
  <si>
    <t>ok</t>
  </si>
  <si>
    <t xml:space="preserve">Solde plan obligatoire au </t>
  </si>
  <si>
    <t>Solde plan minimum au</t>
  </si>
  <si>
    <t>Solde total attendu au</t>
  </si>
  <si>
    <r>
      <t xml:space="preserve">Escompte : </t>
    </r>
    <r>
      <rPr>
        <b/>
        <sz val="11"/>
        <color rgb="FF0070C0"/>
        <rFont val="Calibri"/>
        <family val="2"/>
        <scheme val="minor"/>
      </rPr>
      <t>2307,00</t>
    </r>
  </si>
  <si>
    <t>ONVA</t>
  </si>
  <si>
    <t>Allocations de chômage</t>
  </si>
  <si>
    <t>voiture</t>
  </si>
  <si>
    <t>Team Eupen</t>
  </si>
  <si>
    <t>Fin d'année</t>
  </si>
  <si>
    <t>Team Rec PP Liège 5</t>
  </si>
  <si>
    <t>Homologation</t>
  </si>
  <si>
    <t>CPC LIEGE 1 - Annuité 1</t>
  </si>
  <si>
    <t>EOS CONTENTIA - Annuité 1</t>
  </si>
  <si>
    <t>RESA GAZ - Annuité 1</t>
  </si>
  <si>
    <t>DGO7 FISCALITE AUTO - Annuité 1</t>
  </si>
  <si>
    <t>BEOBANK - Annuité 1</t>
  </si>
  <si>
    <t>VILLE DE LIEGE - Annuité 1</t>
  </si>
  <si>
    <t>MASSILLON - Annuité 1</t>
  </si>
  <si>
    <t>ONEM - Annuité 1</t>
  </si>
  <si>
    <t>CPAS DE LONTZEN - Annuité 1</t>
  </si>
  <si>
    <t>AC Esneux alloc installation</t>
  </si>
  <si>
    <t>Partenamut 05/22</t>
  </si>
  <si>
    <t>Partenamut 06/22</t>
  </si>
  <si>
    <t>Partenamut 07/22</t>
  </si>
  <si>
    <t>Pécule 08/2022</t>
  </si>
  <si>
    <t>Partenamut 08/22</t>
  </si>
  <si>
    <t>Pécule 09/2022</t>
  </si>
  <si>
    <t>CPC LIEGE 1 - Annuité 2</t>
  </si>
  <si>
    <t>EOS CONTENTIA - Annuité 2</t>
  </si>
  <si>
    <t>RESA GAZ - Annuité 2</t>
  </si>
  <si>
    <t>DGO7 FISCALITE AUTO - Annuité 2</t>
  </si>
  <si>
    <t>BEOBANK - Annuité 2</t>
  </si>
  <si>
    <t>Partenamut 09/22</t>
  </si>
  <si>
    <t>Pécule 10/2022</t>
  </si>
  <si>
    <t>Partenamut 10/22</t>
  </si>
  <si>
    <t>Pécule 11/2022</t>
  </si>
  <si>
    <t>Partenamut 12/22</t>
  </si>
  <si>
    <t>Pécule 12/2022</t>
  </si>
  <si>
    <t>date feuille 1</t>
  </si>
  <si>
    <t>date feuille 3</t>
  </si>
  <si>
    <t>fin de mois - 1 mois</t>
  </si>
  <si>
    <t>Date numérique</t>
  </si>
  <si>
    <t>nombre à  renvoyer</t>
  </si>
  <si>
    <r>
      <rPr>
        <b/>
        <sz val="11"/>
        <color rgb="FF00B0F0"/>
        <rFont val="Calibri"/>
        <family val="2"/>
        <scheme val="minor"/>
      </rPr>
      <t>SOMME</t>
    </r>
    <r>
      <rPr>
        <b/>
        <sz val="11"/>
        <rFont val="Calibri"/>
        <family val="2"/>
        <scheme val="minor"/>
      </rPr>
      <t>(</t>
    </r>
    <r>
      <rPr>
        <b/>
        <sz val="11"/>
        <color rgb="FF00B050"/>
        <rFont val="Calibri"/>
        <family val="2"/>
        <scheme val="minor"/>
      </rPr>
      <t>SIERREUR</t>
    </r>
    <r>
      <rPr>
        <b/>
        <sz val="11"/>
        <rFont val="Calibri"/>
        <family val="2"/>
        <scheme val="minor"/>
      </rPr>
      <t>(RECHERCHE(</t>
    </r>
    <r>
      <rPr>
        <b/>
        <sz val="11"/>
        <color rgb="FFC00000"/>
        <rFont val="Calibri"/>
        <family val="2"/>
        <scheme val="minor"/>
      </rPr>
      <t>RECHERCHEV</t>
    </r>
    <r>
      <rPr>
        <b/>
        <sz val="11"/>
        <rFont val="Calibri"/>
        <family val="2"/>
        <scheme val="minor"/>
      </rPr>
      <t>(</t>
    </r>
    <r>
      <rPr>
        <b/>
        <sz val="11"/>
        <color rgb="FFFFC000"/>
        <rFont val="Calibri"/>
        <family val="2"/>
        <scheme val="minor"/>
      </rPr>
      <t>FIN.MOIS(Situation!B1;-1)</t>
    </r>
    <r>
      <rPr>
        <b/>
        <sz val="11"/>
        <color rgb="FFC00000"/>
        <rFont val="Calibri"/>
        <family val="2"/>
        <scheme val="minor"/>
      </rPr>
      <t>;'Tableau de répartition plan'!D3:D86;1)</t>
    </r>
    <r>
      <rPr>
        <b/>
        <sz val="11"/>
        <rFont val="Calibri"/>
        <family val="2"/>
        <scheme val="minor"/>
      </rPr>
      <t>;'Tableau de répartition plan'!D3:D86;'Tableau de répartition plan'!C3:C86);</t>
    </r>
    <r>
      <rPr>
        <b/>
        <sz val="11"/>
        <color rgb="FF00B050"/>
        <rFont val="Calibri"/>
        <family val="2"/>
        <scheme val="minor"/>
      </rPr>
      <t>0</t>
    </r>
    <r>
      <rPr>
        <b/>
        <sz val="11"/>
        <rFont val="Calibri"/>
        <family val="2"/>
        <scheme val="minor"/>
      </rPr>
      <t>)</t>
    </r>
    <r>
      <rPr>
        <b/>
        <sz val="11"/>
        <color rgb="FF00B0F0"/>
        <rFont val="Calibri"/>
        <family val="2"/>
        <scheme val="minor"/>
      </rPr>
      <t>*Situation!B145</t>
    </r>
    <r>
      <rPr>
        <b/>
        <sz val="1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</si>
</sst>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0.00\ &quot;€&quot;;[Red]\-#,##0.00\ &quot;€&quot;"/>
    <numFmt numFmtId="164" formatCode="#,##0.00\ [$€-1]"/>
    <numFmt numFmtId="165" formatCode="#,##0.00\ [$€-1];[Red]\-#,##0.00\ [$€-1]"/>
    <numFmt numFmtId="166" formatCode="#,##0.00\ _€;[Red]\-#,##0.00\ _€"/>
    <numFmt numFmtId="167" formatCode="#\ ##0.00\ \€"/>
    <numFmt numFmtId="168" formatCode="#,##0.00\ &quot;€&quot;"/>
    <numFmt numFmtId="169" formatCode="0.000"/>
    <numFmt numFmtId="170" formatCode="#,##0.00_ ;[Red]\-#,##0.00\ "/>
    <numFmt numFmtId="171" formatCode="d/mm/yy;@"/>
    <numFmt numFmtId="172" formatCode="dd\/mm\/yy"/>
    <numFmt numFmtId="173" formatCode="#,##0.0000000000000000000\ &quot;€&quot;;[Red]\-#,##0.0000000000000000000\ &quot;€&quot;"/>
    <numFmt numFmtId="174" formatCode="#,##0_ ;[Red]\-#,##0\ "/>
    <numFmt numFmtId="175" formatCode="0_ ;[Red]\-0\ "/>
    <numFmt numFmtId="176" formatCode="d/mm/yyyy;@"/>
    <numFmt numFmtId="208" formatCode="0.00000000000_ ;[Red]\-0.00000000000\ "/>
  </numFmts>
  <fonts count="54"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1"/>
      <color rgb="FF0070C0"/>
      <name val="Calibri"/>
      <family val="2"/>
      <scheme val="minor"/>
    </font>
    <font>
      <sz val="11"/>
      <name val="Calibri"/>
      <family val="2"/>
      <scheme val="minor"/>
    </font>
    <font>
      <b/>
      <i/>
      <sz val="11"/>
      <color theme="1"/>
      <name val="Calibri"/>
      <family val="2"/>
      <scheme val="minor"/>
    </font>
    <font>
      <b/>
      <i/>
      <u/>
      <sz val="11"/>
      <color theme="1"/>
      <name val="Calibri"/>
      <family val="2"/>
      <scheme val="minor"/>
    </font>
    <font>
      <b/>
      <i/>
      <sz val="11"/>
      <color rgb="FFFF33CC"/>
      <name val="Calibri"/>
      <family val="2"/>
      <scheme val="minor"/>
    </font>
    <font>
      <b/>
      <sz val="11"/>
      <color rgb="FF0070C0"/>
      <name val="Calibri"/>
      <family val="2"/>
      <scheme val="minor"/>
    </font>
    <font>
      <b/>
      <sz val="11"/>
      <name val="Calibri"/>
      <family val="2"/>
      <scheme val="minor"/>
    </font>
    <font>
      <b/>
      <u/>
      <sz val="11"/>
      <color theme="1"/>
      <name val="Calibri"/>
      <family val="2"/>
      <scheme val="minor"/>
    </font>
    <font>
      <b/>
      <i/>
      <sz val="11"/>
      <name val="Calibri"/>
      <family val="2"/>
      <scheme val="minor"/>
    </font>
    <font>
      <i/>
      <sz val="11"/>
      <color theme="1"/>
      <name val="Calibri"/>
      <family val="2"/>
      <scheme val="minor"/>
    </font>
    <font>
      <i/>
      <sz val="11"/>
      <name val="Calibri"/>
      <family val="2"/>
      <scheme val="minor"/>
    </font>
    <font>
      <b/>
      <i/>
      <u/>
      <sz val="11"/>
      <color rgb="FF0070C0"/>
      <name val="Calibri"/>
      <family val="2"/>
      <scheme val="minor"/>
    </font>
    <font>
      <sz val="10"/>
      <name val="Arial"/>
      <family val="2"/>
    </font>
    <font>
      <b/>
      <sz val="8"/>
      <color theme="0"/>
      <name val="Verdana"/>
      <family val="2"/>
    </font>
    <font>
      <sz val="8"/>
      <name val="Verdana"/>
      <family val="2"/>
    </font>
    <font>
      <b/>
      <sz val="11"/>
      <color indexed="9"/>
      <name val="Arial"/>
      <family val="2"/>
    </font>
    <font>
      <b/>
      <sz val="8"/>
      <name val="Verdana"/>
      <family val="2"/>
    </font>
    <font>
      <b/>
      <sz val="8"/>
      <color rgb="FF9EC93F"/>
      <name val="Verdana"/>
      <family val="2"/>
    </font>
    <font>
      <b/>
      <sz val="10"/>
      <color theme="0"/>
      <name val="Arial"/>
      <family val="2"/>
    </font>
    <font>
      <b/>
      <sz val="10"/>
      <name val="Arial"/>
      <family val="2"/>
    </font>
    <font>
      <b/>
      <sz val="16"/>
      <color theme="0"/>
      <name val="Arial"/>
      <family val="2"/>
    </font>
    <font>
      <sz val="10"/>
      <color theme="0"/>
      <name val="Arial"/>
      <family val="2"/>
    </font>
    <font>
      <b/>
      <u/>
      <sz val="11"/>
      <color rgb="FF0070C0"/>
      <name val="Calibri"/>
      <family val="2"/>
      <scheme val="minor"/>
    </font>
    <font>
      <sz val="11"/>
      <color rgb="FFEF03CD"/>
      <name val="Calibri"/>
      <family val="2"/>
      <scheme val="minor"/>
    </font>
    <font>
      <b/>
      <u/>
      <sz val="11"/>
      <color theme="0"/>
      <name val="Calibri"/>
      <family val="2"/>
      <scheme val="minor"/>
    </font>
    <font>
      <b/>
      <u/>
      <sz val="11"/>
      <name val="Calibri"/>
      <family val="2"/>
      <scheme val="minor"/>
    </font>
    <font>
      <b/>
      <i/>
      <u/>
      <sz val="11"/>
      <name val="Calibri"/>
      <family val="2"/>
      <scheme val="minor"/>
    </font>
    <font>
      <sz val="11"/>
      <name val="Times New Roman"/>
      <family val="1"/>
    </font>
    <font>
      <b/>
      <sz val="11"/>
      <name val="Times New Roman"/>
      <family val="1"/>
    </font>
    <font>
      <vertAlign val="superscript"/>
      <sz val="11"/>
      <color theme="1"/>
      <name val="Calibri"/>
      <family val="2"/>
      <scheme val="minor"/>
    </font>
    <font>
      <i/>
      <sz val="11"/>
      <color rgb="FF0070C0"/>
      <name val="Calibri"/>
      <family val="2"/>
      <scheme val="minor"/>
    </font>
    <font>
      <b/>
      <sz val="11"/>
      <color rgb="FFFF0000"/>
      <name val="Calibri"/>
      <family val="2"/>
      <scheme val="minor"/>
    </font>
    <font>
      <i/>
      <sz val="11"/>
      <color rgb="FF7030A0"/>
      <name val="Calibri"/>
      <family val="2"/>
      <scheme val="minor"/>
    </font>
    <font>
      <b/>
      <sz val="11"/>
      <color rgb="FF7030A0"/>
      <name val="Calibri"/>
      <family val="2"/>
      <scheme val="minor"/>
    </font>
    <font>
      <b/>
      <i/>
      <sz val="11"/>
      <color theme="0"/>
      <name val="Calibri"/>
      <family val="2"/>
      <scheme val="minor"/>
    </font>
    <font>
      <i/>
      <sz val="11"/>
      <color theme="0"/>
      <name val="Calibri"/>
      <family val="2"/>
      <scheme val="minor"/>
    </font>
    <font>
      <b/>
      <i/>
      <u/>
      <sz val="11"/>
      <color theme="0"/>
      <name val="Calibri"/>
      <family val="2"/>
      <scheme val="minor"/>
    </font>
    <font>
      <i/>
      <u/>
      <sz val="11"/>
      <color theme="0"/>
      <name val="Calibri"/>
      <family val="2"/>
      <scheme val="minor"/>
    </font>
    <font>
      <sz val="8"/>
      <name val="Calibri"/>
      <family val="2"/>
      <scheme val="minor"/>
    </font>
    <font>
      <sz val="11"/>
      <color rgb="FF00B050"/>
      <name val="Calibri"/>
      <family val="2"/>
      <scheme val="minor"/>
    </font>
    <font>
      <b/>
      <sz val="12"/>
      <color theme="0"/>
      <name val="Calibri"/>
      <family val="2"/>
      <scheme val="minor"/>
    </font>
    <font>
      <sz val="10"/>
      <color rgb="FF00B0F0"/>
      <name val="Arial"/>
      <family val="2"/>
    </font>
    <font>
      <sz val="11"/>
      <color theme="1"/>
      <name val="Calibri"/>
      <family val="2"/>
      <scheme val="minor"/>
    </font>
    <font>
      <b/>
      <i/>
      <sz val="11"/>
      <color rgb="FF0070C0"/>
      <name val="Calibri"/>
      <family val="2"/>
      <scheme val="minor"/>
    </font>
    <font>
      <b/>
      <sz val="11"/>
      <color rgb="FF00B0F0"/>
      <name val="Calibri"/>
      <family val="2"/>
      <scheme val="minor"/>
    </font>
    <font>
      <b/>
      <sz val="11"/>
      <color rgb="FF00B050"/>
      <name val="Calibri"/>
      <family val="2"/>
      <scheme val="minor"/>
    </font>
    <font>
      <b/>
      <sz val="11"/>
      <color rgb="FFFFC000"/>
      <name val="Calibri"/>
      <family val="2"/>
      <scheme val="minor"/>
    </font>
    <font>
      <b/>
      <sz val="11"/>
      <color rgb="FFC00000"/>
      <name val="Calibri"/>
      <family val="2"/>
      <scheme val="minor"/>
    </font>
    <font>
      <sz val="11"/>
      <color rgb="FFFFC000"/>
      <name val="Calibri"/>
      <family val="2"/>
      <scheme val="minor"/>
    </font>
    <font>
      <sz val="11"/>
      <color rgb="FFC00000"/>
      <name val="Calibri"/>
      <family val="2"/>
      <scheme val="minor"/>
    </font>
  </fonts>
  <fills count="15">
    <fill>
      <patternFill patternType="none"/>
    </fill>
    <fill>
      <patternFill patternType="gray125"/>
    </fill>
    <fill>
      <patternFill patternType="solid">
        <fgColor theme="1"/>
        <bgColor indexed="64"/>
      </patternFill>
    </fill>
    <fill>
      <patternFill patternType="solid">
        <fgColor rgb="FFC00000"/>
        <bgColor indexed="26"/>
      </patternFill>
    </fill>
    <fill>
      <patternFill patternType="solid">
        <fgColor theme="0"/>
        <bgColor indexed="64"/>
      </patternFill>
    </fill>
    <fill>
      <patternFill patternType="solid">
        <fgColor theme="0"/>
        <bgColor indexed="26"/>
      </patternFill>
    </fill>
    <fill>
      <patternFill patternType="solid">
        <fgColor rgb="FFC00000"/>
        <bgColor indexed="64"/>
      </patternFill>
    </fill>
    <fill>
      <patternFill patternType="solid">
        <fgColor theme="8" tint="0.79998168889431442"/>
        <bgColor indexed="64"/>
      </patternFill>
    </fill>
    <fill>
      <patternFill patternType="solid">
        <fgColor theme="4" tint="-0.249977111117893"/>
        <bgColor indexed="64"/>
      </patternFill>
    </fill>
    <fill>
      <patternFill patternType="solid">
        <fgColor theme="4" tint="-0.249977111117893"/>
        <bgColor indexed="26"/>
      </patternFill>
    </fill>
    <fill>
      <patternFill patternType="solid">
        <fgColor theme="8" tint="-0.249977111117893"/>
        <bgColor indexed="64"/>
      </patternFill>
    </fill>
    <fill>
      <patternFill patternType="solid">
        <fgColor theme="2"/>
        <bgColor indexed="64"/>
      </patternFill>
    </fill>
    <fill>
      <patternFill patternType="solid">
        <fgColor theme="2" tint="-9.9978637043366805E-2"/>
        <bgColor indexed="64"/>
      </patternFill>
    </fill>
    <fill>
      <patternFill patternType="solid">
        <fgColor rgb="FFFFC000"/>
        <bgColor indexed="64"/>
      </patternFill>
    </fill>
    <fill>
      <patternFill patternType="solid">
        <fgColor theme="0" tint="-0.14999847407452621"/>
        <bgColor indexed="64"/>
      </patternFill>
    </fill>
  </fills>
  <borders count="4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ck">
        <color rgb="FF02F01E"/>
      </right>
      <top style="thin">
        <color indexed="64"/>
      </top>
      <bottom style="thin">
        <color indexed="64"/>
      </bottom>
      <diagonal/>
    </border>
    <border>
      <left/>
      <right style="thick">
        <color rgb="FF02F01E"/>
      </right>
      <top style="thin">
        <color indexed="64"/>
      </top>
      <bottom style="thin">
        <color indexed="64"/>
      </bottom>
      <diagonal/>
    </border>
    <border>
      <left style="thick">
        <color rgb="FF02F01E"/>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right style="thick">
        <color rgb="FF02F01E"/>
      </right>
      <top/>
      <bottom style="thin">
        <color indexed="64"/>
      </bottom>
      <diagonal/>
    </border>
    <border>
      <left/>
      <right style="thick">
        <color rgb="FF02F01E"/>
      </right>
      <top style="thin">
        <color indexed="64"/>
      </top>
      <bottom/>
      <diagonal/>
    </border>
  </borders>
  <cellStyleXfs count="3">
    <xf numFmtId="0" fontId="0" fillId="0" borderId="0"/>
    <xf numFmtId="0" fontId="16" fillId="0" borderId="0"/>
    <xf numFmtId="9" fontId="46" fillId="0" borderId="0" applyFont="0" applyFill="0" applyBorder="0" applyAlignment="0" applyProtection="0"/>
  </cellStyleXfs>
  <cellXfs count="434">
    <xf numFmtId="0" fontId="0" fillId="0" borderId="0" xfId="0"/>
    <xf numFmtId="164" fontId="0" fillId="0" borderId="0" xfId="0" applyNumberFormat="1"/>
    <xf numFmtId="17" fontId="0" fillId="0" borderId="0" xfId="0" applyNumberFormat="1"/>
    <xf numFmtId="165" fontId="0" fillId="0" borderId="0" xfId="0" applyNumberFormat="1"/>
    <xf numFmtId="14" fontId="0" fillId="0" borderId="0" xfId="0" applyNumberFormat="1"/>
    <xf numFmtId="0" fontId="4" fillId="0" borderId="0" xfId="0" applyFont="1"/>
    <xf numFmtId="165" fontId="5" fillId="0" borderId="0" xfId="0" applyNumberFormat="1" applyFont="1"/>
    <xf numFmtId="14" fontId="4" fillId="0" borderId="0" xfId="0" applyNumberFormat="1" applyFont="1"/>
    <xf numFmtId="0" fontId="0" fillId="0" borderId="0" xfId="0" applyAlignment="1">
      <alignment wrapText="1"/>
    </xf>
    <xf numFmtId="0" fontId="2" fillId="0" borderId="1" xfId="0" applyFont="1" applyBorder="1"/>
    <xf numFmtId="0" fontId="2" fillId="0" borderId="2" xfId="0" applyFont="1" applyBorder="1"/>
    <xf numFmtId="10" fontId="2" fillId="0" borderId="2" xfId="0" applyNumberFormat="1" applyFont="1" applyBorder="1" applyAlignment="1">
      <alignment horizontal="center"/>
    </xf>
    <xf numFmtId="0" fontId="2" fillId="0" borderId="3" xfId="0" applyFont="1" applyBorder="1"/>
    <xf numFmtId="0" fontId="2" fillId="0" borderId="0" xfId="0" applyFont="1"/>
    <xf numFmtId="0" fontId="0" fillId="0" borderId="4" xfId="0" applyBorder="1"/>
    <xf numFmtId="165" fontId="2" fillId="0" borderId="5" xfId="0" applyNumberFormat="1" applyFont="1" applyBorder="1"/>
    <xf numFmtId="0" fontId="6" fillId="0" borderId="5" xfId="0" applyFont="1" applyBorder="1"/>
    <xf numFmtId="0" fontId="0" fillId="0" borderId="6" xfId="0" applyBorder="1"/>
    <xf numFmtId="165" fontId="2" fillId="0" borderId="7" xfId="0" applyNumberFormat="1" applyFont="1" applyBorder="1"/>
    <xf numFmtId="0" fontId="0" fillId="0" borderId="8" xfId="0" applyBorder="1"/>
    <xf numFmtId="0" fontId="0" fillId="0" borderId="9" xfId="0" applyBorder="1"/>
    <xf numFmtId="165" fontId="2" fillId="0" borderId="10" xfId="0" applyNumberFormat="1" applyFont="1" applyBorder="1"/>
    <xf numFmtId="0" fontId="0" fillId="0" borderId="1" xfId="0" applyBorder="1"/>
    <xf numFmtId="0" fontId="0" fillId="0" borderId="2" xfId="0" applyBorder="1"/>
    <xf numFmtId="0" fontId="0" fillId="0" borderId="3" xfId="0" applyBorder="1"/>
    <xf numFmtId="165" fontId="5" fillId="0" borderId="10" xfId="0" applyNumberFormat="1" applyFont="1" applyBorder="1"/>
    <xf numFmtId="0" fontId="0" fillId="0" borderId="10" xfId="0" applyBorder="1"/>
    <xf numFmtId="165" fontId="6" fillId="0" borderId="0" xfId="0" applyNumberFormat="1" applyFont="1" applyAlignment="1">
      <alignment horizontal="left"/>
    </xf>
    <xf numFmtId="0" fontId="7" fillId="0" borderId="0" xfId="0" applyFont="1"/>
    <xf numFmtId="165" fontId="0" fillId="0" borderId="3" xfId="0" applyNumberFormat="1" applyBorder="1"/>
    <xf numFmtId="0" fontId="8" fillId="0" borderId="0" xfId="0" applyFont="1"/>
    <xf numFmtId="0" fontId="2" fillId="0" borderId="10" xfId="0" applyFont="1" applyBorder="1"/>
    <xf numFmtId="165" fontId="2" fillId="0" borderId="0" xfId="0" applyNumberFormat="1" applyFont="1"/>
    <xf numFmtId="164" fontId="10" fillId="0" borderId="10" xfId="0" applyNumberFormat="1" applyFont="1" applyBorder="1"/>
    <xf numFmtId="165" fontId="0" fillId="0" borderId="6" xfId="0" applyNumberFormat="1" applyBorder="1"/>
    <xf numFmtId="165" fontId="4" fillId="0" borderId="10" xfId="0" applyNumberFormat="1" applyFont="1" applyBorder="1"/>
    <xf numFmtId="165" fontId="4" fillId="0" borderId="0" xfId="0" applyNumberFormat="1" applyFont="1"/>
    <xf numFmtId="14" fontId="5" fillId="0" borderId="0" xfId="0" applyNumberFormat="1" applyFont="1" applyAlignment="1">
      <alignment vertical="center"/>
    </xf>
    <xf numFmtId="0" fontId="11" fillId="0" borderId="0" xfId="0" applyFont="1"/>
    <xf numFmtId="166" fontId="2" fillId="0" borderId="0" xfId="0" applyNumberFormat="1" applyFont="1"/>
    <xf numFmtId="165" fontId="0" fillId="0" borderId="10" xfId="0" applyNumberFormat="1" applyBorder="1"/>
    <xf numFmtId="0" fontId="12" fillId="0" borderId="10" xfId="0" applyFont="1" applyBorder="1"/>
    <xf numFmtId="8" fontId="5" fillId="0" borderId="10" xfId="0" applyNumberFormat="1" applyFont="1" applyBorder="1"/>
    <xf numFmtId="14" fontId="4" fillId="0" borderId="10" xfId="0" applyNumberFormat="1" applyFont="1" applyBorder="1"/>
    <xf numFmtId="0" fontId="0" fillId="0" borderId="10" xfId="0" applyBorder="1" applyAlignment="1">
      <alignment vertical="center"/>
    </xf>
    <xf numFmtId="165" fontId="11" fillId="0" borderId="0" xfId="0" applyNumberFormat="1" applyFont="1"/>
    <xf numFmtId="0" fontId="0" fillId="0" borderId="14" xfId="0" applyBorder="1"/>
    <xf numFmtId="0" fontId="13" fillId="0" borderId="0" xfId="0" applyFont="1"/>
    <xf numFmtId="165" fontId="0" fillId="0" borderId="1" xfId="0" applyNumberFormat="1" applyBorder="1" applyAlignment="1">
      <alignment horizontal="left"/>
    </xf>
    <xf numFmtId="0" fontId="1" fillId="2" borderId="3" xfId="0" applyFont="1" applyFill="1" applyBorder="1"/>
    <xf numFmtId="0" fontId="4" fillId="0" borderId="10" xfId="0" applyFont="1" applyBorder="1"/>
    <xf numFmtId="165" fontId="2" fillId="0" borderId="0" xfId="0" applyNumberFormat="1" applyFont="1" applyAlignment="1">
      <alignment horizontal="left"/>
    </xf>
    <xf numFmtId="165" fontId="10" fillId="0" borderId="0" xfId="0" applyNumberFormat="1" applyFont="1" applyAlignment="1">
      <alignment horizontal="right"/>
    </xf>
    <xf numFmtId="0" fontId="7" fillId="0" borderId="0" xfId="0" applyFont="1" applyAlignment="1">
      <alignment vertical="center" wrapText="1"/>
    </xf>
    <xf numFmtId="0" fontId="15" fillId="0" borderId="0" xfId="0" applyFont="1" applyAlignment="1">
      <alignment wrapText="1"/>
    </xf>
    <xf numFmtId="0" fontId="7" fillId="0" borderId="0" xfId="0" applyFont="1" applyAlignment="1">
      <alignment vertical="center"/>
    </xf>
    <xf numFmtId="0" fontId="0" fillId="0" borderId="0" xfId="0" applyAlignment="1">
      <alignment vertical="center"/>
    </xf>
    <xf numFmtId="0" fontId="0" fillId="0" borderId="0" xfId="0" applyAlignment="1">
      <alignment horizontal="right"/>
    </xf>
    <xf numFmtId="165" fontId="1" fillId="2" borderId="10" xfId="0" applyNumberFormat="1" applyFont="1" applyFill="1" applyBorder="1"/>
    <xf numFmtId="0" fontId="0" fillId="2" borderId="0" xfId="0" applyFill="1"/>
    <xf numFmtId="165" fontId="4" fillId="0" borderId="10" xfId="0" applyNumberFormat="1" applyFont="1" applyBorder="1" applyAlignment="1">
      <alignment vertical="center"/>
    </xf>
    <xf numFmtId="0" fontId="0" fillId="0" borderId="3" xfId="0" applyBorder="1" applyAlignment="1">
      <alignment wrapText="1"/>
    </xf>
    <xf numFmtId="0" fontId="1" fillId="2" borderId="10" xfId="0" applyFont="1" applyFill="1" applyBorder="1"/>
    <xf numFmtId="0" fontId="11" fillId="0" borderId="0" xfId="0" applyFont="1" applyAlignment="1">
      <alignment horizontal="center"/>
    </xf>
    <xf numFmtId="0" fontId="11" fillId="0" borderId="0" xfId="0" applyFont="1" applyAlignment="1">
      <alignment wrapText="1"/>
    </xf>
    <xf numFmtId="0" fontId="2" fillId="0" borderId="0" xfId="0" applyFont="1" applyAlignment="1">
      <alignment horizontal="right"/>
    </xf>
    <xf numFmtId="14" fontId="4" fillId="0" borderId="2" xfId="0" applyNumberFormat="1" applyFont="1" applyBorder="1"/>
    <xf numFmtId="0" fontId="17" fillId="3" borderId="18" xfId="0" applyFont="1" applyFill="1" applyBorder="1" applyAlignment="1">
      <alignment vertical="center"/>
    </xf>
    <xf numFmtId="0" fontId="17" fillId="3" borderId="19" xfId="0" applyFont="1" applyFill="1" applyBorder="1" applyAlignment="1">
      <alignment vertical="center"/>
    </xf>
    <xf numFmtId="0" fontId="5" fillId="4" borderId="13" xfId="0" applyFont="1" applyFill="1" applyBorder="1"/>
    <xf numFmtId="0" fontId="5" fillId="4" borderId="20" xfId="0" applyFont="1" applyFill="1" applyBorder="1"/>
    <xf numFmtId="0" fontId="5" fillId="4" borderId="21" xfId="0" applyFont="1" applyFill="1" applyBorder="1"/>
    <xf numFmtId="167" fontId="16" fillId="4" borderId="22" xfId="0" applyNumberFormat="1" applyFont="1" applyFill="1" applyBorder="1" applyAlignment="1">
      <alignment vertical="center"/>
    </xf>
    <xf numFmtId="167" fontId="16" fillId="4" borderId="10" xfId="0" applyNumberFormat="1" applyFont="1" applyFill="1" applyBorder="1" applyAlignment="1">
      <alignment vertical="center"/>
    </xf>
    <xf numFmtId="0" fontId="16" fillId="5" borderId="23" xfId="0" applyFont="1" applyFill="1" applyBorder="1" applyAlignment="1">
      <alignment horizontal="center" vertical="center"/>
    </xf>
    <xf numFmtId="0" fontId="16" fillId="4" borderId="2" xfId="0" applyFont="1" applyFill="1" applyBorder="1" applyAlignment="1">
      <alignment vertical="center"/>
    </xf>
    <xf numFmtId="0" fontId="16" fillId="4" borderId="24" xfId="0" applyFont="1" applyFill="1" applyBorder="1" applyAlignment="1">
      <alignment vertical="center" wrapText="1"/>
    </xf>
    <xf numFmtId="167" fontId="16" fillId="4" borderId="25" xfId="0" applyNumberFormat="1" applyFont="1" applyFill="1" applyBorder="1" applyAlignment="1">
      <alignment vertical="center"/>
    </xf>
    <xf numFmtId="9" fontId="16" fillId="5" borderId="10" xfId="0" applyNumberFormat="1" applyFont="1" applyFill="1" applyBorder="1" applyAlignment="1">
      <alignment horizontal="center" vertical="center"/>
    </xf>
    <xf numFmtId="0" fontId="16" fillId="4" borderId="9" xfId="0" applyFont="1" applyFill="1" applyBorder="1" applyAlignment="1">
      <alignment horizontal="center" vertical="center"/>
    </xf>
    <xf numFmtId="0" fontId="16" fillId="4" borderId="24" xfId="0" applyFont="1" applyFill="1" applyBorder="1" applyAlignment="1">
      <alignment horizontal="left" vertical="center" wrapText="1"/>
    </xf>
    <xf numFmtId="0" fontId="16" fillId="4" borderId="2" xfId="0" applyFont="1" applyFill="1" applyBorder="1" applyAlignment="1">
      <alignment horizontal="center" vertical="center"/>
    </xf>
    <xf numFmtId="167" fontId="16" fillId="5" borderId="25" xfId="0" applyNumberFormat="1" applyFont="1" applyFill="1" applyBorder="1" applyAlignment="1">
      <alignment vertical="center"/>
    </xf>
    <xf numFmtId="167" fontId="16" fillId="5" borderId="11" xfId="0" applyNumberFormat="1" applyFont="1" applyFill="1" applyBorder="1" applyAlignment="1">
      <alignment vertical="center"/>
    </xf>
    <xf numFmtId="0" fontId="16" fillId="5" borderId="10" xfId="0" applyFont="1" applyFill="1" applyBorder="1" applyAlignment="1">
      <alignment horizontal="center" vertical="center"/>
    </xf>
    <xf numFmtId="0" fontId="18" fillId="4" borderId="9" xfId="0" applyFont="1" applyFill="1" applyBorder="1"/>
    <xf numFmtId="0" fontId="20" fillId="5" borderId="26" xfId="0" applyFont="1" applyFill="1" applyBorder="1" applyAlignment="1" applyProtection="1">
      <alignment vertical="center"/>
      <protection locked="0"/>
    </xf>
    <xf numFmtId="0" fontId="21" fillId="3" borderId="27" xfId="0" applyFont="1" applyFill="1" applyBorder="1" applyAlignment="1">
      <alignment vertical="center"/>
    </xf>
    <xf numFmtId="0" fontId="17" fillId="3" borderId="27" xfId="0" applyFont="1" applyFill="1" applyBorder="1" applyAlignment="1">
      <alignment vertical="center"/>
    </xf>
    <xf numFmtId="0" fontId="20" fillId="5" borderId="1" xfId="0" applyFont="1" applyFill="1" applyBorder="1" applyAlignment="1">
      <alignment vertical="center"/>
    </xf>
    <xf numFmtId="0" fontId="22" fillId="3" borderId="18" xfId="0" applyFont="1" applyFill="1" applyBorder="1" applyAlignment="1">
      <alignment vertical="center"/>
    </xf>
    <xf numFmtId="0" fontId="22" fillId="3" borderId="14" xfId="0" applyFont="1" applyFill="1" applyBorder="1" applyAlignment="1">
      <alignment vertical="center"/>
    </xf>
    <xf numFmtId="0" fontId="16" fillId="4" borderId="13" xfId="0" applyFont="1" applyFill="1" applyBorder="1"/>
    <xf numFmtId="0" fontId="16" fillId="4" borderId="20" xfId="0" applyFont="1" applyFill="1" applyBorder="1"/>
    <xf numFmtId="0" fontId="16" fillId="4" borderId="21" xfId="0" applyFont="1" applyFill="1" applyBorder="1"/>
    <xf numFmtId="0" fontId="16" fillId="0" borderId="9" xfId="0" applyFont="1" applyBorder="1"/>
    <xf numFmtId="0" fontId="23" fillId="0" borderId="26" xfId="0" applyFont="1" applyBorder="1" applyAlignment="1" applyProtection="1">
      <alignment vertical="center"/>
      <protection locked="0"/>
    </xf>
    <xf numFmtId="0" fontId="22" fillId="3" borderId="0" xfId="0" applyFont="1" applyFill="1" applyAlignment="1">
      <alignment vertical="center"/>
    </xf>
    <xf numFmtId="0" fontId="23" fillId="0" borderId="1" xfId="0" applyFont="1" applyBorder="1" applyAlignment="1">
      <alignment vertical="center"/>
    </xf>
    <xf numFmtId="0" fontId="22" fillId="3" borderId="6" xfId="0" applyFont="1" applyFill="1" applyBorder="1" applyAlignment="1">
      <alignment vertical="center"/>
    </xf>
    <xf numFmtId="0" fontId="22" fillId="3" borderId="27" xfId="0" applyFont="1" applyFill="1" applyBorder="1" applyAlignment="1">
      <alignment vertical="center"/>
    </xf>
    <xf numFmtId="0" fontId="25" fillId="0" borderId="9" xfId="0" applyFont="1" applyBorder="1"/>
    <xf numFmtId="165" fontId="0" fillId="0" borderId="0" xfId="0" applyNumberFormat="1" applyAlignment="1">
      <alignment vertical="center"/>
    </xf>
    <xf numFmtId="0" fontId="11" fillId="0" borderId="0" xfId="0" applyFont="1" applyAlignment="1">
      <alignment vertical="center" wrapText="1"/>
    </xf>
    <xf numFmtId="14" fontId="9" fillId="0" borderId="0" xfId="0" applyNumberFormat="1" applyFont="1" applyAlignment="1">
      <alignment vertical="center"/>
    </xf>
    <xf numFmtId="14" fontId="2" fillId="0" borderId="0" xfId="0" applyNumberFormat="1" applyFont="1" applyAlignment="1">
      <alignment vertical="center"/>
    </xf>
    <xf numFmtId="0" fontId="2" fillId="0" borderId="0" xfId="0" applyFont="1" applyAlignment="1">
      <alignment horizontal="right" vertical="center"/>
    </xf>
    <xf numFmtId="165" fontId="26" fillId="0" borderId="0" xfId="0" applyNumberFormat="1" applyFont="1"/>
    <xf numFmtId="165" fontId="27" fillId="0" borderId="10" xfId="0" applyNumberFormat="1" applyFont="1" applyBorder="1"/>
    <xf numFmtId="0" fontId="0" fillId="0" borderId="7" xfId="0" applyBorder="1"/>
    <xf numFmtId="14" fontId="4" fillId="0" borderId="0" xfId="0" applyNumberFormat="1" applyFont="1" applyAlignment="1">
      <alignment vertical="center"/>
    </xf>
    <xf numFmtId="165" fontId="0" fillId="0" borderId="0" xfId="0" applyNumberFormat="1" applyAlignment="1">
      <alignment horizontal="right"/>
    </xf>
    <xf numFmtId="0" fontId="28" fillId="2" borderId="0" xfId="0" applyFont="1" applyFill="1"/>
    <xf numFmtId="0" fontId="3" fillId="2" borderId="0" xfId="0" applyFont="1" applyFill="1"/>
    <xf numFmtId="0" fontId="28" fillId="2" borderId="0" xfId="0" applyFont="1" applyFill="1" applyAlignment="1">
      <alignment vertical="center"/>
    </xf>
    <xf numFmtId="165" fontId="0" fillId="0" borderId="1" xfId="0" applyNumberFormat="1" applyBorder="1"/>
    <xf numFmtId="165" fontId="4" fillId="0" borderId="1" xfId="0" applyNumberFormat="1" applyFont="1" applyBorder="1"/>
    <xf numFmtId="0" fontId="1" fillId="2" borderId="1" xfId="0" applyFont="1" applyFill="1" applyBorder="1"/>
    <xf numFmtId="165" fontId="27" fillId="0" borderId="36" xfId="0" applyNumberFormat="1" applyFont="1" applyBorder="1"/>
    <xf numFmtId="165" fontId="5" fillId="0" borderId="36" xfId="0" applyNumberFormat="1" applyFont="1" applyBorder="1"/>
    <xf numFmtId="165" fontId="27" fillId="0" borderId="36" xfId="0" applyNumberFormat="1" applyFont="1" applyBorder="1" applyAlignment="1">
      <alignment vertical="center"/>
    </xf>
    <xf numFmtId="165" fontId="1" fillId="2" borderId="36" xfId="0" applyNumberFormat="1" applyFont="1" applyFill="1" applyBorder="1"/>
    <xf numFmtId="14" fontId="4" fillId="0" borderId="0" xfId="0" applyNumberFormat="1" applyFont="1" applyAlignment="1">
      <alignment horizontal="center" vertical="center"/>
    </xf>
    <xf numFmtId="0" fontId="3" fillId="0" borderId="0" xfId="0" applyFont="1"/>
    <xf numFmtId="165" fontId="1" fillId="0" borderId="0" xfId="0" applyNumberFormat="1" applyFont="1"/>
    <xf numFmtId="0" fontId="13" fillId="0" borderId="0" xfId="0" applyFont="1" applyAlignment="1">
      <alignment horizontal="left"/>
    </xf>
    <xf numFmtId="0" fontId="13" fillId="0" borderId="0" xfId="0" applyFont="1" applyAlignment="1">
      <alignment horizontal="right"/>
    </xf>
    <xf numFmtId="165" fontId="4" fillId="0" borderId="0" xfId="0" applyNumberFormat="1" applyFont="1" applyAlignment="1">
      <alignment vertical="center"/>
    </xf>
    <xf numFmtId="0" fontId="1" fillId="0" borderId="0" xfId="0" applyFont="1"/>
    <xf numFmtId="167" fontId="16" fillId="4" borderId="10" xfId="0" applyNumberFormat="1" applyFont="1" applyFill="1" applyBorder="1" applyAlignment="1">
      <alignment horizontal="right" vertical="center"/>
    </xf>
    <xf numFmtId="167" fontId="16" fillId="5" borderId="10" xfId="0" applyNumberFormat="1" applyFont="1" applyFill="1" applyBorder="1" applyAlignment="1">
      <alignment horizontal="right" vertical="center"/>
    </xf>
    <xf numFmtId="167" fontId="16" fillId="5" borderId="25" xfId="0" applyNumberFormat="1" applyFont="1" applyFill="1" applyBorder="1" applyAlignment="1">
      <alignment horizontal="right" vertical="center"/>
    </xf>
    <xf numFmtId="167" fontId="16" fillId="4" borderId="25" xfId="0" applyNumberFormat="1" applyFont="1" applyFill="1" applyBorder="1" applyAlignment="1">
      <alignment horizontal="right" vertical="center"/>
    </xf>
    <xf numFmtId="0" fontId="29" fillId="0" borderId="0" xfId="0" applyFont="1"/>
    <xf numFmtId="0" fontId="5" fillId="0" borderId="0" xfId="0" applyFont="1"/>
    <xf numFmtId="0" fontId="16" fillId="0" borderId="10" xfId="1" applyBorder="1"/>
    <xf numFmtId="0" fontId="31" fillId="0" borderId="10" xfId="1" applyFont="1" applyBorder="1" applyAlignment="1">
      <alignment horizontal="center"/>
    </xf>
    <xf numFmtId="0" fontId="31" fillId="0" borderId="10" xfId="1" applyFont="1" applyBorder="1"/>
    <xf numFmtId="0" fontId="32" fillId="0" borderId="10" xfId="1" applyFont="1" applyBorder="1"/>
    <xf numFmtId="0" fontId="0" fillId="0" borderId="11" xfId="0" applyBorder="1"/>
    <xf numFmtId="165" fontId="0" fillId="0" borderId="11" xfId="0" applyNumberFormat="1" applyBorder="1"/>
    <xf numFmtId="0" fontId="0" fillId="0" borderId="12" xfId="0" applyBorder="1"/>
    <xf numFmtId="165" fontId="0" fillId="0" borderId="12" xfId="0" applyNumberFormat="1" applyBorder="1"/>
    <xf numFmtId="0" fontId="4" fillId="0" borderId="1" xfId="0" applyFont="1" applyBorder="1"/>
    <xf numFmtId="0" fontId="2" fillId="0" borderId="0" xfId="0" applyFont="1" applyAlignment="1">
      <alignment vertical="center" wrapText="1"/>
    </xf>
    <xf numFmtId="0" fontId="0" fillId="0" borderId="3" xfId="0" applyBorder="1" applyAlignment="1">
      <alignment vertical="center"/>
    </xf>
    <xf numFmtId="165" fontId="0" fillId="0" borderId="23" xfId="0" applyNumberFormat="1" applyBorder="1"/>
    <xf numFmtId="165" fontId="0" fillId="0" borderId="39" xfId="0" applyNumberFormat="1" applyBorder="1"/>
    <xf numFmtId="0" fontId="0" fillId="7" borderId="2" xfId="0" applyFill="1" applyBorder="1"/>
    <xf numFmtId="165" fontId="27" fillId="7" borderId="37" xfId="0" applyNumberFormat="1" applyFont="1" applyFill="1" applyBorder="1"/>
    <xf numFmtId="165" fontId="4" fillId="7" borderId="2" xfId="0" applyNumberFormat="1" applyFont="1" applyFill="1" applyBorder="1"/>
    <xf numFmtId="165" fontId="0" fillId="7" borderId="1" xfId="0" applyNumberFormat="1" applyFill="1" applyBorder="1"/>
    <xf numFmtId="0" fontId="1" fillId="7" borderId="2" xfId="0" applyFont="1" applyFill="1" applyBorder="1"/>
    <xf numFmtId="165" fontId="1" fillId="7" borderId="37" xfId="0" applyNumberFormat="1" applyFont="1" applyFill="1" applyBorder="1"/>
    <xf numFmtId="0" fontId="1" fillId="7" borderId="38" xfId="0" applyFont="1" applyFill="1" applyBorder="1"/>
    <xf numFmtId="165" fontId="1" fillId="7" borderId="2" xfId="0" applyNumberFormat="1" applyFont="1" applyFill="1" applyBorder="1"/>
    <xf numFmtId="165" fontId="10" fillId="0" borderId="0" xfId="0" applyNumberFormat="1" applyFont="1" applyAlignment="1">
      <alignment horizontal="left"/>
    </xf>
    <xf numFmtId="0" fontId="22" fillId="3" borderId="28" xfId="0" applyFont="1" applyFill="1" applyBorder="1" applyAlignment="1">
      <alignment vertical="center"/>
    </xf>
    <xf numFmtId="0" fontId="22" fillId="3" borderId="9" xfId="0" applyFont="1" applyFill="1" applyBorder="1" applyAlignment="1">
      <alignment vertical="center"/>
    </xf>
    <xf numFmtId="0" fontId="22" fillId="3" borderId="7" xfId="0" applyFont="1" applyFill="1" applyBorder="1" applyAlignment="1">
      <alignment vertical="center"/>
    </xf>
    <xf numFmtId="0" fontId="22" fillId="3" borderId="8" xfId="0" applyFont="1" applyFill="1" applyBorder="1" applyAlignment="1">
      <alignment vertical="top" wrapText="1"/>
    </xf>
    <xf numFmtId="0" fontId="22" fillId="3" borderId="22" xfId="0" applyFont="1" applyFill="1" applyBorder="1" applyAlignment="1">
      <alignment vertical="center"/>
    </xf>
    <xf numFmtId="0" fontId="17" fillId="3" borderId="28" xfId="0" applyFont="1" applyFill="1" applyBorder="1" applyAlignment="1">
      <alignment vertical="center" wrapText="1"/>
    </xf>
    <xf numFmtId="0" fontId="17" fillId="3" borderId="22" xfId="0" applyFont="1" applyFill="1" applyBorder="1" applyAlignment="1">
      <alignment vertical="center"/>
    </xf>
    <xf numFmtId="0" fontId="1" fillId="2" borderId="0" xfId="0" applyFont="1" applyFill="1"/>
    <xf numFmtId="0" fontId="22" fillId="3" borderId="3" xfId="0" applyFont="1" applyFill="1" applyBorder="1" applyAlignment="1">
      <alignment vertical="center"/>
    </xf>
    <xf numFmtId="0" fontId="22" fillId="3" borderId="1" xfId="0" applyFont="1" applyFill="1" applyBorder="1" applyAlignment="1">
      <alignment vertical="center"/>
    </xf>
    <xf numFmtId="0" fontId="19" fillId="6" borderId="30" xfId="0" applyFont="1" applyFill="1" applyBorder="1" applyAlignment="1">
      <alignment vertical="center"/>
    </xf>
    <xf numFmtId="0" fontId="19" fillId="6" borderId="29" xfId="0" applyFont="1" applyFill="1" applyBorder="1" applyAlignment="1">
      <alignment vertical="center"/>
    </xf>
    <xf numFmtId="0" fontId="22" fillId="3" borderId="7" xfId="0" applyFont="1" applyFill="1" applyBorder="1" applyAlignment="1">
      <alignment horizontal="center" vertical="center"/>
    </xf>
    <xf numFmtId="0" fontId="20" fillId="5" borderId="7" xfId="0" applyFont="1" applyFill="1" applyBorder="1" applyAlignment="1">
      <alignment vertical="center"/>
    </xf>
    <xf numFmtId="0" fontId="16" fillId="4" borderId="27" xfId="0" applyFont="1" applyFill="1" applyBorder="1" applyAlignment="1">
      <alignment vertical="center" wrapText="1"/>
    </xf>
    <xf numFmtId="167" fontId="16" fillId="4" borderId="11" xfId="0" applyNumberFormat="1" applyFont="1" applyFill="1" applyBorder="1" applyAlignment="1">
      <alignment vertical="center"/>
    </xf>
    <xf numFmtId="0" fontId="16" fillId="4" borderId="6" xfId="0" applyFont="1" applyFill="1" applyBorder="1" applyAlignment="1">
      <alignment horizontal="center" vertical="center"/>
    </xf>
    <xf numFmtId="0" fontId="16" fillId="5" borderId="11" xfId="0" applyFont="1" applyFill="1" applyBorder="1" applyAlignment="1">
      <alignment horizontal="center" vertical="center"/>
    </xf>
    <xf numFmtId="167" fontId="16" fillId="5" borderId="10" xfId="0" applyNumberFormat="1" applyFont="1" applyFill="1" applyBorder="1" applyAlignment="1">
      <alignment vertical="center"/>
    </xf>
    <xf numFmtId="0" fontId="5" fillId="0" borderId="0" xfId="0" applyFont="1" applyAlignment="1">
      <alignment wrapText="1"/>
    </xf>
    <xf numFmtId="0" fontId="0" fillId="0" borderId="0" xfId="0" applyAlignment="1">
      <alignment vertical="center" wrapText="1"/>
    </xf>
    <xf numFmtId="0" fontId="6" fillId="7" borderId="0" xfId="0" applyFont="1" applyFill="1"/>
    <xf numFmtId="0" fontId="6" fillId="7" borderId="2" xfId="0" applyFont="1" applyFill="1" applyBorder="1"/>
    <xf numFmtId="40" fontId="0" fillId="0" borderId="0" xfId="0" applyNumberFormat="1"/>
    <xf numFmtId="165" fontId="5" fillId="0" borderId="12" xfId="0" applyNumberFormat="1" applyFont="1" applyBorder="1"/>
    <xf numFmtId="0" fontId="10" fillId="0" borderId="0" xfId="0" applyFont="1"/>
    <xf numFmtId="2" fontId="0" fillId="0" borderId="0" xfId="0" applyNumberFormat="1"/>
    <xf numFmtId="170" fontId="0" fillId="0" borderId="0" xfId="0" applyNumberFormat="1"/>
    <xf numFmtId="0" fontId="30" fillId="0" borderId="0" xfId="0" applyFont="1" applyAlignment="1">
      <alignment vertical="center" wrapText="1"/>
    </xf>
    <xf numFmtId="165" fontId="9" fillId="0" borderId="0" xfId="0" applyNumberFormat="1" applyFont="1" applyAlignment="1">
      <alignment vertical="center"/>
    </xf>
    <xf numFmtId="165" fontId="0" fillId="0" borderId="0" xfId="0" applyNumberFormat="1" applyAlignment="1">
      <alignment horizontal="right" vertical="center"/>
    </xf>
    <xf numFmtId="0" fontId="4" fillId="0" borderId="0" xfId="0" applyFont="1" applyAlignment="1">
      <alignment wrapText="1"/>
    </xf>
    <xf numFmtId="165" fontId="13" fillId="0" borderId="0" xfId="0" applyNumberFormat="1" applyFont="1" applyAlignment="1">
      <alignment horizontal="right" vertical="center"/>
    </xf>
    <xf numFmtId="165" fontId="35" fillId="0" borderId="0" xfId="0" applyNumberFormat="1" applyFont="1" applyAlignment="1">
      <alignment horizontal="right" vertical="center"/>
    </xf>
    <xf numFmtId="0" fontId="4" fillId="0" borderId="0" xfId="0" applyFont="1" applyAlignment="1">
      <alignment vertical="center" wrapText="1"/>
    </xf>
    <xf numFmtId="0" fontId="36" fillId="0" borderId="10" xfId="0" applyFont="1" applyBorder="1"/>
    <xf numFmtId="168" fontId="31" fillId="0" borderId="0" xfId="1" applyNumberFormat="1" applyFont="1"/>
    <xf numFmtId="0" fontId="16" fillId="0" borderId="0" xfId="1"/>
    <xf numFmtId="0" fontId="31" fillId="0" borderId="0" xfId="1" applyFont="1" applyAlignment="1">
      <alignment horizontal="center"/>
    </xf>
    <xf numFmtId="165" fontId="37" fillId="0" borderId="0" xfId="0" applyNumberFormat="1" applyFont="1" applyAlignment="1">
      <alignment vertical="center"/>
    </xf>
    <xf numFmtId="0" fontId="34" fillId="0" borderId="0" xfId="0" applyFont="1" applyAlignment="1">
      <alignment vertical="center" wrapText="1"/>
    </xf>
    <xf numFmtId="165" fontId="10" fillId="0" borderId="0" xfId="0" applyNumberFormat="1" applyFont="1" applyAlignment="1">
      <alignment vertical="center"/>
    </xf>
    <xf numFmtId="0" fontId="22" fillId="9" borderId="27" xfId="0" applyFont="1" applyFill="1" applyBorder="1" applyAlignment="1">
      <alignment vertical="center"/>
    </xf>
    <xf numFmtId="0" fontId="22" fillId="9" borderId="6" xfId="0" applyFont="1" applyFill="1" applyBorder="1" applyAlignment="1">
      <alignment vertical="center"/>
    </xf>
    <xf numFmtId="0" fontId="22" fillId="9" borderId="9" xfId="0" applyFont="1" applyFill="1" applyBorder="1" applyAlignment="1">
      <alignment vertical="center"/>
    </xf>
    <xf numFmtId="0" fontId="22" fillId="9" borderId="28" xfId="0" applyFont="1" applyFill="1" applyBorder="1" applyAlignment="1">
      <alignment vertical="center"/>
    </xf>
    <xf numFmtId="0" fontId="22" fillId="9" borderId="7" xfId="0" applyFont="1" applyFill="1" applyBorder="1" applyAlignment="1">
      <alignment vertical="center"/>
    </xf>
    <xf numFmtId="0" fontId="22" fillId="9" borderId="8" xfId="0" applyFont="1" applyFill="1" applyBorder="1" applyAlignment="1">
      <alignment vertical="top" wrapText="1"/>
    </xf>
    <xf numFmtId="0" fontId="22" fillId="9" borderId="0" xfId="0" applyFont="1" applyFill="1" applyAlignment="1">
      <alignment horizontal="left" vertical="center"/>
    </xf>
    <xf numFmtId="0" fontId="22" fillId="9" borderId="0" xfId="0" applyFont="1" applyFill="1" applyAlignment="1">
      <alignment vertical="center"/>
    </xf>
    <xf numFmtId="0" fontId="22" fillId="9" borderId="22" xfId="0" applyFont="1" applyFill="1" applyBorder="1" applyAlignment="1">
      <alignment vertical="center"/>
    </xf>
    <xf numFmtId="0" fontId="22" fillId="9" borderId="14" xfId="0" applyFont="1" applyFill="1" applyBorder="1" applyAlignment="1">
      <alignment vertical="center"/>
    </xf>
    <xf numFmtId="0" fontId="22" fillId="9" borderId="18" xfId="0" applyFont="1" applyFill="1" applyBorder="1" applyAlignment="1">
      <alignment vertical="center"/>
    </xf>
    <xf numFmtId="0" fontId="22" fillId="9" borderId="33" xfId="0" applyFont="1" applyFill="1" applyBorder="1" applyAlignment="1">
      <alignment vertical="center"/>
    </xf>
    <xf numFmtId="0" fontId="21" fillId="9" borderId="1" xfId="0" applyFont="1" applyFill="1" applyBorder="1" applyAlignment="1">
      <alignment vertical="center"/>
    </xf>
    <xf numFmtId="0" fontId="22" fillId="9" borderId="8" xfId="0" applyFont="1" applyFill="1" applyBorder="1" applyAlignment="1">
      <alignment vertical="center"/>
    </xf>
    <xf numFmtId="0" fontId="22" fillId="9" borderId="7" xfId="0" applyFont="1" applyFill="1" applyBorder="1" applyAlignment="1">
      <alignment vertical="top" wrapText="1"/>
    </xf>
    <xf numFmtId="0" fontId="21" fillId="9" borderId="27" xfId="0" applyFont="1" applyFill="1" applyBorder="1" applyAlignment="1">
      <alignment vertical="center"/>
    </xf>
    <xf numFmtId="0" fontId="17" fillId="9" borderId="19" xfId="0" applyFont="1" applyFill="1" applyBorder="1" applyAlignment="1">
      <alignment vertical="center"/>
    </xf>
    <xf numFmtId="0" fontId="17" fillId="9" borderId="18" xfId="0" applyFont="1" applyFill="1" applyBorder="1" applyAlignment="1">
      <alignment vertical="center"/>
    </xf>
    <xf numFmtId="0" fontId="38" fillId="10" borderId="0" xfId="0" applyFont="1" applyFill="1"/>
    <xf numFmtId="0" fontId="39" fillId="10" borderId="0" xfId="0" applyFont="1" applyFill="1"/>
    <xf numFmtId="0" fontId="40" fillId="10" borderId="0" xfId="0" applyFont="1" applyFill="1"/>
    <xf numFmtId="0" fontId="28" fillId="10" borderId="0" xfId="0" applyFont="1" applyFill="1"/>
    <xf numFmtId="0" fontId="3" fillId="10" borderId="0" xfId="0" applyFont="1" applyFill="1"/>
    <xf numFmtId="0" fontId="40" fillId="6" borderId="0" xfId="0" applyFont="1" applyFill="1" applyAlignment="1">
      <alignment vertical="center"/>
    </xf>
    <xf numFmtId="165" fontId="1" fillId="6" borderId="0" xfId="0" applyNumberFormat="1" applyFont="1" applyFill="1" applyAlignment="1">
      <alignment vertical="center"/>
    </xf>
    <xf numFmtId="0" fontId="3" fillId="6" borderId="0" xfId="0" applyFont="1" applyFill="1"/>
    <xf numFmtId="0" fontId="5" fillId="11" borderId="3" xfId="0" applyFont="1" applyFill="1" applyBorder="1"/>
    <xf numFmtId="165" fontId="5" fillId="11" borderId="1" xfId="0" applyNumberFormat="1" applyFont="1" applyFill="1" applyBorder="1" applyAlignment="1">
      <alignment horizontal="left"/>
    </xf>
    <xf numFmtId="165" fontId="10" fillId="11" borderId="10" xfId="0" applyNumberFormat="1" applyFont="1" applyFill="1" applyBorder="1"/>
    <xf numFmtId="165" fontId="10" fillId="11" borderId="1" xfId="0" applyNumberFormat="1" applyFont="1" applyFill="1" applyBorder="1" applyAlignment="1">
      <alignment horizontal="right"/>
    </xf>
    <xf numFmtId="0" fontId="39" fillId="6" borderId="0" xfId="0" applyFont="1" applyFill="1"/>
    <xf numFmtId="0" fontId="28" fillId="6" borderId="0" xfId="0" applyFont="1" applyFill="1" applyAlignment="1">
      <alignment wrapText="1"/>
    </xf>
    <xf numFmtId="165" fontId="1" fillId="6" borderId="0" xfId="0" applyNumberFormat="1" applyFont="1" applyFill="1"/>
    <xf numFmtId="0" fontId="41" fillId="10" borderId="0" xfId="0" applyFont="1" applyFill="1"/>
    <xf numFmtId="0" fontId="40" fillId="10" borderId="0" xfId="0" applyFont="1" applyFill="1" applyAlignment="1">
      <alignment vertical="center"/>
    </xf>
    <xf numFmtId="165" fontId="1" fillId="10" borderId="0" xfId="0" applyNumberFormat="1" applyFont="1" applyFill="1" applyAlignment="1">
      <alignment vertical="center"/>
    </xf>
    <xf numFmtId="165" fontId="1" fillId="10" borderId="0" xfId="0" applyNumberFormat="1" applyFont="1" applyFill="1" applyAlignment="1">
      <alignment horizontal="left" vertical="center"/>
    </xf>
    <xf numFmtId="0" fontId="39" fillId="10" borderId="0" xfId="0" applyFont="1" applyFill="1" applyAlignment="1">
      <alignment horizontal="left"/>
    </xf>
    <xf numFmtId="165" fontId="3" fillId="10" borderId="0" xfId="0" applyNumberFormat="1" applyFont="1" applyFill="1"/>
    <xf numFmtId="165" fontId="1" fillId="10" borderId="0" xfId="0" applyNumberFormat="1" applyFont="1" applyFill="1"/>
    <xf numFmtId="165" fontId="39" fillId="10" borderId="0" xfId="0" applyNumberFormat="1" applyFont="1" applyFill="1"/>
    <xf numFmtId="165" fontId="1" fillId="10" borderId="0" xfId="0" applyNumberFormat="1" applyFont="1" applyFill="1" applyAlignment="1">
      <alignment horizontal="left"/>
    </xf>
    <xf numFmtId="165" fontId="1" fillId="10" borderId="0" xfId="0" applyNumberFormat="1" applyFont="1" applyFill="1" applyAlignment="1">
      <alignment horizontal="right"/>
    </xf>
    <xf numFmtId="0" fontId="40" fillId="10" borderId="0" xfId="0" applyFont="1" applyFill="1" applyAlignment="1">
      <alignment vertical="center" wrapText="1"/>
    </xf>
    <xf numFmtId="0" fontId="28" fillId="6" borderId="0" xfId="0" applyFont="1" applyFill="1"/>
    <xf numFmtId="14" fontId="38" fillId="6" borderId="0" xfId="0" applyNumberFormat="1" applyFont="1" applyFill="1" applyAlignment="1">
      <alignment vertical="center"/>
    </xf>
    <xf numFmtId="0" fontId="40" fillId="6" borderId="0" xfId="0" applyFont="1" applyFill="1"/>
    <xf numFmtId="0" fontId="2" fillId="11" borderId="11" xfId="0" applyFont="1" applyFill="1" applyBorder="1"/>
    <xf numFmtId="165" fontId="2" fillId="11" borderId="11" xfId="0" applyNumberFormat="1" applyFont="1" applyFill="1" applyBorder="1"/>
    <xf numFmtId="165" fontId="0" fillId="11" borderId="39" xfId="0" applyNumberFormat="1" applyFill="1" applyBorder="1"/>
    <xf numFmtId="0" fontId="0" fillId="11" borderId="10" xfId="0" applyFill="1" applyBorder="1"/>
    <xf numFmtId="14" fontId="0" fillId="11" borderId="10" xfId="0" applyNumberFormat="1" applyFill="1" applyBorder="1"/>
    <xf numFmtId="0" fontId="15" fillId="0" borderId="0" xfId="0" applyFont="1" applyAlignment="1">
      <alignment vertical="center" wrapText="1"/>
    </xf>
    <xf numFmtId="0" fontId="10" fillId="0" borderId="2" xfId="0" applyFont="1" applyBorder="1"/>
    <xf numFmtId="165" fontId="10" fillId="0" borderId="37" xfId="0" applyNumberFormat="1" applyFont="1" applyBorder="1"/>
    <xf numFmtId="165" fontId="10" fillId="0" borderId="2" xfId="0" applyNumberFormat="1" applyFont="1" applyBorder="1"/>
    <xf numFmtId="165" fontId="10" fillId="0" borderId="2" xfId="0" applyNumberFormat="1" applyFont="1" applyBorder="1" applyAlignment="1">
      <alignment horizontal="right"/>
    </xf>
    <xf numFmtId="8" fontId="0" fillId="0" borderId="0" xfId="0" applyNumberFormat="1"/>
    <xf numFmtId="165" fontId="5" fillId="0" borderId="0" xfId="0" applyNumberFormat="1" applyFont="1" applyAlignment="1">
      <alignment vertical="center" wrapText="1"/>
    </xf>
    <xf numFmtId="165" fontId="1" fillId="2" borderId="3" xfId="0" applyNumberFormat="1" applyFont="1" applyFill="1" applyBorder="1"/>
    <xf numFmtId="165" fontId="1" fillId="7" borderId="1" xfId="0" applyNumberFormat="1" applyFont="1" applyFill="1" applyBorder="1"/>
    <xf numFmtId="0" fontId="0" fillId="0" borderId="40" xfId="0" applyBorder="1"/>
    <xf numFmtId="49" fontId="0" fillId="0" borderId="0" xfId="0" applyNumberFormat="1"/>
    <xf numFmtId="8" fontId="0" fillId="0" borderId="10" xfId="0" applyNumberFormat="1" applyBorder="1"/>
    <xf numFmtId="8" fontId="0" fillId="11" borderId="10" xfId="0" applyNumberFormat="1" applyFill="1" applyBorder="1"/>
    <xf numFmtId="0" fontId="28" fillId="0" borderId="0" xfId="0" applyFont="1"/>
    <xf numFmtId="0" fontId="40" fillId="0" borderId="0" xfId="0" applyFont="1" applyAlignment="1">
      <alignment vertical="center"/>
    </xf>
    <xf numFmtId="14" fontId="38" fillId="0" borderId="0" xfId="0" applyNumberFormat="1" applyFont="1" applyAlignment="1">
      <alignment vertical="center"/>
    </xf>
    <xf numFmtId="0" fontId="39" fillId="0" borderId="0" xfId="0" applyFont="1"/>
    <xf numFmtId="0" fontId="40" fillId="0" borderId="0" xfId="0" applyFont="1"/>
    <xf numFmtId="0" fontId="30" fillId="0" borderId="0" xfId="0" applyFont="1" applyAlignment="1">
      <alignment vertical="center"/>
    </xf>
    <xf numFmtId="14" fontId="0" fillId="0" borderId="10" xfId="0" applyNumberFormat="1" applyBorder="1"/>
    <xf numFmtId="0" fontId="0" fillId="12" borderId="0" xfId="0" applyFill="1"/>
    <xf numFmtId="165" fontId="43" fillId="0" borderId="0" xfId="0" applyNumberFormat="1" applyFont="1"/>
    <xf numFmtId="165" fontId="27" fillId="0" borderId="40" xfId="0" applyNumberFormat="1" applyFont="1" applyBorder="1"/>
    <xf numFmtId="14" fontId="27" fillId="0" borderId="0" xfId="0" applyNumberFormat="1" applyFont="1"/>
    <xf numFmtId="0" fontId="0" fillId="0" borderId="0" xfId="0" applyAlignment="1">
      <alignment horizontal="center" vertical="center"/>
    </xf>
    <xf numFmtId="0" fontId="5" fillId="0" borderId="10" xfId="0" applyFont="1" applyBorder="1" applyAlignment="1">
      <alignment vertical="center" wrapText="1"/>
    </xf>
    <xf numFmtId="165" fontId="5" fillId="0" borderId="10" xfId="0" applyNumberFormat="1" applyFont="1" applyBorder="1" applyAlignment="1">
      <alignment vertical="center"/>
    </xf>
    <xf numFmtId="14" fontId="5" fillId="11" borderId="10" xfId="0" applyNumberFormat="1" applyFont="1" applyFill="1" applyBorder="1"/>
    <xf numFmtId="4" fontId="0" fillId="0" borderId="0" xfId="0" applyNumberFormat="1"/>
    <xf numFmtId="170" fontId="5" fillId="0" borderId="0" xfId="0" applyNumberFormat="1" applyFont="1"/>
    <xf numFmtId="0" fontId="0" fillId="0" borderId="0" xfId="0" applyAlignment="1">
      <alignment horizontal="left" vertical="center"/>
    </xf>
    <xf numFmtId="17" fontId="5" fillId="0" borderId="0" xfId="0" applyNumberFormat="1" applyFont="1"/>
    <xf numFmtId="8" fontId="5" fillId="0" borderId="0" xfId="0" applyNumberFormat="1" applyFont="1"/>
    <xf numFmtId="14" fontId="5" fillId="0" borderId="0" xfId="0" applyNumberFormat="1" applyFont="1"/>
    <xf numFmtId="164" fontId="5" fillId="0" borderId="0" xfId="0" applyNumberFormat="1" applyFont="1"/>
    <xf numFmtId="169" fontId="0" fillId="0" borderId="0" xfId="0" applyNumberFormat="1"/>
    <xf numFmtId="0" fontId="0" fillId="13" borderId="0" xfId="0" applyFill="1"/>
    <xf numFmtId="49" fontId="0" fillId="13" borderId="0" xfId="0" applyNumberFormat="1" applyFill="1"/>
    <xf numFmtId="170" fontId="0" fillId="13" borderId="0" xfId="0" applyNumberFormat="1" applyFill="1"/>
    <xf numFmtId="0" fontId="1" fillId="10" borderId="0" xfId="0" applyFont="1" applyFill="1" applyAlignment="1">
      <alignment vertical="center"/>
    </xf>
    <xf numFmtId="165" fontId="1" fillId="10" borderId="0" xfId="0" applyNumberFormat="1" applyFont="1" applyFill="1" applyAlignment="1">
      <alignment horizontal="center" vertical="center" wrapText="1"/>
    </xf>
    <xf numFmtId="14" fontId="5" fillId="0" borderId="10" xfId="0" applyNumberFormat="1" applyFont="1" applyBorder="1"/>
    <xf numFmtId="1" fontId="27" fillId="0" borderId="10" xfId="0" applyNumberFormat="1" applyFont="1" applyBorder="1"/>
    <xf numFmtId="1" fontId="27" fillId="0" borderId="10" xfId="0" applyNumberFormat="1" applyFont="1" applyBorder="1" applyAlignment="1">
      <alignment vertical="center"/>
    </xf>
    <xf numFmtId="0" fontId="44" fillId="2" borderId="0" xfId="0" applyFont="1" applyFill="1"/>
    <xf numFmtId="0" fontId="1" fillId="10" borderId="10" xfId="0" applyFont="1" applyFill="1" applyBorder="1" applyAlignment="1">
      <alignment horizontal="center" vertical="center" wrapText="1"/>
    </xf>
    <xf numFmtId="0" fontId="44" fillId="6" borderId="10" xfId="0" applyFont="1" applyFill="1" applyBorder="1"/>
    <xf numFmtId="14" fontId="44" fillId="6" borderId="10" xfId="0" applyNumberFormat="1" applyFont="1" applyFill="1" applyBorder="1"/>
    <xf numFmtId="170" fontId="44" fillId="6" borderId="10" xfId="0" applyNumberFormat="1" applyFont="1" applyFill="1" applyBorder="1"/>
    <xf numFmtId="167" fontId="45" fillId="4" borderId="10" xfId="0" applyNumberFormat="1" applyFont="1" applyFill="1" applyBorder="1" applyAlignment="1">
      <alignment vertical="center"/>
    </xf>
    <xf numFmtId="170" fontId="23" fillId="0" borderId="5" xfId="0" applyNumberFormat="1" applyFont="1" applyBorder="1" applyAlignment="1" applyProtection="1">
      <alignment horizontal="right" vertical="center"/>
      <protection locked="0"/>
    </xf>
    <xf numFmtId="1" fontId="4" fillId="0" borderId="10" xfId="0" applyNumberFormat="1" applyFont="1" applyBorder="1"/>
    <xf numFmtId="0" fontId="9" fillId="7" borderId="2" xfId="0" applyFont="1" applyFill="1" applyBorder="1"/>
    <xf numFmtId="172" fontId="0" fillId="0" borderId="0" xfId="0" applyNumberFormat="1"/>
    <xf numFmtId="3" fontId="0" fillId="0" borderId="0" xfId="0" applyNumberFormat="1"/>
    <xf numFmtId="170" fontId="44" fillId="0" borderId="0" xfId="0" applyNumberFormat="1" applyFont="1"/>
    <xf numFmtId="0" fontId="1" fillId="0" borderId="0" xfId="0" applyFont="1" applyAlignment="1">
      <alignment horizontal="center" vertical="center" wrapText="1"/>
    </xf>
    <xf numFmtId="172" fontId="0" fillId="0" borderId="10" xfId="0" applyNumberFormat="1" applyBorder="1"/>
    <xf numFmtId="170" fontId="0" fillId="0" borderId="10" xfId="0" applyNumberFormat="1" applyBorder="1"/>
    <xf numFmtId="4" fontId="44" fillId="2" borderId="0" xfId="0" applyNumberFormat="1" applyFont="1" applyFill="1"/>
    <xf numFmtId="0" fontId="27" fillId="0" borderId="0" xfId="0" applyFont="1"/>
    <xf numFmtId="171" fontId="5" fillId="0" borderId="0" xfId="0" applyNumberFormat="1" applyFont="1"/>
    <xf numFmtId="170" fontId="0" fillId="12" borderId="0" xfId="0" applyNumberFormat="1" applyFill="1"/>
    <xf numFmtId="0" fontId="10" fillId="0" borderId="0" xfId="0" applyFont="1" applyAlignment="1">
      <alignment horizontal="center" vertical="center" wrapText="1"/>
    </xf>
    <xf numFmtId="4" fontId="5" fillId="0" borderId="0" xfId="0" applyNumberFormat="1" applyFont="1"/>
    <xf numFmtId="172" fontId="5" fillId="0" borderId="0" xfId="0" applyNumberFormat="1" applyFont="1"/>
    <xf numFmtId="0" fontId="0" fillId="14" borderId="0" xfId="0" applyFill="1"/>
    <xf numFmtId="170" fontId="0" fillId="14" borderId="0" xfId="0" applyNumberFormat="1" applyFill="1"/>
    <xf numFmtId="8" fontId="43" fillId="0" borderId="0" xfId="0" applyNumberFormat="1" applyFont="1"/>
    <xf numFmtId="170" fontId="43" fillId="0" borderId="0" xfId="0" applyNumberFormat="1" applyFont="1"/>
    <xf numFmtId="1" fontId="0" fillId="0" borderId="0" xfId="0" applyNumberFormat="1"/>
    <xf numFmtId="2" fontId="44" fillId="2" borderId="0" xfId="2" applyNumberFormat="1" applyFont="1" applyFill="1"/>
    <xf numFmtId="170" fontId="1" fillId="2" borderId="10" xfId="0" applyNumberFormat="1" applyFont="1" applyFill="1" applyBorder="1"/>
    <xf numFmtId="170" fontId="1" fillId="2" borderId="0" xfId="0" applyNumberFormat="1" applyFont="1" applyFill="1"/>
    <xf numFmtId="4" fontId="0" fillId="0" borderId="10" xfId="0" applyNumberFormat="1" applyBorder="1"/>
    <xf numFmtId="165" fontId="10" fillId="0" borderId="10" xfId="0" applyNumberFormat="1" applyFont="1" applyBorder="1"/>
    <xf numFmtId="4" fontId="0" fillId="0" borderId="0" xfId="0" applyNumberFormat="1" applyAlignment="1">
      <alignment wrapText="1"/>
    </xf>
    <xf numFmtId="172" fontId="1" fillId="10" borderId="0" xfId="0" applyNumberFormat="1" applyFont="1" applyFill="1" applyAlignment="1">
      <alignment horizontal="right" vertical="center"/>
    </xf>
    <xf numFmtId="172" fontId="1" fillId="10" borderId="0" xfId="0" applyNumberFormat="1" applyFont="1" applyFill="1" applyAlignment="1">
      <alignment vertical="center"/>
    </xf>
    <xf numFmtId="17" fontId="5" fillId="0" borderId="2" xfId="0" applyNumberFormat="1" applyFont="1" applyBorder="1" applyAlignment="1">
      <alignment wrapText="1"/>
    </xf>
    <xf numFmtId="4" fontId="27" fillId="0" borderId="0" xfId="0" applyNumberFormat="1" applyFont="1"/>
    <xf numFmtId="14" fontId="5" fillId="0" borderId="10" xfId="0" applyNumberFormat="1" applyFont="1" applyBorder="1" applyAlignment="1">
      <alignment wrapText="1"/>
    </xf>
    <xf numFmtId="1" fontId="0" fillId="0" borderId="10" xfId="0" applyNumberFormat="1" applyBorder="1"/>
    <xf numFmtId="0" fontId="14" fillId="0" borderId="0" xfId="0" applyFont="1" applyAlignment="1">
      <alignment horizontal="left" wrapText="1"/>
    </xf>
    <xf numFmtId="0" fontId="14" fillId="0" borderId="0" xfId="0" applyFont="1" applyAlignment="1">
      <alignment horizontal="right" vertical="center" wrapText="1"/>
    </xf>
    <xf numFmtId="0" fontId="22" fillId="3" borderId="33" xfId="0" applyFont="1" applyFill="1" applyBorder="1" applyAlignment="1">
      <alignment vertical="center"/>
    </xf>
    <xf numFmtId="170" fontId="23" fillId="0" borderId="0" xfId="0" applyNumberFormat="1" applyFont="1" applyAlignment="1" applyProtection="1">
      <alignment horizontal="right" vertical="center"/>
      <protection locked="0"/>
    </xf>
    <xf numFmtId="0" fontId="23" fillId="0" borderId="7" xfId="0" applyFont="1" applyBorder="1" applyAlignment="1">
      <alignment vertical="center"/>
    </xf>
    <xf numFmtId="0" fontId="22" fillId="3" borderId="8" xfId="0" applyFont="1" applyFill="1" applyBorder="1" applyAlignment="1">
      <alignment vertical="center"/>
    </xf>
    <xf numFmtId="0" fontId="23" fillId="0" borderId="42" xfId="0" applyFont="1" applyBorder="1" applyAlignment="1" applyProtection="1">
      <alignment vertical="center"/>
      <protection locked="0"/>
    </xf>
    <xf numFmtId="170" fontId="23" fillId="0" borderId="8" xfId="0" applyNumberFormat="1" applyFont="1" applyBorder="1" applyAlignment="1" applyProtection="1">
      <alignment horizontal="right" vertical="center"/>
      <protection locked="0"/>
    </xf>
    <xf numFmtId="0" fontId="23" fillId="0" borderId="4" xfId="0" applyFont="1" applyBorder="1" applyAlignment="1">
      <alignment vertical="center"/>
    </xf>
    <xf numFmtId="0" fontId="23" fillId="0" borderId="41" xfId="0" applyFont="1" applyBorder="1" applyAlignment="1">
      <alignment vertical="center"/>
    </xf>
    <xf numFmtId="0" fontId="22" fillId="9" borderId="3" xfId="0" applyFont="1" applyFill="1" applyBorder="1" applyAlignment="1">
      <alignment horizontal="left" vertical="center"/>
    </xf>
    <xf numFmtId="0" fontId="22" fillId="9" borderId="1" xfId="0" applyFont="1" applyFill="1" applyBorder="1" applyAlignment="1">
      <alignment vertical="center"/>
    </xf>
    <xf numFmtId="0" fontId="5" fillId="0" borderId="10" xfId="0" applyFont="1" applyBorder="1"/>
    <xf numFmtId="165" fontId="36" fillId="0" borderId="8" xfId="0" applyNumberFormat="1" applyFont="1" applyBorder="1"/>
    <xf numFmtId="165" fontId="36" fillId="0" borderId="5" xfId="0" applyNumberFormat="1" applyFont="1" applyBorder="1"/>
    <xf numFmtId="165" fontId="39" fillId="0" borderId="44" xfId="0" applyNumberFormat="1" applyFont="1" applyBorder="1"/>
    <xf numFmtId="165" fontId="39" fillId="0" borderId="43" xfId="0" applyNumberFormat="1" applyFont="1" applyBorder="1"/>
    <xf numFmtId="165" fontId="39" fillId="0" borderId="7" xfId="0" applyNumberFormat="1" applyFont="1" applyBorder="1"/>
    <xf numFmtId="165" fontId="39" fillId="0" borderId="4" xfId="0" applyNumberFormat="1" applyFont="1" applyBorder="1"/>
    <xf numFmtId="165" fontId="39" fillId="0" borderId="8" xfId="0" applyNumberFormat="1" applyFont="1" applyBorder="1"/>
    <xf numFmtId="165" fontId="39" fillId="0" borderId="5" xfId="0" applyNumberFormat="1" applyFont="1" applyBorder="1"/>
    <xf numFmtId="165" fontId="3" fillId="0" borderId="7" xfId="0" applyNumberFormat="1" applyFont="1" applyBorder="1"/>
    <xf numFmtId="165" fontId="3" fillId="0" borderId="4" xfId="0" applyNumberFormat="1" applyFont="1" applyBorder="1"/>
    <xf numFmtId="165" fontId="3" fillId="0" borderId="8" xfId="0" applyNumberFormat="1" applyFont="1" applyBorder="1"/>
    <xf numFmtId="165" fontId="3" fillId="0" borderId="5" xfId="0" applyNumberFormat="1" applyFont="1" applyBorder="1"/>
    <xf numFmtId="0" fontId="47" fillId="0" borderId="0" xfId="0" applyFont="1" applyAlignment="1">
      <alignment vertical="center" wrapText="1"/>
    </xf>
    <xf numFmtId="165" fontId="0" fillId="0" borderId="0" xfId="0" applyNumberFormat="1" applyAlignment="1">
      <alignment horizontal="left" vertical="center"/>
    </xf>
    <xf numFmtId="165" fontId="1" fillId="0" borderId="0" xfId="0" applyNumberFormat="1" applyFont="1" applyAlignment="1">
      <alignment horizontal="center" vertical="center"/>
    </xf>
    <xf numFmtId="8" fontId="0" fillId="0" borderId="0" xfId="0" applyNumberFormat="1" applyAlignment="1">
      <alignment vertical="center"/>
    </xf>
    <xf numFmtId="8" fontId="5" fillId="0" borderId="3" xfId="0" applyNumberFormat="1" applyFont="1" applyBorder="1"/>
    <xf numFmtId="8" fontId="5" fillId="11" borderId="3" xfId="0" applyNumberFormat="1" applyFont="1" applyFill="1" applyBorder="1"/>
    <xf numFmtId="0" fontId="28" fillId="2" borderId="10" xfId="0" applyFont="1" applyFill="1" applyBorder="1"/>
    <xf numFmtId="171" fontId="0" fillId="0" borderId="0" xfId="0" applyNumberFormat="1"/>
    <xf numFmtId="0" fontId="1" fillId="10" borderId="1" xfId="0" applyFont="1" applyFill="1" applyBorder="1" applyAlignment="1">
      <alignment horizontal="center" vertical="center" wrapText="1"/>
    </xf>
    <xf numFmtId="0" fontId="35" fillId="0" borderId="0" xfId="0" applyFont="1"/>
    <xf numFmtId="173" fontId="0" fillId="0" borderId="0" xfId="0" applyNumberFormat="1"/>
    <xf numFmtId="8" fontId="2" fillId="11" borderId="10" xfId="0" applyNumberFormat="1" applyFont="1" applyFill="1" applyBorder="1"/>
    <xf numFmtId="14" fontId="1" fillId="2" borderId="10" xfId="0" applyNumberFormat="1" applyFont="1" applyFill="1" applyBorder="1"/>
    <xf numFmtId="8" fontId="1" fillId="2" borderId="3" xfId="0" applyNumberFormat="1" applyFont="1" applyFill="1" applyBorder="1"/>
    <xf numFmtId="8" fontId="1" fillId="2" borderId="10" xfId="0" applyNumberFormat="1" applyFont="1" applyFill="1" applyBorder="1"/>
    <xf numFmtId="8" fontId="13" fillId="11" borderId="1" xfId="0" applyNumberFormat="1" applyFont="1" applyFill="1" applyBorder="1"/>
    <xf numFmtId="165" fontId="2" fillId="0" borderId="0" xfId="0" applyNumberFormat="1" applyFont="1" applyAlignment="1">
      <alignment horizontal="left" vertical="center"/>
    </xf>
    <xf numFmtId="8" fontId="13" fillId="11" borderId="3" xfId="0" applyNumberFormat="1" applyFont="1" applyFill="1" applyBorder="1"/>
    <xf numFmtId="170" fontId="2" fillId="0" borderId="0" xfId="0" applyNumberFormat="1" applyFont="1"/>
    <xf numFmtId="174" fontId="0" fillId="0" borderId="0" xfId="0" applyNumberFormat="1"/>
    <xf numFmtId="14" fontId="43" fillId="0" borderId="0" xfId="0" applyNumberFormat="1" applyFont="1"/>
    <xf numFmtId="175" fontId="0" fillId="0" borderId="0" xfId="0" applyNumberFormat="1"/>
    <xf numFmtId="176" fontId="0" fillId="0" borderId="0" xfId="0" applyNumberFormat="1"/>
    <xf numFmtId="8" fontId="5" fillId="0" borderId="8" xfId="0" applyNumberFormat="1" applyFont="1" applyBorder="1" applyAlignment="1">
      <alignment horizontal="right" vertical="center"/>
    </xf>
    <xf numFmtId="8" fontId="5" fillId="0" borderId="40" xfId="0" applyNumberFormat="1" applyFont="1" applyBorder="1" applyAlignment="1">
      <alignment horizontal="right" vertical="center"/>
    </xf>
    <xf numFmtId="8" fontId="5" fillId="0" borderId="5" xfId="0" applyNumberFormat="1" applyFont="1" applyBorder="1" applyAlignment="1">
      <alignment horizontal="right" vertical="center"/>
    </xf>
    <xf numFmtId="8" fontId="0" fillId="0" borderId="10" xfId="0" applyNumberFormat="1" applyBorder="1" applyAlignment="1">
      <alignment horizontal="right" vertical="center"/>
    </xf>
    <xf numFmtId="0" fontId="0" fillId="0" borderId="0" xfId="0" applyAlignment="1">
      <alignment horizontal="left" wrapText="1"/>
    </xf>
    <xf numFmtId="0" fontId="13" fillId="0" borderId="0" xfId="0" applyFont="1" applyAlignment="1">
      <alignment horizontal="left" wrapText="1"/>
    </xf>
    <xf numFmtId="0" fontId="7" fillId="0" borderId="0" xfId="0" applyFont="1" applyAlignment="1">
      <alignment horizontal="left" vertical="center" wrapText="1"/>
    </xf>
    <xf numFmtId="0" fontId="5" fillId="0" borderId="0" xfId="0" applyFont="1" applyAlignment="1">
      <alignment horizontal="left" wrapText="1"/>
    </xf>
    <xf numFmtId="0" fontId="5" fillId="0" borderId="0" xfId="0" applyFont="1" applyAlignment="1">
      <alignment horizontal="left" vertical="center" wrapText="1"/>
    </xf>
    <xf numFmtId="0" fontId="27" fillId="2" borderId="0" xfId="0" applyFont="1" applyFill="1" applyAlignment="1">
      <alignment horizontal="left" vertical="center" wrapText="1"/>
    </xf>
    <xf numFmtId="0" fontId="0" fillId="0" borderId="0" xfId="0" applyAlignment="1">
      <alignment horizontal="left"/>
    </xf>
    <xf numFmtId="0" fontId="1" fillId="2" borderId="0" xfId="0" applyFont="1" applyFill="1" applyAlignment="1">
      <alignment horizontal="center"/>
    </xf>
    <xf numFmtId="0" fontId="16" fillId="0" borderId="17" xfId="0" applyFont="1" applyBorder="1" applyAlignment="1">
      <alignment horizontal="justify" vertical="center" wrapText="1" shrinkToFit="1"/>
    </xf>
    <xf numFmtId="0" fontId="16" fillId="0" borderId="16" xfId="0" applyFont="1" applyBorder="1" applyAlignment="1">
      <alignment horizontal="justify" vertical="center" wrapText="1" shrinkToFit="1"/>
    </xf>
    <xf numFmtId="0" fontId="16" fillId="0" borderId="15" xfId="0" applyFont="1" applyBorder="1" applyAlignment="1">
      <alignment horizontal="justify" vertical="center" wrapText="1" shrinkToFit="1"/>
    </xf>
    <xf numFmtId="0" fontId="16" fillId="0" borderId="30" xfId="0" applyFont="1" applyBorder="1" applyAlignment="1">
      <alignment horizontal="justify" vertical="center" wrapText="1"/>
    </xf>
    <xf numFmtId="0" fontId="16" fillId="0" borderId="29" xfId="0" applyFont="1" applyBorder="1" applyAlignment="1">
      <alignment horizontal="justify" vertical="center" wrapText="1"/>
    </xf>
    <xf numFmtId="0" fontId="16" fillId="0" borderId="34" xfId="0" applyFont="1" applyBorder="1" applyAlignment="1">
      <alignment horizontal="justify" vertical="center" wrapText="1"/>
    </xf>
    <xf numFmtId="0" fontId="16" fillId="0" borderId="33" xfId="0" applyFont="1" applyBorder="1" applyAlignment="1">
      <alignment horizontal="justify" vertical="center" wrapText="1"/>
    </xf>
    <xf numFmtId="0" fontId="16" fillId="0" borderId="0" xfId="0" applyFont="1" applyAlignment="1">
      <alignment horizontal="justify" vertical="center" wrapText="1"/>
    </xf>
    <xf numFmtId="0" fontId="16" fillId="0" borderId="32" xfId="0" applyFont="1" applyBorder="1" applyAlignment="1">
      <alignment horizontal="justify" vertical="center" wrapText="1"/>
    </xf>
    <xf numFmtId="0" fontId="16" fillId="0" borderId="19" xfId="0" applyFont="1" applyBorder="1" applyAlignment="1">
      <alignment horizontal="justify" vertical="center" wrapText="1"/>
    </xf>
    <xf numFmtId="0" fontId="16" fillId="0" borderId="20" xfId="0" applyFont="1" applyBorder="1" applyAlignment="1">
      <alignment horizontal="justify" vertical="center" wrapText="1"/>
    </xf>
    <xf numFmtId="0" fontId="16" fillId="0" borderId="31" xfId="0" applyFont="1" applyBorder="1" applyAlignment="1">
      <alignment horizontal="justify" vertical="center" wrapText="1"/>
    </xf>
    <xf numFmtId="0" fontId="24" fillId="8" borderId="30" xfId="0" applyFont="1" applyFill="1" applyBorder="1" applyAlignment="1">
      <alignment horizontal="center" vertical="center"/>
    </xf>
    <xf numFmtId="0" fontId="24" fillId="8" borderId="29" xfId="0" applyFont="1" applyFill="1" applyBorder="1" applyAlignment="1">
      <alignment horizontal="center" vertical="center"/>
    </xf>
    <xf numFmtId="0" fontId="24" fillId="8" borderId="34" xfId="0" applyFont="1" applyFill="1" applyBorder="1" applyAlignment="1">
      <alignment horizontal="center" vertical="center"/>
    </xf>
    <xf numFmtId="0" fontId="24" fillId="8" borderId="27" xfId="0" applyFont="1" applyFill="1" applyBorder="1" applyAlignment="1">
      <alignment horizontal="center" vertical="center"/>
    </xf>
    <xf numFmtId="0" fontId="24" fillId="8" borderId="6" xfId="0" applyFont="1" applyFill="1" applyBorder="1" applyAlignment="1">
      <alignment horizontal="center" vertical="center"/>
    </xf>
    <xf numFmtId="0" fontId="24" fillId="8" borderId="0" xfId="0" applyFont="1" applyFill="1" applyAlignment="1">
      <alignment horizontal="center" vertical="center"/>
    </xf>
    <xf numFmtId="0" fontId="24" fillId="8" borderId="35" xfId="0" applyFont="1" applyFill="1" applyBorder="1" applyAlignment="1">
      <alignment horizontal="center" vertical="center"/>
    </xf>
    <xf numFmtId="0" fontId="24" fillId="6" borderId="30" xfId="0" applyFont="1" applyFill="1" applyBorder="1" applyAlignment="1">
      <alignment horizontal="center" vertical="center"/>
    </xf>
    <xf numFmtId="0" fontId="24" fillId="6" borderId="29" xfId="0" applyFont="1" applyFill="1" applyBorder="1" applyAlignment="1">
      <alignment horizontal="center" vertical="center"/>
    </xf>
    <xf numFmtId="0" fontId="24" fillId="6" borderId="34" xfId="0" applyFont="1" applyFill="1" applyBorder="1" applyAlignment="1">
      <alignment horizontal="center" vertical="center"/>
    </xf>
    <xf numFmtId="0" fontId="24" fillId="6" borderId="27" xfId="0" applyFont="1" applyFill="1" applyBorder="1" applyAlignment="1">
      <alignment horizontal="center" vertical="center"/>
    </xf>
    <xf numFmtId="0" fontId="24" fillId="6" borderId="6" xfId="0" applyFont="1" applyFill="1" applyBorder="1" applyAlignment="1">
      <alignment horizontal="center" vertical="center"/>
    </xf>
    <xf numFmtId="0" fontId="24" fillId="6" borderId="0" xfId="0" applyFont="1" applyFill="1" applyAlignment="1">
      <alignment horizontal="center" vertical="center"/>
    </xf>
    <xf numFmtId="0" fontId="24" fillId="6" borderId="35" xfId="0" applyFont="1" applyFill="1" applyBorder="1" applyAlignment="1">
      <alignment horizontal="center" vertical="center"/>
    </xf>
    <xf numFmtId="0" fontId="19" fillId="6" borderId="30" xfId="0" applyFont="1" applyFill="1" applyBorder="1" applyAlignment="1">
      <alignment horizontal="center" vertical="center"/>
    </xf>
    <xf numFmtId="0" fontId="19" fillId="6" borderId="29" xfId="0" applyFont="1" applyFill="1" applyBorder="1" applyAlignment="1">
      <alignment horizontal="center" vertical="center"/>
    </xf>
    <xf numFmtId="0" fontId="0" fillId="6" borderId="29" xfId="0" applyFill="1" applyBorder="1" applyAlignment="1">
      <alignment horizontal="center" vertical="center"/>
    </xf>
    <xf numFmtId="0" fontId="0" fillId="6" borderId="19" xfId="0" applyFill="1" applyBorder="1" applyAlignment="1">
      <alignment horizontal="center" vertical="center"/>
    </xf>
    <xf numFmtId="0" fontId="0" fillId="6" borderId="20" xfId="0" applyFill="1" applyBorder="1" applyAlignment="1">
      <alignment horizontal="center" vertical="center"/>
    </xf>
    <xf numFmtId="170" fontId="4" fillId="0" borderId="0" xfId="0" applyNumberFormat="1" applyFont="1" applyAlignment="1">
      <alignment horizontal="left" wrapText="1"/>
    </xf>
    <xf numFmtId="170" fontId="0" fillId="0" borderId="0" xfId="0" applyNumberFormat="1" applyAlignment="1">
      <alignment wrapText="1"/>
    </xf>
    <xf numFmtId="14" fontId="0" fillId="0" borderId="0" xfId="0" applyNumberFormat="1" applyAlignment="1">
      <alignment wrapText="1"/>
    </xf>
    <xf numFmtId="2" fontId="4" fillId="0" borderId="0" xfId="0" applyNumberFormat="1" applyFont="1"/>
    <xf numFmtId="170" fontId="0" fillId="0" borderId="11" xfId="0" applyNumberFormat="1" applyBorder="1"/>
    <xf numFmtId="2" fontId="10" fillId="0" borderId="0" xfId="0" applyNumberFormat="1" applyFont="1"/>
    <xf numFmtId="176" fontId="52" fillId="0" borderId="0" xfId="0" applyNumberFormat="1" applyFont="1"/>
    <xf numFmtId="176" fontId="53" fillId="0" borderId="0" xfId="0" applyNumberFormat="1" applyFont="1"/>
    <xf numFmtId="208" fontId="0" fillId="0" borderId="0" xfId="0" applyNumberFormat="1"/>
  </cellXfs>
  <cellStyles count="3">
    <cellStyle name="Normal" xfId="0" builtinId="0"/>
    <cellStyle name="Normal 2" xfId="1" xr:uid="{5F2E30D2-8499-4D8B-8496-939764350ACF}"/>
    <cellStyle name="Pourcentage" xfId="2" builtinId="5"/>
  </cellStyles>
  <dxfs count="71">
    <dxf>
      <font>
        <color auto="1"/>
      </font>
    </dxf>
    <dxf>
      <font>
        <color auto="1"/>
      </font>
    </dxf>
    <dxf>
      <font>
        <b/>
        <i/>
        <color rgb="FFFF0000"/>
      </font>
    </dxf>
    <dxf>
      <font>
        <b/>
        <i/>
        <color rgb="FF00B050"/>
      </font>
    </dxf>
    <dxf>
      <font>
        <b/>
        <i/>
        <color rgb="FFFF0000"/>
      </font>
    </dxf>
    <dxf>
      <font>
        <b/>
        <i/>
        <color rgb="FF00B05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auto="1"/>
      </font>
    </dxf>
    <dxf>
      <font>
        <color auto="1"/>
      </font>
    </dxf>
    <dxf>
      <font>
        <color auto="1"/>
      </font>
    </dxf>
    <dxf>
      <font>
        <color rgb="FFFF0000"/>
      </font>
    </dxf>
    <dxf>
      <font>
        <color rgb="FF00B050"/>
      </font>
    </dxf>
    <dxf>
      <font>
        <color rgb="FFFF0000"/>
      </font>
    </dxf>
    <dxf>
      <font>
        <color rgb="FF00B050"/>
      </font>
    </dxf>
    <dxf>
      <font>
        <b/>
        <i/>
        <color rgb="FFFF0000"/>
      </font>
    </dxf>
    <dxf>
      <font>
        <b/>
        <i/>
        <color rgb="FF00B050"/>
      </font>
    </dxf>
    <dxf>
      <font>
        <b/>
        <i/>
        <color rgb="FF7030A0"/>
      </font>
    </dxf>
    <dxf>
      <font>
        <b/>
        <i/>
        <color rgb="FF00B050"/>
      </font>
    </dxf>
    <dxf>
      <font>
        <b/>
        <i/>
        <color rgb="FFFF0000"/>
      </font>
    </dxf>
    <dxf>
      <font>
        <b/>
        <i/>
        <color rgb="FF7030A0"/>
      </font>
    </dxf>
    <dxf>
      <font>
        <color rgb="FF00B050"/>
      </font>
    </dxf>
    <dxf>
      <font>
        <color rgb="FF00B050"/>
      </font>
    </dxf>
    <dxf>
      <font>
        <color rgb="FFFF0000"/>
      </font>
    </dxf>
    <dxf>
      <font>
        <color rgb="FFFF0000"/>
      </font>
    </dxf>
    <dxf>
      <font>
        <color rgb="FF00B050"/>
      </font>
    </dxf>
    <dxf>
      <font>
        <b/>
        <i/>
        <color rgb="FFFF0000"/>
      </font>
    </dxf>
    <dxf>
      <font>
        <b/>
        <i/>
        <color rgb="FF00B050"/>
      </font>
    </dxf>
    <dxf>
      <font>
        <b/>
        <i/>
        <color rgb="FFFF0000"/>
      </font>
    </dxf>
    <dxf>
      <font>
        <b/>
        <i/>
        <color rgb="FF00B050"/>
      </font>
    </dxf>
    <dxf>
      <font>
        <b/>
        <i/>
        <color rgb="FFFFC000"/>
      </font>
    </dxf>
    <dxf>
      <font>
        <b/>
        <i/>
        <color rgb="FFFF0000"/>
      </font>
    </dxf>
    <dxf>
      <font>
        <b/>
        <i/>
        <color rgb="FF00B050"/>
      </font>
    </dxf>
    <dxf>
      <font>
        <color theme="0"/>
      </font>
    </dxf>
    <dxf>
      <font>
        <b/>
        <i/>
        <color rgb="FFFF0000"/>
      </font>
    </dxf>
    <dxf>
      <font>
        <b/>
        <i/>
        <color rgb="FF00B050"/>
      </font>
    </dxf>
    <dxf>
      <font>
        <b/>
        <i/>
        <color rgb="FF7030A0"/>
      </font>
    </dxf>
    <dxf>
      <font>
        <color rgb="FFFF0000"/>
      </font>
    </dxf>
    <dxf>
      <font>
        <color rgb="FF00B050"/>
      </font>
    </dxf>
    <dxf>
      <font>
        <color theme="0"/>
      </font>
    </dxf>
    <dxf>
      <font>
        <color theme="0"/>
      </font>
    </dxf>
    <dxf>
      <font>
        <color theme="0"/>
      </font>
    </dxf>
    <dxf>
      <font>
        <b/>
        <i/>
        <color rgb="FFFF0000"/>
      </font>
    </dxf>
    <dxf>
      <font>
        <b/>
        <i/>
        <color rgb="FF00B050"/>
      </font>
    </dxf>
    <dxf>
      <font>
        <b/>
        <i/>
        <color rgb="FFFFC000"/>
      </font>
    </dxf>
    <dxf>
      <font>
        <b/>
        <i/>
        <color rgb="FF00B050"/>
      </font>
    </dxf>
    <dxf>
      <font>
        <b/>
        <i/>
        <color rgb="FF00B050"/>
      </font>
    </dxf>
    <dxf>
      <font>
        <b/>
        <i/>
        <color rgb="FFFF0000"/>
      </font>
    </dxf>
    <dxf>
      <font>
        <b/>
        <i/>
        <color rgb="FF00B050"/>
      </font>
    </dxf>
    <dxf>
      <font>
        <b/>
        <i/>
        <color rgb="FF00B050"/>
      </font>
    </dxf>
    <dxf>
      <font>
        <b/>
        <i/>
        <color rgb="FFFF0000"/>
      </font>
    </dxf>
    <dxf>
      <font>
        <color theme="0"/>
      </font>
    </dxf>
    <dxf>
      <font>
        <color theme="0"/>
      </font>
    </dxf>
    <dxf>
      <font>
        <color theme="0"/>
      </font>
    </dxf>
    <dxf>
      <font>
        <color theme="0"/>
      </font>
    </dxf>
    <dxf>
      <font>
        <b/>
        <i/>
        <color rgb="FFFF0000"/>
      </font>
    </dxf>
    <dxf>
      <font>
        <b/>
        <i/>
        <color rgb="FF00B050"/>
      </font>
    </dxf>
    <dxf>
      <font>
        <b/>
        <i/>
        <color rgb="FFFFC000"/>
      </font>
    </dxf>
    <dxf>
      <font>
        <color rgb="FFFF0000"/>
      </font>
    </dxf>
    <dxf>
      <font>
        <color rgb="FF00B050"/>
      </font>
    </dxf>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colors>
    <mruColors>
      <color rgb="FFEF03CD"/>
      <color rgb="FF02F01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D20334-4213-4F18-8CB2-E6D806FBE8E7}" name="Tableau1" displayName="Tableau1" ref="A8:B16" totalsRowShown="0" headerRowDxfId="70">
  <autoFilter ref="A8:B16" xr:uid="{D81ED6B1-B353-4DFD-B5AA-FE154670886D}"/>
  <tableColumns count="2">
    <tableColumn id="1" xr3:uid="{A7398C47-D438-402E-852A-64488C298232}" name="Catégorie"/>
    <tableColumn id="2" xr3:uid="{AFC729EE-28F4-49CE-B694-53E3E61C809D}" name="RI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D43719A-6FCA-4CB8-86C5-3C29490407EE}" name="Tableau15" displayName="Tableau15" ref="D8:E16" totalsRowShown="0" headerRowDxfId="69">
  <autoFilter ref="D8:E16" xr:uid="{99ADADF3-7A05-4554-A6A5-97659CF44533}"/>
  <tableColumns count="2">
    <tableColumn id="1" xr3:uid="{C2A91CA1-6E2F-4A35-801D-EFF9CDC029C6}" name="Catégorie"/>
    <tableColumn id="2" xr3:uid="{27F09D1A-D1AC-4387-B012-678E87C6959B}" name="RI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B97B6-F4D9-4996-9309-F416666B84F2}">
  <sheetPr codeName="Feuil1">
    <outlinePr summaryBelow="0" summaryRight="0"/>
  </sheetPr>
  <dimension ref="A1:R243"/>
  <sheetViews>
    <sheetView workbookViewId="0">
      <selection activeCell="Q159" sqref="Q159"/>
    </sheetView>
  </sheetViews>
  <sheetFormatPr baseColWidth="10" defaultRowHeight="15" x14ac:dyDescent="0.25"/>
  <cols>
    <col min="1" max="1" width="27.28515625" customWidth="1"/>
    <col min="2" max="2" width="11.85546875" customWidth="1"/>
    <col min="3" max="3" width="12.7109375" hidden="1" customWidth="1"/>
    <col min="4" max="4" width="26" hidden="1" customWidth="1"/>
    <col min="5" max="5" width="12" hidden="1" customWidth="1"/>
    <col min="6" max="6" width="18.85546875" hidden="1" customWidth="1"/>
    <col min="7" max="7" width="13.28515625" hidden="1" customWidth="1"/>
    <col min="8" max="9" width="0" hidden="1" customWidth="1"/>
    <col min="10" max="10" width="11.42578125" hidden="1" customWidth="1"/>
    <col min="11" max="11" width="25.140625" hidden="1" customWidth="1"/>
    <col min="12" max="13" width="0" hidden="1" customWidth="1"/>
    <col min="14" max="14" width="27.28515625" hidden="1" customWidth="1"/>
    <col min="15" max="15" width="9.42578125" hidden="1" customWidth="1"/>
    <col min="16" max="16" width="0" hidden="1" customWidth="1"/>
    <col min="17" max="17" width="23.28515625" customWidth="1"/>
  </cols>
  <sheetData>
    <row r="1" spans="1:16" x14ac:dyDescent="0.25">
      <c r="A1" s="12" t="s">
        <v>68</v>
      </c>
      <c r="B1" s="66">
        <v>44949</v>
      </c>
      <c r="C1" s="23"/>
      <c r="D1" s="23"/>
      <c r="E1" s="23"/>
      <c r="F1" s="22"/>
    </row>
    <row r="2" spans="1:16" x14ac:dyDescent="0.25">
      <c r="A2" s="5"/>
    </row>
    <row r="3" spans="1:16" hidden="1" x14ac:dyDescent="0.25">
      <c r="A3" s="188" t="s">
        <v>195</v>
      </c>
      <c r="D3" s="191" t="s">
        <v>194</v>
      </c>
    </row>
    <row r="4" spans="1:16" hidden="1" x14ac:dyDescent="0.25">
      <c r="A4" t="s">
        <v>168</v>
      </c>
      <c r="B4" s="428">
        <v>0</v>
      </c>
      <c r="D4" t="s">
        <v>168</v>
      </c>
      <c r="E4" s="36">
        <v>0</v>
      </c>
      <c r="I4" s="2"/>
      <c r="M4" s="64"/>
      <c r="N4" s="64"/>
      <c r="O4" s="103"/>
      <c r="P4" s="64"/>
    </row>
    <row r="5" spans="1:16" hidden="1" x14ac:dyDescent="0.25">
      <c r="A5" t="s">
        <v>67</v>
      </c>
      <c r="B5" s="428">
        <v>0</v>
      </c>
      <c r="D5" t="s">
        <v>67</v>
      </c>
      <c r="E5" s="5">
        <v>0</v>
      </c>
      <c r="I5" s="2"/>
      <c r="M5" s="64"/>
      <c r="N5" s="64"/>
      <c r="O5" s="64"/>
      <c r="P5" s="64"/>
    </row>
    <row r="6" spans="1:16" hidden="1" x14ac:dyDescent="0.25">
      <c r="B6" s="5"/>
      <c r="I6" s="2"/>
      <c r="M6" s="64"/>
      <c r="N6" s="64"/>
      <c r="O6" s="64"/>
      <c r="P6" s="64"/>
    </row>
    <row r="7" spans="1:16" x14ac:dyDescent="0.25">
      <c r="A7" s="112" t="s">
        <v>94</v>
      </c>
      <c r="B7" s="113"/>
      <c r="C7" s="113"/>
      <c r="D7" s="113"/>
      <c r="E7" s="113"/>
      <c r="F7" s="123"/>
      <c r="I7" s="2"/>
      <c r="M7" s="64"/>
      <c r="N7" s="64"/>
      <c r="O7" s="64"/>
      <c r="P7" s="64"/>
    </row>
    <row r="8" spans="1:16" x14ac:dyDescent="0.25">
      <c r="I8" s="2"/>
      <c r="M8" s="104"/>
      <c r="N8" s="105"/>
      <c r="O8" s="106"/>
      <c r="P8" s="56"/>
    </row>
    <row r="9" spans="1:16" x14ac:dyDescent="0.25">
      <c r="A9" s="47" t="s">
        <v>66</v>
      </c>
      <c r="B9" s="122">
        <v>43544</v>
      </c>
      <c r="C9" s="144" t="str">
        <f>DATEDIF(B9,B1,"y")&amp;" ans "
&amp;DATEDIF(B9,B1,"ym")&amp;" mois"</f>
        <v>3 ans 10 mois</v>
      </c>
      <c r="D9" s="64"/>
      <c r="I9" s="2"/>
      <c r="J9" s="2"/>
      <c r="N9" s="2"/>
      <c r="O9" s="65"/>
    </row>
    <row r="10" spans="1:16" ht="15.75" thickBot="1" x14ac:dyDescent="0.3">
      <c r="A10" s="47"/>
      <c r="B10" s="122"/>
      <c r="C10" s="103"/>
      <c r="D10" s="64"/>
      <c r="I10" s="2"/>
      <c r="J10" s="2"/>
      <c r="N10" s="2"/>
      <c r="O10" s="65"/>
    </row>
    <row r="11" spans="1:16" ht="30" hidden="1" customHeight="1" x14ac:dyDescent="0.25">
      <c r="A11" s="387" t="str">
        <f>IF(B1&gt;(EDATE(B9,36)),"Fin de procédure - 7 ans : "&amp;TEXT(EDATE(B9,84),"jj/mm/aaaa"),
"Fin de procédure - 3 ans : "&amp;TEXT(EDATE(B9,36),"jj/mm/aaaa")&amp;CHAR(10)&amp;"Fin de procédure - 7 ans : "&amp;TEXT(EDATE(B9,84),"jj/mm/aaaa"))</f>
        <v>Fin de procédure - 7 ans : 20/03/2026</v>
      </c>
      <c r="B11" s="387"/>
      <c r="C11" s="144" t="str">
        <f>IF(B1&gt;(EDATE(B9,36)),(DATEDIF(B1,EDATE(B9,85),"y")&amp;" ans "
&amp;DATEDIF(B1,EDATE(B9,85),"ym")&amp;" mois"),(DATEDIF(B1,EDATE(B9,37),"y")&amp;" ans "
&amp;DATEDIF(B1,EDATE(B9,37),"ym")&amp;" mois"&amp;CHAR(10)&amp;(DATEDIF(B1,EDATE(B9,85),"y")&amp;" ans "
&amp;DATEDIF(B1,EDATE(B9,85),"ym")&amp;" mois")))</f>
        <v>3 ans 2 mois</v>
      </c>
      <c r="D11" s="64"/>
      <c r="I11" s="2"/>
      <c r="J11" s="2"/>
      <c r="N11" s="2"/>
      <c r="O11" s="65"/>
    </row>
    <row r="12" spans="1:16" hidden="1" x14ac:dyDescent="0.25">
      <c r="A12" s="64"/>
      <c r="B12" s="64"/>
      <c r="C12" s="64"/>
      <c r="D12" s="64"/>
      <c r="I12" s="2"/>
      <c r="J12" s="2"/>
      <c r="M12" s="38"/>
    </row>
    <row r="13" spans="1:16" hidden="1" x14ac:dyDescent="0.25">
      <c r="A13" s="112" t="s">
        <v>244</v>
      </c>
      <c r="B13" s="113"/>
      <c r="C13" s="113"/>
      <c r="D13" s="113"/>
      <c r="E13" s="113"/>
      <c r="F13" s="123"/>
      <c r="I13" s="2"/>
      <c r="J13" s="2"/>
      <c r="N13" s="36"/>
      <c r="O13" s="32"/>
    </row>
    <row r="14" spans="1:16" hidden="1" x14ac:dyDescent="0.25">
      <c r="B14" s="28"/>
      <c r="C14" s="63"/>
      <c r="I14" s="2"/>
      <c r="J14" s="2"/>
      <c r="N14" s="36"/>
      <c r="O14" s="32"/>
    </row>
    <row r="15" spans="1:16" hidden="1" x14ac:dyDescent="0.25">
      <c r="A15" s="26" t="s">
        <v>38</v>
      </c>
      <c r="B15" s="35">
        <v>36419.129999999997</v>
      </c>
      <c r="C15" s="3"/>
      <c r="I15" s="2"/>
      <c r="J15" s="2"/>
      <c r="N15" s="36"/>
      <c r="O15" s="32"/>
    </row>
    <row r="16" spans="1:16" hidden="1" x14ac:dyDescent="0.25">
      <c r="A16" s="26" t="s">
        <v>37</v>
      </c>
      <c r="B16" s="35">
        <v>5425.69</v>
      </c>
      <c r="C16" s="32"/>
      <c r="I16" s="2"/>
      <c r="J16" s="2"/>
      <c r="N16" s="36"/>
      <c r="O16" s="32"/>
    </row>
    <row r="17" spans="1:16" hidden="1" x14ac:dyDescent="0.25">
      <c r="A17" s="26" t="s">
        <v>36</v>
      </c>
      <c r="B17" s="35">
        <v>3455.49</v>
      </c>
      <c r="C17" s="63"/>
      <c r="I17" s="2"/>
      <c r="J17" s="2"/>
      <c r="N17" s="36"/>
      <c r="O17" s="32"/>
    </row>
    <row r="18" spans="1:16" hidden="1" x14ac:dyDescent="0.25">
      <c r="A18" t="s">
        <v>35</v>
      </c>
      <c r="B18" s="32">
        <f>SUM(B15:B17)</f>
        <v>45300.31</v>
      </c>
      <c r="C18" s="3"/>
      <c r="I18" s="2"/>
      <c r="J18" s="2"/>
      <c r="N18" s="36"/>
      <c r="O18" s="32"/>
    </row>
    <row r="19" spans="1:16" hidden="1" x14ac:dyDescent="0.25">
      <c r="B19" s="32"/>
      <c r="C19" s="3"/>
      <c r="I19" s="2"/>
      <c r="J19" s="2"/>
      <c r="N19" s="36"/>
      <c r="O19" s="32"/>
    </row>
    <row r="20" spans="1:16" s="38" customFormat="1" hidden="1" x14ac:dyDescent="0.25">
      <c r="A20" s="28" t="s">
        <v>96</v>
      </c>
      <c r="B20" s="45"/>
      <c r="C20" s="45"/>
      <c r="I20" s="2"/>
      <c r="J20" s="2"/>
      <c r="K20"/>
      <c r="L20"/>
      <c r="N20" s="107"/>
      <c r="O20" s="45"/>
    </row>
    <row r="21" spans="1:16" hidden="1" x14ac:dyDescent="0.25">
      <c r="B21" s="32"/>
      <c r="C21" s="3"/>
      <c r="I21" s="2"/>
      <c r="J21" s="2"/>
      <c r="N21" s="36"/>
      <c r="O21" s="32"/>
    </row>
    <row r="22" spans="1:16" ht="30" hidden="1" customHeight="1" x14ac:dyDescent="0.25">
      <c r="A22" s="386" t="str">
        <f>IF(B1&gt;(EDATE(B9,36)),
"Procédure - 7 ans : "&amp;TEXT(ROUNDUP((B15/(DATEDIF(B1,EDATE(B9,85),"m"))),0),"#.##0,00 €;[Rouge]-#.##0,00 €"),
"Procédure - 3 ans : "&amp;TEXT(ROUNDUP(B18/(DATEDIF(B1,EDATE(B9,37),"m")),0),"#.##0,00 €;[Rouge]-#.##0,00 €")&amp;CHAR(10)&amp;"Procédure - 7 ans : "&amp;TEXT(ROUNDUP((B15/(DATEDIF(B1,EDATE(B9,85),"m"))),0),"#.##0,00 €;[Rouge]-#.##0,00 €"))</f>
        <v>Procédure - 7 ans : 959,00 €</v>
      </c>
      <c r="B22" s="386"/>
      <c r="C22" s="3"/>
      <c r="I22" s="2"/>
      <c r="J22" s="2"/>
      <c r="N22" s="36"/>
      <c r="O22" s="32"/>
    </row>
    <row r="23" spans="1:16" hidden="1" x14ac:dyDescent="0.25">
      <c r="B23" s="2"/>
      <c r="C23" s="65"/>
      <c r="I23" s="2"/>
      <c r="J23" s="2"/>
      <c r="N23" s="36"/>
      <c r="O23" s="32"/>
    </row>
    <row r="24" spans="1:16" hidden="1" x14ac:dyDescent="0.25">
      <c r="A24" s="112" t="s">
        <v>95</v>
      </c>
      <c r="B24" s="113"/>
      <c r="C24" s="113"/>
      <c r="D24" s="113"/>
      <c r="E24" s="113"/>
      <c r="F24" s="123"/>
      <c r="I24" s="2"/>
      <c r="J24" s="2"/>
      <c r="N24" s="36"/>
      <c r="O24" s="63"/>
    </row>
    <row r="25" spans="1:16" hidden="1" x14ac:dyDescent="0.25">
      <c r="A25" s="8"/>
      <c r="B25" s="102"/>
      <c r="C25" s="2"/>
      <c r="I25" s="2"/>
      <c r="J25" s="2"/>
      <c r="N25" s="32"/>
    </row>
    <row r="26" spans="1:16" hidden="1" x14ac:dyDescent="0.25">
      <c r="A26" s="222" t="s">
        <v>21</v>
      </c>
      <c r="B26" s="244"/>
      <c r="C26" s="229"/>
      <c r="D26" s="245" t="str">
        <f>"Situation au : "&amp;TEXT(B1,"jj/mm/aaaa")</f>
        <v>Situation au : 23/01/2023</v>
      </c>
      <c r="E26" s="244"/>
      <c r="F26" s="222" t="s">
        <v>32</v>
      </c>
      <c r="H26" s="47"/>
      <c r="I26" s="2"/>
      <c r="J26" s="2"/>
    </row>
    <row r="27" spans="1:16" hidden="1" x14ac:dyDescent="0.25">
      <c r="A27" s="269" t="s">
        <v>191</v>
      </c>
      <c r="B27" s="266"/>
      <c r="C27" s="267"/>
      <c r="D27" s="268"/>
      <c r="E27" s="266"/>
      <c r="F27" s="265"/>
      <c r="H27" s="47"/>
      <c r="I27" s="2"/>
      <c r="J27" s="2"/>
    </row>
    <row r="28" spans="1:16" hidden="1" x14ac:dyDescent="0.25">
      <c r="A28" s="217" t="s">
        <v>104</v>
      </c>
      <c r="B28" s="218" t="s">
        <v>177</v>
      </c>
      <c r="C28" s="218" t="s">
        <v>151</v>
      </c>
      <c r="D28" s="218" t="s">
        <v>177</v>
      </c>
      <c r="E28" s="218" t="s">
        <v>151</v>
      </c>
      <c r="F28" s="219"/>
      <c r="H28" s="47"/>
      <c r="I28" s="2"/>
      <c r="J28" s="2"/>
    </row>
    <row r="29" spans="1:16" hidden="1" x14ac:dyDescent="0.25">
      <c r="A29" s="26" t="s">
        <v>65</v>
      </c>
      <c r="B29" s="40"/>
      <c r="C29" s="118">
        <v>0</v>
      </c>
      <c r="D29" s="115"/>
      <c r="E29" s="35">
        <v>0</v>
      </c>
      <c r="F29" s="25">
        <f>IF($E$67=0,0,SUM(E29-C29))</f>
        <v>0</v>
      </c>
      <c r="H29" s="3"/>
      <c r="I29" s="2"/>
      <c r="P29" s="8"/>
    </row>
    <row r="30" spans="1:16" hidden="1" x14ac:dyDescent="0.25">
      <c r="A30" s="26" t="s">
        <v>64</v>
      </c>
      <c r="B30" s="40"/>
      <c r="C30" s="118">
        <v>0</v>
      </c>
      <c r="D30" s="115"/>
      <c r="E30" s="35">
        <v>0</v>
      </c>
      <c r="F30" s="25">
        <f>IF($E$67=0,0,SUM(E30-C30))</f>
        <v>0</v>
      </c>
      <c r="H30" s="3"/>
      <c r="I30" s="2"/>
    </row>
    <row r="31" spans="1:16" hidden="1" x14ac:dyDescent="0.25">
      <c r="A31" s="26" t="s">
        <v>63</v>
      </c>
      <c r="B31" s="40"/>
      <c r="C31" s="118">
        <v>0</v>
      </c>
      <c r="D31" s="115"/>
      <c r="E31" s="35">
        <v>0</v>
      </c>
      <c r="F31" s="25">
        <f>IF($E$67=0,0,SUM(E31-C31))</f>
        <v>0</v>
      </c>
      <c r="H31" s="3"/>
      <c r="I31" s="2"/>
    </row>
    <row r="32" spans="1:16" hidden="1" x14ac:dyDescent="0.25">
      <c r="A32" s="26" t="s">
        <v>47</v>
      </c>
      <c r="B32" s="40"/>
      <c r="C32" s="118">
        <v>0</v>
      </c>
      <c r="D32" s="115"/>
      <c r="E32" s="35">
        <v>0</v>
      </c>
      <c r="F32" s="25"/>
      <c r="H32" s="3"/>
      <c r="I32" s="2"/>
    </row>
    <row r="33" spans="1:9" hidden="1" x14ac:dyDescent="0.25">
      <c r="A33" s="26" t="s">
        <v>62</v>
      </c>
      <c r="B33" s="108">
        <v>0</v>
      </c>
      <c r="C33" s="119">
        <f>(B33*26)</f>
        <v>0</v>
      </c>
      <c r="D33" s="116">
        <v>0</v>
      </c>
      <c r="E33" s="25">
        <f>(D33*26)</f>
        <v>0</v>
      </c>
      <c r="F33" s="25">
        <f>IF($E$67=0,0,SUM(E33-C33))</f>
        <v>0</v>
      </c>
      <c r="H33" s="3"/>
      <c r="I33" s="2"/>
    </row>
    <row r="34" spans="1:9" hidden="1" x14ac:dyDescent="0.25">
      <c r="A34" s="192" t="str">
        <f>"Montant minimum "&amp;TEXT(SUM(B33*24),"#.##0,00")</f>
        <v>Montant minimum 0,00</v>
      </c>
      <c r="B34" s="347"/>
      <c r="C34" s="349"/>
      <c r="D34" s="192" t="str">
        <f>"Montant minimum "&amp;TEXT(SUM(D33*24),"#.##0,00")</f>
        <v>Montant minimum 0,00</v>
      </c>
      <c r="E34" s="357"/>
      <c r="F34" s="355"/>
      <c r="I34" s="272"/>
    </row>
    <row r="35" spans="1:9" hidden="1" x14ac:dyDescent="0.25">
      <c r="A35" s="192" t="str">
        <f>"Montant maximum "&amp;TEXT(SUM(B33*27),"#.##0,00")</f>
        <v>Montant maximum 0,00</v>
      </c>
      <c r="B35" s="348"/>
      <c r="C35" s="350"/>
      <c r="D35" s="192" t="str">
        <f>"Montant maximum "&amp;TEXT(SUM(D33*27),"#.##0,00")</f>
        <v>Montant maximum 0,00</v>
      </c>
      <c r="E35" s="358"/>
      <c r="F35" s="356"/>
      <c r="I35" s="272"/>
    </row>
    <row r="36" spans="1:9" hidden="1" x14ac:dyDescent="0.25">
      <c r="A36" s="26" t="s">
        <v>61</v>
      </c>
      <c r="B36" s="108">
        <v>0</v>
      </c>
      <c r="C36" s="119">
        <f>(B36*26)</f>
        <v>0</v>
      </c>
      <c r="D36" s="116">
        <v>0</v>
      </c>
      <c r="E36" s="346">
        <f>(D36*26)</f>
        <v>0</v>
      </c>
      <c r="F36" s="25">
        <f>IF($E$67=0,0,SUM(E36-C36))</f>
        <v>0</v>
      </c>
      <c r="H36" s="3"/>
      <c r="I36" s="2"/>
    </row>
    <row r="37" spans="1:9" hidden="1" x14ac:dyDescent="0.25">
      <c r="A37" s="192" t="str">
        <f>"Montant minimum "&amp;TEXT(SUM(B36*24),"#.##0,00")</f>
        <v>Montant minimum 0,00</v>
      </c>
      <c r="B37" s="347"/>
      <c r="C37" s="349"/>
      <c r="D37" s="192" t="str">
        <f>"Montant minimum "&amp;TEXT(SUM(D36*24),"#.##0,00")</f>
        <v>Montant minimum 0,00</v>
      </c>
      <c r="E37" s="357"/>
      <c r="F37" s="355"/>
      <c r="I37" s="272"/>
    </row>
    <row r="38" spans="1:9" hidden="1" x14ac:dyDescent="0.25">
      <c r="A38" s="192" t="str">
        <f>"Montant maximum "&amp;TEXT(SUM(B36*27),"#.##0,00")</f>
        <v>Montant maximum 0,00</v>
      </c>
      <c r="B38" s="348"/>
      <c r="C38" s="350"/>
      <c r="D38" s="192" t="str">
        <f>"Montant maximum "&amp;TEXT(SUM(D36*27),"#.##0,00")</f>
        <v>Montant maximum 0,00</v>
      </c>
      <c r="E38" s="358"/>
      <c r="F38" s="356"/>
      <c r="I38" s="272"/>
    </row>
    <row r="39" spans="1:9" hidden="1" x14ac:dyDescent="0.25">
      <c r="A39" s="26" t="s">
        <v>263</v>
      </c>
      <c r="B39" s="108">
        <v>0</v>
      </c>
      <c r="C39" s="119">
        <f>(B39*26)</f>
        <v>0</v>
      </c>
      <c r="D39" s="26"/>
      <c r="E39" s="35">
        <v>0</v>
      </c>
      <c r="F39" s="25">
        <f>(E39*26)</f>
        <v>0</v>
      </c>
      <c r="I39" s="272"/>
    </row>
    <row r="40" spans="1:9" hidden="1" x14ac:dyDescent="0.25">
      <c r="A40" s="192" t="str">
        <f>"Montant minimum "&amp;TEXT(SUM(B39*24),"#.##0,00")</f>
        <v>Montant minimum 0,00</v>
      </c>
      <c r="B40" s="347"/>
      <c r="C40" s="349"/>
      <c r="D40" s="192" t="str">
        <f>"Montant minimum "&amp;TEXT(SUM(E39*24),"#.##0,00")</f>
        <v>Montant minimum 0,00</v>
      </c>
      <c r="E40" s="347"/>
      <c r="F40" s="351"/>
      <c r="I40" s="272"/>
    </row>
    <row r="41" spans="1:9" hidden="1" x14ac:dyDescent="0.25">
      <c r="A41" s="192" t="str">
        <f>"Montant maximum "&amp;TEXT(SUM(B39*27),"#.##0,00")</f>
        <v>Montant maximum 0,00</v>
      </c>
      <c r="B41" s="348"/>
      <c r="C41" s="350"/>
      <c r="D41" s="192" t="str">
        <f>"Montant maximum "&amp;TEXT(SUM(E39*27),"#.##0,00")</f>
        <v>Montant maximum 0,00</v>
      </c>
      <c r="E41" s="348"/>
      <c r="F41" s="352"/>
      <c r="I41" s="272"/>
    </row>
    <row r="42" spans="1:9" hidden="1" x14ac:dyDescent="0.25">
      <c r="A42" s="26" t="s">
        <v>60</v>
      </c>
      <c r="B42" s="35"/>
      <c r="C42" s="118">
        <v>0</v>
      </c>
      <c r="D42" s="116"/>
      <c r="E42" s="35">
        <v>0</v>
      </c>
      <c r="F42" s="25">
        <f t="shared" ref="F42:F47" si="0">IF($E$67=0,0,SUM(E42-C42))</f>
        <v>0</v>
      </c>
      <c r="H42" s="3"/>
      <c r="I42" s="2"/>
    </row>
    <row r="43" spans="1:9" hidden="1" x14ac:dyDescent="0.25">
      <c r="A43" s="26" t="s">
        <v>59</v>
      </c>
      <c r="B43" s="35"/>
      <c r="C43" s="118">
        <v>0</v>
      </c>
      <c r="D43" s="116"/>
      <c r="E43" s="35">
        <v>0</v>
      </c>
      <c r="F43" s="25">
        <f t="shared" si="0"/>
        <v>0</v>
      </c>
      <c r="H43" s="3"/>
      <c r="I43" s="2"/>
    </row>
    <row r="44" spans="1:9" hidden="1" x14ac:dyDescent="0.25">
      <c r="A44" s="26" t="s">
        <v>58</v>
      </c>
      <c r="B44" s="35"/>
      <c r="C44" s="118">
        <v>0</v>
      </c>
      <c r="D44" s="116"/>
      <c r="E44" s="35">
        <v>0</v>
      </c>
      <c r="F44" s="25">
        <f t="shared" si="0"/>
        <v>0</v>
      </c>
      <c r="H44" s="3"/>
      <c r="I44" s="2"/>
    </row>
    <row r="45" spans="1:9" hidden="1" x14ac:dyDescent="0.25">
      <c r="A45" s="26" t="s">
        <v>57</v>
      </c>
      <c r="B45" s="35"/>
      <c r="C45" s="118">
        <v>0</v>
      </c>
      <c r="D45" s="116"/>
      <c r="E45" s="35">
        <v>0</v>
      </c>
      <c r="F45" s="25">
        <f t="shared" si="0"/>
        <v>0</v>
      </c>
      <c r="G45" s="260"/>
      <c r="H45" s="3"/>
      <c r="I45" s="2"/>
    </row>
    <row r="46" spans="1:9" hidden="1" x14ac:dyDescent="0.25">
      <c r="A46" s="44" t="s">
        <v>56</v>
      </c>
      <c r="B46" s="60">
        <v>0</v>
      </c>
      <c r="C46" s="118">
        <v>0</v>
      </c>
      <c r="D46" s="60">
        <v>0</v>
      </c>
      <c r="E46" s="35">
        <v>0</v>
      </c>
      <c r="F46" s="25">
        <f t="shared" si="0"/>
        <v>0</v>
      </c>
      <c r="G46" s="273" t="s">
        <v>199</v>
      </c>
      <c r="H46" s="3"/>
    </row>
    <row r="47" spans="1:9" hidden="1" x14ac:dyDescent="0.25">
      <c r="A47" s="26" t="s">
        <v>55</v>
      </c>
      <c r="B47" s="26"/>
      <c r="C47" s="118">
        <v>0</v>
      </c>
      <c r="D47" s="22"/>
      <c r="E47" s="35">
        <v>0</v>
      </c>
      <c r="F47" s="25">
        <f t="shared" si="0"/>
        <v>0</v>
      </c>
      <c r="G47" s="260"/>
      <c r="H47" s="3"/>
      <c r="I47" s="2"/>
    </row>
    <row r="48" spans="1:9" hidden="1" x14ac:dyDescent="0.25">
      <c r="A48" s="179" t="s">
        <v>105</v>
      </c>
      <c r="B48" s="148"/>
      <c r="C48" s="149"/>
      <c r="D48" s="148"/>
      <c r="E48" s="150"/>
      <c r="F48" s="151"/>
      <c r="H48" s="3"/>
      <c r="I48" s="2"/>
    </row>
    <row r="49" spans="1:9" hidden="1" x14ac:dyDescent="0.25">
      <c r="A49" s="26" t="s">
        <v>65</v>
      </c>
      <c r="B49" s="40"/>
      <c r="C49" s="118">
        <v>2609</v>
      </c>
      <c r="D49" s="115"/>
      <c r="E49" s="35">
        <v>0</v>
      </c>
      <c r="F49" s="25">
        <f>IF($E$67=0,0,SUM(E49-C49))</f>
        <v>0</v>
      </c>
      <c r="H49" s="3"/>
      <c r="I49" s="2"/>
    </row>
    <row r="50" spans="1:9" hidden="1" x14ac:dyDescent="0.25">
      <c r="A50" s="26" t="s">
        <v>64</v>
      </c>
      <c r="B50" s="40"/>
      <c r="C50" s="118">
        <v>0</v>
      </c>
      <c r="D50" s="115"/>
      <c r="E50" s="35">
        <v>0</v>
      </c>
      <c r="F50" s="25">
        <f>IF($E$67=0,0,SUM(E50-C50))</f>
        <v>0</v>
      </c>
      <c r="H50" s="3"/>
      <c r="I50" s="2"/>
    </row>
    <row r="51" spans="1:9" hidden="1" x14ac:dyDescent="0.25">
      <c r="A51" s="26" t="s">
        <v>63</v>
      </c>
      <c r="B51" s="40"/>
      <c r="C51" s="118">
        <v>0</v>
      </c>
      <c r="D51" s="115"/>
      <c r="E51" s="35">
        <v>0</v>
      </c>
      <c r="F51" s="25">
        <f>IF($E$67=0,0,SUM(E51-C51))</f>
        <v>0</v>
      </c>
      <c r="H51" s="3"/>
      <c r="I51" s="2"/>
    </row>
    <row r="52" spans="1:9" hidden="1" x14ac:dyDescent="0.25">
      <c r="A52" s="26" t="s">
        <v>47</v>
      </c>
      <c r="B52" s="40"/>
      <c r="C52" s="118">
        <v>0</v>
      </c>
      <c r="D52" s="115"/>
      <c r="E52" s="35">
        <v>0</v>
      </c>
      <c r="F52" s="25"/>
      <c r="H52" s="3"/>
      <c r="I52" s="2"/>
    </row>
    <row r="53" spans="1:9" hidden="1" x14ac:dyDescent="0.25">
      <c r="A53" s="26" t="s">
        <v>62</v>
      </c>
      <c r="B53" s="108">
        <v>0</v>
      </c>
      <c r="C53" s="119">
        <f>(B53*26)</f>
        <v>0</v>
      </c>
      <c r="D53" s="116">
        <v>0</v>
      </c>
      <c r="E53" s="25">
        <f>(D53*26)</f>
        <v>0</v>
      </c>
      <c r="F53" s="25">
        <f>IF($E$67=0,0,SUM(E53-C53))</f>
        <v>0</v>
      </c>
      <c r="H53" s="3"/>
      <c r="I53" s="2"/>
    </row>
    <row r="54" spans="1:9" hidden="1" x14ac:dyDescent="0.25">
      <c r="A54" s="192" t="str">
        <f>"Montant minimum "&amp;TEXT(SUM(B53*24),"#.##0,00")</f>
        <v>Montant minimum 0,00</v>
      </c>
      <c r="B54" s="347"/>
      <c r="C54" s="349"/>
      <c r="D54" s="192" t="str">
        <f>"Montant minimum "&amp;TEXT(SUM(D53*24),"#.##0,00")</f>
        <v>Montant minimum 0,00</v>
      </c>
      <c r="E54" s="353"/>
      <c r="F54" s="355"/>
      <c r="I54" s="272"/>
    </row>
    <row r="55" spans="1:9" hidden="1" x14ac:dyDescent="0.25">
      <c r="A55" s="192" t="str">
        <f>"Montant maximum "&amp;TEXT(SUM(B53*27),"#.##0,00")</f>
        <v>Montant maximum 0,00</v>
      </c>
      <c r="B55" s="348"/>
      <c r="C55" s="350"/>
      <c r="D55" s="192" t="str">
        <f>"Montant maximum "&amp;TEXT(SUM(D53*27),"#.##0,00")</f>
        <v>Montant maximum 0,00</v>
      </c>
      <c r="E55" s="354"/>
      <c r="F55" s="356"/>
      <c r="I55" s="272"/>
    </row>
    <row r="56" spans="1:9" hidden="1" x14ac:dyDescent="0.25">
      <c r="A56" s="26" t="s">
        <v>61</v>
      </c>
      <c r="B56" s="108">
        <v>0</v>
      </c>
      <c r="C56" s="119">
        <f>(B56*26)</f>
        <v>0</v>
      </c>
      <c r="D56" s="116">
        <v>0</v>
      </c>
      <c r="E56" s="25">
        <f>(D56*26)</f>
        <v>0</v>
      </c>
      <c r="F56" s="25">
        <f>IF($E$67=0,0,SUM(E56-C56))</f>
        <v>0</v>
      </c>
      <c r="H56" s="3"/>
      <c r="I56" s="2"/>
    </row>
    <row r="57" spans="1:9" hidden="1" x14ac:dyDescent="0.25">
      <c r="A57" s="192" t="str">
        <f>"Montant minimum "&amp;TEXT(SUM(B56*24),"#.##0,00")</f>
        <v>Montant minimum 0,00</v>
      </c>
      <c r="B57" s="347"/>
      <c r="C57" s="349"/>
      <c r="D57" s="192" t="str">
        <f>"Montant minimum "&amp;TEXT(SUM(D56*24),"#.##0,00")</f>
        <v>Montant minimum 0,00</v>
      </c>
      <c r="E57" s="353"/>
      <c r="F57" s="355"/>
      <c r="I57" s="272"/>
    </row>
    <row r="58" spans="1:9" hidden="1" x14ac:dyDescent="0.25">
      <c r="A58" s="192" t="str">
        <f>"Montant maximum "&amp;TEXT(SUM(B56*27),"#.##0,00")</f>
        <v>Montant maximum 0,00</v>
      </c>
      <c r="B58" s="348"/>
      <c r="C58" s="350"/>
      <c r="D58" s="192" t="str">
        <f>"Montant maximum "&amp;TEXT(SUM(D56*27),"#.##0,00")</f>
        <v>Montant maximum 0,00</v>
      </c>
      <c r="E58" s="354"/>
      <c r="F58" s="356"/>
      <c r="I58" s="272"/>
    </row>
    <row r="59" spans="1:9" hidden="1" x14ac:dyDescent="0.25">
      <c r="A59" s="26" t="s">
        <v>263</v>
      </c>
      <c r="B59" s="108">
        <v>0</v>
      </c>
      <c r="C59" s="119">
        <f>(B59*26)</f>
        <v>0</v>
      </c>
      <c r="D59" s="26"/>
      <c r="E59" s="35">
        <v>0</v>
      </c>
      <c r="F59" s="25">
        <f>(E59*26)</f>
        <v>0</v>
      </c>
      <c r="I59" s="272"/>
    </row>
    <row r="60" spans="1:9" hidden="1" x14ac:dyDescent="0.25">
      <c r="A60" s="192" t="str">
        <f>"Montant minimum "&amp;TEXT(SUM(B59*24),"#.##0,00")</f>
        <v>Montant minimum 0,00</v>
      </c>
      <c r="B60" s="347"/>
      <c r="C60" s="349"/>
      <c r="D60" s="192" t="str">
        <f>"Montant minimum "&amp;TEXT(SUM(E59*24),"#.##0,00")</f>
        <v>Montant minimum 0,00</v>
      </c>
      <c r="E60" s="347"/>
      <c r="F60" s="351"/>
      <c r="I60" s="272"/>
    </row>
    <row r="61" spans="1:9" hidden="1" x14ac:dyDescent="0.25">
      <c r="A61" s="192" t="str">
        <f>"Montant maximum "&amp;TEXT(SUM(B59*27),"#.##0,00")</f>
        <v>Montant maximum 0,00</v>
      </c>
      <c r="B61" s="348"/>
      <c r="C61" s="350"/>
      <c r="D61" s="192" t="str">
        <f>"Montant maximum "&amp;TEXT(SUM(E59*27),"#.##0,00")</f>
        <v>Montant maximum 0,00</v>
      </c>
      <c r="E61" s="348"/>
      <c r="F61" s="352"/>
      <c r="I61" s="272"/>
    </row>
    <row r="62" spans="1:9" hidden="1" x14ac:dyDescent="0.25">
      <c r="A62" s="26" t="s">
        <v>60</v>
      </c>
      <c r="B62" s="35"/>
      <c r="C62" s="118">
        <v>0</v>
      </c>
      <c r="D62" s="116"/>
      <c r="E62" s="35">
        <v>0</v>
      </c>
      <c r="F62" s="25">
        <f>IF($E$67=0,0,SUM(E62-C62))</f>
        <v>0</v>
      </c>
      <c r="H62" s="3"/>
    </row>
    <row r="63" spans="1:9" hidden="1" x14ac:dyDescent="0.25">
      <c r="A63" s="26" t="s">
        <v>59</v>
      </c>
      <c r="B63" s="35"/>
      <c r="C63" s="118">
        <v>0</v>
      </c>
      <c r="D63" s="116"/>
      <c r="E63" s="35">
        <v>0</v>
      </c>
      <c r="F63" s="25">
        <f>IF($E$67=0,0,SUM(E63-C63))</f>
        <v>0</v>
      </c>
      <c r="H63" s="3"/>
    </row>
    <row r="64" spans="1:9" hidden="1" x14ac:dyDescent="0.25">
      <c r="A64" s="26" t="s">
        <v>57</v>
      </c>
      <c r="B64" s="35"/>
      <c r="C64" s="118">
        <v>0</v>
      </c>
      <c r="D64" s="116"/>
      <c r="E64" s="35">
        <v>0</v>
      </c>
      <c r="F64" s="25">
        <f>IF($E$67=0,0,SUM(E64-C64))</f>
        <v>0</v>
      </c>
      <c r="H64" s="3"/>
    </row>
    <row r="65" spans="1:16" hidden="1" x14ac:dyDescent="0.25">
      <c r="A65" s="44" t="s">
        <v>56</v>
      </c>
      <c r="B65" s="60">
        <v>0</v>
      </c>
      <c r="C65" s="118">
        <v>0</v>
      </c>
      <c r="D65" s="116">
        <v>0</v>
      </c>
      <c r="E65" s="35">
        <v>0</v>
      </c>
      <c r="F65" s="25">
        <f>IF($E$67=0,0,SUM(E65-C65))</f>
        <v>0</v>
      </c>
      <c r="G65" s="273" t="s">
        <v>199</v>
      </c>
      <c r="H65" s="3"/>
    </row>
    <row r="66" spans="1:16" hidden="1" x14ac:dyDescent="0.25">
      <c r="A66" s="26" t="s">
        <v>55</v>
      </c>
      <c r="B66" s="26"/>
      <c r="C66" s="118">
        <v>0</v>
      </c>
      <c r="D66" s="22"/>
      <c r="E66" s="35">
        <v>0</v>
      </c>
      <c r="F66" s="25">
        <f>IF($E$67=0,0,SUM(E66-C66))</f>
        <v>0</v>
      </c>
      <c r="H66" s="3"/>
    </row>
    <row r="67" spans="1:16" hidden="1" x14ac:dyDescent="0.25">
      <c r="A67" s="62" t="s">
        <v>54</v>
      </c>
      <c r="B67" s="62"/>
      <c r="C67" s="121">
        <f>SUM(C29:C66)</f>
        <v>2609</v>
      </c>
      <c r="D67" s="117"/>
      <c r="E67" s="258">
        <f>SUM(E29:E66)</f>
        <v>0</v>
      </c>
      <c r="F67" s="58">
        <f>SUM(F29:F66)-F34-F35-F37-F38-F54-F55-F57-F58</f>
        <v>0</v>
      </c>
      <c r="H67" s="3"/>
    </row>
    <row r="68" spans="1:16" hidden="1" x14ac:dyDescent="0.25">
      <c r="A68" s="252"/>
      <c r="B68" s="252"/>
      <c r="C68" s="253"/>
      <c r="D68" s="252"/>
      <c r="E68" s="255" t="str">
        <f>IF(F67&lt;0,"Déficit mensuel sur une année",IF(F67=0,"Epargne mensuelle sur une année : stable","Boni mensuel sur une année"))</f>
        <v>Epargne mensuelle sur une année : stable</v>
      </c>
      <c r="F68" s="254">
        <f>SUM(F67*12)</f>
        <v>0</v>
      </c>
    </row>
    <row r="69" spans="1:16" hidden="1" x14ac:dyDescent="0.25">
      <c r="A69" s="269" t="s">
        <v>192</v>
      </c>
      <c r="B69" s="252"/>
      <c r="C69" s="253"/>
      <c r="D69" s="252"/>
      <c r="E69" s="255"/>
      <c r="F69" s="254"/>
    </row>
    <row r="70" spans="1:16" hidden="1" x14ac:dyDescent="0.25">
      <c r="A70" s="179" t="s">
        <v>104</v>
      </c>
      <c r="B70" s="152"/>
      <c r="C70" s="153"/>
      <c r="D70" s="154"/>
      <c r="E70" s="155"/>
      <c r="F70" s="259"/>
    </row>
    <row r="71" spans="1:16" hidden="1" x14ac:dyDescent="0.25">
      <c r="A71" s="26" t="s">
        <v>53</v>
      </c>
      <c r="B71" s="293">
        <v>0</v>
      </c>
      <c r="C71" s="118">
        <v>0</v>
      </c>
      <c r="D71" s="302">
        <v>0</v>
      </c>
      <c r="E71" s="35">
        <v>0</v>
      </c>
      <c r="F71" s="40">
        <f>IF($E$67=0,0,SUM(E71-C71))</f>
        <v>0</v>
      </c>
    </row>
    <row r="72" spans="1:16" hidden="1" x14ac:dyDescent="0.25">
      <c r="A72" s="44" t="s">
        <v>247</v>
      </c>
      <c r="B72" s="293">
        <v>0</v>
      </c>
      <c r="C72" s="120">
        <v>0</v>
      </c>
      <c r="D72" s="302">
        <v>0</v>
      </c>
      <c r="E72" s="60">
        <v>0</v>
      </c>
      <c r="F72" s="40">
        <f t="shared" ref="F72:F77" si="1">IF($E$67=0,0,SUM(E72-C72))</f>
        <v>0</v>
      </c>
      <c r="I72" s="32"/>
    </row>
    <row r="73" spans="1:16" hidden="1" x14ac:dyDescent="0.25">
      <c r="A73" s="26" t="s">
        <v>51</v>
      </c>
      <c r="B73" s="293">
        <v>0</v>
      </c>
      <c r="C73" s="118">
        <v>0</v>
      </c>
      <c r="D73" s="302">
        <v>0</v>
      </c>
      <c r="E73" s="35">
        <v>0</v>
      </c>
      <c r="F73" s="40">
        <f t="shared" si="1"/>
        <v>0</v>
      </c>
      <c r="I73" s="32"/>
    </row>
    <row r="74" spans="1:16" hidden="1" x14ac:dyDescent="0.25">
      <c r="A74" s="44" t="s">
        <v>50</v>
      </c>
      <c r="B74" s="293">
        <v>0</v>
      </c>
      <c r="C74" s="120">
        <v>0</v>
      </c>
      <c r="D74" s="302">
        <v>0</v>
      </c>
      <c r="E74" s="60">
        <v>0</v>
      </c>
      <c r="F74" s="40">
        <f t="shared" si="1"/>
        <v>0</v>
      </c>
      <c r="I74" s="32"/>
      <c r="P74" s="3"/>
    </row>
    <row r="75" spans="1:16" ht="17.25" hidden="1" x14ac:dyDescent="0.25">
      <c r="A75" s="145" t="s">
        <v>139</v>
      </c>
      <c r="B75" s="293">
        <v>0</v>
      </c>
      <c r="C75" s="120">
        <v>0</v>
      </c>
      <c r="D75" s="302">
        <v>0</v>
      </c>
      <c r="E75" s="60">
        <v>0</v>
      </c>
      <c r="F75" s="40">
        <f t="shared" si="1"/>
        <v>0</v>
      </c>
      <c r="P75" s="3"/>
    </row>
    <row r="76" spans="1:16" hidden="1" x14ac:dyDescent="0.25">
      <c r="A76" s="61" t="s">
        <v>49</v>
      </c>
      <c r="B76" s="293">
        <v>0</v>
      </c>
      <c r="C76" s="120">
        <v>0</v>
      </c>
      <c r="D76" s="302">
        <v>0</v>
      </c>
      <c r="E76" s="60">
        <v>0</v>
      </c>
      <c r="F76" s="40">
        <f t="shared" si="1"/>
        <v>0</v>
      </c>
      <c r="H76" s="4"/>
      <c r="I76" s="32"/>
      <c r="P76" s="3"/>
    </row>
    <row r="77" spans="1:16" hidden="1" x14ac:dyDescent="0.25">
      <c r="A77" s="61" t="s">
        <v>29</v>
      </c>
      <c r="B77" s="293">
        <v>0</v>
      </c>
      <c r="C77" s="120">
        <v>0</v>
      </c>
      <c r="D77" s="302">
        <v>0</v>
      </c>
      <c r="E77" s="60">
        <v>0</v>
      </c>
      <c r="F77" s="40">
        <f t="shared" si="1"/>
        <v>0</v>
      </c>
      <c r="H77" s="4"/>
      <c r="I77" s="32"/>
      <c r="P77" s="3"/>
    </row>
    <row r="78" spans="1:16" hidden="1" x14ac:dyDescent="0.25">
      <c r="A78" s="178" t="s">
        <v>105</v>
      </c>
      <c r="B78" s="152"/>
      <c r="C78" s="153"/>
      <c r="D78" s="303"/>
      <c r="E78" s="155"/>
      <c r="F78" s="155"/>
      <c r="G78" s="260"/>
      <c r="P78" s="3"/>
    </row>
    <row r="79" spans="1:16" hidden="1" x14ac:dyDescent="0.25">
      <c r="A79" s="26" t="s">
        <v>203</v>
      </c>
      <c r="B79" s="293">
        <v>0</v>
      </c>
      <c r="C79" s="118">
        <v>0</v>
      </c>
      <c r="D79" s="302">
        <v>0</v>
      </c>
      <c r="E79" s="35">
        <v>0</v>
      </c>
      <c r="F79" s="40">
        <f>IF($E$67=0,0,SUM(E79-C79))</f>
        <v>0</v>
      </c>
      <c r="P79" s="3"/>
    </row>
    <row r="80" spans="1:16" hidden="1" x14ac:dyDescent="0.25">
      <c r="A80" s="44" t="s">
        <v>52</v>
      </c>
      <c r="B80" s="294">
        <v>0</v>
      </c>
      <c r="C80" s="118">
        <v>0</v>
      </c>
      <c r="D80" s="302">
        <v>0</v>
      </c>
      <c r="E80" s="35">
        <v>0</v>
      </c>
      <c r="F80" s="40">
        <f t="shared" ref="F80:F85" si="2">IF($E$67=0,0,SUM(E80-C80))</f>
        <v>0</v>
      </c>
      <c r="P80" s="3"/>
    </row>
    <row r="81" spans="1:16" hidden="1" x14ac:dyDescent="0.25">
      <c r="A81" s="26" t="s">
        <v>51</v>
      </c>
      <c r="B81" s="293">
        <v>6</v>
      </c>
      <c r="C81" s="118">
        <v>1861.88</v>
      </c>
      <c r="D81" s="302">
        <v>0</v>
      </c>
      <c r="E81" s="35">
        <v>0</v>
      </c>
      <c r="F81" s="40">
        <f t="shared" si="2"/>
        <v>0</v>
      </c>
      <c r="P81" s="3"/>
    </row>
    <row r="82" spans="1:16" hidden="1" x14ac:dyDescent="0.25">
      <c r="A82" s="44" t="s">
        <v>50</v>
      </c>
      <c r="B82" s="294">
        <v>0</v>
      </c>
      <c r="C82" s="118">
        <v>0</v>
      </c>
      <c r="D82" s="302">
        <v>0</v>
      </c>
      <c r="E82" s="35">
        <v>0</v>
      </c>
      <c r="F82" s="40">
        <f t="shared" si="2"/>
        <v>0</v>
      </c>
      <c r="P82" s="3"/>
    </row>
    <row r="83" spans="1:16" ht="17.25" hidden="1" x14ac:dyDescent="0.25">
      <c r="A83" s="145" t="s">
        <v>138</v>
      </c>
      <c r="B83" s="294">
        <v>0</v>
      </c>
      <c r="C83" s="120">
        <v>0</v>
      </c>
      <c r="D83" s="302">
        <v>0</v>
      </c>
      <c r="E83" s="60">
        <v>0</v>
      </c>
      <c r="F83" s="40">
        <f t="shared" si="2"/>
        <v>0</v>
      </c>
      <c r="P83" s="3"/>
    </row>
    <row r="84" spans="1:16" hidden="1" x14ac:dyDescent="0.25">
      <c r="A84" s="61" t="s">
        <v>49</v>
      </c>
      <c r="B84" s="293">
        <v>0</v>
      </c>
      <c r="C84" s="120">
        <v>0</v>
      </c>
      <c r="D84" s="302">
        <v>0</v>
      </c>
      <c r="E84" s="60">
        <v>0</v>
      </c>
      <c r="F84" s="40">
        <f t="shared" si="2"/>
        <v>0</v>
      </c>
      <c r="P84" s="3"/>
    </row>
    <row r="85" spans="1:16" hidden="1" x14ac:dyDescent="0.25">
      <c r="A85" s="61" t="s">
        <v>29</v>
      </c>
      <c r="B85" s="293">
        <v>0</v>
      </c>
      <c r="C85" s="120">
        <v>0</v>
      </c>
      <c r="D85" s="302">
        <v>0</v>
      </c>
      <c r="E85" s="60">
        <v>0</v>
      </c>
      <c r="F85" s="40">
        <f t="shared" si="2"/>
        <v>0</v>
      </c>
      <c r="P85" s="3"/>
    </row>
    <row r="86" spans="1:16" hidden="1" x14ac:dyDescent="0.25">
      <c r="A86" s="49" t="s">
        <v>48</v>
      </c>
      <c r="B86" s="59"/>
      <c r="C86" s="121">
        <f>SUM(C71:C85)</f>
        <v>1861.88</v>
      </c>
      <c r="D86" s="59"/>
      <c r="E86" s="58">
        <f>SUM(E71:E85)</f>
        <v>0</v>
      </c>
      <c r="F86" s="58">
        <f>SUM(F71:F85)</f>
        <v>0</v>
      </c>
    </row>
    <row r="87" spans="1:16" hidden="1" x14ac:dyDescent="0.25">
      <c r="A87" s="13"/>
      <c r="B87" s="32"/>
      <c r="C87" s="32"/>
      <c r="E87" s="57" t="str">
        <f>IF(F87&lt;0,"Déficit annuel total",IF(F87=0,"Epargne anuelle totale : stable",IF(F87="","","Boni annuel total")))</f>
        <v>Epargne anuelle totale : stable</v>
      </c>
      <c r="F87" s="32">
        <f>SUM(F68+F86)</f>
        <v>0</v>
      </c>
      <c r="G87" s="32"/>
    </row>
    <row r="88" spans="1:16" hidden="1" x14ac:dyDescent="0.25">
      <c r="A88" s="112" t="s">
        <v>97</v>
      </c>
      <c r="B88" s="59"/>
      <c r="C88" s="59"/>
      <c r="D88" s="113"/>
      <c r="E88" s="113"/>
      <c r="F88" s="113"/>
      <c r="G88" s="32"/>
      <c r="H88" s="57"/>
      <c r="J88" s="32"/>
      <c r="K88" s="32"/>
    </row>
    <row r="89" spans="1:16" hidden="1" x14ac:dyDescent="0.25">
      <c r="A89" s="133"/>
      <c r="D89" s="134"/>
      <c r="E89" s="134"/>
      <c r="F89" s="123"/>
      <c r="G89" s="32"/>
      <c r="H89" s="57"/>
      <c r="J89" s="32"/>
      <c r="K89" s="32"/>
    </row>
    <row r="90" spans="1:16" hidden="1" x14ac:dyDescent="0.25">
      <c r="A90" s="243" t="s">
        <v>147</v>
      </c>
      <c r="B90" s="231"/>
      <c r="C90" s="231"/>
      <c r="D90" s="243" t="str">
        <f>IF(E67=0,"","Situation au : "&amp;TEXT(B1,"jj/mm/aaaa"))</f>
        <v/>
      </c>
      <c r="E90" s="231"/>
      <c r="F90" s="224"/>
      <c r="G90" s="32"/>
      <c r="H90" s="57"/>
      <c r="J90" s="32"/>
      <c r="K90" s="32"/>
    </row>
    <row r="91" spans="1:16" hidden="1" x14ac:dyDescent="0.25">
      <c r="A91" s="233" t="s">
        <v>99</v>
      </c>
      <c r="B91" s="234">
        <f>SUM(B93+B94)</f>
        <v>1024.49</v>
      </c>
      <c r="C91" s="234"/>
      <c r="D91" s="233" t="s">
        <v>99</v>
      </c>
      <c r="E91" s="221"/>
      <c r="F91" s="235">
        <f>IF(E67&gt;0,SUM(E93+E94),0)</f>
        <v>0</v>
      </c>
      <c r="G91" s="32"/>
      <c r="H91" s="57"/>
      <c r="J91" s="32"/>
      <c r="K91" s="32"/>
    </row>
    <row r="92" spans="1:16" hidden="1" x14ac:dyDescent="0.25">
      <c r="A92" s="56"/>
      <c r="B92" s="55"/>
      <c r="C92" s="55"/>
      <c r="D92" s="56"/>
      <c r="E92" s="55"/>
      <c r="J92" s="32"/>
      <c r="K92" s="32"/>
      <c r="L92" s="32"/>
    </row>
    <row r="93" spans="1:16" ht="15" hidden="1" customHeight="1" x14ac:dyDescent="0.25">
      <c r="A93" s="8" t="str">
        <f>A3</f>
        <v>isolé</v>
      </c>
      <c r="B93" s="102">
        <f>IF(C67=0,0,VLOOKUP(A3,Tableau1[],2,FALSE))</f>
        <v>1024.49</v>
      </c>
      <c r="D93" s="8" t="str">
        <f>D3</f>
        <v>2 cohabitants</v>
      </c>
      <c r="E93" s="102">
        <f>IF(E67=0,0,VLOOKUP(D3,Tableau15[],2,FALSE))</f>
        <v>0</v>
      </c>
      <c r="J93" s="8"/>
      <c r="K93" s="8"/>
      <c r="L93" s="8"/>
      <c r="M93" s="8"/>
      <c r="N93" s="8"/>
      <c r="O93" s="8"/>
    </row>
    <row r="94" spans="1:16" ht="15" hidden="1" customHeight="1" x14ac:dyDescent="0.25">
      <c r="A94" s="56" t="s">
        <v>106</v>
      </c>
      <c r="B94" s="102">
        <f>IF(C67&gt;0,SUM(C47+C66),0)</f>
        <v>0</v>
      </c>
      <c r="C94" s="56"/>
      <c r="D94" s="177" t="s">
        <v>106</v>
      </c>
      <c r="E94" s="102">
        <f>IF(E67&gt;0,SUM(E47+E66),0)</f>
        <v>0</v>
      </c>
      <c r="J94" s="32"/>
      <c r="K94" s="32"/>
      <c r="L94" s="32"/>
      <c r="N94" s="3"/>
      <c r="O94" s="3"/>
    </row>
    <row r="95" spans="1:16" hidden="1" x14ac:dyDescent="0.25">
      <c r="B95" s="3"/>
      <c r="C95" s="3"/>
      <c r="E95" s="3"/>
      <c r="F95" s="3"/>
      <c r="G95" s="32"/>
      <c r="J95" s="32"/>
      <c r="K95" s="32"/>
      <c r="L95" s="32"/>
    </row>
    <row r="96" spans="1:16" hidden="1" x14ac:dyDescent="0.25">
      <c r="A96" s="219" t="str">
        <f>"Quotité saisissable : "&amp;TEXT(IF(B97=0,"Revenus insaisissables","Revenus saisissables"),)</f>
        <v>Quotité saisissable : Revenus saisissables</v>
      </c>
      <c r="B96" s="236"/>
      <c r="C96" s="237"/>
      <c r="D96" s="219" t="str">
        <f>"Quotité saisissable : "&amp;TEXT(IF(E97=0,"Revenus insaisissables","Revenus saisissables"),)</f>
        <v>Quotité saisissable : Revenus insaisissables</v>
      </c>
      <c r="E96" s="236"/>
      <c r="F96" s="221"/>
      <c r="I96" s="32"/>
      <c r="J96" s="32"/>
      <c r="K96" s="32"/>
      <c r="L96" s="32"/>
    </row>
    <row r="97" spans="1:15" hidden="1" x14ac:dyDescent="0.25">
      <c r="A97" s="197" t="s">
        <v>196</v>
      </c>
      <c r="B97" s="198">
        <f>IF(VLOOKUP(A97,tab_quotites,2,FALSE)&lt;0,0,VLOOKUP(A97,tab_quotites,2,FALSE))</f>
        <v>1225.481</v>
      </c>
      <c r="C97" s="3"/>
      <c r="D97" s="197" t="s">
        <v>90</v>
      </c>
      <c r="E97" s="198">
        <f>IF(VLOOKUP(D97,Tableaux!G14:H16,2,FALSE)&lt;0,0,VLOOKUP(D97,Tableaux!G14:H16,2,FALSE))</f>
        <v>0</v>
      </c>
      <c r="I97" s="392"/>
      <c r="J97" s="392"/>
      <c r="K97" s="392"/>
      <c r="L97" s="392"/>
      <c r="M97" s="392"/>
      <c r="N97" s="392"/>
      <c r="O97" s="392"/>
    </row>
    <row r="98" spans="1:15" hidden="1" x14ac:dyDescent="0.25">
      <c r="A98" s="54"/>
      <c r="B98" s="6"/>
      <c r="C98" s="3"/>
      <c r="D98" s="54"/>
      <c r="E98" s="6"/>
      <c r="I98" s="32"/>
      <c r="J98" s="32"/>
      <c r="K98" s="32"/>
      <c r="L98" s="32"/>
    </row>
    <row r="99" spans="1:15" hidden="1" x14ac:dyDescent="0.25">
      <c r="A99" s="219" t="s">
        <v>141</v>
      </c>
      <c r="B99" s="238">
        <f>SUM(B100:B101)</f>
        <v>1383.519</v>
      </c>
      <c r="C99" s="239"/>
      <c r="D99" s="219" t="s">
        <v>141</v>
      </c>
      <c r="E99" s="221"/>
      <c r="F99" s="240">
        <f>SUM(E100:E101)</f>
        <v>0</v>
      </c>
      <c r="I99" s="32"/>
      <c r="J99" s="32"/>
      <c r="K99" s="32"/>
      <c r="L99" s="32"/>
    </row>
    <row r="100" spans="1:15" hidden="1" x14ac:dyDescent="0.25">
      <c r="A100" s="281" t="s">
        <v>44</v>
      </c>
      <c r="B100" s="3">
        <f>SUM(C67-B97-C47-C66)</f>
        <v>1383.519</v>
      </c>
      <c r="C100" s="177"/>
      <c r="D100" s="281" t="s">
        <v>44</v>
      </c>
      <c r="E100" s="3">
        <f>SUM(E67-E97-E47-E66)</f>
        <v>0</v>
      </c>
      <c r="F100" s="52"/>
      <c r="G100" s="51"/>
      <c r="H100" s="32"/>
      <c r="I100" s="32"/>
      <c r="J100" s="32"/>
      <c r="K100" s="32"/>
      <c r="L100" s="32"/>
    </row>
    <row r="101" spans="1:15" hidden="1" x14ac:dyDescent="0.25">
      <c r="A101" s="281" t="s">
        <v>202</v>
      </c>
      <c r="B101" s="3">
        <f>IF(C67&gt;0,SUM(C47+C66),0)</f>
        <v>0</v>
      </c>
      <c r="C101" s="177"/>
      <c r="D101" s="281" t="s">
        <v>202</v>
      </c>
      <c r="E101" s="3">
        <f>IF(E67&gt;0,SUM(E47+E66),0)</f>
        <v>0</v>
      </c>
      <c r="F101" s="52"/>
      <c r="G101" s="51"/>
      <c r="H101" s="32"/>
      <c r="I101" s="32"/>
      <c r="J101" s="32"/>
      <c r="K101" s="32"/>
      <c r="L101" s="32"/>
    </row>
    <row r="102" spans="1:15" hidden="1" x14ac:dyDescent="0.25">
      <c r="A102" s="275"/>
      <c r="B102" s="3"/>
      <c r="C102" s="177"/>
      <c r="D102" s="275"/>
      <c r="E102" s="3"/>
      <c r="F102" s="52"/>
      <c r="G102" s="51"/>
      <c r="H102" s="32"/>
      <c r="I102" s="32"/>
      <c r="J102" s="32"/>
      <c r="K102" s="32"/>
      <c r="L102" s="32"/>
    </row>
    <row r="103" spans="1:15" ht="30" hidden="1" customHeight="1" x14ac:dyDescent="0.25">
      <c r="A103" s="389" t="str">
        <f>IF(B113=0,"",
IF(AND(B113&gt;B99,B97&gt;0),"Diminuer au pécule minimum, soit à "&amp;TEXT((B99),"#.##0,00 €"),
IF(B99&gt;=C67,"L'intégralité des revenus doit être reversée, soit à "&amp;TEXT((C67),"#.##0,00 €"),
IF(B113&lt;B99,"Augmenter le pécule au pécule minimum saisissable, soit à "&amp;TEXT((B99),"#.##0,00 €"),"Le budget peut être maintenu à "&amp;TEXT((B113),"#.##0,00 €")))))</f>
        <v>Diminuer au pécule minimum, soit à 1.383,52 €</v>
      </c>
      <c r="B103" s="389"/>
      <c r="C103" s="176"/>
      <c r="D103" s="390" t="str">
        <f>IF(E113=0,"",
IF(AND(E113&gt;F99,E97&gt;0),"Diminuer au pécule minimum, soit à "&amp;TEXT((F99),"#.##0,00 €"),
IF(F99&gt;=E67,"L'intégralité des revenus doit être reversée, soit à "&amp;TEXT((E67),"#.##0,00 €"),
IF(E113&lt;F99,"Augmenter le pécule au pécule minimum saisissable, soit à "&amp;TEXT((F99),"#.##0,00 €"),"Le budget peut être maintenu à "&amp;TEXT((E113),"#.##0,00 €")))))</f>
        <v/>
      </c>
      <c r="E103" s="390"/>
      <c r="F103" s="390"/>
      <c r="G103" s="51"/>
      <c r="H103" s="32"/>
      <c r="I103" s="32"/>
      <c r="J103" s="32"/>
      <c r="K103" s="32"/>
      <c r="L103" s="32"/>
    </row>
    <row r="104" spans="1:15" hidden="1" x14ac:dyDescent="0.25">
      <c r="B104" s="3"/>
      <c r="C104" s="3"/>
      <c r="E104" s="3"/>
      <c r="F104" s="52"/>
      <c r="G104" s="51"/>
      <c r="H104" s="32"/>
      <c r="I104" s="32"/>
      <c r="J104" s="32"/>
      <c r="K104" s="32"/>
      <c r="L104" s="32"/>
    </row>
    <row r="105" spans="1:15" hidden="1" x14ac:dyDescent="0.25">
      <c r="A105" s="219" t="s">
        <v>178</v>
      </c>
      <c r="B105" s="237"/>
      <c r="C105" s="237"/>
      <c r="D105" s="219" t="s">
        <v>178</v>
      </c>
      <c r="E105" s="237"/>
      <c r="F105" s="241"/>
      <c r="G105" s="51"/>
      <c r="H105" s="32"/>
      <c r="I105" s="32"/>
      <c r="J105" s="32"/>
      <c r="K105" s="32"/>
      <c r="L105" s="32"/>
    </row>
    <row r="106" spans="1:15" ht="30" hidden="1" x14ac:dyDescent="0.25">
      <c r="A106" s="335" t="str">
        <f>IF(B106&lt;0,"Déficit selon pécule minimum",IF(B106=0,"Aucun disponible selon pécule minimum","Epargne selon pécule minimum"))</f>
        <v>Epargne selon pécule minimum</v>
      </c>
      <c r="B106" s="375">
        <f>SUM(C67-B99)</f>
        <v>1225.481</v>
      </c>
      <c r="C106" s="3"/>
      <c r="D106" s="334" t="str">
        <f>IF(E106&lt;0,"Déficit selon pécule minimum",IF(E106=0,"Aucun disponible selon pécule minimum","Epargne selon pécule minimum"))</f>
        <v>Aucun disponible selon pécule minimum</v>
      </c>
      <c r="E106" s="375">
        <f>SUM(E67-F99)</f>
        <v>0</v>
      </c>
      <c r="F106" s="52"/>
      <c r="G106" s="51"/>
      <c r="H106" s="32"/>
      <c r="I106" s="32"/>
      <c r="J106" s="32"/>
      <c r="K106" s="32"/>
      <c r="L106" s="32"/>
    </row>
    <row r="107" spans="1:15" hidden="1" x14ac:dyDescent="0.25">
      <c r="A107" s="52" t="str">
        <f>IF(C86&lt;C130,"Revenus annuels : EFH","Réserve annuelle")</f>
        <v>Réserve annuelle</v>
      </c>
      <c r="B107" s="51">
        <f>IF(C86=0,0,IF(C86&lt;C130,0,IF(AND(C86&lt;&gt;0,SUM(C86-C130)&lt;500),SUM(C86-C130),SUM(C86-C130)-ROUNDDOWN(SUM(C86-C130)-500,-1))))</f>
        <v>501.88000000000011</v>
      </c>
      <c r="C107" s="3"/>
      <c r="D107" s="52" t="str">
        <f>IF(E86&lt;E130,"Revenus annuels : EFH","Réserve annuelle")</f>
        <v>Revenus annuels : EFH</v>
      </c>
      <c r="E107" s="51">
        <f>IF(E86=0,0,IF(E86&lt;E130,0,IF(AND(E86&lt;&gt;0,SUM(E86-E130)&lt;500),SUM(E86-E130),SUM(E86-E130)-ROUNDDOWN(SUM(E86-E130)-500,-1))))</f>
        <v>0</v>
      </c>
      <c r="F107" s="52"/>
      <c r="G107" s="51"/>
      <c r="H107" s="32"/>
      <c r="I107" s="32"/>
      <c r="J107" s="32"/>
      <c r="K107" s="32"/>
      <c r="L107" s="32"/>
    </row>
    <row r="108" spans="1:15" hidden="1" x14ac:dyDescent="0.25">
      <c r="A108" s="52"/>
      <c r="B108" s="51"/>
      <c r="C108" s="3"/>
      <c r="D108" s="52"/>
      <c r="E108" s="51"/>
      <c r="F108" s="52"/>
      <c r="G108" s="51"/>
      <c r="H108" s="32"/>
      <c r="I108" s="32"/>
      <c r="J108" s="32"/>
      <c r="K108" s="32"/>
      <c r="L108" s="32"/>
    </row>
    <row r="109" spans="1:15" hidden="1" x14ac:dyDescent="0.25">
      <c r="A109" s="52" t="s">
        <v>179</v>
      </c>
      <c r="B109" s="156">
        <f>IF(C67=0,0,
IF(B113=0,0,
IF(ISNUMBER(SEARCH("ok",A113)),SUM(C67-B113),0)))</f>
        <v>1089</v>
      </c>
      <c r="C109" s="6"/>
      <c r="D109" s="52" t="s">
        <v>179</v>
      </c>
      <c r="E109" s="156">
        <f>IF(E67=0,0,
IF(E113=0,0,
IF(ISNUMBER(SEARCH("ok",D113)),SUM(E67-E113),0)))</f>
        <v>0</v>
      </c>
      <c r="F109" s="52"/>
      <c r="G109" s="51"/>
      <c r="H109" s="32"/>
      <c r="I109" s="32"/>
      <c r="J109" s="32"/>
      <c r="K109" s="32"/>
      <c r="L109" s="32"/>
    </row>
    <row r="110" spans="1:15" hidden="1" x14ac:dyDescent="0.25">
      <c r="A110" s="52"/>
      <c r="B110" s="51"/>
      <c r="D110" s="52"/>
      <c r="E110" s="51"/>
      <c r="F110" s="52"/>
      <c r="G110" s="51"/>
      <c r="H110" s="32"/>
      <c r="I110" s="32"/>
      <c r="J110" s="32"/>
      <c r="K110" s="32"/>
      <c r="L110" s="32"/>
    </row>
    <row r="111" spans="1:15" hidden="1" x14ac:dyDescent="0.25">
      <c r="A111" s="242" t="s">
        <v>176</v>
      </c>
      <c r="B111" s="234">
        <f>Budget!B35</f>
        <v>0</v>
      </c>
      <c r="C111" s="221"/>
      <c r="D111" s="242" t="s">
        <v>175</v>
      </c>
      <c r="E111" s="241">
        <f>Budget!F35</f>
        <v>0</v>
      </c>
      <c r="F111" s="241"/>
      <c r="G111" s="51"/>
      <c r="H111" s="32"/>
      <c r="I111" s="32"/>
      <c r="J111" s="32"/>
      <c r="K111" s="32"/>
      <c r="L111" s="32"/>
    </row>
    <row r="112" spans="1:15" hidden="1" x14ac:dyDescent="0.25">
      <c r="A112" s="185" t="s">
        <v>186</v>
      </c>
      <c r="B112" s="257">
        <f>SUM(B114:B118)</f>
        <v>1520</v>
      </c>
      <c r="C112" s="185"/>
      <c r="D112" s="185" t="s">
        <v>186</v>
      </c>
      <c r="E112" s="257">
        <f>SUM(E114:E118)</f>
        <v>0</v>
      </c>
      <c r="F112" s="185"/>
      <c r="G112" s="51"/>
      <c r="H112" s="32"/>
      <c r="I112" s="32"/>
      <c r="J112" s="32"/>
      <c r="K112" s="32"/>
      <c r="L112" s="32"/>
    </row>
    <row r="113" spans="1:12" hidden="1" x14ac:dyDescent="0.25">
      <c r="A113" s="251" t="s">
        <v>180</v>
      </c>
      <c r="B113" s="196">
        <f>IF(C117="Médiation",SUM(B114:B116),SUM(B114:B117))</f>
        <v>1520</v>
      </c>
      <c r="C113" s="189" t="str">
        <f>IF(C114&lt;B114,"Diminuer à",IF(C114&gt;B114,"Augmenter à","Aucune modification"))</f>
        <v>Diminuer à</v>
      </c>
      <c r="D113" s="251" t="s">
        <v>181</v>
      </c>
      <c r="E113" s="196">
        <f>IF(F117="Médiation",SUM(E114:E116),SUM(E114:E117))</f>
        <v>0</v>
      </c>
      <c r="F113" s="189" t="str">
        <f>IF(F114&lt;E114,"Diminuer à",IF(F114&gt;E114,"Augmenter à","Aucune modification"))</f>
        <v>Aucune modification</v>
      </c>
      <c r="G113" s="51"/>
      <c r="H113" s="32"/>
      <c r="I113" s="32"/>
      <c r="J113" s="32"/>
      <c r="K113" s="32"/>
      <c r="L113" s="32"/>
    </row>
    <row r="114" spans="1:12" hidden="1" x14ac:dyDescent="0.25">
      <c r="A114" s="276" t="s">
        <v>160</v>
      </c>
      <c r="B114" s="60">
        <v>1520</v>
      </c>
      <c r="C114" s="190">
        <f>IF(B113=0,0,
IF(B99&lt;B91,B91,B99))</f>
        <v>1383.519</v>
      </c>
      <c r="D114" s="276" t="s">
        <v>160</v>
      </c>
      <c r="E114" s="60">
        <v>0</v>
      </c>
      <c r="F114" s="190">
        <f>IF(E113=0,0,
IF(F99&lt;F91,F91,F99))</f>
        <v>0</v>
      </c>
      <c r="G114" s="51"/>
      <c r="H114" s="32"/>
      <c r="I114" s="32"/>
      <c r="J114" s="32"/>
      <c r="K114" s="32"/>
      <c r="L114" s="32"/>
    </row>
    <row r="115" spans="1:12" hidden="1" x14ac:dyDescent="0.25">
      <c r="A115" s="276" t="s">
        <v>161</v>
      </c>
      <c r="B115" s="277">
        <f>B4</f>
        <v>0</v>
      </c>
      <c r="C115" s="187"/>
      <c r="D115" s="276" t="s">
        <v>161</v>
      </c>
      <c r="E115" s="277">
        <f>E4</f>
        <v>0</v>
      </c>
      <c r="F115" s="187"/>
      <c r="G115" s="51"/>
      <c r="H115" s="32"/>
      <c r="I115" s="32"/>
      <c r="J115" s="32"/>
      <c r="K115" s="32"/>
      <c r="L115" s="32"/>
    </row>
    <row r="116" spans="1:12" hidden="1" x14ac:dyDescent="0.25">
      <c r="A116" s="276" t="s">
        <v>162</v>
      </c>
      <c r="B116" s="60">
        <v>0</v>
      </c>
      <c r="C116" s="187"/>
      <c r="D116" s="276" t="s">
        <v>162</v>
      </c>
      <c r="E116" s="60">
        <v>0</v>
      </c>
      <c r="F116" s="360"/>
      <c r="G116" s="51"/>
      <c r="H116" s="32"/>
      <c r="I116" s="32"/>
      <c r="J116" s="32"/>
      <c r="K116" s="32"/>
      <c r="L116" s="32"/>
    </row>
    <row r="117" spans="1:12" hidden="1" x14ac:dyDescent="0.25">
      <c r="A117" s="276" t="s">
        <v>198</v>
      </c>
      <c r="B117" s="60">
        <f>ROUND(0/12,0)</f>
        <v>0</v>
      </c>
      <c r="C117" s="359" t="s">
        <v>264</v>
      </c>
      <c r="D117" s="276" t="s">
        <v>198</v>
      </c>
      <c r="E117" s="60">
        <f>ROUND(0/12,0)</f>
        <v>0</v>
      </c>
      <c r="F117" s="359" t="s">
        <v>264</v>
      </c>
      <c r="G117" s="51"/>
      <c r="H117" s="32"/>
      <c r="I117" s="32"/>
      <c r="J117" s="32"/>
      <c r="K117" s="32"/>
      <c r="L117" s="32"/>
    </row>
    <row r="118" spans="1:12" hidden="1" x14ac:dyDescent="0.25">
      <c r="A118" s="276" t="s">
        <v>185</v>
      </c>
      <c r="B118" s="277">
        <f>B46</f>
        <v>0</v>
      </c>
      <c r="C118" s="187"/>
      <c r="D118" s="276" t="s">
        <v>185</v>
      </c>
      <c r="E118" s="277">
        <f>D46</f>
        <v>0</v>
      </c>
      <c r="F118" s="187"/>
      <c r="G118" s="51"/>
      <c r="H118" s="32"/>
      <c r="I118" s="32"/>
      <c r="J118" s="32"/>
      <c r="K118" s="32"/>
      <c r="L118" s="32"/>
    </row>
    <row r="119" spans="1:12" hidden="1" x14ac:dyDescent="0.25">
      <c r="A119" s="185"/>
      <c r="B119" s="186"/>
      <c r="C119" s="187"/>
      <c r="D119" s="185"/>
      <c r="E119" s="186"/>
      <c r="F119" s="156"/>
      <c r="G119" s="51"/>
      <c r="H119" s="32"/>
      <c r="I119" s="32"/>
      <c r="J119" s="32"/>
      <c r="K119" s="32"/>
      <c r="L119" s="32"/>
    </row>
    <row r="120" spans="1:12" ht="30" hidden="1" customHeight="1" x14ac:dyDescent="0.25">
      <c r="A120" s="114" t="s">
        <v>98</v>
      </c>
      <c r="B120" s="391" t="str">
        <f>IF(C67=0,"",IF(SUM(B140:B141)&lt;=0,"revenus inssufisants",IF(B107=0,"pris en charge par les revenus mensuels",IF(B131=0,"pris en charge par les revenus annuels","pris en charge en partie par les revenus annuels"))))</f>
        <v>pris en charge par les revenus annuels</v>
      </c>
      <c r="C120" s="391"/>
      <c r="D120" s="391" t="str">
        <f>IF(E67=0,"",IF(SUM(C140:C141)&lt;=0,"revenus inssufisants",IF(E107=0,"pris en charge par les revenus mensuels",IF(D131=0,"pris en charge par les revenus annuels","pris en charge en partie par les revenus annuels"))))</f>
        <v/>
      </c>
      <c r="E120" s="391"/>
      <c r="F120" s="3"/>
      <c r="G120" s="32"/>
      <c r="H120" s="3"/>
      <c r="I120" s="32"/>
      <c r="J120" s="32"/>
      <c r="K120" s="32"/>
      <c r="L120" s="32"/>
    </row>
    <row r="121" spans="1:12" hidden="1" x14ac:dyDescent="0.25">
      <c r="F121" s="3"/>
      <c r="G121" s="32"/>
      <c r="I121" s="32"/>
      <c r="J121" s="32"/>
      <c r="K121" s="32"/>
      <c r="L121" s="32"/>
    </row>
    <row r="122" spans="1:12" hidden="1" x14ac:dyDescent="0.25">
      <c r="A122" s="220" t="s">
        <v>245</v>
      </c>
      <c r="B122" s="220"/>
      <c r="C122" s="220"/>
      <c r="D122" s="220" t="s">
        <v>33</v>
      </c>
      <c r="E122" s="220"/>
      <c r="G122" s="180"/>
    </row>
    <row r="123" spans="1:12" hidden="1" x14ac:dyDescent="0.25">
      <c r="A123" s="24" t="s">
        <v>46</v>
      </c>
      <c r="B123" s="22"/>
      <c r="C123" s="40">
        <v>215.59</v>
      </c>
      <c r="D123" s="26"/>
      <c r="E123" s="40">
        <v>235.96</v>
      </c>
    </row>
    <row r="124" spans="1:12" hidden="1" x14ac:dyDescent="0.25">
      <c r="A124" s="26" t="s">
        <v>45</v>
      </c>
      <c r="B124" s="50">
        <v>4</v>
      </c>
      <c r="C124" s="40">
        <f>(B124*14.37)</f>
        <v>57.48</v>
      </c>
      <c r="D124" s="50">
        <v>0</v>
      </c>
      <c r="E124" s="40">
        <f>(D124*15.73)</f>
        <v>0</v>
      </c>
    </row>
    <row r="125" spans="1:12" hidden="1" x14ac:dyDescent="0.25">
      <c r="A125" s="26" t="s">
        <v>44</v>
      </c>
      <c r="B125" s="50">
        <v>12</v>
      </c>
      <c r="C125" s="40">
        <f>(B125*8.97)</f>
        <v>107.64000000000001</v>
      </c>
      <c r="D125" s="50">
        <v>0</v>
      </c>
      <c r="E125" s="40">
        <f>(D125*9.82)</f>
        <v>0</v>
      </c>
    </row>
    <row r="126" spans="1:12" hidden="1" x14ac:dyDescent="0.25">
      <c r="A126" s="26" t="s">
        <v>43</v>
      </c>
      <c r="B126" s="26">
        <v>2</v>
      </c>
      <c r="C126" s="40">
        <f>(B126*8.97)</f>
        <v>17.940000000000001</v>
      </c>
      <c r="D126" s="26">
        <v>5</v>
      </c>
      <c r="E126" s="40">
        <f>(D126*9.82)</f>
        <v>49.1</v>
      </c>
    </row>
    <row r="127" spans="1:12" hidden="1" x14ac:dyDescent="0.25">
      <c r="A127" s="26" t="s">
        <v>42</v>
      </c>
      <c r="B127" s="50">
        <v>9</v>
      </c>
      <c r="C127" s="40">
        <f>(B127*8.97)</f>
        <v>80.73</v>
      </c>
      <c r="D127" s="50">
        <v>0</v>
      </c>
      <c r="E127" s="40">
        <f>(D127*9.82)</f>
        <v>0</v>
      </c>
    </row>
    <row r="128" spans="1:12" hidden="1" x14ac:dyDescent="0.25">
      <c r="A128" s="26" t="s">
        <v>41</v>
      </c>
      <c r="B128" s="50">
        <v>15</v>
      </c>
      <c r="C128" s="40">
        <f>(B128*12.58)</f>
        <v>188.7</v>
      </c>
      <c r="D128" s="50">
        <v>0</v>
      </c>
      <c r="E128" s="40">
        <f>(D128*13.77)</f>
        <v>0</v>
      </c>
    </row>
    <row r="129" spans="1:12" hidden="1" x14ac:dyDescent="0.25">
      <c r="A129" s="24" t="s">
        <v>190</v>
      </c>
      <c r="B129" s="143"/>
      <c r="C129" s="40">
        <v>4.92</v>
      </c>
      <c r="D129" s="50"/>
      <c r="E129" s="40">
        <v>4.92</v>
      </c>
    </row>
    <row r="130" spans="1:12" hidden="1" x14ac:dyDescent="0.25">
      <c r="A130" s="24" t="s">
        <v>35</v>
      </c>
      <c r="B130" s="26">
        <f>SUM(C123:C129)</f>
        <v>673</v>
      </c>
      <c r="C130" s="40">
        <f>CEILING(SUM(C123:C129),50)</f>
        <v>700</v>
      </c>
      <c r="D130" s="26">
        <f>SUM(E123:E129)</f>
        <v>289.98</v>
      </c>
      <c r="E130" s="40">
        <f>CEILING(SUM(E123:E129),50)</f>
        <v>300</v>
      </c>
      <c r="G130" s="3"/>
    </row>
    <row r="131" spans="1:12" hidden="1" x14ac:dyDescent="0.25">
      <c r="A131" s="225" t="s">
        <v>40</v>
      </c>
      <c r="B131" s="226">
        <f>IF(C86&gt;C130,0,C130-C86)</f>
        <v>0</v>
      </c>
      <c r="C131" s="227">
        <f>(C132*12)</f>
        <v>0</v>
      </c>
      <c r="D131" s="226">
        <f>IF(E86&gt;E130,0,E130-E86)</f>
        <v>300</v>
      </c>
      <c r="E131" s="228">
        <f>(E132*12)</f>
        <v>300</v>
      </c>
      <c r="I131" s="3"/>
      <c r="J131" s="3"/>
      <c r="K131" s="3"/>
      <c r="L131" s="3"/>
    </row>
    <row r="132" spans="1:12" hidden="1" x14ac:dyDescent="0.25">
      <c r="A132" s="24" t="s">
        <v>39</v>
      </c>
      <c r="B132" s="48">
        <f>(B131/12)</f>
        <v>0</v>
      </c>
      <c r="C132" s="21">
        <f>CEILING(B132,5)</f>
        <v>0</v>
      </c>
      <c r="D132" s="48">
        <f>(D131/12)</f>
        <v>25</v>
      </c>
      <c r="E132" s="21">
        <f>CEILING(D132,5)</f>
        <v>25</v>
      </c>
    </row>
    <row r="133" spans="1:12" hidden="1" x14ac:dyDescent="0.25"/>
    <row r="134" spans="1:12" hidden="1" x14ac:dyDescent="0.25">
      <c r="A134" s="112" t="s">
        <v>100</v>
      </c>
      <c r="B134" s="113"/>
      <c r="C134" s="113"/>
      <c r="D134" s="113"/>
      <c r="E134" s="113"/>
      <c r="F134" s="123"/>
    </row>
    <row r="135" spans="1:12" hidden="1" x14ac:dyDescent="0.25"/>
    <row r="136" spans="1:12" hidden="1" x14ac:dyDescent="0.25">
      <c r="A136" s="232" t="s">
        <v>34</v>
      </c>
      <c r="B136" s="232"/>
      <c r="C136" s="232"/>
      <c r="D136" s="232"/>
      <c r="E136" s="232"/>
    </row>
    <row r="137" spans="1:12" hidden="1" x14ac:dyDescent="0.25">
      <c r="A137" s="38"/>
      <c r="B137" s="47"/>
      <c r="C137" s="47"/>
      <c r="D137" s="47"/>
      <c r="E137" s="28"/>
      <c r="F137" s="47"/>
    </row>
    <row r="138" spans="1:12" ht="30" hidden="1" x14ac:dyDescent="0.25">
      <c r="B138" s="53" t="s">
        <v>140</v>
      </c>
      <c r="C138" s="53" t="s">
        <v>101</v>
      </c>
      <c r="D138" s="55" t="s">
        <v>32</v>
      </c>
      <c r="E138" s="28"/>
      <c r="F138" s="47"/>
    </row>
    <row r="139" spans="1:12" hidden="1" x14ac:dyDescent="0.25">
      <c r="A139" s="230" t="s">
        <v>187</v>
      </c>
      <c r="B139" s="224"/>
      <c r="C139" s="224"/>
      <c r="D139" s="224"/>
      <c r="E139" s="28"/>
      <c r="F139" s="47"/>
    </row>
    <row r="140" spans="1:12" hidden="1" x14ac:dyDescent="0.25">
      <c r="A140" s="26" t="s">
        <v>31</v>
      </c>
      <c r="B140" s="40">
        <f>IF(B113=0,0,C67)</f>
        <v>2609</v>
      </c>
      <c r="C140" s="40">
        <f>IF(E113=0,0,E67)</f>
        <v>0</v>
      </c>
      <c r="D140" s="40">
        <f>IF(C140=0,0,SUM(C140-B140))</f>
        <v>0</v>
      </c>
      <c r="F140" s="3"/>
      <c r="H140" s="3"/>
    </row>
    <row r="141" spans="1:12" hidden="1" x14ac:dyDescent="0.25">
      <c r="A141" s="26" t="s">
        <v>30</v>
      </c>
      <c r="B141" s="25">
        <f>IF(COUNTBLANK(A103),0,IF(ISNUMBER(SEARCH("ok",A113)),SUM(B113*-1),VALUE(LEFT(RIGHT(A103,10),8)*-1)))</f>
        <v>-1520</v>
      </c>
      <c r="C141" s="25">
        <f>IF(COUNTBLANK(D103),0,IF(ISNUMBER(SEARCH("ok",D113)),SUM(E113*-1),VALUE(LEFT(RIGHT(D103,10),8))*-1))</f>
        <v>0</v>
      </c>
      <c r="D141" s="40">
        <f>IF(C141=0,0,SUM(C141-B141))</f>
        <v>0</v>
      </c>
      <c r="E141" s="3"/>
      <c r="F141" s="3"/>
    </row>
    <row r="142" spans="1:12" hidden="1" x14ac:dyDescent="0.25">
      <c r="A142" s="26" t="s">
        <v>29</v>
      </c>
      <c r="B142" s="25">
        <f>IF(C117="Médiation",SUM(B117*-1),0)</f>
        <v>0</v>
      </c>
      <c r="C142" s="25">
        <f>IF(F117="Médiation",SUM(E117*-1),0)</f>
        <v>0</v>
      </c>
      <c r="D142" s="40">
        <f>IF(C142=0,0,SUM(C142-B142))</f>
        <v>0</v>
      </c>
      <c r="E142" s="3"/>
      <c r="F142" s="3"/>
      <c r="G142" s="3"/>
    </row>
    <row r="143" spans="1:12" hidden="1" x14ac:dyDescent="0.25">
      <c r="A143" s="26" t="s">
        <v>207</v>
      </c>
      <c r="B143" s="25">
        <f>IF(C67=0,0,SUM(C132*-1))</f>
        <v>0</v>
      </c>
      <c r="C143" s="25">
        <f>IF(AND(E67=0,E86=0),0,SUM(E132*-1))</f>
        <v>0</v>
      </c>
      <c r="D143" s="40">
        <f>IF(C143=0,0,SUM(C143-B143))</f>
        <v>0</v>
      </c>
      <c r="F143" s="3"/>
      <c r="G143" s="3"/>
    </row>
    <row r="144" spans="1:12" ht="15.75" hidden="1" thickBot="1" x14ac:dyDescent="0.3">
      <c r="A144" s="46" t="s">
        <v>28</v>
      </c>
      <c r="B144" s="181">
        <f>IF(B140=0,0,IF(SUM(B140:B143)&lt;=0,0,IF(SUM(B140:B143)&lt;50,SUM(B140:B143)*-1,(SUM(B140:B143)-ROUNDDOWN(SUM(B140:B143)-50,-1))*-1)))</f>
        <v>-59</v>
      </c>
      <c r="C144" s="181">
        <f>IF(C140=0,0,IF(SUM(C140:C143)&lt;=0,0,IF(SUM(C140:C143)&lt;50,SUM(C140:C143)*-1,(SUM(C140:C143)-ROUNDDOWN(SUM(C140:C143)-50,-1))*-1)))</f>
        <v>0</v>
      </c>
      <c r="D144" s="146">
        <f>IF(C144=0,0,SUM(C144-B144)*-1)</f>
        <v>0</v>
      </c>
      <c r="F144" s="3"/>
      <c r="G144" s="3"/>
    </row>
    <row r="145" spans="1:18" x14ac:dyDescent="0.25">
      <c r="A145" s="139" t="s">
        <v>27</v>
      </c>
      <c r="B145" s="429">
        <f>IF(SUM(B140:B144)&lt;=0,0,SUM(B140:B144))</f>
        <v>1030</v>
      </c>
      <c r="C145" s="140">
        <f>IF(SUM(C140:C144)&lt;=0,0,SUM(C140:C144))</f>
        <v>0</v>
      </c>
      <c r="D145" s="147">
        <f>IF(C145=0,0,SUM(C145-B145))</f>
        <v>0</v>
      </c>
      <c r="E145" s="13"/>
      <c r="F145" s="3"/>
      <c r="G145" s="3"/>
    </row>
    <row r="146" spans="1:18" hidden="1" x14ac:dyDescent="0.25">
      <c r="A146" s="26" t="s">
        <v>26</v>
      </c>
      <c r="B146" s="40">
        <f>IF(B145&lt;=0,0,SUM(B145*12))</f>
        <v>12360</v>
      </c>
      <c r="C146" s="40">
        <f>IF(C145&lt;=0,0,SUM(C145*12))</f>
        <v>0</v>
      </c>
      <c r="D146" s="40">
        <f>IF(C146=0,0,SUM(C146-B146))</f>
        <v>0</v>
      </c>
      <c r="E146" s="13"/>
      <c r="F146" s="13"/>
      <c r="G146" s="3"/>
    </row>
    <row r="147" spans="1:18" hidden="1" x14ac:dyDescent="0.25">
      <c r="A147" s="230" t="s">
        <v>188</v>
      </c>
      <c r="B147" s="224"/>
      <c r="C147" s="224"/>
      <c r="D147" s="224"/>
      <c r="E147" s="13"/>
      <c r="F147" s="13"/>
      <c r="G147" s="3"/>
    </row>
    <row r="148" spans="1:18" hidden="1" x14ac:dyDescent="0.25">
      <c r="A148" s="26" t="s">
        <v>31</v>
      </c>
      <c r="B148" s="146">
        <f>IF(C86=0,0,C86)</f>
        <v>1861.88</v>
      </c>
      <c r="C148" s="146">
        <f>IF(E86=0,0,E86)</f>
        <v>0</v>
      </c>
      <c r="D148" s="40">
        <f t="shared" ref="D148:D153" si="3">IF(C148=0,0,SUM(C148-B148))</f>
        <v>0</v>
      </c>
      <c r="E148" s="13"/>
      <c r="F148" s="13"/>
      <c r="G148" s="3"/>
    </row>
    <row r="149" spans="1:18" hidden="1" x14ac:dyDescent="0.25">
      <c r="A149" s="26" t="s">
        <v>189</v>
      </c>
      <c r="B149" s="146">
        <f>IF(C86=0,0,IF(AND(C86&gt;0,B131&gt;0),SUM((C130-B131)*-1),SUM(C130*-1)))</f>
        <v>-700</v>
      </c>
      <c r="C149" s="146">
        <f>IF(E86=0,0,IF(AND(E86&gt;0,D131&gt;0),SUM((E130-D131)*-1),SUM(E130*-1)))</f>
        <v>0</v>
      </c>
      <c r="D149" s="40">
        <f t="shared" si="3"/>
        <v>0</v>
      </c>
      <c r="E149" s="13"/>
      <c r="F149" s="32"/>
      <c r="G149" s="3"/>
    </row>
    <row r="150" spans="1:18" hidden="1" x14ac:dyDescent="0.25">
      <c r="A150" s="26" t="s">
        <v>28</v>
      </c>
      <c r="B150" s="146">
        <f>IF(B148=0,0,SUM(B107*-1))</f>
        <v>-501.88000000000011</v>
      </c>
      <c r="C150" s="146">
        <f>IF(C148=0,0,SUM(E107*-1))</f>
        <v>0</v>
      </c>
      <c r="D150" s="40">
        <f t="shared" si="3"/>
        <v>0</v>
      </c>
      <c r="E150" s="13"/>
      <c r="F150" s="32"/>
      <c r="G150" s="3"/>
    </row>
    <row r="151" spans="1:18" hidden="1" x14ac:dyDescent="0.25">
      <c r="A151" s="26" t="s">
        <v>262</v>
      </c>
      <c r="B151" s="146">
        <f>-SUM(SUM(B148:B150)/2)*0</f>
        <v>0</v>
      </c>
      <c r="C151" s="146">
        <f>-SUM(SUM(C148:C150)/2)</f>
        <v>0</v>
      </c>
      <c r="D151" s="40">
        <f t="shared" si="3"/>
        <v>0</v>
      </c>
      <c r="E151" s="13"/>
      <c r="F151" s="32"/>
      <c r="G151" s="3"/>
    </row>
    <row r="152" spans="1:18" ht="15.75" hidden="1" thickBot="1" x14ac:dyDescent="0.3">
      <c r="A152" s="141" t="s">
        <v>136</v>
      </c>
      <c r="B152" s="142">
        <f>SUM(B148:B151)</f>
        <v>660</v>
      </c>
      <c r="C152" s="142">
        <f>SUM(C148:C151)</f>
        <v>0</v>
      </c>
      <c r="D152" s="146">
        <f t="shared" si="3"/>
        <v>0</v>
      </c>
      <c r="E152" s="13"/>
      <c r="F152" s="32"/>
      <c r="G152" s="3"/>
    </row>
    <row r="153" spans="1:18" hidden="1" x14ac:dyDescent="0.25">
      <c r="A153" s="246" t="s">
        <v>137</v>
      </c>
      <c r="B153" s="247">
        <f>SUM(B146+B152)</f>
        <v>13020</v>
      </c>
      <c r="C153" s="247">
        <f>SUM(C146+C152)</f>
        <v>0</v>
      </c>
      <c r="D153" s="248">
        <f t="shared" si="3"/>
        <v>0</v>
      </c>
      <c r="E153" s="13"/>
      <c r="F153" s="13"/>
    </row>
    <row r="154" spans="1:18" hidden="1" x14ac:dyDescent="0.25">
      <c r="A154" s="13"/>
      <c r="B154" s="13"/>
      <c r="C154" s="39"/>
      <c r="E154" s="13"/>
      <c r="F154" s="13"/>
    </row>
    <row r="155" spans="1:18" ht="30" hidden="1" x14ac:dyDescent="0.25">
      <c r="A155" s="230" t="s">
        <v>25</v>
      </c>
      <c r="B155" s="223">
        <f>SUM(SUM(B143*-1)+SUM(B144*-1)+B145)</f>
        <v>1089</v>
      </c>
      <c r="C155" s="223">
        <f>SUM(SUM(C143*-1)+SUM(C144*-1)+C145)</f>
        <v>0</v>
      </c>
      <c r="D155" s="224"/>
      <c r="E155" s="231"/>
      <c r="F155" s="13"/>
      <c r="N155" s="27"/>
    </row>
    <row r="156" spans="1:18" hidden="1" x14ac:dyDescent="0.25">
      <c r="A156" s="13"/>
      <c r="B156" s="13"/>
      <c r="C156" s="39"/>
      <c r="E156" s="13"/>
      <c r="F156" s="13"/>
    </row>
    <row r="157" spans="1:18" hidden="1" x14ac:dyDescent="0.25">
      <c r="A157" s="232" t="s">
        <v>102</v>
      </c>
      <c r="B157" s="232"/>
      <c r="C157" s="232"/>
      <c r="D157" s="232"/>
      <c r="E157" s="232"/>
    </row>
    <row r="158" spans="1:18" hidden="1" x14ac:dyDescent="0.25"/>
    <row r="159" spans="1:18" ht="30" customHeight="1" x14ac:dyDescent="0.25">
      <c r="A159" s="55" t="s">
        <v>21</v>
      </c>
      <c r="B159" s="110">
        <v>44441</v>
      </c>
      <c r="C159" s="55"/>
      <c r="D159" s="56"/>
      <c r="E159" s="110"/>
      <c r="F159" s="55" t="s">
        <v>148</v>
      </c>
      <c r="G159" s="110"/>
      <c r="K159" s="55" t="s">
        <v>155</v>
      </c>
      <c r="N159" s="388" t="s">
        <v>20</v>
      </c>
      <c r="O159" s="388"/>
      <c r="P159" s="110">
        <f>B1</f>
        <v>44949</v>
      </c>
      <c r="R159" s="3"/>
    </row>
    <row r="160" spans="1:18" hidden="1" x14ac:dyDescent="0.25">
      <c r="A160" s="26" t="s">
        <v>19</v>
      </c>
      <c r="B160" s="35">
        <v>21201.39</v>
      </c>
      <c r="C160" s="6"/>
      <c r="F160" s="26" t="s">
        <v>19</v>
      </c>
      <c r="G160" s="35">
        <v>0</v>
      </c>
      <c r="K160" s="26" t="s">
        <v>156</v>
      </c>
      <c r="L160" s="40">
        <f>IF(C67=0,0,B15)</f>
        <v>36419.129999999997</v>
      </c>
      <c r="Q160" s="37"/>
      <c r="R160" s="3"/>
    </row>
    <row r="161" spans="1:18" hidden="1" x14ac:dyDescent="0.25">
      <c r="A161" s="26" t="s">
        <v>18</v>
      </c>
      <c r="B161" s="25">
        <f>IF(B160=0,0,B141)</f>
        <v>-1520</v>
      </c>
      <c r="C161" s="28"/>
      <c r="E161" s="7"/>
      <c r="F161" s="26" t="s">
        <v>18</v>
      </c>
      <c r="G161" s="25">
        <f>IF(G160=0,0,C141)</f>
        <v>0</v>
      </c>
      <c r="K161" s="26" t="s">
        <v>157</v>
      </c>
      <c r="L161" s="40">
        <f>SUM(B162*-1)</f>
        <v>1963.55</v>
      </c>
      <c r="N161" t="s">
        <v>17</v>
      </c>
      <c r="P161" s="3">
        <f>IF(OR(F171=0,F171=""),LOOKUP(A192,A171:A177,D171:D177),LOOKUP(A193,F171:F177,I171:I177))</f>
        <v>0</v>
      </c>
      <c r="R161" s="3"/>
    </row>
    <row r="162" spans="1:18" hidden="1" x14ac:dyDescent="0.25">
      <c r="A162" s="26" t="s">
        <v>16</v>
      </c>
      <c r="B162" s="35">
        <v>-1963.55</v>
      </c>
      <c r="C162" s="36"/>
      <c r="F162" s="26" t="s">
        <v>16</v>
      </c>
      <c r="G162" s="35">
        <v>0</v>
      </c>
      <c r="H162" s="3"/>
      <c r="K162" s="26" t="s">
        <v>158</v>
      </c>
      <c r="L162" s="40">
        <f>C130</f>
        <v>700</v>
      </c>
      <c r="N162" t="s">
        <v>15</v>
      </c>
      <c r="P162" s="3">
        <f>IF(P161=0,0,
IF(E67&gt;0,E130,C130))</f>
        <v>0</v>
      </c>
      <c r="R162" s="3"/>
    </row>
    <row r="163" spans="1:18" hidden="1" x14ac:dyDescent="0.25">
      <c r="A163" s="26" t="s">
        <v>208</v>
      </c>
      <c r="B163" s="35">
        <v>0</v>
      </c>
      <c r="C163" s="36"/>
      <c r="F163" s="26" t="s">
        <v>208</v>
      </c>
      <c r="G163" s="35">
        <v>0</v>
      </c>
      <c r="K163" s="26" t="s">
        <v>208</v>
      </c>
      <c r="L163" s="35">
        <v>0</v>
      </c>
      <c r="N163" t="s">
        <v>209</v>
      </c>
      <c r="P163" s="36">
        <v>0</v>
      </c>
      <c r="R163" s="3"/>
    </row>
    <row r="164" spans="1:18" hidden="1" x14ac:dyDescent="0.25">
      <c r="A164" s="26" t="s">
        <v>14</v>
      </c>
      <c r="B164" s="25">
        <f>IF(B160=0,0,IF(SUM(B161:B163)=0,0,(SUM(B160:B163)-(ROUNDDOWN(SUM(B160:B163),-1)-250))*-1))</f>
        <v>-257.84000000000015</v>
      </c>
      <c r="C164" s="6"/>
      <c r="D164" s="6"/>
      <c r="E164" s="3"/>
      <c r="F164" s="26" t="s">
        <v>14</v>
      </c>
      <c r="G164" s="25">
        <f>IF(SUM(G161:G162)=0,0,(SUM(G160:G162)-(ROUNDDOWN(SUM(G160:G162),-1)-250))*-1)</f>
        <v>0</v>
      </c>
      <c r="H164" s="1"/>
      <c r="K164" s="26" t="s">
        <v>18</v>
      </c>
      <c r="L164" s="40">
        <f>IF(ISNUMBER(SEARCH("ok",A113)),B113,B99)</f>
        <v>1520</v>
      </c>
      <c r="N164" s="17" t="s">
        <v>13</v>
      </c>
      <c r="O164" s="17"/>
      <c r="P164" s="34">
        <f>IF(P161=0,0,(C204*-1))</f>
        <v>0</v>
      </c>
      <c r="R164" s="3"/>
    </row>
    <row r="165" spans="1:18" hidden="1" x14ac:dyDescent="0.25">
      <c r="A165" s="31" t="s">
        <v>12</v>
      </c>
      <c r="B165" s="33">
        <f>IF(SUM(B160:B164)&lt;0,0,SUM(B160:B164))</f>
        <v>17460</v>
      </c>
      <c r="F165" s="31" t="s">
        <v>12</v>
      </c>
      <c r="G165" s="33">
        <f>IF(SUM(G160:G164)&lt;0,0,SUM(G160:G164))</f>
        <v>0</v>
      </c>
      <c r="K165" s="26" t="s">
        <v>159</v>
      </c>
      <c r="L165" s="40">
        <f>ROUNDUP(SUM(L160:L164),-2)</f>
        <v>40700</v>
      </c>
      <c r="N165" t="s">
        <v>11</v>
      </c>
      <c r="O165" s="4" t="str">
        <f>IF(P161=0,"",P159)</f>
        <v/>
      </c>
      <c r="P165" s="377">
        <f>SUM(P161:P164)</f>
        <v>0</v>
      </c>
      <c r="R165" s="3"/>
    </row>
    <row r="166" spans="1:18" hidden="1" x14ac:dyDescent="0.25">
      <c r="A166" s="31" t="s">
        <v>287</v>
      </c>
      <c r="B166" s="33">
        <f>IFERROR(IF(C170="",0,
IF('Tableau de répartition plan'!J87=100,SUM((VALUE(RIGHT(A166,7))*2.5)/100),VALUE(((((RIGHT(A166,7))*'Tableau de répartition plan'!J87)/100)*2.5)/100))),0)</f>
        <v>57.674999999999997</v>
      </c>
      <c r="C166" s="1"/>
      <c r="F166" s="31" t="s">
        <v>149</v>
      </c>
      <c r="G166" s="33">
        <f>IF(G160=0,0,B166)</f>
        <v>0</v>
      </c>
      <c r="I166" s="1"/>
      <c r="J166" s="1"/>
      <c r="N166" t="s">
        <v>5</v>
      </c>
      <c r="P166" s="378">
        <f>IFERROR(IF(C145=0,ROUNDUP(P165/B145,0),ROUNDUP(P165/C145,0)),0)</f>
        <v>0</v>
      </c>
      <c r="R166" s="3"/>
    </row>
    <row r="167" spans="1:18" hidden="1" x14ac:dyDescent="0.25">
      <c r="N167" s="4" t="s">
        <v>10</v>
      </c>
      <c r="P167" s="2" t="str">
        <f>IF(COUNTBLANK(O165),"",EDATE(O165,P166))</f>
        <v/>
      </c>
      <c r="Q167" s="30" t="str">
        <f>IF(COUNTBLANK(P167),"",DATEDIF(B9,P167,"y")&amp;" ans "
&amp;DATEDIF(B9,P167,"ym")&amp;" mois")</f>
        <v/>
      </c>
      <c r="R167" s="3"/>
    </row>
    <row r="168" spans="1:18" hidden="1" x14ac:dyDescent="0.25">
      <c r="A168" s="232" t="s">
        <v>103</v>
      </c>
      <c r="B168" s="220"/>
      <c r="C168" s="220"/>
      <c r="D168" s="220"/>
      <c r="E168" s="220"/>
      <c r="N168" s="2" t="s">
        <v>9</v>
      </c>
      <c r="P168" s="111" t="str">
        <f>IF(COUNTBLANK(P167),"",IF(DATEDIF(B9,P167,"m")&lt;36,"Oui","Non"))</f>
        <v/>
      </c>
      <c r="Q168" s="30"/>
      <c r="R168" s="3"/>
    </row>
    <row r="169" spans="1:18" hidden="1" x14ac:dyDescent="0.25">
      <c r="R169" s="3"/>
    </row>
    <row r="170" spans="1:18" hidden="1" x14ac:dyDescent="0.25">
      <c r="A170" s="24" t="s">
        <v>8</v>
      </c>
      <c r="B170" s="22"/>
      <c r="C170" s="29">
        <f>IF(B153=0,0,IF(B165&gt;0,SUM(B15+B17),""))</f>
        <v>39874.619999999995</v>
      </c>
      <c r="D170" s="22"/>
      <c r="F170" s="24" t="s">
        <v>8</v>
      </c>
      <c r="G170" s="22"/>
      <c r="H170" s="29" cm="1">
        <f t="array" ref="H170">IF(E67=0,0,IF(G160=0,0,SUM(C170+SUM((B171:B177&lt;=B204)*(C171:C177)))))</f>
        <v>0</v>
      </c>
      <c r="I170" s="22"/>
      <c r="K170" s="183"/>
      <c r="R170" s="3"/>
    </row>
    <row r="171" spans="1:18" hidden="1" x14ac:dyDescent="0.25">
      <c r="A171" s="25" t="str">
        <f>Tableaux!L8</f>
        <v>Annuité 1</v>
      </c>
      <c r="B171" s="332">
        <f>IF('Tableau de répartition plan'!Q32="ok",'Tableau de répartition plan'!O32,0)</f>
        <v>44459</v>
      </c>
      <c r="C171" s="25">
        <f>IF('Tableau de répartition plan'!Q32="ok",'Tableau de répartition plan'!P32,0)</f>
        <v>-17460</v>
      </c>
      <c r="D171" s="25">
        <f>IF(C171=0,0,SUM(C170+C171))</f>
        <v>22414.619999999995</v>
      </c>
      <c r="E171" s="6"/>
      <c r="F171" s="262" t="str">
        <f>Tableaux!O9</f>
        <v/>
      </c>
      <c r="G171" s="332">
        <f>IF('Tableau de répartion actuel'!Q32="ok",'Tableau de répartion actuel'!O32,0)</f>
        <v>0</v>
      </c>
      <c r="H171" s="25">
        <f>IF('Tableau de répartion actuel'!Q32="ok",'Tableau de répartion actuel'!P32,0)</f>
        <v>0</v>
      </c>
      <c r="I171" s="25">
        <f>IF(H171=0,0,SUM(H170+H171))</f>
        <v>0</v>
      </c>
      <c r="J171" s="6"/>
      <c r="K171" s="6"/>
      <c r="L171" s="6"/>
      <c r="N171" s="2" t="s">
        <v>7</v>
      </c>
      <c r="P171" s="2">
        <f>EDATE(B9,36)</f>
        <v>44640</v>
      </c>
      <c r="R171" s="3"/>
    </row>
    <row r="172" spans="1:18" hidden="1" x14ac:dyDescent="0.25">
      <c r="A172" s="25" t="str">
        <f>Tableaux!L9</f>
        <v>Annuité 2</v>
      </c>
      <c r="B172" s="332">
        <f>IF('Tableau de répartition plan'!Q33="ok",'Tableau de répartition plan'!O33,0)</f>
        <v>44824</v>
      </c>
      <c r="C172" s="25">
        <f>IF('Tableau de répartition plan'!Q33="ok",'Tableau de répartition plan'!P33,0)</f>
        <v>-13020</v>
      </c>
      <c r="D172" s="25">
        <f t="shared" ref="D172:D177" si="4">IF(C172=0,0,SUM(D171+C172))</f>
        <v>9394.6199999999953</v>
      </c>
      <c r="E172" s="6"/>
      <c r="F172" s="262" t="str">
        <f>Tableaux!O10</f>
        <v/>
      </c>
      <c r="G172" s="332">
        <f>IF('Tableau de répartion actuel'!Q33="ok",'Tableau de répartion actuel'!O33,0)</f>
        <v>0</v>
      </c>
      <c r="H172" s="25">
        <f>IF('Tableau de répartion actuel'!Q33="ok",'Tableau de répartion actuel'!P33,0)</f>
        <v>0</v>
      </c>
      <c r="I172" s="25">
        <f t="shared" ref="I172:I177" si="5">IF(H172=0,0,SUM(I171+H172))</f>
        <v>0</v>
      </c>
      <c r="J172" s="6"/>
      <c r="K172" s="6"/>
      <c r="L172" s="6"/>
      <c r="R172" s="3"/>
    </row>
    <row r="173" spans="1:18" hidden="1" x14ac:dyDescent="0.25">
      <c r="A173" s="25" t="str">
        <f>Tableaux!L10</f>
        <v>Annuité 3</v>
      </c>
      <c r="B173" s="332">
        <f>IF('Tableau de répartition plan'!Q34="ok",'Tableau de répartition plan'!O34,0)</f>
        <v>45097</v>
      </c>
      <c r="C173" s="25">
        <f>IF('Tableau de répartition plan'!Q34="ok",SUM('Tableau de répartition plan'!P34+B166),0)</f>
        <v>-9336.9449999999961</v>
      </c>
      <c r="D173" s="25">
        <f t="shared" si="4"/>
        <v>57.674999999999272</v>
      </c>
      <c r="E173" s="6"/>
      <c r="F173" s="262" t="str">
        <f>Tableaux!O11</f>
        <v/>
      </c>
      <c r="G173" s="332">
        <f>IF('Tableau de répartion actuel'!Q34="ok",'Tableau de répartion actuel'!O34,0)</f>
        <v>0</v>
      </c>
      <c r="H173" s="25">
        <f>IF('Tableau de répartion actuel'!Q34="ok",'Tableau de répartion actuel'!P34,0)</f>
        <v>0</v>
      </c>
      <c r="I173" s="25">
        <f t="shared" si="5"/>
        <v>0</v>
      </c>
      <c r="J173" s="6"/>
      <c r="K173" s="6"/>
      <c r="L173" s="6"/>
      <c r="N173" s="28" t="s">
        <v>6</v>
      </c>
      <c r="P173" s="2"/>
    </row>
    <row r="174" spans="1:18" hidden="1" x14ac:dyDescent="0.25">
      <c r="A174" s="25" t="str">
        <f>Tableaux!L11</f>
        <v/>
      </c>
      <c r="B174" s="332">
        <f>IF('Tableau de répartition plan'!Q35="ok",'Tableau de répartition plan'!O35,0)</f>
        <v>0</v>
      </c>
      <c r="C174" s="25">
        <f>IF('Tableau de répartition plan'!Q35="ok",'Tableau de répartition plan'!P35,0)</f>
        <v>0</v>
      </c>
      <c r="D174" s="25">
        <f t="shared" si="4"/>
        <v>0</v>
      </c>
      <c r="E174" s="6"/>
      <c r="F174" s="262" t="str">
        <f>Tableaux!O12</f>
        <v/>
      </c>
      <c r="G174" s="332">
        <f>IF('Tableau de répartion actuel'!Q35="ok",'Tableau de répartion actuel'!O35,0)</f>
        <v>0</v>
      </c>
      <c r="H174" s="25">
        <f>IF('Tableau de répartion actuel'!Q35="ok",'Tableau de répartion actuel'!P35,0)</f>
        <v>0</v>
      </c>
      <c r="I174" s="25">
        <f t="shared" si="5"/>
        <v>0</v>
      </c>
      <c r="J174" s="6"/>
      <c r="K174" s="6"/>
      <c r="L174" s="6"/>
    </row>
    <row r="175" spans="1:18" hidden="1" x14ac:dyDescent="0.25">
      <c r="A175" s="25" t="str">
        <f>Tableaux!L12</f>
        <v/>
      </c>
      <c r="B175" s="332">
        <f>IF('Tableau de répartition plan'!Q36="ok",'Tableau de répartition plan'!O36,0)</f>
        <v>0</v>
      </c>
      <c r="C175" s="25">
        <f>IF('Tableau de répartition plan'!Q36="ok",'Tableau de répartition plan'!P36,0)</f>
        <v>0</v>
      </c>
      <c r="D175" s="25">
        <f t="shared" si="4"/>
        <v>0</v>
      </c>
      <c r="E175" s="6"/>
      <c r="F175" s="262" t="str">
        <f>Tableaux!O13</f>
        <v/>
      </c>
      <c r="G175" s="332">
        <f>IF('Tableau de répartion actuel'!Q36="ok",'Tableau de répartion actuel'!O36,0)</f>
        <v>0</v>
      </c>
      <c r="H175" s="25">
        <f>IF('Tableau de répartion actuel'!Q36="ok",'Tableau de répartion actuel'!P36,0)</f>
        <v>0</v>
      </c>
      <c r="I175" s="25">
        <f t="shared" si="5"/>
        <v>0</v>
      </c>
      <c r="J175" s="6"/>
      <c r="K175" s="6"/>
      <c r="L175" s="6"/>
      <c r="N175" s="2" t="s">
        <v>5</v>
      </c>
      <c r="P175" s="378">
        <f>IF(P161=0,0,IF(P171&lt;P159,0,DATEDIF(P159,P171,"m")))</f>
        <v>0</v>
      </c>
    </row>
    <row r="176" spans="1:18" hidden="1" x14ac:dyDescent="0.25">
      <c r="A176" s="25" t="str">
        <f>Tableaux!L13</f>
        <v/>
      </c>
      <c r="B176" s="332">
        <f>IF('Tableau de répartition plan'!Q37="ok",'Tableau de répartition plan'!O37,0)</f>
        <v>0</v>
      </c>
      <c r="C176" s="25">
        <f>IF('Tableau de répartition plan'!Q37="ok",'Tableau de répartition plan'!P37,0)</f>
        <v>0</v>
      </c>
      <c r="D176" s="25">
        <f t="shared" si="4"/>
        <v>0</v>
      </c>
      <c r="E176" s="6"/>
      <c r="F176" s="262" t="str">
        <f>Tableaux!O14</f>
        <v/>
      </c>
      <c r="G176" s="332">
        <f>IF('Tableau de répartion actuel'!Q37="ok",'Tableau de répartion actuel'!O37,0)</f>
        <v>0</v>
      </c>
      <c r="H176" s="25">
        <f>IF('Tableau de répartion actuel'!Q37="ok",'Tableau de répartion actuel'!P37,0)</f>
        <v>0</v>
      </c>
      <c r="I176" s="25">
        <f t="shared" si="5"/>
        <v>0</v>
      </c>
      <c r="J176" s="6"/>
      <c r="K176" s="6"/>
      <c r="L176" s="6"/>
      <c r="N176" s="2" t="s">
        <v>4</v>
      </c>
      <c r="P176" s="378">
        <f>IF(P161=0,0,IF(P175=0,0,SUM(ROUNDUP((P165/P175),-1)+C132)))</f>
        <v>0</v>
      </c>
    </row>
    <row r="177" spans="1:16" hidden="1" x14ac:dyDescent="0.25">
      <c r="A177" s="25" t="str">
        <f>Tableaux!L14</f>
        <v/>
      </c>
      <c r="B177" s="332">
        <f>IF('Tableau de répartition plan'!Q38="ok",'Tableau de répartition plan'!O38,0)</f>
        <v>0</v>
      </c>
      <c r="C177" s="25">
        <f>IF('Tableau de répartition plan'!Q38="ok",'Tableau de répartition plan'!P38,0)</f>
        <v>0</v>
      </c>
      <c r="D177" s="25">
        <f t="shared" si="4"/>
        <v>0</v>
      </c>
      <c r="E177" s="6"/>
      <c r="F177" s="262" t="str">
        <f>Tableaux!O15</f>
        <v/>
      </c>
      <c r="G177" s="332">
        <f>IF('Tableau de répartion actuel'!Q38="ok",'Tableau de répartion actuel'!O38,0)</f>
        <v>0</v>
      </c>
      <c r="H177" s="25">
        <f>IF('Tableau de répartion actuel'!Q38="ok",'Tableau de répartion actuel'!P38,0)</f>
        <v>0</v>
      </c>
      <c r="I177" s="25">
        <f t="shared" si="5"/>
        <v>0</v>
      </c>
      <c r="J177" s="6"/>
      <c r="K177" s="6"/>
      <c r="L177" s="6"/>
      <c r="N177" s="2" t="s">
        <v>3</v>
      </c>
      <c r="P177" s="378">
        <f>IF(P161=0,0,IF(P175=0,0,(C67-P176)))</f>
        <v>0</v>
      </c>
    </row>
    <row r="178" spans="1:16" hidden="1" x14ac:dyDescent="0.25">
      <c r="A178" s="24" t="str">
        <f>IF(B166=0,"Solde restant dû",
IF(B166=D178,"Escompte de 2,5%","Solde restant dû "))</f>
        <v xml:space="preserve">Solde restant dû </v>
      </c>
      <c r="B178" s="23"/>
      <c r="C178" s="23"/>
      <c r="D178" s="326">
        <f>IFERROR(IF(C170=0,0,IF(AND(SUM(C180*100)/C170&lt;100,SUM(C180+B166)&lt;&gt;C170),SUM(C170:C177),IF(SUM(C180+B166)=C170,SUM(C170-C180),SUM(C170:C177)))),0)</f>
        <v>57.67500000000291</v>
      </c>
      <c r="F178" s="24" t="str">
        <f>IF(G166=0,"Solde restant dû",
IF(EXACT(VALUE(LEFT(IF(SUM((C170*100)/20000)=100,SUM((VALUE(RIGHT(A166,6))*2.5)/100),SUM(SUM((VALUE(RIGHT(A166,6))*35.75)/100)+SUM(SUM((VALUE(RIGHT(A166,6)))-SUM((VALUE(RIGHT(A166,6)))*35.75)/100)*2.5)/100)),6)),VALUE(LEFT(SUM(C170:C177),6))),"Escompte de 2,5%","Solde restant dû avec escompte"))</f>
        <v>Solde restant dû</v>
      </c>
      <c r="G178" s="23"/>
      <c r="H178" s="22"/>
      <c r="I178" s="21" t="str">
        <f>IF(H170=0,"",IF(AND(SUM(H180*100)/H170&lt;100,SUM(H180+G166)&lt;&gt;H170),SUM(H170:H177)-G166,IF(SUM(H180+G166)=H170,SUM(H170-H180),SUM(H170:H177))))</f>
        <v/>
      </c>
      <c r="J178" s="32"/>
      <c r="K178" s="32"/>
      <c r="L178" s="32"/>
      <c r="N178" s="134"/>
    </row>
    <row r="179" spans="1:16" hidden="1" x14ac:dyDescent="0.25">
      <c r="A179" s="19" t="s">
        <v>2</v>
      </c>
      <c r="B179" s="20"/>
      <c r="C179" s="19"/>
      <c r="D179" s="109"/>
      <c r="E179" s="6"/>
      <c r="F179" s="19" t="s">
        <v>2</v>
      </c>
      <c r="G179" s="20"/>
      <c r="H179" s="19"/>
      <c r="I179" s="18"/>
      <c r="J179" s="32"/>
      <c r="K179" s="32"/>
      <c r="L179" s="32"/>
      <c r="N179" s="134"/>
    </row>
    <row r="180" spans="1:16" hidden="1" x14ac:dyDescent="0.25">
      <c r="A180" s="16" t="str" cm="1">
        <f t="array" ref="A180">IF(B171=0,"",DATEDIF(B9,LOOKUP(2,1/(C171:C177&lt;&gt;0),B171:B177),"y")&amp;" ans "
&amp;DATEDIF(B9,LOOKUP(2,1/(C171:C177&lt;&gt;0),B171:B177),"ym")&amp;" mois")</f>
        <v>4 ans 3 mois</v>
      </c>
      <c r="B180" s="14"/>
      <c r="C180" s="15">
        <f>SUM(C171:C177)*-1</f>
        <v>39816.944999999992</v>
      </c>
      <c r="D180" s="14"/>
      <c r="F180" s="16" t="str" cm="1">
        <f t="array" ref="F180">IFERROR(IF(COUNTBLANK(G171),"",DATEDIF(B9,LOOKUP(2,1/(H171:H177&lt;&gt;0),G171:G177),"y")&amp;" ans "
&amp;DATEDIF(B9,LOOKUP(2,1/(H171:H177&lt;&gt;0),G171:G177),"ym")&amp;" mois"),"")</f>
        <v/>
      </c>
      <c r="G180" s="14"/>
      <c r="H180" s="15">
        <f>IF(H170=0,0,SUM(H171:H177)*-1)</f>
        <v>0</v>
      </c>
      <c r="I180" s="14"/>
      <c r="M180" s="3"/>
      <c r="N180" s="6"/>
    </row>
    <row r="181" spans="1:16" hidden="1" x14ac:dyDescent="0.25">
      <c r="D181" s="14"/>
      <c r="N181" s="6"/>
    </row>
    <row r="182" spans="1:16" hidden="1" x14ac:dyDescent="0.25">
      <c r="A182" s="12" t="s">
        <v>1</v>
      </c>
      <c r="B182" s="11">
        <f>IFERROR(IF(C170=0,0,(C180/C170)),0)</f>
        <v>0.99855359123171572</v>
      </c>
      <c r="C182" s="10" t="s">
        <v>0</v>
      </c>
      <c r="D182" s="9"/>
      <c r="E182" s="13"/>
      <c r="F182" s="12" t="s">
        <v>1</v>
      </c>
      <c r="G182" s="11" t="str">
        <f>IF(H170=0,"",(H180/C170))</f>
        <v/>
      </c>
      <c r="H182" s="10" t="s">
        <v>0</v>
      </c>
      <c r="I182" s="9"/>
      <c r="J182" s="13"/>
      <c r="L182" s="13"/>
      <c r="N182" s="6"/>
    </row>
    <row r="183" spans="1:16" hidden="1" x14ac:dyDescent="0.25">
      <c r="A183" s="13"/>
      <c r="B183" s="13"/>
      <c r="C183" s="39"/>
      <c r="D183" s="330"/>
      <c r="E183" s="13"/>
      <c r="F183" s="13"/>
      <c r="G183" s="32"/>
      <c r="I183" s="32"/>
      <c r="J183" s="32"/>
      <c r="K183" s="13"/>
      <c r="L183" s="32"/>
      <c r="M183" s="3"/>
    </row>
    <row r="184" spans="1:16" hidden="1" x14ac:dyDescent="0.25">
      <c r="A184" s="112" t="s">
        <v>24</v>
      </c>
      <c r="B184" s="112"/>
      <c r="C184" s="112"/>
      <c r="D184" s="365"/>
      <c r="E184" s="264"/>
      <c r="F184" s="264"/>
    </row>
    <row r="185" spans="1:16" ht="30" hidden="1" x14ac:dyDescent="0.25">
      <c r="A185" s="290"/>
      <c r="B185" s="234" t="s">
        <v>150</v>
      </c>
      <c r="C185" s="291" t="s">
        <v>205</v>
      </c>
      <c r="D185" s="296" t="str">
        <f>IF(D186=0,"","Solde compte au "&amp;TEXT('Fiche comptable'!F19,"jj/mm/aaaa"))</f>
        <v/>
      </c>
      <c r="E185" s="296" t="s">
        <v>275</v>
      </c>
      <c r="F185" s="367" t="s">
        <v>276</v>
      </c>
      <c r="G185" s="361"/>
      <c r="J185" s="2"/>
      <c r="L185" s="286"/>
    </row>
    <row r="186" spans="1:16" hidden="1" x14ac:dyDescent="0.25">
      <c r="A186" s="26" t="s">
        <v>257</v>
      </c>
      <c r="B186" s="292">
        <f>MIN('Fiche comptable'!A9:A508)</f>
        <v>43544</v>
      </c>
      <c r="C186" s="363">
        <f>IFERROR(GETPIVOTDATA("Montant",#REF!,"Catégorie","Solde de compte"),0)</f>
        <v>0</v>
      </c>
      <c r="D186" s="262">
        <f>IFERROR(GETPIVOTDATA("Montant",#REF!,"Catégorie","Solde de compte"),0)</f>
        <v>0</v>
      </c>
      <c r="E186" s="262">
        <f>SUM(B165+SUM(B162*-1))</f>
        <v>19423.55</v>
      </c>
      <c r="F186" s="256"/>
      <c r="G186" s="256"/>
      <c r="I186" s="283"/>
      <c r="M186" s="4"/>
    </row>
    <row r="187" spans="1:16" hidden="1" x14ac:dyDescent="0.25">
      <c r="A187" s="26" t="s">
        <v>278</v>
      </c>
      <c r="B187" s="43"/>
      <c r="C187" s="363" t="e">
        <f>SUM(#REF!)</f>
        <v>#REF!</v>
      </c>
      <c r="D187" s="262">
        <f>IFERROR(SUM(#REF!),0)</f>
        <v>0</v>
      </c>
      <c r="E187" s="262">
        <f>SUM('Fiche comptable'!M20)</f>
        <v>0</v>
      </c>
      <c r="F187" s="263">
        <f>SUM(D187-SUM('Fiche comptable'!M27+'Fiche comptable'!M23+'Fiche comptable'!M30+'Fiche comptable'!M20))</f>
        <v>0</v>
      </c>
      <c r="G187" s="256"/>
      <c r="I187" s="6"/>
      <c r="M187" s="2"/>
    </row>
    <row r="188" spans="1:16" hidden="1" x14ac:dyDescent="0.25">
      <c r="A188" s="26" t="s">
        <v>279</v>
      </c>
      <c r="B188" s="43"/>
      <c r="C188" s="363"/>
      <c r="D188" s="262"/>
      <c r="E188" s="262">
        <f>SUM('Fiche comptable'!M23)</f>
        <v>0</v>
      </c>
      <c r="F188" s="256"/>
      <c r="G188" s="256"/>
      <c r="I188" s="6"/>
      <c r="M188" s="2"/>
    </row>
    <row r="189" spans="1:16" hidden="1" x14ac:dyDescent="0.25">
      <c r="A189" s="26" t="s">
        <v>23</v>
      </c>
      <c r="B189" s="26"/>
      <c r="C189" s="363">
        <f>IFERROR(GETPIVOTDATA("Montant",#REF!,"Catégorie","Somme annuelle"),0)</f>
        <v>0</v>
      </c>
      <c r="D189" s="262">
        <f>IFERROR(GETPIVOTDATA("Montant",#REF!,"Catégorie","Somme annuelle"),0)</f>
        <v>0</v>
      </c>
      <c r="E189" s="262">
        <f>SUM('Fiche comptable'!M21+'Fiche comptable'!M24)</f>
        <v>1360</v>
      </c>
      <c r="F189" s="263">
        <f>SUM(D189-E189)</f>
        <v>-1360</v>
      </c>
      <c r="G189" s="256"/>
      <c r="H189" s="2"/>
      <c r="I189" s="283"/>
      <c r="M189" s="2"/>
      <c r="N189" s="3"/>
    </row>
    <row r="190" spans="1:16" hidden="1" x14ac:dyDescent="0.25">
      <c r="A190" s="26" t="s">
        <v>22</v>
      </c>
      <c r="B190" s="40"/>
      <c r="C190" s="363">
        <f>IFERROR(GETPIVOTDATA("Montant",#REF!,"Catégorie","Honoraires"),0)</f>
        <v>0</v>
      </c>
      <c r="D190" s="262">
        <f>IFERROR(GETPIVOTDATA("Montant",#REF!,"Catégorie","Honoraires"),0)</f>
        <v>0</v>
      </c>
      <c r="E190" s="262">
        <f>IF('Fiche comptable'!M25&gt;0,0,SUM('Fiche comptable'!M25))</f>
        <v>-2804.16</v>
      </c>
      <c r="F190" s="256"/>
      <c r="G190" s="256"/>
      <c r="H190" s="2"/>
      <c r="I190" s="2"/>
      <c r="M190" s="2"/>
    </row>
    <row r="191" spans="1:16" hidden="1" x14ac:dyDescent="0.25">
      <c r="A191" s="40" t="str">
        <f>IF(COUNTBLANK(A171),"",A171)</f>
        <v>Annuité 1</v>
      </c>
      <c r="B191" s="43">
        <v>44683</v>
      </c>
      <c r="C191" s="382">
        <f>IFERROR(GETPIVOTDATA("Montant",#REF!,"Catégorie","Annuité"),0)</f>
        <v>0</v>
      </c>
      <c r="D191" s="385">
        <f>IFERROR(GETPIVOTDATA("Montant",#REF!,"Catégorie","Annuité"),0)</f>
        <v>0</v>
      </c>
      <c r="E191" s="385">
        <f>IF('Fiche comptable'!M22&gt;0,0,SUM('Fiche comptable'!M22))</f>
        <v>-30480</v>
      </c>
      <c r="F191" s="362"/>
      <c r="G191" s="362"/>
      <c r="H191" s="3"/>
      <c r="I191" s="2"/>
      <c r="M191" s="4"/>
    </row>
    <row r="192" spans="1:16" hidden="1" x14ac:dyDescent="0.25">
      <c r="A192" s="44" t="str" cm="1">
        <f t="array" ref="A192">IF(COUNTBLANK(B171),"",
IF(COUNTBLANK(B191),"",
IF(AND(B192&gt;0,B192&lt;B172),"",
IF(B204&lt;B172,"",
IF(AND(B$192&gt;=$B172,B$192&lt;=LOOKUP(2,1/(B172:B177&lt;&gt;0),B172:B177)),VLOOKUP(SMALL(B172:B177,COUNTIF(B172:B177,"&lt;="&amp;B192)),CHOOSE({1,2},B172:B177,A172:A177),2,FALSE),
IF(ISBLANK(B192),VLOOKUP(SMALL(B172:B177,COUNTIF(B172:B177,"&lt;="&amp;B204)),CHOOSE({1,2},B172:B177,A172:A177),2,
FALSE)))))))</f>
        <v>Annuité 2</v>
      </c>
      <c r="B192" s="43"/>
      <c r="C192" s="383"/>
      <c r="D192" s="385"/>
      <c r="E192" s="385"/>
      <c r="F192" s="256"/>
      <c r="G192" s="362"/>
      <c r="H192" s="2"/>
      <c r="I192" s="2"/>
      <c r="L192" s="1"/>
    </row>
    <row r="193" spans="1:15" hidden="1" x14ac:dyDescent="0.25">
      <c r="A193" s="44" t="str" cm="1">
        <f t="array" ref="A193">IFERROR(
IF(COUNTBLANK(G171),"",
IF(B204&lt;=G171,"",
IF(AND(B$193&gt;=$G172,B$193&lt;=LOOKUP(2,1/(G172:G177&lt;&gt;0),G172:G177)),VLOOKUP(SMALL(G172:G177,COUNTIF(G172:G177,"&lt;="&amp;B193)),CHOOSE({1,2},G172:G177,F172:F177),2,FALSE),
IF(ISBLANK(B193),VLOOKUP(SMALL(G171:G177,COUNTIF(G171:G177,"&lt;="&amp;B204)),CHOOSE({1,2},G171:G177,F171:F177),2,FALSE))))),
"")</f>
        <v/>
      </c>
      <c r="B193" s="43"/>
      <c r="C193" s="384"/>
      <c r="D193" s="385"/>
      <c r="E193" s="385"/>
      <c r="F193" s="256"/>
      <c r="G193" s="362"/>
      <c r="H193" s="282"/>
      <c r="I193" s="2"/>
    </row>
    <row r="194" spans="1:15" hidden="1" x14ac:dyDescent="0.25">
      <c r="A194" s="249" t="s">
        <v>284</v>
      </c>
      <c r="B194" s="250">
        <f>B204</f>
        <v>44925</v>
      </c>
      <c r="C194" s="364"/>
      <c r="D194" s="263"/>
      <c r="E194" s="263">
        <f>SUM(E186:E193)</f>
        <v>-12500.61</v>
      </c>
      <c r="F194" s="263">
        <f>IF(SUM(E195+SUM(E196+SUM(E200+SUM(E202:E203))))&lt;0,SUM(E194+SUM(E195+SUM(E196+SUM(E200+SUM(E202:E203))))),0)</f>
        <v>0</v>
      </c>
      <c r="G194" s="256"/>
      <c r="H194" s="282"/>
      <c r="I194" s="2"/>
      <c r="L194" s="2"/>
    </row>
    <row r="195" spans="1:15" hidden="1" x14ac:dyDescent="0.25">
      <c r="A195" s="26" t="s">
        <v>277</v>
      </c>
      <c r="B195" s="270"/>
      <c r="C195" s="42"/>
      <c r="D195" s="262"/>
      <c r="E195" s="262">
        <f>SUM('Fiche comptable'!M27)</f>
        <v>0</v>
      </c>
      <c r="F195" s="263" t="str">
        <f>IF(E186=0,"",
IF(SUM(E195+SUM(E196+SUM(E200+SUM(E202:E203))))&lt;=0,"Plus d'épargne",
IF(+SUM(E196+SUM(E200+SUM(E202:E203)))&lt;0,SUM(E195+SUM(E196+SUM(E200+SUM(E202:E203)))),"")))</f>
        <v/>
      </c>
      <c r="G195" s="256"/>
      <c r="H195" s="282"/>
      <c r="I195" s="2"/>
      <c r="L195" s="2"/>
    </row>
    <row r="196" spans="1:15" hidden="1" x14ac:dyDescent="0.25">
      <c r="A196" s="26" t="s">
        <v>267</v>
      </c>
      <c r="B196" s="270"/>
      <c r="C196" s="42"/>
      <c r="D196" s="262"/>
      <c r="E196" s="262">
        <f>'Fiche comptable'!M26</f>
        <v>1520</v>
      </c>
      <c r="F196" s="263" t="str">
        <f>IF(E186=0,"",
IF(SUM(E196+SUM(E200+SUM(E202:E203)))&lt;=0,"Plus d'épargne",
IF(SUM(E200+SUM(E202:E203))&lt;0,SUM(E196+SUM(E200+SUM(E202:E203))),"")))</f>
        <v/>
      </c>
      <c r="G196" s="256"/>
      <c r="H196" s="282"/>
      <c r="I196" s="2"/>
      <c r="L196" s="2"/>
    </row>
    <row r="197" spans="1:15" hidden="1" x14ac:dyDescent="0.25">
      <c r="A197" s="249" t="s">
        <v>285</v>
      </c>
      <c r="B197" s="250">
        <f>B204</f>
        <v>44925</v>
      </c>
      <c r="C197" s="364"/>
      <c r="D197" s="263"/>
      <c r="E197" s="370">
        <f>SUM(E194:E196)</f>
        <v>-10980.61</v>
      </c>
      <c r="F197" s="256"/>
      <c r="G197" s="256"/>
      <c r="H197" s="282"/>
      <c r="I197" s="2"/>
      <c r="L197" s="2"/>
    </row>
    <row r="198" spans="1:15" hidden="1" x14ac:dyDescent="0.25">
      <c r="A198" s="26" t="s">
        <v>281</v>
      </c>
      <c r="B198" s="26"/>
      <c r="C198" s="26"/>
      <c r="D198" s="26"/>
      <c r="E198" s="262">
        <f>SUM('Fiche comptable'!M28+'Fiche comptable'!M29)</f>
        <v>257.84000000000015</v>
      </c>
      <c r="G198" s="256"/>
      <c r="H198" s="282"/>
      <c r="I198" s="2"/>
      <c r="L198" s="2"/>
    </row>
    <row r="199" spans="1:15" hidden="1" x14ac:dyDescent="0.25">
      <c r="A199" s="26" t="s">
        <v>28</v>
      </c>
      <c r="B199" s="270"/>
      <c r="C199" s="42"/>
      <c r="D199" s="262"/>
      <c r="E199" s="262">
        <f>SUM('Fiche comptable'!M30+'Fiche comptable'!M31+'Fiche comptable'!M34)</f>
        <v>501.88000000000011</v>
      </c>
      <c r="F199" s="256"/>
      <c r="G199" s="256"/>
      <c r="H199" s="282"/>
      <c r="I199" s="2"/>
      <c r="K199" s="369"/>
      <c r="L199" s="2"/>
    </row>
    <row r="200" spans="1:15" hidden="1" x14ac:dyDescent="0.25">
      <c r="A200" s="249" t="s">
        <v>282</v>
      </c>
      <c r="B200" s="250"/>
      <c r="C200" s="364"/>
      <c r="D200" s="263"/>
      <c r="E200" s="263">
        <f>ROUND(SUM(E198:E199),2)</f>
        <v>759.72</v>
      </c>
      <c r="F200" s="263" t="str">
        <f>IF(E186=0,"",
IF(SUM(E200+SUM(E202:E203))&lt;=0,"Plus d'épargne",
IF(SUM(E202:E203)=0,"",
SUM(E200+SUM(E202:E203)))))</f>
        <v/>
      </c>
      <c r="G200" s="256"/>
      <c r="H200" s="2"/>
      <c r="I200" s="2"/>
      <c r="J200" s="2"/>
      <c r="L200" s="134"/>
      <c r="M200" s="134"/>
      <c r="N200" s="134"/>
      <c r="O200" s="134"/>
    </row>
    <row r="201" spans="1:15" hidden="1" x14ac:dyDescent="0.25">
      <c r="A201" s="62" t="s">
        <v>286</v>
      </c>
      <c r="B201" s="371">
        <f>MAX('Fiche comptable'!A19:A1008)</f>
        <v>44925</v>
      </c>
      <c r="C201" s="372" t="e">
        <f>SUM(C186:C193)</f>
        <v>#REF!</v>
      </c>
      <c r="D201" s="372">
        <f>SUM(D186:D193)</f>
        <v>0</v>
      </c>
      <c r="E201" s="373">
        <f>SUM(E197+E200)</f>
        <v>-10220.890000000001</v>
      </c>
      <c r="F201" s="373">
        <f>SUM(D201-E201)</f>
        <v>10220.890000000001</v>
      </c>
      <c r="G201" s="256"/>
      <c r="H201" s="2"/>
      <c r="I201" s="2"/>
      <c r="J201" s="2"/>
      <c r="L201" s="134"/>
      <c r="M201" s="134"/>
      <c r="N201" s="134"/>
      <c r="O201" s="134"/>
    </row>
    <row r="202" spans="1:15" hidden="1" x14ac:dyDescent="0.25">
      <c r="A202" s="26" t="s">
        <v>152</v>
      </c>
      <c r="B202" s="40"/>
      <c r="C202" s="363">
        <f>IFERROR(GETPIVOTDATA("Montant",#REF!,"Catégorie","Supplément"),0)</f>
        <v>0</v>
      </c>
      <c r="D202" s="262">
        <f>IFERROR(GETPIVOTDATA("Montant",#REF!,"Catégorie","Supplément"),0)</f>
        <v>0</v>
      </c>
      <c r="E202" s="262">
        <f>IF(F201&lt;=0,'Fiche comptable'!M32,
IF(SUM(F201+D203)&gt;SUM(D202*-1),0,
SUM(F201+D203+D202)))</f>
        <v>0</v>
      </c>
      <c r="F202" s="256">
        <f>IF(E186=0,"",
IF(SUM(D202:D203)=0,0,
IF(SUM(E202:E203)=0,"Plan respecté malgré les suppléments",0)))</f>
        <v>0</v>
      </c>
      <c r="G202" s="256"/>
      <c r="H202" s="284"/>
      <c r="I202" s="2"/>
      <c r="J202" s="2"/>
      <c r="K202" s="2"/>
      <c r="L202" s="134"/>
      <c r="M202" s="134"/>
      <c r="N202" s="134"/>
      <c r="O202" s="134"/>
    </row>
    <row r="203" spans="1:15" hidden="1" x14ac:dyDescent="0.25">
      <c r="A203" s="26" t="s">
        <v>153</v>
      </c>
      <c r="B203" s="40"/>
      <c r="C203" s="363">
        <f>IFERROR(GETPIVOTDATA("Montant",#REF!,"Catégorie","Dette nouvelle"),0)</f>
        <v>0</v>
      </c>
      <c r="D203" s="262">
        <f>IFERROR(GETPIVOTDATA("Montant",#REF!,"Catégorie","Dette nouvelle"),0)</f>
        <v>0</v>
      </c>
      <c r="E203" s="262">
        <f>IF(F201&lt;=0,'Fiche comptable'!M33,
IF(F201&gt;SUM(D203*-1),0,SUM(F201+D203)))</f>
        <v>0</v>
      </c>
      <c r="F203" s="256">
        <f>IF(F201&gt;SUM(D203*-1),0,'Fiche comptable'!M33)</f>
        <v>0</v>
      </c>
      <c r="G203" s="256"/>
      <c r="H203" s="134"/>
      <c r="J203" s="2"/>
      <c r="K203" s="2"/>
      <c r="L203" s="134"/>
      <c r="M203" s="134"/>
      <c r="N203" s="134"/>
      <c r="O203" s="134"/>
    </row>
    <row r="204" spans="1:15" hidden="1" x14ac:dyDescent="0.25">
      <c r="A204" s="249" t="e">
        <f>"Solde de "&amp;TEXT(GETPIVOTDATA("Montant",#REF!),"#.##0,00 €")&amp;" au"</f>
        <v>#REF!</v>
      </c>
      <c r="B204" s="278">
        <f>MAX('Fiche comptable'!A19:A1008)</f>
        <v>44925</v>
      </c>
      <c r="C204" s="364" t="e">
        <f>SUM(C201:C203)</f>
        <v>#REF!</v>
      </c>
      <c r="D204" s="364">
        <f>SUM(D201:D203)</f>
        <v>0</v>
      </c>
      <c r="E204" s="364">
        <f>IF(E186=0,0,SUM(E201:E203))</f>
        <v>-10220.890000000001</v>
      </c>
      <c r="F204" s="376" t="str">
        <f>IF(E186=0,"",
IF(D204&lt;E201,"Déficit de "&amp;TEXT(SUM(E204-E201),"#.##0,00 €"),
"Boni supplémentaire de "&amp;TEXT(SUM(D204-E204),"#.##0,00 €")))</f>
        <v>Boni supplémentaire de 10.220,89 €</v>
      </c>
      <c r="G204" s="374"/>
      <c r="H204" s="282"/>
      <c r="I204" s="134"/>
      <c r="J204" s="2"/>
      <c r="K204" s="2"/>
      <c r="L204" s="134"/>
      <c r="M204" s="134"/>
      <c r="N204" s="134"/>
      <c r="O204" s="134"/>
    </row>
    <row r="205" spans="1:15" hidden="1" x14ac:dyDescent="0.25">
      <c r="A205" s="41" t="e">
        <f>IF(C204&lt;C201,"déficit",IF((C204-C201)=0,"Stable","boni"))</f>
        <v>#REF!</v>
      </c>
      <c r="B205" s="40"/>
      <c r="C205" s="363" t="e">
        <f>SUM(C204-C201)</f>
        <v>#REF!</v>
      </c>
      <c r="D205" s="363">
        <f>SUM(D204-D201)</f>
        <v>0</v>
      </c>
      <c r="E205" s="26"/>
      <c r="F205" s="256"/>
      <c r="G205" s="282"/>
      <c r="H205" s="282"/>
      <c r="I205" s="134"/>
      <c r="J205" s="256"/>
      <c r="K205" s="2"/>
      <c r="L205" s="134"/>
      <c r="M205" s="134"/>
      <c r="N205" s="134"/>
      <c r="O205" s="134"/>
    </row>
    <row r="206" spans="1:15" x14ac:dyDescent="0.25">
      <c r="F206" s="256"/>
      <c r="G206" s="282"/>
      <c r="H206" s="282"/>
      <c r="I206" s="134"/>
      <c r="J206" s="2"/>
      <c r="K206" s="2"/>
      <c r="L206" s="134"/>
      <c r="M206" s="134"/>
      <c r="N206" s="134"/>
      <c r="O206" s="134"/>
    </row>
    <row r="207" spans="1:15" x14ac:dyDescent="0.25">
      <c r="F207" s="256"/>
      <c r="G207" s="282"/>
      <c r="H207" s="282"/>
      <c r="J207" s="2"/>
      <c r="K207" s="2"/>
      <c r="L207" s="134"/>
      <c r="M207" s="134"/>
      <c r="N207" s="134"/>
      <c r="O207" s="134"/>
    </row>
    <row r="208" spans="1:15" x14ac:dyDescent="0.25">
      <c r="F208" s="256"/>
      <c r="G208" s="282"/>
      <c r="H208" s="282"/>
      <c r="J208" s="2"/>
      <c r="K208" s="2"/>
      <c r="L208" s="134"/>
      <c r="M208" s="134"/>
      <c r="N208" s="134"/>
      <c r="O208" s="134"/>
    </row>
    <row r="209" spans="6:15" x14ac:dyDescent="0.25">
      <c r="G209" s="282"/>
      <c r="H209" s="282"/>
      <c r="J209" s="2"/>
      <c r="K209" s="2"/>
      <c r="L209" s="134"/>
      <c r="M209" s="134"/>
      <c r="N209" s="134"/>
      <c r="O209" s="134"/>
    </row>
    <row r="210" spans="6:15" x14ac:dyDescent="0.25">
      <c r="G210" s="134"/>
      <c r="H210" s="282"/>
      <c r="J210" s="2"/>
      <c r="K210" s="2"/>
      <c r="L210" s="134"/>
      <c r="M210" s="134"/>
      <c r="N210" s="134"/>
      <c r="O210" s="134"/>
    </row>
    <row r="211" spans="6:15" x14ac:dyDescent="0.25">
      <c r="G211" s="282"/>
      <c r="H211" s="282"/>
      <c r="J211" s="2"/>
      <c r="K211" s="2"/>
      <c r="L211" s="134"/>
      <c r="M211" s="134"/>
      <c r="N211" s="134"/>
      <c r="O211" s="134"/>
    </row>
    <row r="212" spans="6:15" x14ac:dyDescent="0.25">
      <c r="G212" s="134"/>
      <c r="H212" s="282"/>
      <c r="I212" s="134"/>
      <c r="J212" s="2"/>
      <c r="K212" s="134"/>
      <c r="L212" s="134"/>
      <c r="M212" s="134"/>
      <c r="N212" s="134"/>
      <c r="O212" s="134"/>
    </row>
    <row r="213" spans="6:15" x14ac:dyDescent="0.25">
      <c r="G213" s="134"/>
      <c r="H213" s="282"/>
      <c r="I213" s="134"/>
      <c r="J213" s="2"/>
      <c r="K213" s="134"/>
      <c r="L213" s="134"/>
      <c r="M213" s="134"/>
      <c r="N213" s="134"/>
      <c r="O213" s="134"/>
    </row>
    <row r="214" spans="6:15" x14ac:dyDescent="0.25">
      <c r="G214" s="134"/>
      <c r="H214" s="134"/>
      <c r="I214" s="134"/>
      <c r="J214" s="2"/>
      <c r="K214" s="134"/>
      <c r="L214" s="134"/>
      <c r="M214" s="134"/>
      <c r="N214" s="134"/>
      <c r="O214" s="134"/>
    </row>
    <row r="215" spans="6:15" x14ac:dyDescent="0.25">
      <c r="F215" s="2"/>
      <c r="G215" s="134"/>
      <c r="H215" s="134"/>
      <c r="I215" s="134"/>
      <c r="J215" s="2"/>
      <c r="K215" s="134"/>
      <c r="L215" s="134"/>
      <c r="M215" s="134"/>
      <c r="N215" s="134"/>
      <c r="O215" s="134"/>
    </row>
    <row r="216" spans="6:15" x14ac:dyDescent="0.25">
      <c r="G216" s="134"/>
      <c r="H216" s="134"/>
      <c r="I216" s="134"/>
      <c r="J216" s="2"/>
      <c r="K216" s="134"/>
      <c r="L216" s="134"/>
      <c r="M216" s="134"/>
      <c r="N216" s="134"/>
      <c r="O216" s="134"/>
    </row>
    <row r="217" spans="6:15" x14ac:dyDescent="0.25">
      <c r="G217" s="134"/>
      <c r="H217" s="134"/>
      <c r="I217" s="134"/>
      <c r="J217" s="2"/>
      <c r="K217" s="134"/>
      <c r="L217" s="134"/>
      <c r="M217" s="134"/>
      <c r="N217" s="134"/>
      <c r="O217" s="134"/>
    </row>
    <row r="218" spans="6:15" x14ac:dyDescent="0.25">
      <c r="G218" s="134"/>
      <c r="H218" s="134"/>
      <c r="I218" s="134"/>
      <c r="J218" s="134"/>
      <c r="K218" s="134"/>
      <c r="L218" s="134"/>
      <c r="M218" s="134"/>
      <c r="N218" s="134"/>
      <c r="O218" s="134"/>
    </row>
    <row r="219" spans="6:15" x14ac:dyDescent="0.25">
      <c r="H219" s="134"/>
      <c r="I219" s="134"/>
      <c r="J219" s="134"/>
      <c r="K219" s="134"/>
      <c r="L219" s="134"/>
      <c r="M219" s="134"/>
      <c r="N219" s="134"/>
      <c r="O219" s="134"/>
    </row>
    <row r="220" spans="6:15" x14ac:dyDescent="0.25">
      <c r="G220" s="134"/>
      <c r="H220" s="134"/>
      <c r="I220" s="134"/>
      <c r="J220" s="134"/>
      <c r="K220" s="134"/>
      <c r="L220" s="134"/>
      <c r="M220" s="134"/>
      <c r="N220" s="134"/>
      <c r="O220" s="134"/>
    </row>
    <row r="221" spans="6:15" x14ac:dyDescent="0.25">
      <c r="G221" s="134"/>
      <c r="H221" s="134"/>
      <c r="I221" s="134"/>
      <c r="J221" s="134"/>
      <c r="L221" s="134"/>
      <c r="M221" s="134"/>
      <c r="N221" s="134"/>
      <c r="O221" s="134"/>
    </row>
    <row r="222" spans="6:15" x14ac:dyDescent="0.25">
      <c r="G222" s="285"/>
      <c r="H222" s="134"/>
      <c r="I222" s="134"/>
      <c r="J222" s="134"/>
      <c r="K222" s="134"/>
      <c r="L222" s="134"/>
      <c r="M222" s="134"/>
      <c r="N222" s="134"/>
      <c r="O222" s="134"/>
    </row>
    <row r="223" spans="6:15" x14ac:dyDescent="0.25">
      <c r="G223" s="134"/>
      <c r="H223" s="134"/>
      <c r="I223" s="134"/>
      <c r="J223" s="134"/>
      <c r="K223" s="134"/>
      <c r="L223" s="134"/>
      <c r="M223" s="134"/>
      <c r="N223" s="134"/>
      <c r="O223" s="134"/>
    </row>
    <row r="224" spans="6:15" x14ac:dyDescent="0.25">
      <c r="G224" s="285"/>
      <c r="H224" s="285"/>
      <c r="I224" s="134"/>
      <c r="J224" s="134"/>
      <c r="K224" s="134"/>
      <c r="L224" s="134"/>
      <c r="M224" s="134"/>
      <c r="N224" s="134"/>
      <c r="O224" s="134"/>
    </row>
    <row r="225" spans="2:16" x14ac:dyDescent="0.25">
      <c r="G225" s="285"/>
      <c r="H225" s="134"/>
      <c r="I225" s="134"/>
      <c r="J225" s="134"/>
      <c r="K225" s="134"/>
      <c r="L225" s="134"/>
      <c r="M225" s="134"/>
      <c r="N225" s="134"/>
      <c r="O225" s="134"/>
    </row>
    <row r="227" spans="2:16" x14ac:dyDescent="0.25">
      <c r="P227" s="2"/>
    </row>
    <row r="228" spans="2:16" x14ac:dyDescent="0.25">
      <c r="P228" s="2"/>
    </row>
    <row r="229" spans="2:16" x14ac:dyDescent="0.25">
      <c r="P229" s="2"/>
    </row>
    <row r="230" spans="2:16" x14ac:dyDescent="0.25">
      <c r="P230" s="2"/>
    </row>
    <row r="231" spans="2:16" x14ac:dyDescent="0.25">
      <c r="P231" s="2"/>
    </row>
    <row r="232" spans="2:16" x14ac:dyDescent="0.25">
      <c r="P232" s="2"/>
    </row>
    <row r="233" spans="2:16" x14ac:dyDescent="0.25">
      <c r="B233" s="7"/>
      <c r="C233" s="5"/>
      <c r="E233" s="3"/>
      <c r="P233" s="2"/>
    </row>
    <row r="234" spans="2:16" x14ac:dyDescent="0.25">
      <c r="B234" s="4"/>
      <c r="C234" s="6"/>
      <c r="H234" s="4"/>
    </row>
    <row r="235" spans="2:16" x14ac:dyDescent="0.25">
      <c r="B235" s="2"/>
      <c r="C235" s="3"/>
      <c r="H235" s="4"/>
    </row>
    <row r="236" spans="2:16" x14ac:dyDescent="0.25">
      <c r="C236" s="5"/>
      <c r="E236" s="4"/>
      <c r="H236" s="2"/>
      <c r="I236" s="3"/>
      <c r="J236" s="3"/>
      <c r="K236" s="3"/>
      <c r="L236" s="3"/>
    </row>
    <row r="237" spans="2:16" x14ac:dyDescent="0.25">
      <c r="B237" s="4"/>
      <c r="C237" s="1"/>
      <c r="H237" s="2"/>
      <c r="I237" s="3"/>
      <c r="J237" s="3"/>
      <c r="K237" s="3"/>
      <c r="L237" s="3"/>
    </row>
    <row r="238" spans="2:16" x14ac:dyDescent="0.25">
      <c r="B238" s="2"/>
      <c r="C238" s="1"/>
      <c r="H238" s="2"/>
      <c r="I238" s="3"/>
      <c r="J238" s="3"/>
      <c r="K238" s="3"/>
      <c r="L238" s="3"/>
    </row>
    <row r="239" spans="2:16" x14ac:dyDescent="0.25">
      <c r="B239" s="2"/>
      <c r="C239" s="1"/>
      <c r="H239" s="2"/>
      <c r="I239" s="3"/>
      <c r="J239" s="3"/>
      <c r="K239" s="3"/>
      <c r="L239" s="3"/>
    </row>
    <row r="240" spans="2:16" x14ac:dyDescent="0.25">
      <c r="B240" s="2"/>
      <c r="C240" s="1"/>
      <c r="H240" s="2"/>
      <c r="I240" s="3"/>
      <c r="J240" s="3"/>
      <c r="K240" s="3"/>
      <c r="L240" s="3"/>
    </row>
    <row r="241" spans="2:12" x14ac:dyDescent="0.25">
      <c r="B241" s="2"/>
      <c r="C241" s="1"/>
      <c r="H241" s="2"/>
      <c r="I241" s="3"/>
      <c r="J241" s="3"/>
      <c r="K241" s="3"/>
      <c r="L241" s="3"/>
    </row>
    <row r="242" spans="2:12" x14ac:dyDescent="0.25">
      <c r="B242" s="2"/>
      <c r="C242" s="1"/>
    </row>
    <row r="243" spans="2:12" x14ac:dyDescent="0.25">
      <c r="B243" s="2"/>
      <c r="C243" s="1"/>
    </row>
  </sheetData>
  <autoFilter ref="A28:F88" xr:uid="{F9E8C944-A051-4F2C-8FD3-5FE0EBD794E1}"/>
  <dataConsolidate/>
  <mergeCells count="11">
    <mergeCell ref="C191:C193"/>
    <mergeCell ref="D191:D193"/>
    <mergeCell ref="A22:B22"/>
    <mergeCell ref="A11:B11"/>
    <mergeCell ref="N159:O159"/>
    <mergeCell ref="A103:B103"/>
    <mergeCell ref="D103:F103"/>
    <mergeCell ref="B120:C120"/>
    <mergeCell ref="D120:E120"/>
    <mergeCell ref="I97:O97"/>
    <mergeCell ref="E191:E193"/>
  </mergeCells>
  <phoneticPr fontId="42" type="noConversion"/>
  <conditionalFormatting sqref="F95">
    <cfRule type="expression" dxfId="68" priority="138">
      <formula>$F95&gt;=$C95</formula>
    </cfRule>
    <cfRule type="expression" dxfId="67" priority="139">
      <formula>$F95&lt;$C95</formula>
    </cfRule>
  </conditionalFormatting>
  <conditionalFormatting sqref="D164">
    <cfRule type="cellIs" dxfId="66" priority="135" operator="equal">
      <formula>"Aucune réserve"</formula>
    </cfRule>
    <cfRule type="cellIs" dxfId="65" priority="136" operator="equal">
      <formula>"Boni"</formula>
    </cfRule>
    <cfRule type="cellIs" dxfId="64" priority="137" operator="equal">
      <formula>"Déficit"</formula>
    </cfRule>
  </conditionalFormatting>
  <conditionalFormatting sqref="G191 B171:D177 C199:D205 F207 C194:D197 G194:G204 C187:C205 D186:F205">
    <cfRule type="cellIs" dxfId="63" priority="132" operator="equal">
      <formula>0</formula>
    </cfRule>
  </conditionalFormatting>
  <conditionalFormatting sqref="E171:E177">
    <cfRule type="cellIs" dxfId="62" priority="130" operator="equal">
      <formula>0</formula>
    </cfRule>
  </conditionalFormatting>
  <conditionalFormatting sqref="H171:H177">
    <cfRule type="cellIs" dxfId="61" priority="128" operator="equal">
      <formula>0</formula>
    </cfRule>
  </conditionalFormatting>
  <conditionalFormatting sqref="H171:I177">
    <cfRule type="cellIs" dxfId="60" priority="127" operator="equal">
      <formula>0</formula>
    </cfRule>
  </conditionalFormatting>
  <conditionalFormatting sqref="A169">
    <cfRule type="expression" dxfId="59" priority="106">
      <formula>$A$169="Pas possible d'établir un plan"</formula>
    </cfRule>
    <cfRule type="expression" dxfId="58" priority="107">
      <formula>$A$169="Rembousement en 3 ans"</formula>
    </cfRule>
    <cfRule type="expression" dxfId="57" priority="108">
      <formula>$A$169="Rembousement en 7 ans"</formula>
    </cfRule>
  </conditionalFormatting>
  <conditionalFormatting sqref="F169">
    <cfRule type="expression" dxfId="56" priority="103">
      <formula>$F$169="Pas possible d'établir au plan"</formula>
    </cfRule>
    <cfRule type="expression" dxfId="55" priority="104">
      <formula>$F$169="Rembousement en 7 ans"</formula>
    </cfRule>
    <cfRule type="expression" dxfId="54" priority="105">
      <formula>$F$169="Rembousement en 3 ans"</formula>
    </cfRule>
  </conditionalFormatting>
  <conditionalFormatting sqref="A106">
    <cfRule type="expression" dxfId="53" priority="140">
      <formula>$A$106="Aucun disponible selon pécule minimum"</formula>
    </cfRule>
    <cfRule type="expression" dxfId="52" priority="141">
      <formula>$A$106="Epargne selon pécule minimum"</formula>
    </cfRule>
    <cfRule type="expression" dxfId="51" priority="142">
      <formula>$A$106="Déficit selon pécule minimum"</formula>
    </cfRule>
  </conditionalFormatting>
  <conditionalFormatting sqref="A171:A177">
    <cfRule type="cellIs" dxfId="50" priority="91" operator="equal">
      <formula>0</formula>
    </cfRule>
  </conditionalFormatting>
  <conditionalFormatting sqref="A171:A177">
    <cfRule type="expression" dxfId="49" priority="90">
      <formula>($B$171:$B$177)=0</formula>
    </cfRule>
  </conditionalFormatting>
  <conditionalFormatting sqref="A171:A177">
    <cfRule type="expression" dxfId="48" priority="89">
      <formula>($B$171:$B$177)=0</formula>
    </cfRule>
  </conditionalFormatting>
  <conditionalFormatting sqref="F120:F121">
    <cfRule type="expression" dxfId="47" priority="155">
      <formula>$F120&gt;=#REF!</formula>
    </cfRule>
    <cfRule type="expression" dxfId="46" priority="156">
      <formula>$F120&lt;#REF!</formula>
    </cfRule>
  </conditionalFormatting>
  <conditionalFormatting sqref="A205">
    <cfRule type="expression" dxfId="45" priority="175">
      <formula>$A$205="Stable"</formula>
    </cfRule>
    <cfRule type="expression" dxfId="44" priority="176">
      <formula>$A$205="boni"</formula>
    </cfRule>
    <cfRule type="expression" dxfId="43" priority="177">
      <formula>$A$205="déficit"</formula>
    </cfRule>
  </conditionalFormatting>
  <conditionalFormatting sqref="D171:D177">
    <cfRule type="cellIs" dxfId="42" priority="80" operator="equal">
      <formula>0</formula>
    </cfRule>
  </conditionalFormatting>
  <conditionalFormatting sqref="B96">
    <cfRule type="expression" dxfId="41" priority="181">
      <formula>$B$96="Revenus saisissables"</formula>
    </cfRule>
    <cfRule type="expression" dxfId="40" priority="182">
      <formula>$B$96="Revenus insaisissables"</formula>
    </cfRule>
  </conditionalFormatting>
  <conditionalFormatting sqref="D106">
    <cfRule type="expression" dxfId="39" priority="73">
      <formula>$D$106="Aucun disponible selon pécule minimum"</formula>
    </cfRule>
    <cfRule type="expression" dxfId="38" priority="74">
      <formula>$D$106="Epargne selon pécule minimum"</formula>
    </cfRule>
    <cfRule type="expression" dxfId="37" priority="75">
      <formula>$D$106="Déficit selon pécule minimum"</formula>
    </cfRule>
  </conditionalFormatting>
  <conditionalFormatting sqref="E96">
    <cfRule type="expression" dxfId="36" priority="78">
      <formula>$B$96="Revenus saisissables"</formula>
    </cfRule>
    <cfRule type="expression" dxfId="35" priority="79">
      <formula>$B$96="Revenus insaisissables"</formula>
    </cfRule>
  </conditionalFormatting>
  <conditionalFormatting sqref="B46">
    <cfRule type="cellIs" priority="62" operator="greaterThan">
      <formula>0</formula>
    </cfRule>
  </conditionalFormatting>
  <conditionalFormatting sqref="C114">
    <cfRule type="expression" dxfId="34" priority="57">
      <formula>$C$114&gt;$B$114</formula>
    </cfRule>
    <cfRule type="expression" dxfId="33" priority="58">
      <formula>$C$114&lt;$B$114</formula>
    </cfRule>
  </conditionalFormatting>
  <conditionalFormatting sqref="F114">
    <cfRule type="expression" dxfId="32" priority="50">
      <formula>$F$114&lt;$E$114</formula>
    </cfRule>
    <cfRule type="expression" dxfId="31" priority="55">
      <formula>$F$114&gt;$E$114</formula>
    </cfRule>
    <cfRule type="expression" dxfId="30" priority="56">
      <formula>$F$113="Augmenter à"</formula>
    </cfRule>
  </conditionalFormatting>
  <conditionalFormatting sqref="E68">
    <cfRule type="expression" dxfId="29" priority="66">
      <formula>E68="Epargne mensuelle sur une année : stable"</formula>
    </cfRule>
    <cfRule type="expression" dxfId="28" priority="67">
      <formula>E68="Déficit mensuel sur une année"</formula>
    </cfRule>
    <cfRule type="expression" dxfId="27" priority="68">
      <formula>E68="Boni mensuel sur une année"</formula>
    </cfRule>
  </conditionalFormatting>
  <conditionalFormatting sqref="E87">
    <cfRule type="expression" dxfId="26" priority="178">
      <formula>$E$87="Epargne anuelle totale : stable"</formula>
    </cfRule>
    <cfRule type="expression" dxfId="25" priority="179">
      <formula>$E$87="Boni annuel total"</formula>
    </cfRule>
    <cfRule type="expression" dxfId="24" priority="180">
      <formula>$E$87="Déficit annuel total"</formula>
    </cfRule>
  </conditionalFormatting>
  <conditionalFormatting sqref="B100">
    <cfRule type="expression" dxfId="23" priority="53">
      <formula>$B$100&gt;$B$93</formula>
    </cfRule>
    <cfRule type="expression" dxfId="22" priority="54">
      <formula>$B$100&lt;$B$93</formula>
    </cfRule>
  </conditionalFormatting>
  <conditionalFormatting sqref="E100">
    <cfRule type="expression" dxfId="21" priority="51">
      <formula>$E$100&gt;$E$93</formula>
    </cfRule>
    <cfRule type="expression" dxfId="20" priority="52">
      <formula>$E$100&lt;$E$93</formula>
    </cfRule>
  </conditionalFormatting>
  <conditionalFormatting sqref="I190:I202 L194:L199">
    <cfRule type="cellIs" dxfId="19" priority="31" operator="equal">
      <formula>0</formula>
    </cfRule>
  </conditionalFormatting>
  <conditionalFormatting sqref="K202">
    <cfRule type="cellIs" dxfId="18" priority="30" operator="equal">
      <formula>0</formula>
    </cfRule>
  </conditionalFormatting>
  <conditionalFormatting sqref="K203:K211">
    <cfRule type="cellIs" dxfId="17" priority="28" operator="equal">
      <formula>0</formula>
    </cfRule>
  </conditionalFormatting>
  <conditionalFormatting sqref="I187:I188">
    <cfRule type="cellIs" dxfId="16" priority="24" operator="equal">
      <formula>0</formula>
    </cfRule>
  </conditionalFormatting>
  <conditionalFormatting sqref="D183">
    <cfRule type="cellIs" dxfId="15" priority="15" operator="equal">
      <formula>0</formula>
    </cfRule>
  </conditionalFormatting>
  <conditionalFormatting sqref="G171:G177">
    <cfRule type="cellIs" dxfId="14" priority="11" operator="equal">
      <formula>0</formula>
    </cfRule>
  </conditionalFormatting>
  <conditionalFormatting sqref="E194:E195">
    <cfRule type="cellIs" dxfId="13" priority="9" operator="equal">
      <formula>0</formula>
    </cfRule>
  </conditionalFormatting>
  <conditionalFormatting sqref="F195:F196">
    <cfRule type="cellIs" dxfId="12" priority="5" operator="equal">
      <formula>0</formula>
    </cfRule>
  </conditionalFormatting>
  <conditionalFormatting sqref="F200:F201">
    <cfRule type="cellIs" dxfId="11" priority="4" operator="equal">
      <formula>0</formula>
    </cfRule>
  </conditionalFormatting>
  <conditionalFormatting sqref="F204">
    <cfRule type="cellIs" dxfId="10" priority="1" operator="equal">
      <formula>0</formula>
    </cfRule>
  </conditionalFormatting>
  <dataValidations count="2">
    <dataValidation type="list" allowBlank="1" showInputMessage="1" showErrorMessage="1" sqref="A97:A98 D97:D98" xr:uid="{40F2DAA6-A4F0-4A76-8FD8-5238EBE97603}">
      <formula1>quotite_saisissable</formula1>
    </dataValidation>
    <dataValidation type="list" allowBlank="1" showInputMessage="1" showErrorMessage="1" sqref="A3" xr:uid="{D13E0635-7A1A-4207-BEE2-4CA948DB819C}">
      <formula1>INDIRECT("Tableau1[Catégorie]")</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FBE1A8E1-533A-46D5-A464-41BE6CDE64C8}">
          <x14:formula1>
            <xm:f>Tableaux!$D$9:$D$16</xm:f>
          </x14:formula1>
          <xm:sqref>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FE6D6-BECB-4B76-A400-978700431D50}">
  <dimension ref="A1:U105"/>
  <sheetViews>
    <sheetView topLeftCell="A49" workbookViewId="0">
      <selection activeCell="T8" sqref="T8"/>
    </sheetView>
  </sheetViews>
  <sheetFormatPr baseColWidth="10" defaultRowHeight="15" x14ac:dyDescent="0.25"/>
  <cols>
    <col min="9" max="9" width="5.5703125" customWidth="1"/>
    <col min="13" max="13" width="0" hidden="1" customWidth="1"/>
    <col min="14" max="14" width="22.5703125" hidden="1" customWidth="1"/>
    <col min="15" max="17" width="0" hidden="1" customWidth="1"/>
    <col min="18" max="18" width="21" hidden="1" customWidth="1"/>
    <col min="19" max="19" width="26.85546875" bestFit="1" customWidth="1"/>
  </cols>
  <sheetData>
    <row r="1" spans="1:18" ht="15.75" x14ac:dyDescent="0.25">
      <c r="A1" s="297"/>
      <c r="B1" s="298">
        <f>Situation!B9</f>
        <v>43544</v>
      </c>
      <c r="C1" s="298"/>
      <c r="D1" s="298">
        <f>Situation!B159</f>
        <v>44441</v>
      </c>
      <c r="E1" s="299">
        <f>Situation!B152</f>
        <v>660</v>
      </c>
      <c r="F1" s="299">
        <f>Situation!C130</f>
        <v>700</v>
      </c>
      <c r="G1" s="299">
        <f>Situation!B145</f>
        <v>1030</v>
      </c>
      <c r="H1" s="299"/>
      <c r="I1" s="299"/>
      <c r="J1" s="299"/>
      <c r="K1" s="299">
        <f>Situation!B165</f>
        <v>17460</v>
      </c>
      <c r="L1" s="299">
        <f>Situation!C170</f>
        <v>39874.619999999995</v>
      </c>
      <c r="M1" s="306"/>
    </row>
    <row r="2" spans="1:18" ht="45" x14ac:dyDescent="0.25">
      <c r="A2" s="296" t="s">
        <v>218</v>
      </c>
      <c r="B2" s="296" t="s">
        <v>213</v>
      </c>
      <c r="C2" s="296" t="s">
        <v>212</v>
      </c>
      <c r="D2" s="296" t="s">
        <v>214</v>
      </c>
      <c r="E2" s="296" t="s">
        <v>219</v>
      </c>
      <c r="F2" s="296" t="s">
        <v>216</v>
      </c>
      <c r="G2" s="296" t="s">
        <v>211</v>
      </c>
      <c r="H2" s="296" t="s">
        <v>215</v>
      </c>
      <c r="I2" s="296" t="s">
        <v>248</v>
      </c>
      <c r="J2" s="296" t="s">
        <v>173</v>
      </c>
      <c r="K2" s="296" t="s">
        <v>231</v>
      </c>
      <c r="L2" s="296" t="s">
        <v>217</v>
      </c>
      <c r="M2" s="307"/>
      <c r="N2" s="296" t="s">
        <v>5</v>
      </c>
      <c r="O2" s="296">
        <f>IF(D1=0,0,DATEDIF(D1,EDATE(B1,85),"m"))</f>
        <v>55</v>
      </c>
      <c r="P2" s="328">
        <f>EDATE(Situation!B9,84)</f>
        <v>46101</v>
      </c>
    </row>
    <row r="3" spans="1:18" x14ac:dyDescent="0.25">
      <c r="A3">
        <v>1</v>
      </c>
      <c r="B3" s="304">
        <f>EDATE($B$1,A3)</f>
        <v>43575</v>
      </c>
      <c r="C3" s="321">
        <f>IF(B3&lt;$D$1,0,
IF(AND(MONTH(B3)&amp;YEAR(B3)=MONTH($D$1)&amp;YEAR($D$1),DAY($D$1)),1,0))</f>
        <v>0</v>
      </c>
      <c r="D3" s="304">
        <f>IF(C3&lt;&gt;0,B3,0)</f>
        <v>0</v>
      </c>
      <c r="E3" s="279">
        <f>IF(C3=0,0,
IF(Situation!$B$152=0,0,
IF(MOD(C3,12)&lt;&gt;0,0,$E$1)))</f>
        <v>0</v>
      </c>
      <c r="F3" s="279">
        <f>IF($D$1=0,0,
IF(D3=$P$6,$F$1,
0))</f>
        <v>0</v>
      </c>
      <c r="G3" s="279" cm="1">
        <f t="array" ref="G3">IFERROR(IF(B3=$P$4,$K$1,
IF(B3=EDATE($B$1,84),0,
IF(COUNTIF($N$9:$N$20,B3),LOOKUP(2,1/($N$9:$N$20=B3),$Q$9:$Q$21)*-1,
IF(C3&lt;&gt;0,$G$1,0)))),0)</f>
        <v>0</v>
      </c>
      <c r="H3" s="279">
        <f>SUM(E3+G3)</f>
        <v>0</v>
      </c>
      <c r="I3" s="321">
        <f>IF(B3=$P$4,1,
IF(AND(C3&gt;=1,C3&lt;=12),2,
IF(AND(C3&gt;=13,C3&lt;=24),3,
IF(AND(C3&gt;=25,C3&lt;=36),4,
IF(AND(C3&gt;=37,C3&lt;=48),5,
IF(AND(C3&gt;=49,C3&lt;=60),6,
IF(AND(C3&gt;=61,C3&lt;=72),7,
IF(AND(C3&gt;=73,C3&lt;=84),8,
0))))))))</f>
        <v>0</v>
      </c>
      <c r="J3" t="str">
        <f>IF(K3&lt;&gt;"",CONCATENATE("Annuité ",COUNT($K$3:K3)),"")</f>
        <v/>
      </c>
      <c r="K3" s="279" t="str">
        <f>IF(B3=$P$4,$K$1,
IF(C3=0,"",
IF(AND(OR(C3=12,C3=24,C3=36,C3=48,C3=60,C3=72),$M$7&lt;1),$O$8,
IF(OR(C3=12,C3=24,C3=36,C3=48,C3=60,C3=72),$O$7,
IF(B3=$P$6,$O$8,"")))))</f>
        <v/>
      </c>
      <c r="L3" s="279">
        <f>IFERROR(SUM(L1-H3),0)</f>
        <v>39874.619999999995</v>
      </c>
      <c r="M3" s="279"/>
      <c r="N3" t="s">
        <v>240</v>
      </c>
      <c r="O3" s="184">
        <f>L1</f>
        <v>39874.619999999995</v>
      </c>
    </row>
    <row r="4" spans="1:18" x14ac:dyDescent="0.25">
      <c r="A4">
        <v>2</v>
      </c>
      <c r="B4" s="304">
        <f>EDATE($B$1,A4)</f>
        <v>43605</v>
      </c>
      <c r="C4" s="321">
        <f>IF(B4=$P$4,0,
IF(B3=$P$4,1,
IF(C3=0,0,
IF(C3=$O$6,0,
SUM(C3+1)))))</f>
        <v>0</v>
      </c>
      <c r="D4" s="304">
        <f t="shared" ref="D4:D67" si="0">IF(C4&lt;&gt;0,B4,0)</f>
        <v>0</v>
      </c>
      <c r="E4" s="279" cm="1">
        <f t="array" ref="E4">IF(C4=0,0,
IF(Situation!$B$152=0,0,
IF(OR(C4=12,C4=24,C4=36,C4=48,C4=60,C4=72),$E$1,
IF(AND(C4&gt;=1,C4&lt;=SUM($M$7*12)),0,
IF(AND(I4&lt;=$M$7,TEXT(D4,"aaaa")=TEXT($P$6,"aaaa")),0,
IF($M$7=0,SUM((Situation!$B$71:$B$85=MONTH(1&amp;"/"&amp;TEXT(D4,"mmmm")))*(Situation!$C$71:$C$85)),
IF(TEXT(D4,"aaaa")=TEXT($P$6,"aaaa"),SUM((Situation!$B$71:$B$85=MONTH(1&amp;"/"&amp;TEXT(D4,"mmmm")))*(Situation!$C$71:$C$85)),
0)))))))</f>
        <v>0</v>
      </c>
      <c r="F4" s="279">
        <f>IF($D$1=0,0,
IF(D4=$P$6,$F$1,
0))</f>
        <v>0</v>
      </c>
      <c r="G4" s="279" cm="1">
        <f t="array" ref="G4">IFERROR(IF(B4=$P$4,$K$1,
IF(B4=EDATE($B$1,84),0,
IF(COUNTIF($N$9:$N$20,B4),LOOKUP(2,1/($N$9:$N$20=B4),$Q$9:$Q$21)*-1,
IF(C4&lt;&gt;0,$G$1,0)))),0)</f>
        <v>0</v>
      </c>
      <c r="H4" s="279">
        <f>IF(L3&lt;SUM(E4+G4),L3,SUM(E4+G4))</f>
        <v>0</v>
      </c>
      <c r="I4" s="321">
        <f t="shared" ref="I4:I67" si="1">IF(B4=$P$4,1,
IF(AND(C4&gt;=1,C4&lt;=12),2,
IF(AND(C4&gt;=13,C4&lt;=24),3,
IF(AND(C4&gt;=25,C4&lt;=36),4,
IF(AND(C4&gt;=37,C4&lt;=48),5,
IF(AND(C4&gt;=49,C4&lt;=60),6,
IF(AND(C4&gt;=61,C4&lt;=72),7,
IF(AND(C4&gt;=73,C4&lt;=84),8,
0))))))))</f>
        <v>0</v>
      </c>
      <c r="J4" t="str">
        <f>IF(K4&lt;&gt;"",CONCATENATE("Annuité ",COUNT($K$3:K4)),"")</f>
        <v/>
      </c>
      <c r="K4" s="279" t="str">
        <f t="shared" ref="K4:K67" si="2">IF(B4=$P$4,$K$1,
IF(C4=0,"",
IF(AND(OR(C4=12,C4=24,C4=36,C4=48,C4=60,C4=72),$M$7&lt;1),$O$8,
IF(OR(C4=12,C4=24,C4=36,C4=48,C4=60,C4=72),$O$7,
IF(B4=$P$6,$O$8,"")))))</f>
        <v/>
      </c>
      <c r="L4" s="279">
        <f>SUM(L3-H4)</f>
        <v>39874.619999999995</v>
      </c>
      <c r="M4" s="279"/>
      <c r="N4" t="s">
        <v>173</v>
      </c>
      <c r="O4" s="184">
        <f>-K1</f>
        <v>-17460</v>
      </c>
      <c r="P4" s="304">
        <f>IFERROR(EDATE(B1,SUM(DATEDIF(B1,D1,"m"))),0)</f>
        <v>44428</v>
      </c>
    </row>
    <row r="5" spans="1:18" x14ac:dyDescent="0.25">
      <c r="A5">
        <v>3</v>
      </c>
      <c r="B5" s="304">
        <f t="shared" ref="B5:B67" si="3">EDATE($B$1,A5)</f>
        <v>43636</v>
      </c>
      <c r="C5" s="321">
        <f t="shared" ref="C5:C68" si="4">IF(B5=$P$4,0,
IF(B4=$P$4,1,
IF(C4=0,0,
IF(C4=$O$6,0,
SUM(C4+1)))))</f>
        <v>0</v>
      </c>
      <c r="D5" s="304">
        <f t="shared" si="0"/>
        <v>0</v>
      </c>
      <c r="E5" s="279" cm="1">
        <f t="array" ref="E5">IF(C5=0,0,
IF(Situation!$B$152=0,0,
IF(OR(C5=12,C5=24,C5=36,C5=48,C5=60,C5=72),$E$1,
IF(AND(C5&gt;=1,C5&lt;=SUM($M$7*12)),0,
IF(AND(I5&lt;=$M$7,TEXT(D5,"aaaa")=TEXT($P$6,"aaaa")),0,
IF($M$7=0,SUM((Situation!$B$71:$B$85=MONTH(1&amp;"/"&amp;TEXT(D5,"mmmm")))*(Situation!$C$71:$C$85)),
IF(TEXT(D5,"aaaa")=TEXT($P$6,"aaaa"),SUM((Situation!$B$71:$B$85=MONTH(1&amp;"/"&amp;TEXT(D5,"mmmm")))*(Situation!$C$71:$C$85)),
0)))))))</f>
        <v>0</v>
      </c>
      <c r="F5" s="279">
        <f t="shared" ref="F5:F67" si="5">IF($D$1=0,0,
IF(D5=$P$6,$F$1,
0))</f>
        <v>0</v>
      </c>
      <c r="G5" s="279" cm="1">
        <f t="array" ref="G5">IFERROR(IF(B5=$P$4,$K$1,
IF(B5=EDATE($B$1,84),0,
IF(COUNTIF($N$9:$N$20,B5),LOOKUP(2,1/($N$9:$N$20=B5),$Q$9:$Q$21)*-1,
IF(C5&lt;&gt;0,$G$1,0)))),0)</f>
        <v>0</v>
      </c>
      <c r="H5" s="279">
        <f>IF(L4&lt;SUM(E5+G5),L4,SUM(E5+G5))</f>
        <v>0</v>
      </c>
      <c r="I5" s="321">
        <f t="shared" si="1"/>
        <v>0</v>
      </c>
      <c r="J5" t="str">
        <f>IF(K5&lt;&gt;"",CONCATENATE("Annuité ",COUNT($K$3:K5)),"")</f>
        <v/>
      </c>
      <c r="K5" s="279" t="str">
        <f t="shared" si="2"/>
        <v/>
      </c>
      <c r="L5" s="279">
        <f>SUM(L4-H5)</f>
        <v>39874.619999999995</v>
      </c>
      <c r="M5" s="279"/>
      <c r="N5" s="317" t="s">
        <v>242</v>
      </c>
      <c r="O5" s="318">
        <f>SUM(O3:O4)</f>
        <v>22414.619999999995</v>
      </c>
    </row>
    <row r="6" spans="1:18" x14ac:dyDescent="0.25">
      <c r="A6">
        <v>4</v>
      </c>
      <c r="B6" s="304">
        <f t="shared" si="3"/>
        <v>43666</v>
      </c>
      <c r="C6" s="321">
        <f t="shared" si="4"/>
        <v>0</v>
      </c>
      <c r="D6" s="304">
        <f t="shared" si="0"/>
        <v>0</v>
      </c>
      <c r="E6" s="279" cm="1">
        <f t="array" ref="E6">IF(C6=0,0,
IF(Situation!$B$152=0,0,
IF(OR(C6=12,C6=24,C6=36,C6=48,C6=60,C6=72),$E$1,
IF(AND(C6&gt;=1,C6&lt;=SUM($M$7*12)),0,
IF(AND(I6&lt;=$M$7,TEXT(D6,"aaaa")=TEXT($P$6,"aaaa")),0,
IF($M$7=0,SUM((Situation!$B$71:$B$85=MONTH(1&amp;"/"&amp;TEXT(D6,"mmmm")))*(Situation!$C$71:$C$85)),
IF(TEXT(D6,"aaaa")=TEXT($P$6,"aaaa"),SUM((Situation!$B$71:$B$85=MONTH(1&amp;"/"&amp;TEXT(D6,"mmmm")))*(Situation!$C$71:$C$85)),
0)))))))</f>
        <v>0</v>
      </c>
      <c r="F6" s="279">
        <f t="shared" si="5"/>
        <v>0</v>
      </c>
      <c r="G6" s="279" cm="1">
        <f t="array" ref="G6">IFERROR(IF(B6=$P$4,$K$1,
IF(B6=EDATE($B$1,84),0,
IF(COUNTIF($N$9:$N$20,B6),LOOKUP(2,1/($N$9:$N$20=B6),$Q$9:$Q$21)*-1,
IF(C6&lt;&gt;0,$G$1,0)))),0)</f>
        <v>0</v>
      </c>
      <c r="H6" s="279">
        <f>IF(L5&lt;SUM(E6+G6),L5,SUM(E6+G6))</f>
        <v>0</v>
      </c>
      <c r="I6" s="321">
        <f t="shared" si="1"/>
        <v>0</v>
      </c>
      <c r="J6" t="str">
        <f>IF(K6&lt;&gt;"",CONCATENATE("Annuité ",COUNT($K$3:K6)),"")</f>
        <v/>
      </c>
      <c r="K6" s="279" t="str">
        <f t="shared" si="2"/>
        <v/>
      </c>
      <c r="L6" s="279">
        <f>SUM(L5-H6)</f>
        <v>39874.619999999995</v>
      </c>
      <c r="M6" s="305"/>
      <c r="N6" t="s">
        <v>249</v>
      </c>
      <c r="O6" s="305">
        <f>IF(SUM(SUM(M7*12)+M8)&gt;O2,O2,SUM(SUM(M7*12)+M8))</f>
        <v>22</v>
      </c>
      <c r="P6" s="304" cm="1">
        <f t="array" ref="P6">IFERROR(IF(M8=0,P8,LOOKUP(2,1/($Q$9:$Q$20&lt;&gt;0),$N$9:$N$20)),0)</f>
        <v>45097</v>
      </c>
      <c r="Q6" cm="1">
        <f t="array" ref="Q6">IFERROR(LOOKUP(2,1/($H$3:$H$86&lt;&gt;0),$A$3:$A$86),0)</f>
        <v>51</v>
      </c>
    </row>
    <row r="7" spans="1:18" x14ac:dyDescent="0.25">
      <c r="A7">
        <v>5</v>
      </c>
      <c r="B7" s="304">
        <f t="shared" si="3"/>
        <v>43697</v>
      </c>
      <c r="C7" s="321">
        <f t="shared" si="4"/>
        <v>0</v>
      </c>
      <c r="D7" s="304">
        <f t="shared" si="0"/>
        <v>0</v>
      </c>
      <c r="E7" s="279" cm="1">
        <f t="array" ref="E7">IF(C7=0,0,
IF(Situation!$B$152=0,0,
IF(OR(C7=12,C7=24,C7=36,C7=48,C7=60,C7=72),$E$1,
IF(AND(C7&gt;=1,C7&lt;=SUM($M$7*12)),0,
IF(AND(I7&lt;=$M$7,TEXT(D7,"aaaa")=TEXT($P$6,"aaaa")),0,
IF($M$7=0,SUM((Situation!$B$71:$B$85=MONTH(1&amp;"/"&amp;TEXT(D7,"mmmm")))*(Situation!$C$71:$C$85)),
IF(TEXT(D7,"aaaa")=TEXT($P$6,"aaaa"),SUM((Situation!$B$71:$B$85=MONTH(1&amp;"/"&amp;TEXT(D7,"mmmm")))*(Situation!$C$71:$C$85)),
0)))))))</f>
        <v>0</v>
      </c>
      <c r="F7" s="279">
        <f t="shared" si="5"/>
        <v>0</v>
      </c>
      <c r="G7" s="279" cm="1">
        <f t="array" ref="G7">IFERROR(IF(B7=$P$4,$K$1,
IF(B7=EDATE($B$1,84),0,
IF(COUNTIF($N$9:$N$20,B7),LOOKUP(2,1/($N$9:$N$20=B7),$Q$9:$Q$21)*-1,
IF(C7&lt;&gt;0,$G$1,0)))),0)</f>
        <v>0</v>
      </c>
      <c r="H7" s="279">
        <f>IF(L6&lt;SUM(E7+G7),L6,SUM(E7+G7))</f>
        <v>0</v>
      </c>
      <c r="I7" s="321">
        <f t="shared" si="1"/>
        <v>0</v>
      </c>
      <c r="J7" t="str">
        <f>IF(K7&lt;&gt;"",CONCATENATE("Annuité ",COUNT($K$3:K7)),"")</f>
        <v/>
      </c>
      <c r="K7" s="279" t="str">
        <f t="shared" si="2"/>
        <v/>
      </c>
      <c r="L7" s="279">
        <f>SUM(L6-H7)</f>
        <v>39874.619999999995</v>
      </c>
      <c r="M7" s="305">
        <f>IFERROR(IF(ROUNDDOWN(SUM(O5/O7),0)&gt;ROUNDDOWN(SUM(O2/12),0),ROUNDDOWN(SUM(O2/12),0),ROUNDDOWN(SUM(O5/O7),0)),0)</f>
        <v>1</v>
      </c>
      <c r="N7" t="s">
        <v>173</v>
      </c>
      <c r="O7" s="184">
        <f>IF(D1=0,0,SUM(E1+SUM(G1*12)))</f>
        <v>13020</v>
      </c>
      <c r="P7" s="304"/>
      <c r="Q7" s="304"/>
    </row>
    <row r="8" spans="1:18" x14ac:dyDescent="0.25">
      <c r="A8">
        <v>6</v>
      </c>
      <c r="B8" s="304">
        <f t="shared" si="3"/>
        <v>43728</v>
      </c>
      <c r="C8" s="321">
        <f t="shared" si="4"/>
        <v>0</v>
      </c>
      <c r="D8" s="304">
        <f t="shared" si="0"/>
        <v>0</v>
      </c>
      <c r="E8" s="279" cm="1">
        <f t="array" ref="E8">IF(C8=0,0,
IF(Situation!$B$152=0,0,
IF(OR(C8=12,C8=24,C8=36,C8=48,C8=60,C8=72),$E$1,
IF(AND(C8&gt;=1,C8&lt;=SUM($M$7*12)),0,
IF(AND(I8&lt;=$M$7,TEXT(D8,"aaaa")=TEXT($P$6,"aaaa")),0,
IF($M$7=0,SUM((Situation!$B$71:$B$85=MONTH(1&amp;"/"&amp;TEXT(D8,"mmmm")))*(Situation!$C$71:$C$85)),
IF(TEXT(D8,"aaaa")=TEXT($P$6,"aaaa"),SUM((Situation!$B$71:$B$85=MONTH(1&amp;"/"&amp;TEXT(D8,"mmmm")))*(Situation!$C$71:$C$85)),
0)))))))</f>
        <v>0</v>
      </c>
      <c r="F8" s="279">
        <f t="shared" si="5"/>
        <v>0</v>
      </c>
      <c r="G8" s="279" cm="1">
        <f t="array" ref="G8">IFERROR(IF(B8=$P$4,$K$1,
IF(B8=EDATE($B$1,84),0,
IF(COUNTIF($N$9:$N$20,B8),LOOKUP(2,1/($N$9:$N$20=B8),$Q$9:$Q$21)*-1,
IF(C8&lt;&gt;0,$G$1,0)))),0)</f>
        <v>0</v>
      </c>
      <c r="H8" s="279">
        <f>IF(L7&lt;SUM(E8+G8),L7,SUM(E8+G8))</f>
        <v>0</v>
      </c>
      <c r="I8" s="321">
        <f t="shared" si="1"/>
        <v>0</v>
      </c>
      <c r="J8" t="str">
        <f>IF(K8&lt;&gt;"",CONCATENATE("Annuité ",COUNT($K$3:K8)),"")</f>
        <v/>
      </c>
      <c r="K8" s="279" t="str">
        <f t="shared" si="2"/>
        <v/>
      </c>
      <c r="L8" s="279">
        <f>SUM(L7-H8)</f>
        <v>39874.619999999995</v>
      </c>
      <c r="M8" s="305" cm="1">
        <f t="array" ref="M8">IFERROR(LOOKUP(2,1/($Q$9:$Q$20&lt;&gt;0),$M$9:$M$20),0)</f>
        <v>10</v>
      </c>
      <c r="N8" t="s">
        <v>241</v>
      </c>
      <c r="O8" s="184">
        <f>SUM(Q9:Q20)*-1</f>
        <v>9394.6199999999953</v>
      </c>
      <c r="P8" s="304">
        <f>IFERROR(EDATE(P4,SUM(M7*12)),0)</f>
        <v>44793</v>
      </c>
      <c r="Q8" s="184">
        <f>SUM(O5-SUM(O7*M7))</f>
        <v>9394.6199999999953</v>
      </c>
      <c r="R8" s="305"/>
    </row>
    <row r="9" spans="1:18" x14ac:dyDescent="0.25">
      <c r="A9">
        <v>7</v>
      </c>
      <c r="B9" s="304">
        <f t="shared" si="3"/>
        <v>43758</v>
      </c>
      <c r="C9" s="321">
        <f t="shared" si="4"/>
        <v>0</v>
      </c>
      <c r="D9" s="304">
        <f t="shared" si="0"/>
        <v>0</v>
      </c>
      <c r="E9" s="279" cm="1">
        <f t="array" ref="E9">IF(C9=0,0,
IF(Situation!$B$152=0,0,
IF(OR(C9=12,C9=24,C9=36,C9=48,C9=60,C9=72),$E$1,
IF(AND(C9&gt;=1,C9&lt;=SUM($M$7*12)),0,
IF(AND(I9&lt;=$M$7,TEXT(D9,"aaaa")=TEXT($P$6,"aaaa")),0,
IF($M$7=0,SUM((Situation!$B$71:$B$85=MONTH(1&amp;"/"&amp;TEXT(D9,"mmmm")))*(Situation!$C$71:$C$85)),
IF(TEXT(D9,"aaaa")=TEXT($P$6,"aaaa"),SUM((Situation!$B$71:$B$85=MONTH(1&amp;"/"&amp;TEXT(D9,"mmmm")))*(Situation!$C$71:$C$85)),
0)))))))</f>
        <v>0</v>
      </c>
      <c r="F9" s="279">
        <f t="shared" si="5"/>
        <v>0</v>
      </c>
      <c r="G9" s="279" cm="1">
        <f t="array" ref="G9">IFERROR(IF(B9=$P$4,$K$1,
IF(B9=EDATE($B$1,84),0,
IF(COUNTIF($N$9:$N$20,B9),LOOKUP(2,1/($N$9:$N$20=B9),$Q$9:$Q$21)*-1,
IF(C9&lt;&gt;0,$G$1,0)))),0)</f>
        <v>0</v>
      </c>
      <c r="H9" s="279">
        <f t="shared" ref="H9:H40" si="6">IF(L8&lt;SUM(E9+G9),L8,SUM(E9+G9))</f>
        <v>0</v>
      </c>
      <c r="I9" s="321">
        <f t="shared" si="1"/>
        <v>0</v>
      </c>
      <c r="J9" t="str">
        <f>IF(K9&lt;&gt;"",CONCATENATE("Annuité ",COUNT($K$3:K9)),"")</f>
        <v/>
      </c>
      <c r="K9" s="279" t="str">
        <f t="shared" si="2"/>
        <v/>
      </c>
      <c r="L9" s="279">
        <f t="shared" ref="L9:L35" si="7">SUM(L8-H9)</f>
        <v>39874.619999999995</v>
      </c>
      <c r="M9" s="305">
        <f>IF(N9=0,0,1)</f>
        <v>1</v>
      </c>
      <c r="N9" s="308">
        <f>IF($Q$8=0,0,
IF(P8=P2,0,
IF(IF(AND(OR(DAY(B1)=29,DAY(B1)=30,DAY(B1)=31),OR(DAY(P8)=28,DAY(P8)=29)),SUM(P8+DAY(B1)+1))=EDATE($B$1,84),0,
IF(EDATE(P8,1)=EDATE($B$1,84),0,
EDATE($P$8,1)))))</f>
        <v>44824</v>
      </c>
      <c r="O9" s="325" cm="1">
        <f t="array" ref="O9">IF(N9=0,0,
IF(Situation!$B$152=0,0,
SUM((Situation!$B$71:$B$85=MONTH(1&amp;"/"&amp;TEXT(N9,"mmmm")))*(Situation!$C$71:$C$85))))</f>
        <v>0</v>
      </c>
      <c r="P9" s="309">
        <f>IF(N9=0,0,
IF(AND(SUM($Q$8/$G$1)&gt;11,SUM($Q$8/$G$1)&lt;=12),$G$1,
IF(Situation!$B$143=0,SUM($G$1-SUM($F$1/12)),$G$1)))</f>
        <v>971.66666666666663</v>
      </c>
      <c r="Q9" s="309">
        <f>IF(N9=0,0,
IF(SUM(O9:P9)&gt;Q8,-Q8,
-SUM(O9:P9)))</f>
        <v>-971.66666666666663</v>
      </c>
      <c r="R9" s="309">
        <f>SUM(Q8+Q9)</f>
        <v>8422.9533333333293</v>
      </c>
    </row>
    <row r="10" spans="1:18" x14ac:dyDescent="0.25">
      <c r="A10">
        <v>8</v>
      </c>
      <c r="B10" s="304">
        <f t="shared" si="3"/>
        <v>43789</v>
      </c>
      <c r="C10" s="321">
        <f t="shared" si="4"/>
        <v>0</v>
      </c>
      <c r="D10" s="304">
        <f t="shared" si="0"/>
        <v>0</v>
      </c>
      <c r="E10" s="279" cm="1">
        <f t="array" ref="E10">IF(C10=0,0,
IF(Situation!$B$152=0,0,
IF(OR(C10=12,C10=24,C10=36,C10=48,C10=60,C10=72),$E$1,
IF(AND(C10&gt;=1,C10&lt;=SUM($M$7*12)),0,
IF(AND(I10&lt;=$M$7,TEXT(D10,"aaaa")=TEXT($P$6,"aaaa")),0,
IF($M$7=0,SUM((Situation!$B$71:$B$85=MONTH(1&amp;"/"&amp;TEXT(D10,"mmmm")))*(Situation!$C$71:$C$85)),
IF(TEXT(D10,"aaaa")=TEXT($P$6,"aaaa"),SUM((Situation!$B$71:$B$85=MONTH(1&amp;"/"&amp;TEXT(D10,"mmmm")))*(Situation!$C$71:$C$85)),
0)))))))</f>
        <v>0</v>
      </c>
      <c r="F10" s="279">
        <f t="shared" si="5"/>
        <v>0</v>
      </c>
      <c r="G10" s="279" cm="1">
        <f t="array" ref="G10">IFERROR(IF(B10=$P$4,$K$1,
IF(B10=EDATE($B$1,84),0,
IF(COUNTIF($N$9:$N$20,B10),LOOKUP(2,1/($N$9:$N$20=B10),$Q$9:$Q$21)*-1,
IF(C10&lt;&gt;0,$G$1,0)))),0)</f>
        <v>0</v>
      </c>
      <c r="H10" s="279">
        <f t="shared" si="6"/>
        <v>0</v>
      </c>
      <c r="I10" s="321">
        <f t="shared" si="1"/>
        <v>0</v>
      </c>
      <c r="J10" t="str">
        <f>IF(K10&lt;&gt;"",CONCATENATE("Annuité ",COUNT($K$3:K10)),"")</f>
        <v/>
      </c>
      <c r="K10" s="279" t="str">
        <f t="shared" si="2"/>
        <v/>
      </c>
      <c r="L10" s="279">
        <f t="shared" si="7"/>
        <v>39874.619999999995</v>
      </c>
      <c r="M10" s="305">
        <f>IF(N10=0,0,SUM(M9+1))</f>
        <v>2</v>
      </c>
      <c r="N10" s="308">
        <f>IF(N9=0,0,
IF(R9=0,0,
IF(EDATE(N9,1)=EDATE($B$1,84),0,
EDATE(N9,1))))</f>
        <v>44854</v>
      </c>
      <c r="O10" s="325" cm="1">
        <f t="array" ref="O10">IF(N10=0,0,
IF(Situation!$B$152=0,0,
SUM((Situation!$B$71:$B$85=MONTH(1&amp;"/"&amp;TEXT(N10,"mmmm")))*(Situation!$C$71:$C$85))))</f>
        <v>0</v>
      </c>
      <c r="P10" s="309">
        <f>IF(N10=0,0,
IF(AND(SUM($Q$8/$G$1)&gt;11,SUM($Q$8/$G$1)&lt;=12),$G$1,
IF(Situation!$B$143=0,SUM($G$1-SUM($F$1/12)),$G$1)))</f>
        <v>971.66666666666663</v>
      </c>
      <c r="Q10" s="309">
        <f>IF(N10=0,0,
IF(SUM(O10:P10)&gt;R9,-R9,-SUM(O10:P10)))</f>
        <v>-971.66666666666663</v>
      </c>
      <c r="R10" s="309">
        <f>SUM(R9+Q10)</f>
        <v>7451.2866666666623</v>
      </c>
    </row>
    <row r="11" spans="1:18" x14ac:dyDescent="0.25">
      <c r="A11">
        <v>9</v>
      </c>
      <c r="B11" s="304">
        <f t="shared" si="3"/>
        <v>43819</v>
      </c>
      <c r="C11" s="321">
        <f t="shared" si="4"/>
        <v>0</v>
      </c>
      <c r="D11" s="304">
        <f t="shared" si="0"/>
        <v>0</v>
      </c>
      <c r="E11" s="279" cm="1">
        <f t="array" ref="E11">IF(C11=0,0,
IF(Situation!$B$152=0,0,
IF(OR(C11=12,C11=24,C11=36,C11=48,C11=60,C11=72),$E$1,
IF(AND(C11&gt;=1,C11&lt;=SUM($M$7*12)),0,
IF(AND(I11&lt;=$M$7,TEXT(D11,"aaaa")=TEXT($P$6,"aaaa")),0,
IF($M$7=0,SUM((Situation!$B$71:$B$85=MONTH(1&amp;"/"&amp;TEXT(D11,"mmmm")))*(Situation!$C$71:$C$85)),
IF(TEXT(D11,"aaaa")=TEXT($P$6,"aaaa"),SUM((Situation!$B$71:$B$85=MONTH(1&amp;"/"&amp;TEXT(D11,"mmmm")))*(Situation!$C$71:$C$85)),
0)))))))</f>
        <v>0</v>
      </c>
      <c r="F11" s="279">
        <f t="shared" si="5"/>
        <v>0</v>
      </c>
      <c r="G11" s="279" cm="1">
        <f t="array" ref="G11">IFERROR(IF(B11=$P$4,$K$1,
IF(B11=EDATE($B$1,84),0,
IF(COUNTIF($N$9:$N$20,B11),LOOKUP(2,1/($N$9:$N$20=B11),$Q$9:$Q$21)*-1,
IF(C11&lt;&gt;0,$G$1,0)))),0)</f>
        <v>0</v>
      </c>
      <c r="H11" s="279">
        <f t="shared" si="6"/>
        <v>0</v>
      </c>
      <c r="I11" s="321">
        <f t="shared" si="1"/>
        <v>0</v>
      </c>
      <c r="J11" t="str">
        <f>IF(K11&lt;&gt;"",CONCATENATE("Annuité ",COUNT($K$3:K11)),"")</f>
        <v/>
      </c>
      <c r="K11" s="279" t="str">
        <f t="shared" si="2"/>
        <v/>
      </c>
      <c r="L11" s="279">
        <f t="shared" si="7"/>
        <v>39874.619999999995</v>
      </c>
      <c r="M11" s="305">
        <f>IF(N11=0,0,SUM(M10+1))</f>
        <v>3</v>
      </c>
      <c r="N11" s="308">
        <f>IF(N10=0,0,
IF(R10=0,0,
IF(EDATE(N10,1)=EDATE($B$1,84),0,
EDATE(N10,1))))</f>
        <v>44885</v>
      </c>
      <c r="O11" s="325" cm="1">
        <f t="array" ref="O11">IF(N11=0,0,
IF(Situation!$B$152=0,0,
SUM((Situation!$B$71:$B$85=MONTH(1&amp;"/"&amp;TEXT(N11,"mmmm")))*(Situation!$C$71:$C$85))))</f>
        <v>0</v>
      </c>
      <c r="P11" s="309">
        <f>IF(N11=0,0,
IF(AND(SUM($Q$8/$G$1)&gt;11,SUM($Q$8/$G$1)&lt;=12),$G$1,
IF(Situation!$B$143=0,SUM($G$1-SUM($F$1/12)),$G$1)))</f>
        <v>971.66666666666663</v>
      </c>
      <c r="Q11" s="309">
        <f t="shared" ref="Q11:Q20" si="8">IF(N11=0,0,
IF(SUM(O11:P11)&gt;R10,-R10,-SUM(O11:P11)))</f>
        <v>-971.66666666666663</v>
      </c>
      <c r="R11" s="309">
        <f>SUM(R10+Q11)</f>
        <v>6479.6199999999953</v>
      </c>
    </row>
    <row r="12" spans="1:18" x14ac:dyDescent="0.25">
      <c r="A12">
        <v>10</v>
      </c>
      <c r="B12" s="304">
        <f t="shared" si="3"/>
        <v>43850</v>
      </c>
      <c r="C12" s="321">
        <f t="shared" si="4"/>
        <v>0</v>
      </c>
      <c r="D12" s="304">
        <f t="shared" si="0"/>
        <v>0</v>
      </c>
      <c r="E12" s="279" cm="1">
        <f t="array" ref="E12">IF(C12=0,0,
IF(Situation!$B$152=0,0,
IF(OR(C12=12,C12=24,C12=36,C12=48,C12=60,C12=72),$E$1,
IF(AND(C12&gt;=1,C12&lt;=SUM($M$7*12)),0,
IF(AND(I12&lt;=$M$7,TEXT(D12,"aaaa")=TEXT($P$6,"aaaa")),0,
IF($M$7=0,SUM((Situation!$B$71:$B$85=MONTH(1&amp;"/"&amp;TEXT(D12,"mmmm")))*(Situation!$C$71:$C$85)),
IF(TEXT(D12,"aaaa")=TEXT($P$6,"aaaa"),SUM((Situation!$B$71:$B$85=MONTH(1&amp;"/"&amp;TEXT(D12,"mmmm")))*(Situation!$C$71:$C$85)),
0)))))))</f>
        <v>0</v>
      </c>
      <c r="F12" s="279">
        <f t="shared" si="5"/>
        <v>0</v>
      </c>
      <c r="G12" s="279" cm="1">
        <f t="array" ref="G12">IFERROR(IF(B12=$P$4,$K$1,
IF(B12=EDATE($B$1,84),0,
IF(COUNTIF($N$9:$N$20,B12),LOOKUP(2,1/($N$9:$N$20=B12),$Q$9:$Q$21)*-1,
IF(C12&lt;&gt;0,$G$1,0)))),0)</f>
        <v>0</v>
      </c>
      <c r="H12" s="279">
        <f t="shared" si="6"/>
        <v>0</v>
      </c>
      <c r="I12" s="321">
        <f t="shared" si="1"/>
        <v>0</v>
      </c>
      <c r="J12" t="str">
        <f>IF(K12&lt;&gt;"",CONCATENATE("Annuité ",COUNT($K$3:K12)),"")</f>
        <v/>
      </c>
      <c r="K12" s="279" t="str">
        <f t="shared" si="2"/>
        <v/>
      </c>
      <c r="L12" s="279">
        <f t="shared" si="7"/>
        <v>39874.619999999995</v>
      </c>
      <c r="M12" s="305">
        <f t="shared" ref="M12:M20" si="9">IF(N12=0,0,SUM(M11+1))</f>
        <v>4</v>
      </c>
      <c r="N12" s="308">
        <f t="shared" ref="N12:N20" si="10">IF(N11=0,0,
IF(R11=0,0,
IF(EDATE(N11,1)=EDATE($B$1,84),0,
EDATE(N11,1))))</f>
        <v>44915</v>
      </c>
      <c r="O12" s="325" cm="1">
        <f t="array" ref="O12">IF(N12=0,0,
IF(Situation!$B$152=0,0,
SUM((Situation!$B$71:$B$85=MONTH(1&amp;"/"&amp;TEXT(N12,"mmmm")))*(Situation!$C$71:$C$85))))</f>
        <v>0</v>
      </c>
      <c r="P12" s="309">
        <f>IF(N12=0,0,
IF(AND(SUM($Q$8/$G$1)&gt;11,SUM($Q$8/$G$1)&lt;=12),$G$1,
IF(Situation!$B$143=0,SUM($G$1-SUM($F$1/12)),$G$1)))</f>
        <v>971.66666666666663</v>
      </c>
      <c r="Q12" s="309">
        <f t="shared" si="8"/>
        <v>-971.66666666666663</v>
      </c>
      <c r="R12" s="309">
        <f t="shared" ref="R12:R20" si="11">SUM(R11+Q12)</f>
        <v>5507.9533333333284</v>
      </c>
    </row>
    <row r="13" spans="1:18" x14ac:dyDescent="0.25">
      <c r="A13">
        <v>11</v>
      </c>
      <c r="B13" s="304">
        <f t="shared" si="3"/>
        <v>43881</v>
      </c>
      <c r="C13" s="321">
        <f t="shared" si="4"/>
        <v>0</v>
      </c>
      <c r="D13" s="304">
        <f t="shared" si="0"/>
        <v>0</v>
      </c>
      <c r="E13" s="279" cm="1">
        <f t="array" ref="E13">IF(C13=0,0,
IF(Situation!$B$152=0,0,
IF(OR(C13=12,C13=24,C13=36,C13=48,C13=60,C13=72),$E$1,
IF(AND(C13&gt;=1,C13&lt;=SUM($M$7*12)),0,
IF(AND(I13&lt;=$M$7,TEXT(D13,"aaaa")=TEXT($P$6,"aaaa")),0,
IF($M$7=0,SUM((Situation!$B$71:$B$85=MONTH(1&amp;"/"&amp;TEXT(D13,"mmmm")))*(Situation!$C$71:$C$85)),
IF(TEXT(D13,"aaaa")=TEXT($P$6,"aaaa"),SUM((Situation!$B$71:$B$85=MONTH(1&amp;"/"&amp;TEXT(D13,"mmmm")))*(Situation!$C$71:$C$85)),
0)))))))</f>
        <v>0</v>
      </c>
      <c r="F13" s="279">
        <f t="shared" si="5"/>
        <v>0</v>
      </c>
      <c r="G13" s="279" cm="1">
        <f t="array" ref="G13">IFERROR(IF(B13=$P$4,$K$1,
IF(B13=EDATE($B$1,84),0,
IF(COUNTIF($N$9:$N$20,B13),LOOKUP(2,1/($N$9:$N$20=B13),$Q$9:$Q$21)*-1,
IF(C13&lt;&gt;0,$G$1,0)))),0)</f>
        <v>0</v>
      </c>
      <c r="H13" s="279">
        <f t="shared" si="6"/>
        <v>0</v>
      </c>
      <c r="I13" s="321">
        <f t="shared" si="1"/>
        <v>0</v>
      </c>
      <c r="J13" t="str">
        <f>IF(K13&lt;&gt;"",CONCATENATE("Annuité ",COUNT($K$3:K13)),"")</f>
        <v/>
      </c>
      <c r="K13" s="279" t="str">
        <f t="shared" si="2"/>
        <v/>
      </c>
      <c r="L13" s="279">
        <f t="shared" si="7"/>
        <v>39874.619999999995</v>
      </c>
      <c r="M13" s="305">
        <f t="shared" si="9"/>
        <v>5</v>
      </c>
      <c r="N13" s="308">
        <f t="shared" si="10"/>
        <v>44946</v>
      </c>
      <c r="O13" s="325" cm="1">
        <f t="array" ref="O13">IF(N13=0,0,
IF(Situation!$B$152=0,0,
SUM((Situation!$B$71:$B$85=MONTH(1&amp;"/"&amp;TEXT(N13,"mmmm")))*(Situation!$C$71:$C$85))))</f>
        <v>0</v>
      </c>
      <c r="P13" s="309">
        <f>IF(N13=0,0,
IF(AND(SUM($Q$8/$G$1)&gt;11,SUM($Q$8/$G$1)&lt;=12),$G$1,
IF(Situation!$B$143=0,SUM($G$1-SUM($F$1/12)),$G$1)))</f>
        <v>971.66666666666663</v>
      </c>
      <c r="Q13" s="309">
        <f t="shared" si="8"/>
        <v>-971.66666666666663</v>
      </c>
      <c r="R13" s="309">
        <f t="shared" si="11"/>
        <v>4536.2866666666614</v>
      </c>
    </row>
    <row r="14" spans="1:18" x14ac:dyDescent="0.25">
      <c r="A14">
        <v>12</v>
      </c>
      <c r="B14" s="304">
        <f t="shared" si="3"/>
        <v>43910</v>
      </c>
      <c r="C14" s="321">
        <f t="shared" si="4"/>
        <v>0</v>
      </c>
      <c r="D14" s="304">
        <f t="shared" si="0"/>
        <v>0</v>
      </c>
      <c r="E14" s="279" cm="1">
        <f t="array" ref="E14">IF(C14=0,0,
IF(Situation!$B$152=0,0,
IF(OR(C14=12,C14=24,C14=36,C14=48,C14=60,C14=72),$E$1,
IF(AND(C14&gt;=1,C14&lt;=SUM($M$7*12)),0,
IF(AND(I14&lt;=$M$7,TEXT(D14,"aaaa")=TEXT($P$6,"aaaa")),0,
IF($M$7=0,SUM((Situation!$B$71:$B$85=MONTH(1&amp;"/"&amp;TEXT(D14,"mmmm")))*(Situation!$C$71:$C$85)),
IF(TEXT(D14,"aaaa")=TEXT($P$6,"aaaa"),SUM((Situation!$B$71:$B$85=MONTH(1&amp;"/"&amp;TEXT(D14,"mmmm")))*(Situation!$C$71:$C$85)),
0)))))))</f>
        <v>0</v>
      </c>
      <c r="F14" s="279">
        <f t="shared" si="5"/>
        <v>0</v>
      </c>
      <c r="G14" s="279" cm="1">
        <f t="array" ref="G14">IFERROR(IF(B14=$P$4,$K$1,
IF(B14=EDATE($B$1,84),0,
IF(COUNTIF($N$9:$N$20,B14),LOOKUP(2,1/($N$9:$N$20=B14),$Q$9:$Q$21)*-1,
IF(C14&lt;&gt;0,$G$1,0)))),0)</f>
        <v>0</v>
      </c>
      <c r="H14" s="279">
        <f t="shared" si="6"/>
        <v>0</v>
      </c>
      <c r="I14" s="321">
        <f t="shared" si="1"/>
        <v>0</v>
      </c>
      <c r="J14" t="str">
        <f>IF(K14&lt;&gt;"",CONCATENATE("Annuité ",COUNT($K$3:K14)),"")</f>
        <v/>
      </c>
      <c r="K14" s="279" t="str">
        <f t="shared" si="2"/>
        <v/>
      </c>
      <c r="L14" s="279">
        <f t="shared" si="7"/>
        <v>39874.619999999995</v>
      </c>
      <c r="M14" s="305">
        <f t="shared" si="9"/>
        <v>6</v>
      </c>
      <c r="N14" s="308">
        <f t="shared" si="10"/>
        <v>44977</v>
      </c>
      <c r="O14" s="325" cm="1">
        <f t="array" ref="O14">IF(N14=0,0,
IF(Situation!$B$152=0,0,
SUM((Situation!$B$71:$B$85=MONTH(1&amp;"/"&amp;TEXT(N14,"mmmm")))*(Situation!$C$71:$C$85))))</f>
        <v>0</v>
      </c>
      <c r="P14" s="309">
        <f>IF(N14=0,0,
IF(AND(SUM($Q$8/$G$1)&gt;11,SUM($Q$8/$G$1)&lt;=12),$G$1,
IF(Situation!$B$143=0,SUM($G$1-SUM($F$1/12)),$G$1)))</f>
        <v>971.66666666666663</v>
      </c>
      <c r="Q14" s="309">
        <f t="shared" si="8"/>
        <v>-971.66666666666663</v>
      </c>
      <c r="R14" s="309">
        <f t="shared" si="11"/>
        <v>3564.6199999999949</v>
      </c>
    </row>
    <row r="15" spans="1:18" x14ac:dyDescent="0.25">
      <c r="A15">
        <v>13</v>
      </c>
      <c r="B15" s="304">
        <f t="shared" si="3"/>
        <v>43941</v>
      </c>
      <c r="C15" s="321">
        <f t="shared" si="4"/>
        <v>0</v>
      </c>
      <c r="D15" s="304">
        <f t="shared" si="0"/>
        <v>0</v>
      </c>
      <c r="E15" s="279" cm="1">
        <f t="array" ref="E15">IF(C15=0,0,
IF(Situation!$B$152=0,0,
IF(OR(C15=12,C15=24,C15=36,C15=48,C15=60,C15=72),$E$1,
IF(AND(C15&gt;=1,C15&lt;=SUM($M$7*12)),0,
IF(AND(I15&lt;=$M$7,TEXT(D15,"aaaa")=TEXT($P$6,"aaaa")),0,
IF($M$7=0,SUM((Situation!$B$71:$B$85=MONTH(1&amp;"/"&amp;TEXT(D15,"mmmm")))*(Situation!$C$71:$C$85)),
IF(TEXT(D15,"aaaa")=TEXT($P$6,"aaaa"),SUM((Situation!$B$71:$B$85=MONTH(1&amp;"/"&amp;TEXT(D15,"mmmm")))*(Situation!$C$71:$C$85)),
0)))))))</f>
        <v>0</v>
      </c>
      <c r="F15" s="279">
        <f t="shared" si="5"/>
        <v>0</v>
      </c>
      <c r="G15" s="279" cm="1">
        <f t="array" ref="G15">IFERROR(IF(B15=$P$4,$K$1,
IF(B15=EDATE($B$1,84),0,
IF(COUNTIF($N$9:$N$20,B15),LOOKUP(2,1/($N$9:$N$20=B15),$Q$9:$Q$21)*-1,
IF(C15&lt;&gt;0,$G$1,0)))),0)</f>
        <v>0</v>
      </c>
      <c r="H15" s="279">
        <f t="shared" si="6"/>
        <v>0</v>
      </c>
      <c r="I15" s="321">
        <f t="shared" si="1"/>
        <v>0</v>
      </c>
      <c r="J15" t="str">
        <f>IF(K15&lt;&gt;"",CONCATENATE("Annuité ",COUNT($K$3:K15)),"")</f>
        <v/>
      </c>
      <c r="K15" s="279" t="str">
        <f t="shared" si="2"/>
        <v/>
      </c>
      <c r="L15" s="279">
        <f t="shared" si="7"/>
        <v>39874.619999999995</v>
      </c>
      <c r="M15" s="305">
        <f>IF(N15=0,0,SUM(M14+1))</f>
        <v>7</v>
      </c>
      <c r="N15" s="308">
        <f t="shared" si="10"/>
        <v>45005</v>
      </c>
      <c r="O15" s="325" cm="1">
        <f t="array" ref="O15">IF(N15=0,0,
IF(Situation!$B$152=0,0,
SUM((Situation!$B$71:$B$85=MONTH(1&amp;"/"&amp;TEXT(N15,"mmmm")))*(Situation!$C$71:$C$85))))</f>
        <v>0</v>
      </c>
      <c r="P15" s="309">
        <f>IF(N15=0,0,
IF(AND(SUM($Q$8/$G$1)&gt;11,SUM($Q$8/$G$1)&lt;=12),$G$1,
IF(Situation!$B$143=0,SUM($G$1-SUM($F$1/12)),$G$1)))</f>
        <v>971.66666666666663</v>
      </c>
      <c r="Q15" s="309">
        <f t="shared" si="8"/>
        <v>-971.66666666666663</v>
      </c>
      <c r="R15" s="309">
        <f t="shared" si="11"/>
        <v>2592.9533333333284</v>
      </c>
    </row>
    <row r="16" spans="1:18" x14ac:dyDescent="0.25">
      <c r="A16">
        <v>14</v>
      </c>
      <c r="B16" s="304">
        <f t="shared" si="3"/>
        <v>43971</v>
      </c>
      <c r="C16" s="321">
        <f t="shared" si="4"/>
        <v>0</v>
      </c>
      <c r="D16" s="304">
        <f t="shared" si="0"/>
        <v>0</v>
      </c>
      <c r="E16" s="279" cm="1">
        <f t="array" ref="E16">IF(C16=0,0,
IF(Situation!$B$152=0,0,
IF(OR(C16=12,C16=24,C16=36,C16=48,C16=60,C16=72),$E$1,
IF(AND(C16&gt;=1,C16&lt;=SUM($M$7*12)),0,
IF(AND(I16&lt;=$M$7,TEXT(D16,"aaaa")=TEXT($P$6,"aaaa")),0,
IF($M$7=0,SUM((Situation!$B$71:$B$85=MONTH(1&amp;"/"&amp;TEXT(D16,"mmmm")))*(Situation!$C$71:$C$85)),
IF(TEXT(D16,"aaaa")=TEXT($P$6,"aaaa"),SUM((Situation!$B$71:$B$85=MONTH(1&amp;"/"&amp;TEXT(D16,"mmmm")))*(Situation!$C$71:$C$85)),
0)))))))</f>
        <v>0</v>
      </c>
      <c r="F16" s="279">
        <f t="shared" si="5"/>
        <v>0</v>
      </c>
      <c r="G16" s="279" cm="1">
        <f t="array" ref="G16">IFERROR(IF(B16=$P$4,$K$1,
IF(B16=EDATE($B$1,84),0,
IF(COUNTIF($N$9:$N$20,B16),LOOKUP(2,1/($N$9:$N$20=B16),$Q$9:$Q$21)*-1,
IF(C16&lt;&gt;0,$G$1,0)))),0)</f>
        <v>0</v>
      </c>
      <c r="H16" s="279">
        <f t="shared" si="6"/>
        <v>0</v>
      </c>
      <c r="I16" s="321">
        <f t="shared" si="1"/>
        <v>0</v>
      </c>
      <c r="J16" t="str">
        <f>IF(K16&lt;&gt;"",CONCATENATE("Annuité ",COUNT($K$3:K16)),"")</f>
        <v/>
      </c>
      <c r="K16" s="279" t="str">
        <f t="shared" si="2"/>
        <v/>
      </c>
      <c r="L16" s="279">
        <f t="shared" si="7"/>
        <v>39874.619999999995</v>
      </c>
      <c r="M16" s="305">
        <f t="shared" si="9"/>
        <v>8</v>
      </c>
      <c r="N16" s="308">
        <f t="shared" si="10"/>
        <v>45036</v>
      </c>
      <c r="O16" s="325" cm="1">
        <f t="array" ref="O16">IF(N16=0,0,
IF(Situation!$B$152=0,0,
SUM((Situation!$B$71:$B$85=MONTH(1&amp;"/"&amp;TEXT(N16,"mmmm")))*(Situation!$C$71:$C$85))))</f>
        <v>0</v>
      </c>
      <c r="P16" s="309">
        <f>IF(N16=0,0,
IF(AND(SUM($Q$8/$G$1)&gt;11,SUM($Q$8/$G$1)&lt;=12),$G$1,
IF(Situation!$B$143=0,SUM($G$1-SUM($F$1/12)),$G$1)))</f>
        <v>971.66666666666663</v>
      </c>
      <c r="Q16" s="309">
        <f t="shared" si="8"/>
        <v>-971.66666666666663</v>
      </c>
      <c r="R16" s="309">
        <f t="shared" si="11"/>
        <v>1621.2866666666619</v>
      </c>
    </row>
    <row r="17" spans="1:21" x14ac:dyDescent="0.25">
      <c r="A17">
        <v>15</v>
      </c>
      <c r="B17" s="304">
        <f t="shared" si="3"/>
        <v>44002</v>
      </c>
      <c r="C17" s="321">
        <f t="shared" si="4"/>
        <v>0</v>
      </c>
      <c r="D17" s="304">
        <f t="shared" si="0"/>
        <v>0</v>
      </c>
      <c r="E17" s="279" cm="1">
        <f t="array" ref="E17">IF(C17=0,0,
IF(Situation!$B$152=0,0,
IF(OR(C17=12,C17=24,C17=36,C17=48,C17=60,C17=72),$E$1,
IF(AND(C17&gt;=1,C17&lt;=SUM($M$7*12)),0,
IF(AND(I17&lt;=$M$7,TEXT(D17,"aaaa")=TEXT($P$6,"aaaa")),0,
IF($M$7=0,SUM((Situation!$B$71:$B$85=MONTH(1&amp;"/"&amp;TEXT(D17,"mmmm")))*(Situation!$C$71:$C$85)),
IF(TEXT(D17,"aaaa")=TEXT($P$6,"aaaa"),SUM((Situation!$B$71:$B$85=MONTH(1&amp;"/"&amp;TEXT(D17,"mmmm")))*(Situation!$C$71:$C$85)),
0)))))))</f>
        <v>0</v>
      </c>
      <c r="F17" s="279">
        <f t="shared" si="5"/>
        <v>0</v>
      </c>
      <c r="G17" s="279" cm="1">
        <f t="array" ref="G17">IFERROR(IF(B17=$P$4,$K$1,
IF(B17=EDATE($B$1,84),0,
IF(COUNTIF($N$9:$N$20,B17),LOOKUP(2,1/($N$9:$N$20=B17),$Q$9:$Q$21)*-1,
IF(C17&lt;&gt;0,$G$1,0)))),0)</f>
        <v>0</v>
      </c>
      <c r="H17" s="279">
        <f t="shared" si="6"/>
        <v>0</v>
      </c>
      <c r="I17" s="321">
        <f t="shared" si="1"/>
        <v>0</v>
      </c>
      <c r="J17" t="str">
        <f>IF(K17&lt;&gt;"",CONCATENATE("Annuité ",COUNT($K$3:K17)),"")</f>
        <v/>
      </c>
      <c r="K17" s="279" t="str">
        <f t="shared" si="2"/>
        <v/>
      </c>
      <c r="L17" s="279">
        <f t="shared" si="7"/>
        <v>39874.619999999995</v>
      </c>
      <c r="M17" s="305">
        <f t="shared" si="9"/>
        <v>9</v>
      </c>
      <c r="N17" s="308">
        <f t="shared" si="10"/>
        <v>45066</v>
      </c>
      <c r="O17" s="325" cm="1">
        <f t="array" ref="O17">IF(N17=0,0,
IF(Situation!$B$152=0,0,
SUM((Situation!$B$71:$B$85=MONTH(1&amp;"/"&amp;TEXT(N17,"mmmm")))*(Situation!$C$71:$C$85))))</f>
        <v>0</v>
      </c>
      <c r="P17" s="309">
        <f>IF(N17=0,0,
IF(AND(SUM($Q$8/$G$1)&gt;11,SUM($Q$8/$G$1)&lt;=12),$G$1,
IF(Situation!$B$143=0,SUM($G$1-SUM($F$1/12)),$G$1)))</f>
        <v>971.66666666666663</v>
      </c>
      <c r="Q17" s="309">
        <f t="shared" si="8"/>
        <v>-971.66666666666663</v>
      </c>
      <c r="R17" s="309">
        <f t="shared" si="11"/>
        <v>649.61999999999523</v>
      </c>
    </row>
    <row r="18" spans="1:21" x14ac:dyDescent="0.25">
      <c r="A18">
        <v>16</v>
      </c>
      <c r="B18" s="304">
        <f t="shared" si="3"/>
        <v>44032</v>
      </c>
      <c r="C18" s="321">
        <f t="shared" si="4"/>
        <v>0</v>
      </c>
      <c r="D18" s="304">
        <f t="shared" si="0"/>
        <v>0</v>
      </c>
      <c r="E18" s="279" cm="1">
        <f t="array" ref="E18">IF(C18=0,0,
IF(Situation!$B$152=0,0,
IF(OR(C18=12,C18=24,C18=36,C18=48,C18=60,C18=72),$E$1,
IF(AND(C18&gt;=1,C18&lt;=SUM($M$7*12)),0,
IF(AND(I18&lt;=$M$7,TEXT(D18,"aaaa")=TEXT($P$6,"aaaa")),0,
IF($M$7=0,SUM((Situation!$B$71:$B$85=MONTH(1&amp;"/"&amp;TEXT(D18,"mmmm")))*(Situation!$C$71:$C$85)),
IF(TEXT(D18,"aaaa")=TEXT($P$6,"aaaa"),SUM((Situation!$B$71:$B$85=MONTH(1&amp;"/"&amp;TEXT(D18,"mmmm")))*(Situation!$C$71:$C$85)),
0)))))))</f>
        <v>0</v>
      </c>
      <c r="F18" s="279">
        <f t="shared" si="5"/>
        <v>0</v>
      </c>
      <c r="G18" s="279" cm="1">
        <f t="array" ref="G18">IFERROR(IF(B18=$P$4,$K$1,
IF(B18=EDATE($B$1,84),0,
IF(COUNTIF($N$9:$N$20,B18),LOOKUP(2,1/($N$9:$N$20=B18),$Q$9:$Q$21)*-1,
IF(C18&lt;&gt;0,$G$1,0)))),0)</f>
        <v>0</v>
      </c>
      <c r="H18" s="279">
        <f t="shared" si="6"/>
        <v>0</v>
      </c>
      <c r="I18" s="321">
        <f t="shared" si="1"/>
        <v>0</v>
      </c>
      <c r="J18" t="str">
        <f>IF(K18&lt;&gt;"",CONCATENATE("Annuité ",COUNT($K$3:K18)),"")</f>
        <v/>
      </c>
      <c r="K18" s="279" t="str">
        <f t="shared" si="2"/>
        <v/>
      </c>
      <c r="L18" s="279">
        <f t="shared" si="7"/>
        <v>39874.619999999995</v>
      </c>
      <c r="M18" s="305">
        <f t="shared" si="9"/>
        <v>10</v>
      </c>
      <c r="N18" s="308">
        <f t="shared" si="10"/>
        <v>45097</v>
      </c>
      <c r="O18" s="325" cm="1">
        <f t="array" ref="O18">IF(N18=0,0,
IF(Situation!$B$152=0,0,
SUM((Situation!$B$71:$B$85=MONTH(1&amp;"/"&amp;TEXT(N18,"mmmm")))*(Situation!$C$71:$C$85))))</f>
        <v>1861.88</v>
      </c>
      <c r="P18" s="309">
        <f>IF(N18=0,0,
IF(AND(SUM($Q$8/$G$1)&gt;11,SUM($Q$8/$G$1)&lt;=12),$G$1,
IF(Situation!$B$143=0,SUM($G$1-SUM($F$1/12)),$G$1)))</f>
        <v>971.66666666666663</v>
      </c>
      <c r="Q18" s="309">
        <f t="shared" si="8"/>
        <v>-649.61999999999523</v>
      </c>
      <c r="R18" s="309">
        <f t="shared" si="11"/>
        <v>0</v>
      </c>
    </row>
    <row r="19" spans="1:21" x14ac:dyDescent="0.25">
      <c r="A19">
        <v>17</v>
      </c>
      <c r="B19" s="304">
        <f t="shared" si="3"/>
        <v>44063</v>
      </c>
      <c r="C19" s="321">
        <f t="shared" si="4"/>
        <v>0</v>
      </c>
      <c r="D19" s="304">
        <f t="shared" si="0"/>
        <v>0</v>
      </c>
      <c r="E19" s="279" cm="1">
        <f t="array" ref="E19">IF(C19=0,0,
IF(Situation!$B$152=0,0,
IF(OR(C19=12,C19=24,C19=36,C19=48,C19=60,C19=72),$E$1,
IF(AND(C19&gt;=1,C19&lt;=SUM($M$7*12)),0,
IF(AND(I19&lt;=$M$7,TEXT(D19,"aaaa")=TEXT($P$6,"aaaa")),0,
IF($M$7=0,SUM((Situation!$B$71:$B$85=MONTH(1&amp;"/"&amp;TEXT(D19,"mmmm")))*(Situation!$C$71:$C$85)),
IF(TEXT(D19,"aaaa")=TEXT($P$6,"aaaa"),SUM((Situation!$B$71:$B$85=MONTH(1&amp;"/"&amp;TEXT(D19,"mmmm")))*(Situation!$C$71:$C$85)),
0)))))))</f>
        <v>0</v>
      </c>
      <c r="F19" s="279">
        <f t="shared" si="5"/>
        <v>0</v>
      </c>
      <c r="G19" s="279" cm="1">
        <f t="array" ref="G19">IFERROR(IF(B19=$P$4,$K$1,
IF(B19=EDATE($B$1,84),0,
IF(COUNTIF($N$9:$N$20,B19),LOOKUP(2,1/($N$9:$N$20=B19),$Q$9:$Q$21)*-1,
IF(C19&lt;&gt;0,$G$1,0)))),0)</f>
        <v>0</v>
      </c>
      <c r="H19" s="279">
        <f t="shared" si="6"/>
        <v>0</v>
      </c>
      <c r="I19" s="321">
        <f t="shared" si="1"/>
        <v>0</v>
      </c>
      <c r="J19" t="str">
        <f>IF(K19&lt;&gt;"",CONCATENATE("Annuité ",COUNT($K$3:K19)),"")</f>
        <v/>
      </c>
      <c r="K19" s="279" t="str">
        <f t="shared" si="2"/>
        <v/>
      </c>
      <c r="L19" s="279">
        <f t="shared" si="7"/>
        <v>39874.619999999995</v>
      </c>
      <c r="M19" s="305">
        <f t="shared" si="9"/>
        <v>0</v>
      </c>
      <c r="N19" s="308">
        <f t="shared" si="10"/>
        <v>0</v>
      </c>
      <c r="O19" s="325" cm="1">
        <f t="array" ref="O19">IF(N19=0,0,
IF(Situation!$B$152=0,0,
SUM((Situation!$B$71:$B$85=MONTH(1&amp;"/"&amp;TEXT(N19,"mmmm")))*(Situation!$C$71:$C$85))))</f>
        <v>0</v>
      </c>
      <c r="P19" s="309">
        <f>IF(N19=0,0,
IF(AND(SUM($Q$8/$G$1)&gt;11,SUM($Q$8/$G$1)&lt;=12),$G$1,
IF(Situation!$B$143=0,SUM($G$1-SUM($F$1/12)),$G$1)))</f>
        <v>0</v>
      </c>
      <c r="Q19" s="309">
        <f t="shared" si="8"/>
        <v>0</v>
      </c>
      <c r="R19" s="309">
        <f t="shared" si="11"/>
        <v>0</v>
      </c>
    </row>
    <row r="20" spans="1:21" x14ac:dyDescent="0.25">
      <c r="A20">
        <v>18</v>
      </c>
      <c r="B20" s="304">
        <f t="shared" si="3"/>
        <v>44094</v>
      </c>
      <c r="C20" s="321">
        <f t="shared" si="4"/>
        <v>0</v>
      </c>
      <c r="D20" s="304">
        <f t="shared" si="0"/>
        <v>0</v>
      </c>
      <c r="E20" s="279" cm="1">
        <f t="array" ref="E20">IF(C20=0,0,
IF(Situation!$B$152=0,0,
IF(OR(C20=12,C20=24,C20=36,C20=48,C20=60,C20=72),$E$1,
IF(AND(C20&gt;=1,C20&lt;=SUM($M$7*12)),0,
IF(AND(I20&lt;=$M$7,TEXT(D20,"aaaa")=TEXT($P$6,"aaaa")),0,
IF($M$7=0,SUM((Situation!$B$71:$B$85=MONTH(1&amp;"/"&amp;TEXT(D20,"mmmm")))*(Situation!$C$71:$C$85)),
IF(TEXT(D20,"aaaa")=TEXT($P$6,"aaaa"),SUM((Situation!$B$71:$B$85=MONTH(1&amp;"/"&amp;TEXT(D20,"mmmm")))*(Situation!$C$71:$C$85)),
0)))))))</f>
        <v>0</v>
      </c>
      <c r="F20" s="279">
        <f t="shared" si="5"/>
        <v>0</v>
      </c>
      <c r="G20" s="279" cm="1">
        <f t="array" ref="G20">IFERROR(IF(B20=$P$4,$K$1,
IF(B20=EDATE($B$1,84),0,
IF(COUNTIF($N$9:$N$20,B20),LOOKUP(2,1/($N$9:$N$20=B20),$Q$9:$Q$21)*-1,
IF(C20&lt;&gt;0,$G$1,0)))),0)</f>
        <v>0</v>
      </c>
      <c r="H20" s="279">
        <f t="shared" si="6"/>
        <v>0</v>
      </c>
      <c r="I20" s="321">
        <f t="shared" si="1"/>
        <v>0</v>
      </c>
      <c r="J20" t="str">
        <f>IF(K20&lt;&gt;"",CONCATENATE("Annuité ",COUNT($K$3:K20)),"")</f>
        <v/>
      </c>
      <c r="K20" s="279" t="str">
        <f t="shared" si="2"/>
        <v/>
      </c>
      <c r="L20" s="279">
        <f t="shared" si="7"/>
        <v>39874.619999999995</v>
      </c>
      <c r="M20" s="305">
        <f t="shared" si="9"/>
        <v>0</v>
      </c>
      <c r="N20" s="308">
        <f t="shared" si="10"/>
        <v>0</v>
      </c>
      <c r="O20" s="325" cm="1">
        <f t="array" ref="O20">IF(N20=0,0,
IF(Situation!$B$152=0,0,
SUM((Situation!$B$71:$B$85=MONTH(1&amp;"/"&amp;TEXT(N20,"mmmm")))*(Situation!$C$71:$C$85))))</f>
        <v>0</v>
      </c>
      <c r="P20" s="309">
        <f>IF(N20=0,0,
IF(AND(SUM($Q$8/$G$1)&gt;11,SUM($Q$8/$G$1)&lt;=12),$G$1,
IF(Situation!$B$143=0,SUM($G$1-SUM($F$1/12)),$G$1)))</f>
        <v>0</v>
      </c>
      <c r="Q20" s="309">
        <f t="shared" si="8"/>
        <v>0</v>
      </c>
      <c r="R20" s="309">
        <f t="shared" si="11"/>
        <v>0</v>
      </c>
    </row>
    <row r="21" spans="1:21" x14ac:dyDescent="0.25">
      <c r="A21">
        <v>19</v>
      </c>
      <c r="B21" s="304">
        <f t="shared" si="3"/>
        <v>44124</v>
      </c>
      <c r="C21" s="321">
        <f t="shared" si="4"/>
        <v>0</v>
      </c>
      <c r="D21" s="304">
        <f t="shared" si="0"/>
        <v>0</v>
      </c>
      <c r="E21" s="279" cm="1">
        <f t="array" ref="E21">IF(C21=0,0,
IF(Situation!$B$152=0,0,
IF(OR(C21=12,C21=24,C21=36,C21=48,C21=60,C21=72),$E$1,
IF(AND(C21&gt;=1,C21&lt;=SUM($M$7*12)),0,
IF(AND(I21&lt;=$M$7,TEXT(D21,"aaaa")=TEXT($P$6,"aaaa")),0,
IF($M$7=0,SUM((Situation!$B$71:$B$85=MONTH(1&amp;"/"&amp;TEXT(D21,"mmmm")))*(Situation!$C$71:$C$85)),
IF(TEXT(D21,"aaaa")=TEXT($P$6,"aaaa"),SUM((Situation!$B$71:$B$85=MONTH(1&amp;"/"&amp;TEXT(D21,"mmmm")))*(Situation!$C$71:$C$85)),
0)))))))</f>
        <v>0</v>
      </c>
      <c r="F21" s="279">
        <f t="shared" si="5"/>
        <v>0</v>
      </c>
      <c r="G21" s="279" cm="1">
        <f t="array" ref="G21">IFERROR(IF(B21=$P$4,$K$1,
IF(B21=EDATE($B$1,84),0,
IF(COUNTIF($N$9:$N$20,B21),LOOKUP(2,1/($N$9:$N$20=B21),$Q$9:$Q$21)*-1,
IF(C21&lt;&gt;0,$G$1,0)))),0)</f>
        <v>0</v>
      </c>
      <c r="H21" s="279">
        <f t="shared" si="6"/>
        <v>0</v>
      </c>
      <c r="I21" s="321">
        <f t="shared" si="1"/>
        <v>0</v>
      </c>
      <c r="J21" t="str">
        <f>IF(K21&lt;&gt;"",CONCATENATE("Annuité ",COUNT($K$3:K21)),"")</f>
        <v/>
      </c>
      <c r="K21" s="279" t="str">
        <f t="shared" si="2"/>
        <v/>
      </c>
      <c r="L21" s="279">
        <f t="shared" si="7"/>
        <v>39874.619999999995</v>
      </c>
    </row>
    <row r="22" spans="1:21" x14ac:dyDescent="0.25">
      <c r="A22">
        <v>20</v>
      </c>
      <c r="B22" s="304">
        <f t="shared" si="3"/>
        <v>44155</v>
      </c>
      <c r="C22" s="321">
        <f t="shared" si="4"/>
        <v>0</v>
      </c>
      <c r="D22" s="304">
        <f t="shared" si="0"/>
        <v>0</v>
      </c>
      <c r="E22" s="279" cm="1">
        <f t="array" ref="E22">IF(C22=0,0,
IF(Situation!$B$152=0,0,
IF(OR(C22=12,C22=24,C22=36,C22=48,C22=60,C22=72),$E$1,
IF(AND(C22&gt;=1,C22&lt;=SUM($M$7*12)),0,
IF(AND(I22&lt;=$M$7,TEXT(D22,"aaaa")=TEXT($P$6,"aaaa")),0,
IF($M$7=0,SUM((Situation!$B$71:$B$85=MONTH(1&amp;"/"&amp;TEXT(D22,"mmmm")))*(Situation!$C$71:$C$85)),
IF(TEXT(D22,"aaaa")=TEXT($P$6,"aaaa"),SUM((Situation!$B$71:$B$85=MONTH(1&amp;"/"&amp;TEXT(D22,"mmmm")))*(Situation!$C$71:$C$85)),
0)))))))</f>
        <v>0</v>
      </c>
      <c r="F22" s="279">
        <f t="shared" si="5"/>
        <v>0</v>
      </c>
      <c r="G22" s="279" cm="1">
        <f t="array" ref="G22">IFERROR(IF(B22=$P$4,$K$1,
IF(B22=EDATE($B$1,84),0,
IF(COUNTIF($N$9:$N$20,B22),LOOKUP(2,1/($N$9:$N$20=B22),$Q$9:$Q$21)*-1,
IF(C22&lt;&gt;0,$G$1,0)))),0)</f>
        <v>0</v>
      </c>
      <c r="H22" s="279">
        <f t="shared" si="6"/>
        <v>0</v>
      </c>
      <c r="I22" s="321">
        <f t="shared" si="1"/>
        <v>0</v>
      </c>
      <c r="J22" t="str">
        <f>IF(K22&lt;&gt;"",CONCATENATE("Annuité ",COUNT($K$3:K22)),"")</f>
        <v/>
      </c>
      <c r="K22" s="279" t="str">
        <f t="shared" si="2"/>
        <v/>
      </c>
      <c r="L22" s="279">
        <f t="shared" si="7"/>
        <v>39874.619999999995</v>
      </c>
      <c r="N22" s="62" t="s">
        <v>232</v>
      </c>
      <c r="O22" s="62"/>
      <c r="P22" s="323">
        <f>L1</f>
        <v>39874.619999999995</v>
      </c>
      <c r="Q22" s="324" t="s">
        <v>283</v>
      </c>
    </row>
    <row r="23" spans="1:21" x14ac:dyDescent="0.25">
      <c r="A23">
        <v>21</v>
      </c>
      <c r="B23" s="304">
        <f t="shared" si="3"/>
        <v>44185</v>
      </c>
      <c r="C23" s="321">
        <f t="shared" si="4"/>
        <v>0</v>
      </c>
      <c r="D23" s="304">
        <f t="shared" si="0"/>
        <v>0</v>
      </c>
      <c r="E23" s="279" cm="1">
        <f t="array" ref="E23">IF(C23=0,0,
IF(Situation!$B$152=0,0,
IF(OR(C23=12,C23=24,C23=36,C23=48,C23=60,C23=72),$E$1,
IF(AND(C23&gt;=1,C23&lt;=SUM($M$7*12)),0,
IF(AND(I23&lt;=$M$7,TEXT(D23,"aaaa")=TEXT($P$6,"aaaa")),0,
IF($M$7=0,SUM((Situation!$B$71:$B$85=MONTH(1&amp;"/"&amp;TEXT(D23,"mmmm")))*(Situation!$C$71:$C$85)),
IF(TEXT(D23,"aaaa")=TEXT($P$6,"aaaa"),SUM((Situation!$B$71:$B$85=MONTH(1&amp;"/"&amp;TEXT(D23,"mmmm")))*(Situation!$C$71:$C$85)),
0)))))))</f>
        <v>0</v>
      </c>
      <c r="F23" s="279">
        <f t="shared" si="5"/>
        <v>0</v>
      </c>
      <c r="G23" s="279" cm="1">
        <f t="array" ref="G23">IFERROR(IF(B23=$P$4,$K$1,
IF(B23=EDATE($B$1,84),0,
IF(COUNTIF($N$9:$N$20,B23),LOOKUP(2,1/($N$9:$N$20=B23),$Q$9:$Q$21)*-1,
IF(C23&lt;&gt;0,$G$1,0)))),0)</f>
        <v>0</v>
      </c>
      <c r="H23" s="279">
        <f>IF(L22&lt;SUM(E23+G23),L22,SUM(E23+G23))</f>
        <v>0</v>
      </c>
      <c r="I23" s="321">
        <f t="shared" si="1"/>
        <v>0</v>
      </c>
      <c r="J23" t="str">
        <f>IF(K23&lt;&gt;"",CONCATENATE("Annuité ",COUNT($K$3:K23)),"")</f>
        <v/>
      </c>
      <c r="K23" s="279" t="str">
        <f t="shared" si="2"/>
        <v/>
      </c>
      <c r="L23" s="279">
        <f t="shared" si="7"/>
        <v>39874.619999999995</v>
      </c>
      <c r="N23" s="26" t="s">
        <v>12</v>
      </c>
      <c r="O23" s="308">
        <f>P4</f>
        <v>44428</v>
      </c>
      <c r="P23" s="309" cm="1">
        <f t="array" ref="P23">IFERROR(LOOKUP(2,1/($J$3:$J$86=N23),-$K$3:$K$86),"")</f>
        <v>-17460</v>
      </c>
      <c r="Q23" s="184" t="s">
        <v>283</v>
      </c>
    </row>
    <row r="24" spans="1:21" x14ac:dyDescent="0.25">
      <c r="A24">
        <v>22</v>
      </c>
      <c r="B24" s="304">
        <f t="shared" si="3"/>
        <v>44216</v>
      </c>
      <c r="C24" s="321">
        <f t="shared" si="4"/>
        <v>0</v>
      </c>
      <c r="D24" s="304">
        <f t="shared" si="0"/>
        <v>0</v>
      </c>
      <c r="E24" s="279" cm="1">
        <f t="array" ref="E24">IF(C24=0,0,
IF(Situation!$B$152=0,0,
IF(OR(C24=12,C24=24,C24=36,C24=48,C24=60,C24=72),$E$1,
IF(AND(C24&gt;=1,C24&lt;=SUM($M$7*12)),0,
IF(AND(I24&lt;=$M$7,TEXT(D24,"aaaa")=TEXT($P$6,"aaaa")),0,
IF($M$7=0,SUM((Situation!$B$71:$B$85=MONTH(1&amp;"/"&amp;TEXT(D24,"mmmm")))*(Situation!$C$71:$C$85)),
IF(TEXT(D24,"aaaa")=TEXT($P$6,"aaaa"),SUM((Situation!$B$71:$B$85=MONTH(1&amp;"/"&amp;TEXT(D24,"mmmm")))*(Situation!$C$71:$C$85)),
0)))))))</f>
        <v>0</v>
      </c>
      <c r="F24" s="279">
        <f t="shared" si="5"/>
        <v>0</v>
      </c>
      <c r="G24" s="279" cm="1">
        <f t="array" ref="G24">IFERROR(IF(B24=$P$4,$K$1,
IF(B24=EDATE($B$1,84),0,
IF(COUNTIF($N$9:$N$20,B24),LOOKUP(2,1/($N$9:$N$20=B24),$Q$9:$Q$21)*-1,
IF(C24&lt;&gt;0,$G$1,0)))),0)</f>
        <v>0</v>
      </c>
      <c r="H24" s="279">
        <f>IF(L23&lt;SUM(E24+G24),L23,SUM(E24+G24))</f>
        <v>0</v>
      </c>
      <c r="I24" s="321">
        <f t="shared" si="1"/>
        <v>0</v>
      </c>
      <c r="J24" t="str">
        <f>IF(K24&lt;&gt;"",CONCATENATE("Annuité ",COUNT($K$3:K24)),"")</f>
        <v/>
      </c>
      <c r="K24" s="279" t="str">
        <f t="shared" si="2"/>
        <v/>
      </c>
      <c r="L24" s="279">
        <f t="shared" si="7"/>
        <v>39874.619999999995</v>
      </c>
      <c r="M24" s="305"/>
      <c r="N24" s="26" t="s">
        <v>210</v>
      </c>
      <c r="O24" s="308" cm="1">
        <f t="array" ref="O24">IFERROR(LOOKUP(2,1/($J$3:$J$86=N24),$D$3:$D$86),"")</f>
        <v>44793</v>
      </c>
      <c r="P24" s="309" cm="1">
        <f t="array" ref="P24">IFERROR(LOOKUP(2,1/($J$3:$J$86=N24),-$K$3:$K$86),"")</f>
        <v>-13020</v>
      </c>
      <c r="Q24" s="184" t="s">
        <v>283</v>
      </c>
      <c r="R24" s="304"/>
    </row>
    <row r="25" spans="1:21" x14ac:dyDescent="0.25">
      <c r="A25">
        <v>23</v>
      </c>
      <c r="B25" s="304">
        <f t="shared" si="3"/>
        <v>44247</v>
      </c>
      <c r="C25" s="321">
        <f t="shared" si="4"/>
        <v>0</v>
      </c>
      <c r="D25" s="304">
        <f t="shared" si="0"/>
        <v>0</v>
      </c>
      <c r="E25" s="279" cm="1">
        <f t="array" ref="E25">IF(C25=0,0,
IF(Situation!$B$152=0,0,
IF(OR(C25=12,C25=24,C25=36,C25=48,C25=60,C25=72),$E$1,
IF(AND(C25&gt;=1,C25&lt;=SUM($M$7*12)),0,
IF(AND(I25&lt;=$M$7,TEXT(D25,"aaaa")=TEXT($P$6,"aaaa")),0,
IF($M$7=0,SUM((Situation!$B$71:$B$85=MONTH(1&amp;"/"&amp;TEXT(D25,"mmmm")))*(Situation!$C$71:$C$85)),
IF(TEXT(D25,"aaaa")=TEXT($P$6,"aaaa"),SUM((Situation!$B$71:$B$85=MONTH(1&amp;"/"&amp;TEXT(D25,"mmmm")))*(Situation!$C$71:$C$85)),
0)))))))</f>
        <v>0</v>
      </c>
      <c r="F25" s="279">
        <f t="shared" si="5"/>
        <v>0</v>
      </c>
      <c r="G25" s="279" cm="1">
        <f t="array" ref="G25">IFERROR(IF(B25=$P$4,$K$1,
IF(B25=EDATE($B$1,84),0,
IF(COUNTIF($N$9:$N$20,B25),LOOKUP(2,1/($N$9:$N$20=B25),$Q$9:$Q$21)*-1,
IF(C25&lt;&gt;0,$G$1,0)))),0)</f>
        <v>0</v>
      </c>
      <c r="H25" s="279">
        <f t="shared" si="6"/>
        <v>0</v>
      </c>
      <c r="I25" s="321">
        <f t="shared" si="1"/>
        <v>0</v>
      </c>
      <c r="J25" t="str">
        <f>IF(K25&lt;&gt;"",CONCATENATE("Annuité ",COUNT($K$3:K25)),"")</f>
        <v/>
      </c>
      <c r="K25" s="279" t="str">
        <f t="shared" si="2"/>
        <v/>
      </c>
      <c r="L25" s="279">
        <f t="shared" si="7"/>
        <v>39874.619999999995</v>
      </c>
      <c r="M25" s="279"/>
      <c r="N25" s="26" t="s">
        <v>233</v>
      </c>
      <c r="O25" s="308" cm="1">
        <f t="array" ref="O25">IFERROR(LOOKUP(2,1/($J$3:$J$86=N25),$D$3:$D$86),"")</f>
        <v>45097</v>
      </c>
      <c r="P25" s="309" cm="1">
        <f t="array" ref="P25">IFERROR(LOOKUP(2,1/($J$3:$J$86=N25),-$K$3:$K$86),"")</f>
        <v>-9394.6199999999953</v>
      </c>
      <c r="Q25" s="184" t="s">
        <v>283</v>
      </c>
    </row>
    <row r="26" spans="1:21" x14ac:dyDescent="0.25">
      <c r="A26">
        <v>24</v>
      </c>
      <c r="B26" s="304">
        <f t="shared" si="3"/>
        <v>44275</v>
      </c>
      <c r="C26" s="321">
        <f t="shared" si="4"/>
        <v>0</v>
      </c>
      <c r="D26" s="304">
        <f t="shared" si="0"/>
        <v>0</v>
      </c>
      <c r="E26" s="279" cm="1">
        <f t="array" ref="E26">IF(C26=0,0,
IF(Situation!$B$152=0,0,
IF(OR(C26=12,C26=24,C26=36,C26=48,C26=60,C26=72),$E$1,
IF(AND(C26&gt;=1,C26&lt;=SUM($M$7*12)),0,
IF(AND(I26&lt;=$M$7,TEXT(D26,"aaaa")=TEXT($P$6,"aaaa")),0,
IF($M$7=0,SUM((Situation!$B$71:$B$85=MONTH(1&amp;"/"&amp;TEXT(D26,"mmmm")))*(Situation!$C$71:$C$85)),
IF(TEXT(D26,"aaaa")=TEXT($P$6,"aaaa"),SUM((Situation!$B$71:$B$85=MONTH(1&amp;"/"&amp;TEXT(D26,"mmmm")))*(Situation!$C$71:$C$85)),
0)))))))</f>
        <v>0</v>
      </c>
      <c r="F26" s="279">
        <f t="shared" si="5"/>
        <v>0</v>
      </c>
      <c r="G26" s="279" cm="1">
        <f t="array" ref="G26">IFERROR(IF(B26=$P$4,$K$1,
IF(B26=EDATE($B$1,84),0,
IF(COUNTIF($N$9:$N$20,B26),LOOKUP(2,1/($N$9:$N$20=B26),$Q$9:$Q$21)*-1,
IF(C26&lt;&gt;0,$G$1,0)))),0)</f>
        <v>0</v>
      </c>
      <c r="H26" s="279">
        <f t="shared" si="6"/>
        <v>0</v>
      </c>
      <c r="I26" s="321">
        <f t="shared" si="1"/>
        <v>0</v>
      </c>
      <c r="J26" t="str">
        <f>IF(K26&lt;&gt;"",CONCATENATE("Annuité ",COUNT($K$3:K26)),"")</f>
        <v/>
      </c>
      <c r="K26" s="279" t="str">
        <f t="shared" si="2"/>
        <v/>
      </c>
      <c r="L26" s="279">
        <f t="shared" si="7"/>
        <v>39874.619999999995</v>
      </c>
      <c r="M26" s="279"/>
      <c r="N26" s="26" t="s">
        <v>234</v>
      </c>
      <c r="O26" s="308" t="str" cm="1">
        <f t="array" ref="O26">IFERROR(LOOKUP(2,1/($J$3:$J$86=N26),$D$3:$D$86),"")</f>
        <v/>
      </c>
      <c r="P26" s="309" t="str" cm="1">
        <f t="array" ref="P26">IFERROR(LOOKUP(2,1/($J$3:$J$86=N26),-$K$3:$K$86),"")</f>
        <v/>
      </c>
      <c r="Q26" s="184"/>
    </row>
    <row r="27" spans="1:21" x14ac:dyDescent="0.25">
      <c r="A27">
        <v>25</v>
      </c>
      <c r="B27" s="304">
        <f t="shared" si="3"/>
        <v>44306</v>
      </c>
      <c r="C27" s="321">
        <f t="shared" si="4"/>
        <v>0</v>
      </c>
      <c r="D27" s="304">
        <f t="shared" si="0"/>
        <v>0</v>
      </c>
      <c r="E27" s="279" cm="1">
        <f t="array" ref="E27">IF(C27=0,0,
IF(Situation!$B$152=0,0,
IF(OR(C27=12,C27=24,C27=36,C27=48,C27=60,C27=72),$E$1,
IF(AND(C27&gt;=1,C27&lt;=SUM($M$7*12)),0,
IF(AND(I27&lt;=$M$7,TEXT(D27,"aaaa")=TEXT($P$6,"aaaa")),0,
IF($M$7=0,SUM((Situation!$B$71:$B$85=MONTH(1&amp;"/"&amp;TEXT(D27,"mmmm")))*(Situation!$C$71:$C$85)),
IF(TEXT(D27,"aaaa")=TEXT($P$6,"aaaa"),SUM((Situation!$B$71:$B$85=MONTH(1&amp;"/"&amp;TEXT(D27,"mmmm")))*(Situation!$C$71:$C$85)),
0)))))))</f>
        <v>0</v>
      </c>
      <c r="F27" s="279">
        <f t="shared" si="5"/>
        <v>0</v>
      </c>
      <c r="G27" s="279" cm="1">
        <f t="array" ref="G27">IFERROR(IF(B27=$P$4,$K$1,
IF(B27=EDATE($B$1,84),0,
IF(COUNTIF($N$9:$N$20,B27),LOOKUP(2,1/($N$9:$N$20=B27),$Q$9:$Q$21)*-1,
IF(C27&lt;&gt;0,$G$1,0)))),0)</f>
        <v>0</v>
      </c>
      <c r="H27" s="279">
        <f t="shared" si="6"/>
        <v>0</v>
      </c>
      <c r="I27" s="321">
        <f t="shared" si="1"/>
        <v>0</v>
      </c>
      <c r="J27" t="str">
        <f>IF(K27&lt;&gt;"",CONCATENATE("Annuité ",COUNT($K$3:K27)),"")</f>
        <v/>
      </c>
      <c r="K27" s="279" t="str">
        <f t="shared" si="2"/>
        <v/>
      </c>
      <c r="L27" s="279">
        <f t="shared" si="7"/>
        <v>39874.619999999995</v>
      </c>
      <c r="N27" s="26" t="s">
        <v>235</v>
      </c>
      <c r="O27" s="308" t="str" cm="1">
        <f t="array" ref="O27">IFERROR(LOOKUP(2,1/($J$3:$J$86=N27),$D$3:$D$86),"")</f>
        <v/>
      </c>
      <c r="P27" s="309" t="str" cm="1">
        <f t="array" ref="P27">IFERROR(LOOKUP(2,1/($J$3:$J$86=N27),-$K$3:$K$86),"")</f>
        <v/>
      </c>
      <c r="Q27" s="184"/>
    </row>
    <row r="28" spans="1:21" x14ac:dyDescent="0.25">
      <c r="A28">
        <v>26</v>
      </c>
      <c r="B28" s="304">
        <f t="shared" si="3"/>
        <v>44336</v>
      </c>
      <c r="C28" s="321">
        <f t="shared" si="4"/>
        <v>0</v>
      </c>
      <c r="D28" s="304">
        <f t="shared" si="0"/>
        <v>0</v>
      </c>
      <c r="E28" s="279" cm="1">
        <f t="array" ref="E28">IF(C28=0,0,
IF(Situation!$B$152=0,0,
IF(OR(C28=12,C28=24,C28=36,C28=48,C28=60,C28=72),$E$1,
IF(AND(C28&gt;=1,C28&lt;=SUM($M$7*12)),0,
IF(AND(I28&lt;=$M$7,TEXT(D28,"aaaa")=TEXT($P$6,"aaaa")),0,
IF($M$7=0,SUM((Situation!$B$71:$B$85=MONTH(1&amp;"/"&amp;TEXT(D28,"mmmm")))*(Situation!$C$71:$C$85)),
IF(TEXT(D28,"aaaa")=TEXT($P$6,"aaaa"),SUM((Situation!$B$71:$B$85=MONTH(1&amp;"/"&amp;TEXT(D28,"mmmm")))*(Situation!$C$71:$C$85)),
0)))))))</f>
        <v>0</v>
      </c>
      <c r="F28" s="279">
        <f t="shared" si="5"/>
        <v>0</v>
      </c>
      <c r="G28" s="279" cm="1">
        <f t="array" ref="G28">IFERROR(IF(B28=$P$4,$K$1,
IF(B28=EDATE($B$1,84),0,
IF(COUNTIF($N$9:$N$20,B28),LOOKUP(2,1/($N$9:$N$20=B28),$Q$9:$Q$21)*-1,
IF(C28&lt;&gt;0,$G$1,0)))),0)</f>
        <v>0</v>
      </c>
      <c r="H28" s="279">
        <f>IF(L27&lt;SUM(E28+G28),L27,SUM(E28+G28))</f>
        <v>0</v>
      </c>
      <c r="I28" s="321">
        <f t="shared" si="1"/>
        <v>0</v>
      </c>
      <c r="J28" t="str">
        <f>IF(K28&lt;&gt;"",CONCATENATE("Annuité ",COUNT($K$3:K28)),"")</f>
        <v/>
      </c>
      <c r="K28" s="279" t="str">
        <f t="shared" si="2"/>
        <v/>
      </c>
      <c r="L28" s="279">
        <f>SUM(L27-H28)</f>
        <v>39874.619999999995</v>
      </c>
      <c r="M28" s="279"/>
      <c r="N28" s="26" t="s">
        <v>236</v>
      </c>
      <c r="O28" s="308" t="str" cm="1">
        <f t="array" ref="O28">IFERROR(LOOKUP(2,1/($J$3:$J$86=N28),$D$3:$D$86),"")</f>
        <v/>
      </c>
      <c r="P28" s="309" t="str" cm="1">
        <f t="array" ref="P28">IFERROR(LOOKUP(2,1/($J$3:$J$86=N28),-$K$3:$K$86),"")</f>
        <v/>
      </c>
      <c r="Q28" s="184"/>
    </row>
    <row r="29" spans="1:21" x14ac:dyDescent="0.25">
      <c r="A29">
        <v>27</v>
      </c>
      <c r="B29" s="304">
        <f t="shared" si="3"/>
        <v>44367</v>
      </c>
      <c r="C29" s="321">
        <f t="shared" si="4"/>
        <v>0</v>
      </c>
      <c r="D29" s="304">
        <f t="shared" si="0"/>
        <v>0</v>
      </c>
      <c r="E29" s="279" cm="1">
        <f t="array" ref="E29">IF(C29=0,0,
IF(Situation!$B$152=0,0,
IF(OR(C29=12,C29=24,C29=36,C29=48,C29=60,C29=72),$E$1,
IF(AND(C29&gt;=1,C29&lt;=SUM($M$7*12)),0,
IF(AND(I29&lt;=$M$7,TEXT(D29,"aaaa")=TEXT($P$6,"aaaa")),0,
IF($M$7=0,SUM((Situation!$B$71:$B$85=MONTH(1&amp;"/"&amp;TEXT(D29,"mmmm")))*(Situation!$C$71:$C$85)),
IF(TEXT(D29,"aaaa")=TEXT($P$6,"aaaa"),SUM((Situation!$B$71:$B$85=MONTH(1&amp;"/"&amp;TEXT(D29,"mmmm")))*(Situation!$C$71:$C$85)),
0)))))))</f>
        <v>0</v>
      </c>
      <c r="F29" s="279">
        <f t="shared" si="5"/>
        <v>0</v>
      </c>
      <c r="G29" s="279" cm="1">
        <f t="array" ref="G29">IFERROR(IF(B29=$P$4,$K$1,
IF(B29=EDATE($B$1,84),0,
IF(COUNTIF($N$9:$N$20,B29),LOOKUP(2,1/($N$9:$N$20=B29),$Q$9:$Q$21)*-1,
IF(C29&lt;&gt;0,$G$1,0)))),0)</f>
        <v>0</v>
      </c>
      <c r="H29" s="279">
        <f t="shared" si="6"/>
        <v>0</v>
      </c>
      <c r="I29" s="321">
        <f t="shared" si="1"/>
        <v>0</v>
      </c>
      <c r="J29" t="str">
        <f>IF(K29&lt;&gt;"",CONCATENATE("Annuité ",COUNT($K$3:K29)),"")</f>
        <v/>
      </c>
      <c r="K29" s="279" t="str">
        <f t="shared" si="2"/>
        <v/>
      </c>
      <c r="L29" s="279">
        <f t="shared" si="7"/>
        <v>39874.619999999995</v>
      </c>
      <c r="M29" s="279"/>
      <c r="N29" s="26" t="s">
        <v>237</v>
      </c>
      <c r="O29" s="308" t="str" cm="1">
        <f t="array" ref="O29">IFERROR(LOOKUP(2,1/($J$3:$J$86=N29),$D$3:$D$86),"")</f>
        <v/>
      </c>
      <c r="P29" s="309" t="str" cm="1">
        <f t="array" ref="P29">IFERROR(LOOKUP(2,1/($J$3:$J$86=N29),-$K$3:$K$86),"")</f>
        <v/>
      </c>
      <c r="Q29" s="184"/>
    </row>
    <row r="30" spans="1:21" x14ac:dyDescent="0.25">
      <c r="A30">
        <v>28</v>
      </c>
      <c r="B30" s="304">
        <f t="shared" si="3"/>
        <v>44397</v>
      </c>
      <c r="C30" s="321">
        <f t="shared" si="4"/>
        <v>0</v>
      </c>
      <c r="D30" s="304">
        <f t="shared" si="0"/>
        <v>0</v>
      </c>
      <c r="E30" s="279" cm="1">
        <f t="array" ref="E30">IF(C30=0,0,
IF(Situation!$B$152=0,0,
IF(OR(C30=12,C30=24,C30=36,C30=48,C30=60,C30=72),$E$1,
IF(AND(C30&gt;=1,C30&lt;=SUM($M$7*12)),0,
IF(AND(I30&lt;=$M$7,TEXT(D30,"aaaa")=TEXT($P$6,"aaaa")),0,
IF($M$7=0,SUM((Situation!$B$71:$B$85=MONTH(1&amp;"/"&amp;TEXT(D30,"mmmm")))*(Situation!$C$71:$C$85)),
IF(TEXT(D30,"aaaa")=TEXT($P$6,"aaaa"),SUM((Situation!$B$71:$B$85=MONTH(1&amp;"/"&amp;TEXT(D30,"mmmm")))*(Situation!$C$71:$C$85)),
0)))))))</f>
        <v>0</v>
      </c>
      <c r="F30" s="279">
        <f t="shared" si="5"/>
        <v>0</v>
      </c>
      <c r="G30" s="279" cm="1">
        <f t="array" ref="G30">IFERROR(IF(B30=$P$4,$K$1,
IF(B30=EDATE($B$1,84),0,
IF(COUNTIF($N$9:$N$20,B30),LOOKUP(2,1/($N$9:$N$20=B30),$Q$9:$Q$21)*-1,
IF(C30&lt;&gt;0,$G$1,0)))),0)</f>
        <v>0</v>
      </c>
      <c r="H30" s="279">
        <f t="shared" si="6"/>
        <v>0</v>
      </c>
      <c r="I30" s="321">
        <f t="shared" si="1"/>
        <v>0</v>
      </c>
      <c r="J30" t="str">
        <f>IF(K30&lt;&gt;"",CONCATENATE("Annuité ",COUNT($K$3:K30)),"")</f>
        <v/>
      </c>
      <c r="K30" s="279" t="str">
        <f t="shared" si="2"/>
        <v/>
      </c>
      <c r="L30" s="279">
        <f t="shared" si="7"/>
        <v>39874.619999999995</v>
      </c>
      <c r="M30" s="279"/>
      <c r="N30" s="26" t="s">
        <v>261</v>
      </c>
      <c r="O30" s="308" t="str" cm="1">
        <f t="array" ref="O30">IFERROR(LOOKUP(2,1/($J$3:$J$86=N30),$D$3:$D$86),"")</f>
        <v/>
      </c>
      <c r="P30" s="309" t="str" cm="1">
        <f t="array" ref="P30">IFERROR(LOOKUP(2,1/($J$3:$J$86=N30),-$K$3:$K$86),"")</f>
        <v/>
      </c>
      <c r="R30" s="7"/>
      <c r="U30" s="279"/>
    </row>
    <row r="31" spans="1:21" x14ac:dyDescent="0.25">
      <c r="A31">
        <v>29</v>
      </c>
      <c r="B31" s="304">
        <f t="shared" si="3"/>
        <v>44428</v>
      </c>
      <c r="C31" s="321">
        <f t="shared" si="4"/>
        <v>0</v>
      </c>
      <c r="D31" s="304">
        <f t="shared" si="0"/>
        <v>0</v>
      </c>
      <c r="E31" s="279" cm="1">
        <f t="array" ref="E31">IF(C31=0,0,
IF(Situation!$B$152=0,0,
IF(OR(C31=12,C31=24,C31=36,C31=48,C31=60,C31=72),$E$1,
IF(AND(C31&gt;=1,C31&lt;=SUM($M$7*12)),0,
IF(AND(I31&lt;=$M$7,TEXT(D31,"aaaa")=TEXT($P$6,"aaaa")),0,
IF($M$7=0,SUM((Situation!$B$71:$B$85=MONTH(1&amp;"/"&amp;TEXT(D31,"mmmm")))*(Situation!$C$71:$C$85)),
IF(TEXT(D31,"aaaa")=TEXT($P$6,"aaaa"),SUM((Situation!$B$71:$B$85=MONTH(1&amp;"/"&amp;TEXT(D31,"mmmm")))*(Situation!$C$71:$C$85)),
0)))))))</f>
        <v>0</v>
      </c>
      <c r="F31" s="279">
        <f t="shared" si="5"/>
        <v>0</v>
      </c>
      <c r="G31" s="279" cm="1">
        <f t="array" ref="G31">IFERROR(IF(B31=$P$4,$K$1,
IF(B31=EDATE($B$1,84),0,
IF(COUNTIF($N$9:$N$20,B31),LOOKUP(2,1/($N$9:$N$20=B31),$Q$9:$Q$21)*-1,
IF(C31&lt;&gt;0,$G$1,0)))),0)</f>
        <v>17460</v>
      </c>
      <c r="H31" s="279">
        <f>IF(L30&lt;SUM(E31+G31),L30,SUM(E31+G31))</f>
        <v>17460</v>
      </c>
      <c r="I31" s="321">
        <f t="shared" si="1"/>
        <v>1</v>
      </c>
      <c r="J31" t="str">
        <f>IF(K31&lt;&gt;"",CONCATENATE("Annuité ",COUNT($K$3:K31)),"")</f>
        <v>Annuité 1</v>
      </c>
      <c r="K31" s="279">
        <f t="shared" si="2"/>
        <v>17460</v>
      </c>
      <c r="L31" s="279">
        <f t="shared" si="7"/>
        <v>22414.619999999995</v>
      </c>
      <c r="M31" s="279"/>
      <c r="N31" s="164" t="s">
        <v>238</v>
      </c>
      <c r="O31" s="164"/>
      <c r="P31" s="324">
        <f>SUM(P22:P29)</f>
        <v>0</v>
      </c>
      <c r="Q31" s="324" t="s">
        <v>283</v>
      </c>
      <c r="U31" s="279"/>
    </row>
    <row r="32" spans="1:21" x14ac:dyDescent="0.25">
      <c r="A32">
        <v>30</v>
      </c>
      <c r="B32" s="304">
        <f t="shared" si="3"/>
        <v>44459</v>
      </c>
      <c r="C32" s="321">
        <f t="shared" si="4"/>
        <v>1</v>
      </c>
      <c r="D32" s="304">
        <f t="shared" si="0"/>
        <v>44459</v>
      </c>
      <c r="E32" s="279" cm="1">
        <f t="array" ref="E32">IF(C32=0,0,
IF(Situation!$B$152=0,0,
IF(OR(C32=12,C32=24,C32=36,C32=48,C32=60,C32=72),$E$1,
IF(AND(C32&gt;=1,C32&lt;=SUM($M$7*12)),0,
IF(AND(I32&lt;=$M$7,TEXT(D32,"aaaa")=TEXT($P$6,"aaaa")),0,
IF($M$7=0,SUM((Situation!$B$71:$B$85=MONTH(1&amp;"/"&amp;TEXT(D32,"mmmm")))*(Situation!$C$71:$C$85)),
IF(TEXT(D32,"aaaa")=TEXT($P$6,"aaaa"),SUM((Situation!$B$71:$B$85=MONTH(1&amp;"/"&amp;TEXT(D32,"mmmm")))*(Situation!$C$71:$C$85)),
0)))))))</f>
        <v>0</v>
      </c>
      <c r="F32" s="279">
        <f t="shared" si="5"/>
        <v>0</v>
      </c>
      <c r="G32" s="279" cm="1">
        <f t="array" ref="G32">IFERROR(IF(B32=$P$4,$K$1,
IF(B32=EDATE($B$1,84),0,
IF(COUNTIF($N$9:$N$20,B32),LOOKUP(2,1/($N$9:$N$20=B32),$Q$9:$Q$21)*-1,
IF(C32&lt;&gt;0,$G$1,0)))),0)</f>
        <v>1030</v>
      </c>
      <c r="H32" s="279">
        <f t="shared" si="6"/>
        <v>1030</v>
      </c>
      <c r="I32" s="321">
        <f t="shared" si="1"/>
        <v>2</v>
      </c>
      <c r="J32" t="str">
        <f>IF(K32&lt;&gt;"",CONCATENATE("Annuité ",COUNT($K$3:K32)),"")</f>
        <v/>
      </c>
      <c r="K32" s="279" t="str">
        <f t="shared" si="2"/>
        <v/>
      </c>
      <c r="L32" s="279">
        <f t="shared" si="7"/>
        <v>21384.619999999995</v>
      </c>
      <c r="M32" s="321">
        <f>D32</f>
        <v>44459</v>
      </c>
      <c r="N32" s="26" t="str">
        <f t="shared" ref="N32:N38" si="12">IF(Q23="ok",N23,"")</f>
        <v>Annuité 1</v>
      </c>
      <c r="O32" s="308">
        <v>44459</v>
      </c>
      <c r="P32" s="309">
        <f t="shared" ref="P32:P38" si="13">IF(Q32="ok",P23,"")</f>
        <v>-17460</v>
      </c>
      <c r="Q32" s="184" t="s">
        <v>283</v>
      </c>
    </row>
    <row r="33" spans="1:17" x14ac:dyDescent="0.25">
      <c r="A33">
        <v>31</v>
      </c>
      <c r="B33" s="304">
        <f t="shared" si="3"/>
        <v>44489</v>
      </c>
      <c r="C33" s="321">
        <f t="shared" si="4"/>
        <v>2</v>
      </c>
      <c r="D33" s="304">
        <f t="shared" si="0"/>
        <v>44489</v>
      </c>
      <c r="E33" s="279" cm="1">
        <f t="array" ref="E33">IF(C33=0,0,
IF(Situation!$B$152=0,0,
IF(OR(C33=12,C33=24,C33=36,C33=48,C33=60,C33=72),$E$1,
IF(AND(C33&gt;=1,C33&lt;=SUM($M$7*12)),0,
IF(AND(I33&lt;=$M$7,TEXT(D33,"aaaa")=TEXT($P$6,"aaaa")),0,
IF($M$7=0,SUM((Situation!$B$71:$B$85=MONTH(1&amp;"/"&amp;TEXT(D33,"mmmm")))*(Situation!$C$71:$C$85)),
IF(TEXT(D33,"aaaa")=TEXT($P$6,"aaaa"),SUM((Situation!$B$71:$B$85=MONTH(1&amp;"/"&amp;TEXT(D33,"mmmm")))*(Situation!$C$71:$C$85)),
0)))))))</f>
        <v>0</v>
      </c>
      <c r="F33" s="279">
        <f t="shared" si="5"/>
        <v>0</v>
      </c>
      <c r="G33" s="279" cm="1">
        <f t="array" ref="G33">IFERROR(IF(B33=$P$4,$K$1,
IF(B33=EDATE($B$1,84),0,
IF(COUNTIF($N$9:$N$20,B33),LOOKUP(2,1/($N$9:$N$20=B33),$Q$9:$Q$21)*-1,
IF(C33&lt;&gt;0,$G$1,0)))),0)</f>
        <v>1030</v>
      </c>
      <c r="H33" s="279">
        <f t="shared" si="6"/>
        <v>1030</v>
      </c>
      <c r="I33" s="321">
        <f t="shared" si="1"/>
        <v>2</v>
      </c>
      <c r="J33" t="str">
        <f>IF(K33&lt;&gt;"",CONCATENATE("Annuité ",COUNT($K$3:K33)),"")</f>
        <v/>
      </c>
      <c r="K33" s="279" t="str">
        <f t="shared" si="2"/>
        <v/>
      </c>
      <c r="L33" s="279">
        <f t="shared" si="7"/>
        <v>20354.619999999995</v>
      </c>
      <c r="M33" s="321">
        <f t="shared" ref="M33:M52" si="14">D33</f>
        <v>44489</v>
      </c>
      <c r="N33" s="26" t="str">
        <f t="shared" si="12"/>
        <v>Annuité 2</v>
      </c>
      <c r="O33" s="308">
        <v>44824</v>
      </c>
      <c r="P33" s="309">
        <f t="shared" si="13"/>
        <v>-13020</v>
      </c>
      <c r="Q33" s="184" t="s">
        <v>283</v>
      </c>
    </row>
    <row r="34" spans="1:17" x14ac:dyDescent="0.25">
      <c r="A34">
        <v>32</v>
      </c>
      <c r="B34" s="304">
        <f t="shared" si="3"/>
        <v>44520</v>
      </c>
      <c r="C34" s="321">
        <f t="shared" si="4"/>
        <v>3</v>
      </c>
      <c r="D34" s="304">
        <f t="shared" si="0"/>
        <v>44520</v>
      </c>
      <c r="E34" s="279" cm="1">
        <f t="array" ref="E34">IF(C34=0,0,
IF(Situation!$B$152=0,0,
IF(OR(C34=12,C34=24,C34=36,C34=48,C34=60,C34=72),$E$1,
IF(AND(C34&gt;=1,C34&lt;=SUM($M$7*12)),0,
IF(AND(I34&lt;=$M$7,TEXT(D34,"aaaa")=TEXT($P$6,"aaaa")),0,
IF($M$7=0,SUM((Situation!$B$71:$B$85=MONTH(1&amp;"/"&amp;TEXT(D34,"mmmm")))*(Situation!$C$71:$C$85)),
IF(TEXT(D34,"aaaa")=TEXT($P$6,"aaaa"),SUM((Situation!$B$71:$B$85=MONTH(1&amp;"/"&amp;TEXT(D34,"mmmm")))*(Situation!$C$71:$C$85)),
0)))))))</f>
        <v>0</v>
      </c>
      <c r="F34" s="279">
        <f>IF($D$1=0,0,
IF(D34=$P$6,$F$1,
0))</f>
        <v>0</v>
      </c>
      <c r="G34" s="279" cm="1">
        <f t="array" ref="G34">IFERROR(IF(B34=$P$4,$K$1,
IF(B34=EDATE($B$1,84),0,
IF(COUNTIF($N$9:$N$20,B34),LOOKUP(2,1/($N$9:$N$20=B34),$Q$9:$Q$21)*-1,
IF(C34&lt;&gt;0,$G$1,0)))),0)</f>
        <v>1030</v>
      </c>
      <c r="H34" s="279">
        <f t="shared" si="6"/>
        <v>1030</v>
      </c>
      <c r="I34" s="321">
        <f t="shared" si="1"/>
        <v>2</v>
      </c>
      <c r="J34" t="str">
        <f>IF(K34&lt;&gt;"",CONCATENATE("Annuité ",COUNT($K$3:K34)),"")</f>
        <v/>
      </c>
      <c r="K34" s="279" t="str">
        <f t="shared" si="2"/>
        <v/>
      </c>
      <c r="L34" s="279">
        <f t="shared" si="7"/>
        <v>19324.619999999995</v>
      </c>
      <c r="M34" s="321">
        <f t="shared" si="14"/>
        <v>44520</v>
      </c>
      <c r="N34" s="26" t="str">
        <f t="shared" si="12"/>
        <v>Annuité 3</v>
      </c>
      <c r="O34" s="308">
        <v>45097</v>
      </c>
      <c r="P34" s="309">
        <f t="shared" si="13"/>
        <v>-9394.6199999999953</v>
      </c>
      <c r="Q34" s="184" t="s">
        <v>283</v>
      </c>
    </row>
    <row r="35" spans="1:17" x14ac:dyDescent="0.25">
      <c r="A35">
        <v>33</v>
      </c>
      <c r="B35" s="304">
        <f t="shared" si="3"/>
        <v>44550</v>
      </c>
      <c r="C35" s="321">
        <f t="shared" si="4"/>
        <v>4</v>
      </c>
      <c r="D35" s="304">
        <f t="shared" si="0"/>
        <v>44550</v>
      </c>
      <c r="E35" s="279" cm="1">
        <f t="array" ref="E35">IF(C35=0,0,
IF(Situation!$B$152=0,0,
IF(OR(C35=12,C35=24,C35=36,C35=48,C35=60,C35=72),$E$1,
IF(AND(C35&gt;=1,C35&lt;=SUM($M$7*12)),0,
IF(AND(I35&lt;=$M$7,TEXT(D35,"aaaa")=TEXT($P$6,"aaaa")),0,
IF($M$7=0,SUM((Situation!$B$71:$B$85=MONTH(1&amp;"/"&amp;TEXT(D35,"mmmm")))*(Situation!$C$71:$C$85)),
IF(TEXT(D35,"aaaa")=TEXT($P$6,"aaaa"),SUM((Situation!$B$71:$B$85=MONTH(1&amp;"/"&amp;TEXT(D35,"mmmm")))*(Situation!$C$71:$C$85)),
0)))))))</f>
        <v>0</v>
      </c>
      <c r="F35" s="279">
        <f t="shared" si="5"/>
        <v>0</v>
      </c>
      <c r="G35" s="279" cm="1">
        <f t="array" ref="G35">IFERROR(IF(B35=$P$4,$K$1,
IF(B35=EDATE($B$1,84),0,
IF(COUNTIF($N$9:$N$20,B35),LOOKUP(2,1/($N$9:$N$20=B35),$Q$9:$Q$21)*-1,
IF(C35&lt;&gt;0,$G$1,0)))),0)</f>
        <v>1030</v>
      </c>
      <c r="H35" s="279">
        <f t="shared" si="6"/>
        <v>1030</v>
      </c>
      <c r="I35" s="321">
        <f t="shared" si="1"/>
        <v>2</v>
      </c>
      <c r="J35" t="str">
        <f>IF(K35&lt;&gt;"",CONCATENATE("Annuité ",COUNT($K$3:K35)),"")</f>
        <v/>
      </c>
      <c r="K35" s="279" t="str">
        <f t="shared" si="2"/>
        <v/>
      </c>
      <c r="L35" s="279">
        <f t="shared" si="7"/>
        <v>18294.619999999995</v>
      </c>
      <c r="M35" s="321">
        <f t="shared" si="14"/>
        <v>44550</v>
      </c>
      <c r="N35" s="26" t="str">
        <f t="shared" si="12"/>
        <v/>
      </c>
      <c r="O35" s="308"/>
      <c r="P35" s="309" t="str">
        <f t="shared" si="13"/>
        <v/>
      </c>
      <c r="Q35" s="184"/>
    </row>
    <row r="36" spans="1:17" x14ac:dyDescent="0.25">
      <c r="A36">
        <v>34</v>
      </c>
      <c r="B36" s="304">
        <f t="shared" si="3"/>
        <v>44581</v>
      </c>
      <c r="C36" s="321">
        <f t="shared" si="4"/>
        <v>5</v>
      </c>
      <c r="D36" s="304">
        <f t="shared" si="0"/>
        <v>44581</v>
      </c>
      <c r="E36" s="279" cm="1">
        <f t="array" ref="E36">IF(C36=0,0,
IF(Situation!$B$152=0,0,
IF(OR(C36=12,C36=24,C36=36,C36=48,C36=60,C36=72),$E$1,
IF(AND(C36&gt;=1,C36&lt;=SUM($M$7*12)),0,
IF(AND(I36&lt;=$M$7,TEXT(D36,"aaaa")=TEXT($P$6,"aaaa")),0,
IF($M$7=0,SUM((Situation!$B$71:$B$85=MONTH(1&amp;"/"&amp;TEXT(D36,"mmmm")))*(Situation!$C$71:$C$85)),
IF(TEXT(D36,"aaaa")=TEXT($P$6,"aaaa"),SUM((Situation!$B$71:$B$85=MONTH(1&amp;"/"&amp;TEXT(D36,"mmmm")))*(Situation!$C$71:$C$85)),
0)))))))</f>
        <v>0</v>
      </c>
      <c r="F36" s="279">
        <f t="shared" si="5"/>
        <v>0</v>
      </c>
      <c r="G36" s="279" cm="1">
        <f t="array" ref="G36">IFERROR(IF(B36=$P$4,$K$1,
IF(B36=EDATE($B$1,84),0,
IF(COUNTIF($N$9:$N$20,B36),LOOKUP(2,1/($N$9:$N$20=B36),$Q$9:$Q$21)*-1,
IF(C36&lt;&gt;0,$G$1,0)))),0)</f>
        <v>1030</v>
      </c>
      <c r="H36" s="279">
        <f t="shared" si="6"/>
        <v>1030</v>
      </c>
      <c r="I36" s="321">
        <f t="shared" si="1"/>
        <v>2</v>
      </c>
      <c r="J36" t="str">
        <f>IF(K36&lt;&gt;"",CONCATENATE("Annuité ",COUNT($K$3:K36)),"")</f>
        <v/>
      </c>
      <c r="K36" s="279" t="str">
        <f t="shared" si="2"/>
        <v/>
      </c>
      <c r="L36" s="279">
        <f t="shared" ref="L36:L86" si="15">SUM(L35-H36)</f>
        <v>17264.619999999995</v>
      </c>
      <c r="M36" s="321">
        <f t="shared" si="14"/>
        <v>44581</v>
      </c>
      <c r="N36" s="26" t="str">
        <f t="shared" si="12"/>
        <v/>
      </c>
      <c r="O36" s="308"/>
      <c r="P36" s="309" t="str">
        <f t="shared" si="13"/>
        <v/>
      </c>
      <c r="Q36" s="184"/>
    </row>
    <row r="37" spans="1:17" x14ac:dyDescent="0.25">
      <c r="A37">
        <v>35</v>
      </c>
      <c r="B37" s="304">
        <f t="shared" si="3"/>
        <v>44612</v>
      </c>
      <c r="C37" s="321">
        <f t="shared" si="4"/>
        <v>6</v>
      </c>
      <c r="D37" s="304">
        <f t="shared" si="0"/>
        <v>44612</v>
      </c>
      <c r="E37" s="279" cm="1">
        <f t="array" ref="E37">IF(C37=0,0,
IF(Situation!$B$152=0,0,
IF(OR(C37=12,C37=24,C37=36,C37=48,C37=60,C37=72),$E$1,
IF(AND(C37&gt;=1,C37&lt;=SUM($M$7*12)),0,
IF(AND(I37&lt;=$M$7,TEXT(D37,"aaaa")=TEXT($P$6,"aaaa")),0,
IF($M$7=0,SUM((Situation!$B$71:$B$85=MONTH(1&amp;"/"&amp;TEXT(D37,"mmmm")))*(Situation!$C$71:$C$85)),
IF(TEXT(D37,"aaaa")=TEXT($P$6,"aaaa"),SUM((Situation!$B$71:$B$85=MONTH(1&amp;"/"&amp;TEXT(D37,"mmmm")))*(Situation!$C$71:$C$85)),
0)))))))</f>
        <v>0</v>
      </c>
      <c r="F37" s="279">
        <f t="shared" si="5"/>
        <v>0</v>
      </c>
      <c r="G37" s="279" cm="1">
        <f t="array" ref="G37">IFERROR(IF(B37=$P$4,$K$1,
IF(B37=EDATE($B$1,84),0,
IF(COUNTIF($N$9:$N$20,B37),LOOKUP(2,1/($N$9:$N$20=B37),$Q$9:$Q$21)*-1,
IF(C37&lt;&gt;0,$G$1,0)))),0)</f>
        <v>1030</v>
      </c>
      <c r="H37" s="279">
        <f t="shared" si="6"/>
        <v>1030</v>
      </c>
      <c r="I37" s="321">
        <f t="shared" si="1"/>
        <v>2</v>
      </c>
      <c r="J37" t="str">
        <f>IF(K37&lt;&gt;"",CONCATENATE("Annuité ",COUNT($K$3:K37)),"")</f>
        <v/>
      </c>
      <c r="K37" s="279" t="str">
        <f t="shared" si="2"/>
        <v/>
      </c>
      <c r="L37" s="279">
        <f t="shared" si="15"/>
        <v>16234.619999999995</v>
      </c>
      <c r="M37" s="321">
        <f t="shared" si="14"/>
        <v>44612</v>
      </c>
      <c r="N37" s="26" t="str">
        <f t="shared" si="12"/>
        <v/>
      </c>
      <c r="O37" s="308"/>
      <c r="P37" s="309" t="str">
        <f t="shared" si="13"/>
        <v/>
      </c>
      <c r="Q37" s="184"/>
    </row>
    <row r="38" spans="1:17" x14ac:dyDescent="0.25">
      <c r="A38">
        <v>36</v>
      </c>
      <c r="B38" s="304">
        <f t="shared" si="3"/>
        <v>44640</v>
      </c>
      <c r="C38" s="321">
        <f t="shared" si="4"/>
        <v>7</v>
      </c>
      <c r="D38" s="304">
        <f t="shared" si="0"/>
        <v>44640</v>
      </c>
      <c r="E38" s="279" cm="1">
        <f t="array" ref="E38">IF(C38=0,0,
IF(Situation!$B$152=0,0,
IF(OR(C38=12,C38=24,C38=36,C38=48,C38=60,C38=72),$E$1,
IF(AND(C38&gt;=1,C38&lt;=SUM($M$7*12)),0,
IF(AND(I38&lt;=$M$7,TEXT(D38,"aaaa")=TEXT($P$6,"aaaa")),0,
IF($M$7=0,SUM((Situation!$B$71:$B$85=MONTH(1&amp;"/"&amp;TEXT(D38,"mmmm")))*(Situation!$C$71:$C$85)),
IF(TEXT(D38,"aaaa")=TEXT($P$6,"aaaa"),SUM((Situation!$B$71:$B$85=MONTH(1&amp;"/"&amp;TEXT(D38,"mmmm")))*(Situation!$C$71:$C$85)),
0)))))))</f>
        <v>0</v>
      </c>
      <c r="F38" s="279">
        <f t="shared" si="5"/>
        <v>0</v>
      </c>
      <c r="G38" s="279" cm="1">
        <f t="array" ref="G38">IFERROR(IF(B38=$P$4,$K$1,
IF(B38=EDATE($B$1,84),0,
IF(COUNTIF($N$9:$N$20,B38),LOOKUP(2,1/($N$9:$N$20=B38),$Q$9:$Q$21)*-1,
IF(C38&lt;&gt;0,$G$1,0)))),0)</f>
        <v>1030</v>
      </c>
      <c r="H38" s="279">
        <f t="shared" si="6"/>
        <v>1030</v>
      </c>
      <c r="I38" s="321">
        <f t="shared" si="1"/>
        <v>2</v>
      </c>
      <c r="J38" t="str">
        <f>IF(K38&lt;&gt;"",CONCATENATE("Annuité ",COUNT($K$3:K38)),"")</f>
        <v/>
      </c>
      <c r="K38" s="279" t="str">
        <f t="shared" si="2"/>
        <v/>
      </c>
      <c r="L38" s="279">
        <f t="shared" si="15"/>
        <v>15204.619999999995</v>
      </c>
      <c r="M38" s="321">
        <f t="shared" si="14"/>
        <v>44640</v>
      </c>
      <c r="N38" s="26" t="str">
        <f t="shared" si="12"/>
        <v/>
      </c>
      <c r="O38" s="308"/>
      <c r="P38" s="309" t="str">
        <f t="shared" si="13"/>
        <v/>
      </c>
      <c r="Q38" s="184"/>
    </row>
    <row r="39" spans="1:17" x14ac:dyDescent="0.25">
      <c r="A39">
        <v>37</v>
      </c>
      <c r="B39" s="304">
        <f t="shared" si="3"/>
        <v>44671</v>
      </c>
      <c r="C39" s="321">
        <f t="shared" si="4"/>
        <v>8</v>
      </c>
      <c r="D39" s="304">
        <f t="shared" si="0"/>
        <v>44671</v>
      </c>
      <c r="E39" s="279" cm="1">
        <f t="array" ref="E39">IF(C39=0,0,
IF(Situation!$B$152=0,0,
IF(OR(C39=12,C39=24,C39=36,C39=48,C39=60,C39=72),$E$1,
IF(AND(C39&gt;=1,C39&lt;=SUM($M$7*12)),0,
IF(AND(I39&lt;=$M$7,TEXT(D39,"aaaa")=TEXT($P$6,"aaaa")),0,
IF($M$7=0,SUM((Situation!$B$71:$B$85=MONTH(1&amp;"/"&amp;TEXT(D39,"mmmm")))*(Situation!$C$71:$C$85)),
IF(TEXT(D39,"aaaa")=TEXT($P$6,"aaaa"),SUM((Situation!$B$71:$B$85=MONTH(1&amp;"/"&amp;TEXT(D39,"mmmm")))*(Situation!$C$71:$C$85)),
0)))))))</f>
        <v>0</v>
      </c>
      <c r="F39" s="279">
        <f t="shared" si="5"/>
        <v>0</v>
      </c>
      <c r="G39" s="279" cm="1">
        <f t="array" ref="G39">IFERROR(IF(B39=$P$4,$K$1,
IF(B39=EDATE($B$1,84),0,
IF(COUNTIF($N$9:$N$20,B39),LOOKUP(2,1/($N$9:$N$20=B39),$Q$9:$Q$21)*-1,
IF(C39&lt;&gt;0,$G$1,0)))),0)</f>
        <v>1030</v>
      </c>
      <c r="H39" s="279">
        <f t="shared" si="6"/>
        <v>1030</v>
      </c>
      <c r="I39" s="321">
        <f t="shared" si="1"/>
        <v>2</v>
      </c>
      <c r="J39" t="str">
        <f>IF(K39&lt;&gt;"",CONCATENATE("Annuité ",COUNT($K$3:K39)),"")</f>
        <v/>
      </c>
      <c r="K39" s="279" t="str">
        <f t="shared" si="2"/>
        <v/>
      </c>
      <c r="L39" s="279">
        <f t="shared" si="15"/>
        <v>14174.619999999995</v>
      </c>
      <c r="M39" s="321">
        <f t="shared" si="14"/>
        <v>44671</v>
      </c>
    </row>
    <row r="40" spans="1:17" x14ac:dyDescent="0.25">
      <c r="A40">
        <v>38</v>
      </c>
      <c r="B40" s="304">
        <f t="shared" si="3"/>
        <v>44701</v>
      </c>
      <c r="C40" s="321">
        <f t="shared" si="4"/>
        <v>9</v>
      </c>
      <c r="D40" s="304">
        <f t="shared" si="0"/>
        <v>44701</v>
      </c>
      <c r="E40" s="279" cm="1">
        <f t="array" ref="E40">IF(C40=0,0,
IF(Situation!$B$152=0,0,
IF(OR(C40=12,C40=24,C40=36,C40=48,C40=60,C40=72),$E$1,
IF(AND(C40&gt;=1,C40&lt;=SUM($M$7*12)),0,
IF(AND(I40&lt;=$M$7,TEXT(D40,"aaaa")=TEXT($P$6,"aaaa")),0,
IF($M$7=0,SUM((Situation!$B$71:$B$85=MONTH(1&amp;"/"&amp;TEXT(D40,"mmmm")))*(Situation!$C$71:$C$85)),
IF(TEXT(D40,"aaaa")=TEXT($P$6,"aaaa"),SUM((Situation!$B$71:$B$85=MONTH(1&amp;"/"&amp;TEXT(D40,"mmmm")))*(Situation!$C$71:$C$85)),
0)))))))</f>
        <v>0</v>
      </c>
      <c r="F40" s="279">
        <f t="shared" si="5"/>
        <v>0</v>
      </c>
      <c r="G40" s="279" cm="1">
        <f t="array" ref="G40">IFERROR(IF(B40=$P$4,$K$1,
IF(B40=EDATE($B$1,84),0,
IF(COUNTIF($N$9:$N$20,B40),LOOKUP(2,1/($N$9:$N$20=B40),$Q$9:$Q$21)*-1,
IF(C40&lt;&gt;0,$G$1,0)))),0)</f>
        <v>1030</v>
      </c>
      <c r="H40" s="279">
        <f t="shared" si="6"/>
        <v>1030</v>
      </c>
      <c r="I40" s="321">
        <f t="shared" si="1"/>
        <v>2</v>
      </c>
      <c r="J40" t="str">
        <f>IF(K40&lt;&gt;"",CONCATENATE("Annuité ",COUNT($K$3:K40)),"")</f>
        <v/>
      </c>
      <c r="K40" s="279" t="str">
        <f t="shared" si="2"/>
        <v/>
      </c>
      <c r="L40" s="279">
        <f t="shared" si="15"/>
        <v>13144.619999999995</v>
      </c>
      <c r="M40" s="321">
        <f t="shared" si="14"/>
        <v>44701</v>
      </c>
    </row>
    <row r="41" spans="1:17" x14ac:dyDescent="0.25">
      <c r="A41">
        <v>39</v>
      </c>
      <c r="B41" s="304">
        <f t="shared" si="3"/>
        <v>44732</v>
      </c>
      <c r="C41" s="321">
        <f t="shared" si="4"/>
        <v>10</v>
      </c>
      <c r="D41" s="304">
        <f t="shared" si="0"/>
        <v>44732</v>
      </c>
      <c r="E41" s="279" cm="1">
        <f t="array" ref="E41">IF(C41=0,0,
IF(Situation!$B$152=0,0,
IF(OR(C41=12,C41=24,C41=36,C41=48,C41=60,C41=72),$E$1,
IF(AND(C41&gt;=1,C41&lt;=SUM($M$7*12)),0,
IF(AND(I41&lt;=$M$7,TEXT(D41,"aaaa")=TEXT($P$6,"aaaa")),0,
IF($M$7=0,SUM((Situation!$B$71:$B$85=MONTH(1&amp;"/"&amp;TEXT(D41,"mmmm")))*(Situation!$C$71:$C$85)),
IF(TEXT(D41,"aaaa")=TEXT($P$6,"aaaa"),SUM((Situation!$B$71:$B$85=MONTH(1&amp;"/"&amp;TEXT(D41,"mmmm")))*(Situation!$C$71:$C$85)),
0)))))))</f>
        <v>0</v>
      </c>
      <c r="F41" s="279">
        <f t="shared" si="5"/>
        <v>0</v>
      </c>
      <c r="G41" s="279" cm="1">
        <f t="array" ref="G41">IFERROR(IF(B41=$P$4,$K$1,
IF(B41=EDATE($B$1,84),0,
IF(COUNTIF($N$9:$N$20,B41),LOOKUP(2,1/($N$9:$N$20=B41),$Q$9:$Q$21)*-1,
IF(C41&lt;&gt;0,$G$1,0)))),0)</f>
        <v>1030</v>
      </c>
      <c r="H41" s="279">
        <f t="shared" ref="H41:H68" si="16">IF(L40&lt;SUM(E41+G41),L40,SUM(E41+G41))</f>
        <v>1030</v>
      </c>
      <c r="I41" s="321">
        <f t="shared" si="1"/>
        <v>2</v>
      </c>
      <c r="J41" t="str">
        <f>IF(K41&lt;&gt;"",CONCATENATE("Annuité ",COUNT($K$3:K41)),"")</f>
        <v/>
      </c>
      <c r="K41" s="279" t="str">
        <f t="shared" si="2"/>
        <v/>
      </c>
      <c r="L41" s="279">
        <f t="shared" si="15"/>
        <v>12114.619999999995</v>
      </c>
      <c r="M41" s="321">
        <f t="shared" si="14"/>
        <v>44732</v>
      </c>
    </row>
    <row r="42" spans="1:17" x14ac:dyDescent="0.25">
      <c r="A42">
        <v>40</v>
      </c>
      <c r="B42" s="304">
        <f t="shared" si="3"/>
        <v>44762</v>
      </c>
      <c r="C42" s="321">
        <f t="shared" si="4"/>
        <v>11</v>
      </c>
      <c r="D42" s="304">
        <f t="shared" si="0"/>
        <v>44762</v>
      </c>
      <c r="E42" s="279" cm="1">
        <f t="array" ref="E42">IF(C42=0,0,
IF(Situation!$B$152=0,0,
IF(OR(C42=12,C42=24,C42=36,C42=48,C42=60,C42=72),$E$1,
IF(AND(C42&gt;=1,C42&lt;=SUM($M$7*12)),0,
IF(AND(I42&lt;=$M$7,TEXT(D42,"aaaa")=TEXT($P$6,"aaaa")),0,
IF($M$7=0,SUM((Situation!$B$71:$B$85=MONTH(1&amp;"/"&amp;TEXT(D42,"mmmm")))*(Situation!$C$71:$C$85)),
IF(TEXT(D42,"aaaa")=TEXT($P$6,"aaaa"),SUM((Situation!$B$71:$B$85=MONTH(1&amp;"/"&amp;TEXT(D42,"mmmm")))*(Situation!$C$71:$C$85)),
0)))))))</f>
        <v>0</v>
      </c>
      <c r="F42" s="279">
        <f t="shared" si="5"/>
        <v>0</v>
      </c>
      <c r="G42" s="279" cm="1">
        <f t="array" ref="G42">IFERROR(IF(B42=$P$4,$K$1,
IF(B42=EDATE($B$1,84),0,
IF(COUNTIF($N$9:$N$20,B42),LOOKUP(2,1/($N$9:$N$20=B42),$Q$9:$Q$21)*-1,
IF(C42&lt;&gt;0,$G$1,0)))),0)</f>
        <v>1030</v>
      </c>
      <c r="H42" s="279">
        <f t="shared" si="16"/>
        <v>1030</v>
      </c>
      <c r="I42" s="321">
        <f t="shared" si="1"/>
        <v>2</v>
      </c>
      <c r="J42" t="str">
        <f>IF(K42&lt;&gt;"",CONCATENATE("Annuité ",COUNT($K$3:K42)),"")</f>
        <v/>
      </c>
      <c r="K42" s="279" t="str">
        <f t="shared" si="2"/>
        <v/>
      </c>
      <c r="L42" s="279">
        <f t="shared" si="15"/>
        <v>11084.619999999995</v>
      </c>
      <c r="M42" s="321">
        <f t="shared" si="14"/>
        <v>44762</v>
      </c>
    </row>
    <row r="43" spans="1:17" x14ac:dyDescent="0.25">
      <c r="A43">
        <v>41</v>
      </c>
      <c r="B43" s="304">
        <f t="shared" si="3"/>
        <v>44793</v>
      </c>
      <c r="C43" s="321">
        <f t="shared" si="4"/>
        <v>12</v>
      </c>
      <c r="D43" s="304">
        <f t="shared" si="0"/>
        <v>44793</v>
      </c>
      <c r="E43" s="279" cm="1">
        <f t="array" ref="E43">IF(C43=0,0,
IF(Situation!$B$152=0,0,
IF(OR(C43=12,C43=24,C43=36,C43=48,C43=60,C43=72),$E$1,
IF(AND(C43&gt;=1,C43&lt;=SUM($M$7*12)),0,
IF(AND(I43&lt;=$M$7,TEXT(D43,"aaaa")=TEXT($P$6,"aaaa")),0,
IF($M$7=0,SUM((Situation!$B$71:$B$85=MONTH(1&amp;"/"&amp;TEXT(D43,"mmmm")))*(Situation!$C$71:$C$85)),
IF(TEXT(D43,"aaaa")=TEXT($P$6,"aaaa"),SUM((Situation!$B$71:$B$85=MONTH(1&amp;"/"&amp;TEXT(D43,"mmmm")))*(Situation!$C$71:$C$85)),
0)))))))</f>
        <v>660</v>
      </c>
      <c r="F43" s="279">
        <f t="shared" si="5"/>
        <v>0</v>
      </c>
      <c r="G43" s="279" cm="1">
        <f t="array" ref="G43">IFERROR(IF(B43=$P$4,$K$1,
IF(B43=EDATE($B$1,84),0,
IF(COUNTIF($N$9:$N$20,B43),LOOKUP(2,1/($N$9:$N$20=B43),$Q$9:$Q$21)*-1,
IF(C43&lt;&gt;0,$G$1,0)))),0)</f>
        <v>1030</v>
      </c>
      <c r="H43" s="279">
        <f t="shared" si="16"/>
        <v>1690</v>
      </c>
      <c r="I43" s="321">
        <f t="shared" si="1"/>
        <v>2</v>
      </c>
      <c r="J43" t="str">
        <f>IF(K43&lt;&gt;"",CONCATENATE("Annuité ",COUNT($K$3:K43)),"")</f>
        <v>Annuité 2</v>
      </c>
      <c r="K43" s="279">
        <f t="shared" si="2"/>
        <v>13020</v>
      </c>
      <c r="L43" s="279">
        <f t="shared" si="15"/>
        <v>9394.6199999999953</v>
      </c>
      <c r="M43" s="321">
        <f t="shared" si="14"/>
        <v>44793</v>
      </c>
    </row>
    <row r="44" spans="1:17" x14ac:dyDescent="0.25">
      <c r="A44">
        <v>42</v>
      </c>
      <c r="B44" s="304">
        <f t="shared" si="3"/>
        <v>44824</v>
      </c>
      <c r="C44" s="321">
        <f t="shared" si="4"/>
        <v>13</v>
      </c>
      <c r="D44" s="304">
        <f t="shared" si="0"/>
        <v>44824</v>
      </c>
      <c r="E44" s="279" cm="1">
        <f t="array" ref="E44">IF(C44=0,0,
IF(Situation!$B$152=0,0,
IF(OR(C44=12,C44=24,C44=36,C44=48,C44=60,C44=72),$E$1,
IF(AND(C44&gt;=1,C44&lt;=SUM($M$7*12)),0,
IF(AND(I44&lt;=$M$7,TEXT(D44,"aaaa")=TEXT($P$6,"aaaa")),0,
IF($M$7=0,SUM((Situation!$B$71:$B$85=MONTH(1&amp;"/"&amp;TEXT(D44,"mmmm")))*(Situation!$C$71:$C$85)),
IF(TEXT(D44,"aaaa")=TEXT($P$6,"aaaa"),SUM((Situation!$B$71:$B$85=MONTH(1&amp;"/"&amp;TEXT(D44,"mmmm")))*(Situation!$C$71:$C$85)),
0)))))))</f>
        <v>0</v>
      </c>
      <c r="F44" s="279">
        <f t="shared" si="5"/>
        <v>0</v>
      </c>
      <c r="G44" s="279" cm="1">
        <f t="array" ref="G44">IFERROR(IF(B44=$P$4,$K$1,
IF(B44=EDATE($B$1,84),0,
IF(COUNTIF($N$9:$N$20,B44),LOOKUP(2,1/($N$9:$N$20=B44),$Q$9:$Q$21)*-1,
IF(C44&lt;&gt;0,$G$1,0)))),0)</f>
        <v>971.66666666666663</v>
      </c>
      <c r="H44" s="279">
        <f t="shared" si="16"/>
        <v>971.66666666666663</v>
      </c>
      <c r="I44" s="321">
        <f t="shared" si="1"/>
        <v>3</v>
      </c>
      <c r="J44" t="str">
        <f>IF(K44&lt;&gt;"",CONCATENATE("Annuité ",COUNT($K$3:K44)),"")</f>
        <v/>
      </c>
      <c r="K44" s="279" t="str">
        <f t="shared" si="2"/>
        <v/>
      </c>
      <c r="L44" s="279">
        <f t="shared" si="15"/>
        <v>8422.9533333333293</v>
      </c>
      <c r="M44" s="321">
        <f t="shared" si="14"/>
        <v>44824</v>
      </c>
    </row>
    <row r="45" spans="1:17" x14ac:dyDescent="0.25">
      <c r="A45">
        <v>43</v>
      </c>
      <c r="B45" s="304">
        <f t="shared" si="3"/>
        <v>44854</v>
      </c>
      <c r="C45" s="321">
        <f t="shared" si="4"/>
        <v>14</v>
      </c>
      <c r="D45" s="304">
        <f t="shared" si="0"/>
        <v>44854</v>
      </c>
      <c r="E45" s="279" cm="1">
        <f t="array" ref="E45">IF(C45=0,0,
IF(Situation!$B$152=0,0,
IF(OR(C45=12,C45=24,C45=36,C45=48,C45=60,C45=72),$E$1,
IF(AND(C45&gt;=1,C45&lt;=SUM($M$7*12)),0,
IF(AND(I45&lt;=$M$7,TEXT(D45,"aaaa")=TEXT($P$6,"aaaa")),0,
IF($M$7=0,SUM((Situation!$B$71:$B$85=MONTH(1&amp;"/"&amp;TEXT(D45,"mmmm")))*(Situation!$C$71:$C$85)),
IF(TEXT(D45,"aaaa")=TEXT($P$6,"aaaa"),SUM((Situation!$B$71:$B$85=MONTH(1&amp;"/"&amp;TEXT(D45,"mmmm")))*(Situation!$C$71:$C$85)),
0)))))))</f>
        <v>0</v>
      </c>
      <c r="F45" s="279">
        <f t="shared" si="5"/>
        <v>0</v>
      </c>
      <c r="G45" s="279" cm="1">
        <f t="array" ref="G45">IFERROR(IF(B45=$P$4,$K$1,
IF(B45=EDATE($B$1,84),0,
IF(COUNTIF($N$9:$N$20,B45),LOOKUP(2,1/($N$9:$N$20=B45),$Q$9:$Q$21)*-1,
IF(C45&lt;&gt;0,$G$1,0)))),0)</f>
        <v>971.66666666666663</v>
      </c>
      <c r="H45" s="279">
        <f t="shared" si="16"/>
        <v>971.66666666666663</v>
      </c>
      <c r="I45" s="321">
        <f t="shared" si="1"/>
        <v>3</v>
      </c>
      <c r="J45" t="str">
        <f>IF(K45&lt;&gt;"",CONCATENATE("Annuité ",COUNT($K$3:K45)),"")</f>
        <v/>
      </c>
      <c r="K45" s="279" t="str">
        <f t="shared" si="2"/>
        <v/>
      </c>
      <c r="L45" s="279">
        <f t="shared" si="15"/>
        <v>7451.2866666666623</v>
      </c>
      <c r="M45" s="321">
        <f t="shared" si="14"/>
        <v>44854</v>
      </c>
    </row>
    <row r="46" spans="1:17" x14ac:dyDescent="0.25">
      <c r="A46">
        <v>44</v>
      </c>
      <c r="B46" s="304">
        <f t="shared" si="3"/>
        <v>44885</v>
      </c>
      <c r="C46" s="321">
        <f t="shared" si="4"/>
        <v>15</v>
      </c>
      <c r="D46" s="304">
        <f t="shared" si="0"/>
        <v>44885</v>
      </c>
      <c r="E46" s="279" cm="1">
        <f t="array" ref="E46">IF(C46=0,0,
IF(Situation!$B$152=0,0,
IF(OR(C46=12,C46=24,C46=36,C46=48,C46=60,C46=72),$E$1,
IF(AND(C46&gt;=1,C46&lt;=SUM($M$7*12)),0,
IF(AND(I46&lt;=$M$7,TEXT(D46,"aaaa")=TEXT($P$6,"aaaa")),0,
IF($M$7=0,SUM((Situation!$B$71:$B$85=MONTH(1&amp;"/"&amp;TEXT(D46,"mmmm")))*(Situation!$C$71:$C$85)),
IF(TEXT(D46,"aaaa")=TEXT($P$6,"aaaa"),SUM((Situation!$B$71:$B$85=MONTH(1&amp;"/"&amp;TEXT(D46,"mmmm")))*(Situation!$C$71:$C$85)),
0)))))))</f>
        <v>0</v>
      </c>
      <c r="F46" s="279">
        <f t="shared" si="5"/>
        <v>0</v>
      </c>
      <c r="G46" s="279" cm="1">
        <f t="array" ref="G46">IFERROR(IF(B46=$P$4,$K$1,
IF(B46=EDATE($B$1,84),0,
IF(COUNTIF($N$9:$N$20,B46),LOOKUP(2,1/($N$9:$N$20=B46),$Q$9:$Q$21)*-1,
IF(C46&lt;&gt;0,$G$1,0)))),0)</f>
        <v>971.66666666666663</v>
      </c>
      <c r="H46" s="279">
        <f t="shared" si="16"/>
        <v>971.66666666666663</v>
      </c>
      <c r="I46" s="321">
        <f t="shared" si="1"/>
        <v>3</v>
      </c>
      <c r="J46" t="str">
        <f>IF(K46&lt;&gt;"",CONCATENATE("Annuité ",COUNT($K$3:K46)),"")</f>
        <v/>
      </c>
      <c r="K46" s="279" t="str">
        <f t="shared" si="2"/>
        <v/>
      </c>
      <c r="L46" s="279">
        <f t="shared" si="15"/>
        <v>6479.6199999999953</v>
      </c>
      <c r="M46" s="321">
        <f t="shared" si="14"/>
        <v>44885</v>
      </c>
    </row>
    <row r="47" spans="1:17" x14ac:dyDescent="0.25">
      <c r="A47">
        <v>45</v>
      </c>
      <c r="B47" s="304">
        <f t="shared" si="3"/>
        <v>44915</v>
      </c>
      <c r="C47" s="321">
        <f t="shared" si="4"/>
        <v>16</v>
      </c>
      <c r="D47" s="304">
        <f t="shared" si="0"/>
        <v>44915</v>
      </c>
      <c r="E47" s="279" cm="1">
        <f t="array" ref="E47">IF(C47=0,0,
IF(Situation!$B$152=0,0,
IF(OR(C47=12,C47=24,C47=36,C47=48,C47=60,C47=72),$E$1,
IF(AND(C47&gt;=1,C47&lt;=SUM($M$7*12)),0,
IF(AND(I47&lt;=$M$7,TEXT(D47,"aaaa")=TEXT($P$6,"aaaa")),0,
IF($M$7=0,SUM((Situation!$B$71:$B$85=MONTH(1&amp;"/"&amp;TEXT(D47,"mmmm")))*(Situation!$C$71:$C$85)),
IF(TEXT(D47,"aaaa")=TEXT($P$6,"aaaa"),SUM((Situation!$B$71:$B$85=MONTH(1&amp;"/"&amp;TEXT(D47,"mmmm")))*(Situation!$C$71:$C$85)),
0)))))))</f>
        <v>0</v>
      </c>
      <c r="F47" s="279">
        <f t="shared" si="5"/>
        <v>0</v>
      </c>
      <c r="G47" s="279" cm="1">
        <f t="array" ref="G47">IFERROR(IF(B47=$P$4,$K$1,
IF(B47=EDATE($B$1,84),0,
IF(COUNTIF($N$9:$N$20,B47),LOOKUP(2,1/($N$9:$N$20=B47),$Q$9:$Q$21)*-1,
IF(C47&lt;&gt;0,$G$1,0)))),0)</f>
        <v>971.66666666666663</v>
      </c>
      <c r="H47" s="279">
        <f t="shared" si="16"/>
        <v>971.66666666666663</v>
      </c>
      <c r="I47" s="321">
        <f t="shared" si="1"/>
        <v>3</v>
      </c>
      <c r="J47" t="str">
        <f>IF(K47&lt;&gt;"",CONCATENATE("Annuité ",COUNT($K$3:K47)),"")</f>
        <v/>
      </c>
      <c r="K47" s="279" t="str">
        <f t="shared" si="2"/>
        <v/>
      </c>
      <c r="L47" s="279">
        <f t="shared" si="15"/>
        <v>5507.9533333333284</v>
      </c>
      <c r="M47" s="321">
        <f t="shared" si="14"/>
        <v>44915</v>
      </c>
      <c r="N47" s="183"/>
    </row>
    <row r="48" spans="1:17" x14ac:dyDescent="0.25">
      <c r="A48">
        <v>46</v>
      </c>
      <c r="B48" s="304">
        <f t="shared" si="3"/>
        <v>44946</v>
      </c>
      <c r="C48" s="321">
        <f t="shared" si="4"/>
        <v>17</v>
      </c>
      <c r="D48" s="304">
        <f t="shared" si="0"/>
        <v>44946</v>
      </c>
      <c r="E48" s="279" cm="1">
        <f t="array" ref="E48">IF(C48=0,0,
IF(Situation!$B$152=0,0,
IF(OR(C48=12,C48=24,C48=36,C48=48,C48=60,C48=72),$E$1,
IF(AND(C48&gt;=1,C48&lt;=SUM($M$7*12)),0,
IF(AND(I48&lt;=$M$7,TEXT(D48,"aaaa")=TEXT($P$6,"aaaa")),0,
IF($M$7=0,SUM((Situation!$B$71:$B$85=MONTH(1&amp;"/"&amp;TEXT(D48,"mmmm")))*(Situation!$C$71:$C$85)),
IF(TEXT(D48,"aaaa")=TEXT($P$6,"aaaa"),SUM((Situation!$B$71:$B$85=MONTH(1&amp;"/"&amp;TEXT(D48,"mmmm")))*(Situation!$C$71:$C$85)),
0)))))))</f>
        <v>0</v>
      </c>
      <c r="F48" s="279">
        <f t="shared" si="5"/>
        <v>0</v>
      </c>
      <c r="G48" s="279" cm="1">
        <f t="array" ref="G48">IFERROR(IF(B48=$P$4,$K$1,
IF(B48=EDATE($B$1,84),0,
IF(COUNTIF($N$9:$N$20,B48),LOOKUP(2,1/($N$9:$N$20=B48),$Q$9:$Q$21)*-1,
IF(C48&lt;&gt;0,$G$1,0)))),0)</f>
        <v>971.66666666666663</v>
      </c>
      <c r="H48" s="279">
        <f t="shared" si="16"/>
        <v>971.66666666666663</v>
      </c>
      <c r="I48" s="321">
        <f t="shared" si="1"/>
        <v>3</v>
      </c>
      <c r="J48" t="str">
        <f>IF(K48&lt;&gt;"",CONCATENATE("Annuité ",COUNT($K$3:K48)),"")</f>
        <v/>
      </c>
      <c r="K48" s="279" t="str">
        <f t="shared" si="2"/>
        <v/>
      </c>
      <c r="L48" s="279">
        <f t="shared" si="15"/>
        <v>4536.2866666666614</v>
      </c>
      <c r="M48" s="321">
        <f t="shared" si="14"/>
        <v>44946</v>
      </c>
    </row>
    <row r="49" spans="1:14" x14ac:dyDescent="0.25">
      <c r="A49">
        <v>47</v>
      </c>
      <c r="B49" s="304">
        <f t="shared" si="3"/>
        <v>44977</v>
      </c>
      <c r="C49" s="321">
        <f t="shared" si="4"/>
        <v>18</v>
      </c>
      <c r="D49" s="304">
        <f t="shared" si="0"/>
        <v>44977</v>
      </c>
      <c r="E49" s="279" cm="1">
        <f t="array" ref="E49">IF(C49=0,0,
IF(Situation!$B$152=0,0,
IF(OR(C49=12,C49=24,C49=36,C49=48,C49=60,C49=72),$E$1,
IF(AND(C49&gt;=1,C49&lt;=SUM($M$7*12)),0,
IF(AND(I49&lt;=$M$7,TEXT(D49,"aaaa")=TEXT($P$6,"aaaa")),0,
IF($M$7=0,SUM((Situation!$B$71:$B$85=MONTH(1&amp;"/"&amp;TEXT(D49,"mmmm")))*(Situation!$C$71:$C$85)),
IF(TEXT(D49,"aaaa")=TEXT($P$6,"aaaa"),SUM((Situation!$B$71:$B$85=MONTH(1&amp;"/"&amp;TEXT(D49,"mmmm")))*(Situation!$C$71:$C$85)),
0)))))))</f>
        <v>0</v>
      </c>
      <c r="F49" s="279">
        <f t="shared" si="5"/>
        <v>0</v>
      </c>
      <c r="G49" s="279" cm="1">
        <f t="array" ref="G49">IFERROR(IF(B49=$P$4,$K$1,
IF(B49=EDATE($B$1,84),0,
IF(COUNTIF($N$9:$N$20,B49),LOOKUP(2,1/($N$9:$N$20=B49),$Q$9:$Q$21)*-1,
IF(C49&lt;&gt;0,$G$1,0)))),0)</f>
        <v>971.66666666666663</v>
      </c>
      <c r="H49" s="279">
        <f t="shared" si="16"/>
        <v>971.66666666666663</v>
      </c>
      <c r="I49" s="321">
        <f t="shared" si="1"/>
        <v>3</v>
      </c>
      <c r="J49" t="str">
        <f>IF(K49&lt;&gt;"",CONCATENATE("Annuité ",COUNT($K$3:K49)),"")</f>
        <v/>
      </c>
      <c r="K49" s="279" t="str">
        <f t="shared" si="2"/>
        <v/>
      </c>
      <c r="L49" s="279">
        <f t="shared" si="15"/>
        <v>3564.6199999999949</v>
      </c>
      <c r="M49" s="321">
        <f>D49</f>
        <v>44977</v>
      </c>
    </row>
    <row r="50" spans="1:14" x14ac:dyDescent="0.25">
      <c r="A50">
        <v>48</v>
      </c>
      <c r="B50" s="304">
        <f t="shared" si="3"/>
        <v>45005</v>
      </c>
      <c r="C50" s="321">
        <f t="shared" si="4"/>
        <v>19</v>
      </c>
      <c r="D50" s="304">
        <f t="shared" si="0"/>
        <v>45005</v>
      </c>
      <c r="E50" s="279" cm="1">
        <f t="array" ref="E50">IF(C50=0,0,
IF(Situation!$B$152=0,0,
IF(OR(C50=12,C50=24,C50=36,C50=48,C50=60,C50=72),$E$1,
IF(AND(C50&gt;=1,C50&lt;=SUM($M$7*12)),0,
IF(AND(I50&lt;=$M$7,TEXT(D50,"aaaa")=TEXT($P$6,"aaaa")),0,
IF($M$7=0,SUM((Situation!$B$71:$B$85=MONTH(1&amp;"/"&amp;TEXT(D50,"mmmm")))*(Situation!$C$71:$C$85)),
IF(TEXT(D50,"aaaa")=TEXT($P$6,"aaaa"),SUM((Situation!$B$71:$B$85=MONTH(1&amp;"/"&amp;TEXT(D50,"mmmm")))*(Situation!$C$71:$C$85)),
0)))))))</f>
        <v>0</v>
      </c>
      <c r="F50" s="279">
        <f t="shared" si="5"/>
        <v>0</v>
      </c>
      <c r="G50" s="279" cm="1">
        <f t="array" ref="G50">IFERROR(IF(B50=$P$4,$K$1,
IF(B50=EDATE($B$1,84),0,
IF(COUNTIF($N$9:$N$20,B50),LOOKUP(2,1/($N$9:$N$20=B50),$Q$9:$Q$21)*-1,
IF(C50&lt;&gt;0,$G$1,0)))),0)</f>
        <v>971.66666666666663</v>
      </c>
      <c r="H50" s="279">
        <f t="shared" si="16"/>
        <v>971.66666666666663</v>
      </c>
      <c r="I50" s="321">
        <f t="shared" si="1"/>
        <v>3</v>
      </c>
      <c r="J50" t="str">
        <f>IF(K50&lt;&gt;"",CONCATENATE("Annuité ",COUNT($K$3:K50)),"")</f>
        <v/>
      </c>
      <c r="K50" s="279" t="str">
        <f t="shared" si="2"/>
        <v/>
      </c>
      <c r="L50" s="279">
        <f t="shared" si="15"/>
        <v>2592.9533333333284</v>
      </c>
      <c r="M50" s="321">
        <f t="shared" si="14"/>
        <v>45005</v>
      </c>
    </row>
    <row r="51" spans="1:14" x14ac:dyDescent="0.25">
      <c r="A51">
        <v>49</v>
      </c>
      <c r="B51" s="304">
        <f t="shared" si="3"/>
        <v>45036</v>
      </c>
      <c r="C51" s="321">
        <f t="shared" si="4"/>
        <v>20</v>
      </c>
      <c r="D51" s="304">
        <f t="shared" si="0"/>
        <v>45036</v>
      </c>
      <c r="E51" s="279" cm="1">
        <f t="array" ref="E51">IF(C51=0,0,
IF(Situation!$B$152=0,0,
IF(OR(C51=12,C51=24,C51=36,C51=48,C51=60,C51=72),$E$1,
IF(AND(C51&gt;=1,C51&lt;=SUM($M$7*12)),0,
IF(AND(I51&lt;=$M$7,TEXT(D51,"aaaa")=TEXT($P$6,"aaaa")),0,
IF($M$7=0,SUM((Situation!$B$71:$B$85=MONTH(1&amp;"/"&amp;TEXT(D51,"mmmm")))*(Situation!$C$71:$C$85)),
IF(TEXT(D51,"aaaa")=TEXT($P$6,"aaaa"),SUM((Situation!$B$71:$B$85=MONTH(1&amp;"/"&amp;TEXT(D51,"mmmm")))*(Situation!$C$71:$C$85)),
0)))))))</f>
        <v>0</v>
      </c>
      <c r="F51" s="279">
        <f t="shared" si="5"/>
        <v>0</v>
      </c>
      <c r="G51" s="279" cm="1">
        <f t="array" ref="G51">IFERROR(IF(B51=$P$4,$K$1,
IF(B51=EDATE($B$1,84),0,
IF(COUNTIF($N$9:$N$20,B51),LOOKUP(2,1/($N$9:$N$20=B51),$Q$9:$Q$21)*-1,
IF(C51&lt;&gt;0,$G$1,0)))),0)</f>
        <v>971.66666666666663</v>
      </c>
      <c r="H51" s="279">
        <f t="shared" si="16"/>
        <v>971.66666666666663</v>
      </c>
      <c r="I51" s="321">
        <f t="shared" si="1"/>
        <v>3</v>
      </c>
      <c r="J51" t="str">
        <f>IF(K51&lt;&gt;"",CONCATENATE("Annuité ",COUNT($K$3:K51)),"")</f>
        <v/>
      </c>
      <c r="K51" s="279" t="str">
        <f t="shared" si="2"/>
        <v/>
      </c>
      <c r="L51" s="279">
        <f>SUM(L50-H51)</f>
        <v>1621.2866666666619</v>
      </c>
      <c r="M51" s="321">
        <f t="shared" si="14"/>
        <v>45036</v>
      </c>
      <c r="N51" s="184"/>
    </row>
    <row r="52" spans="1:14" x14ac:dyDescent="0.25">
      <c r="A52">
        <v>50</v>
      </c>
      <c r="B52" s="304">
        <f t="shared" si="3"/>
        <v>45066</v>
      </c>
      <c r="C52" s="321">
        <f t="shared" si="4"/>
        <v>21</v>
      </c>
      <c r="D52" s="304">
        <f t="shared" si="0"/>
        <v>45066</v>
      </c>
      <c r="E52" s="279" cm="1">
        <f t="array" ref="E52">IF(C52=0,0,
IF(Situation!$B$152=0,0,
IF(OR(C52=12,C52=24,C52=36,C52=48,C52=60,C52=72),$E$1,
IF(AND(C52&gt;=1,C52&lt;=SUM($M$7*12)),0,
IF(AND(I52&lt;=$M$7,TEXT(D52,"aaaa")=TEXT($P$6,"aaaa")),0,
IF($M$7=0,SUM((Situation!$B$71:$B$85=MONTH(1&amp;"/"&amp;TEXT(D52,"mmmm")))*(Situation!$C$71:$C$85)),
IF(TEXT(D52,"aaaa")=TEXT($P$6,"aaaa"),SUM((Situation!$B$71:$B$85=MONTH(1&amp;"/"&amp;TEXT(D52,"mmmm")))*(Situation!$C$71:$C$85)),
0)))))))</f>
        <v>0</v>
      </c>
      <c r="F52" s="279">
        <f t="shared" si="5"/>
        <v>0</v>
      </c>
      <c r="G52" s="279" cm="1">
        <f t="array" ref="G52">IFERROR(IF(B52=$P$4,$K$1,
IF(B52=EDATE($B$1,84),0,
IF(COUNTIF($N$9:$N$20,B52),LOOKUP(2,1/($N$9:$N$20=B52),$Q$9:$Q$21)*-1,
IF(C52&lt;&gt;0,$G$1,0)))),0)</f>
        <v>971.66666666666663</v>
      </c>
      <c r="H52" s="279">
        <f t="shared" si="16"/>
        <v>971.66666666666663</v>
      </c>
      <c r="I52" s="321">
        <f t="shared" si="1"/>
        <v>3</v>
      </c>
      <c r="J52" t="str">
        <f>IF(K52&lt;&gt;"",CONCATENATE("Annuité ",COUNT($K$3:K52)),"")</f>
        <v/>
      </c>
      <c r="K52" s="279" t="str">
        <f t="shared" si="2"/>
        <v/>
      </c>
      <c r="L52" s="279">
        <f t="shared" si="15"/>
        <v>649.61999999999523</v>
      </c>
      <c r="M52" s="321">
        <f t="shared" si="14"/>
        <v>45066</v>
      </c>
    </row>
    <row r="53" spans="1:14" x14ac:dyDescent="0.25">
      <c r="A53">
        <v>51</v>
      </c>
      <c r="B53" s="304">
        <f t="shared" si="3"/>
        <v>45097</v>
      </c>
      <c r="C53" s="321">
        <f t="shared" si="4"/>
        <v>22</v>
      </c>
      <c r="D53" s="304">
        <f t="shared" si="0"/>
        <v>45097</v>
      </c>
      <c r="E53" s="279" cm="1">
        <f t="array" ref="E53">IF(C53=0,0,
IF(Situation!$B$152=0,0,
IF(OR(C53=12,C53=24,C53=36,C53=48,C53=60,C53=72),$E$1,
IF(AND(C53&gt;=1,C53&lt;=SUM($M$7*12)),0,
IF(AND(I53&lt;=$M$7,TEXT(D53,"aaaa")=TEXT($P$6,"aaaa")),0,
IF($M$7=0,SUM((Situation!$B$71:$B$85=MONTH(1&amp;"/"&amp;TEXT(D53,"mmmm")))*(Situation!$C$71:$C$85)),
IF(TEXT(D53,"aaaa")=TEXT($P$6,"aaaa"),SUM((Situation!$B$71:$B$85=MONTH(1&amp;"/"&amp;TEXT(D53,"mmmm")))*(Situation!$C$71:$C$85)),
0)))))))</f>
        <v>1861.88</v>
      </c>
      <c r="F53" s="279">
        <f t="shared" si="5"/>
        <v>700</v>
      </c>
      <c r="G53" s="279" cm="1">
        <f t="array" ref="G53">IFERROR(IF(B53=$P$4,$K$1,
IF(B53=EDATE($B$1,84),0,
IF(COUNTIF($N$9:$N$20,B53),LOOKUP(2,1/($N$9:$N$20=B53),$Q$9:$Q$21)*-1,
IF(C53&lt;&gt;0,$G$1,0)))),0)</f>
        <v>649.61999999999523</v>
      </c>
      <c r="H53" s="279">
        <f t="shared" si="16"/>
        <v>649.61999999999523</v>
      </c>
      <c r="I53" s="321">
        <f t="shared" si="1"/>
        <v>3</v>
      </c>
      <c r="J53" t="str">
        <f>IF(K53&lt;&gt;"",CONCATENATE("Annuité ",COUNT($K$3:K53)),"")</f>
        <v>Annuité 3</v>
      </c>
      <c r="K53" s="279">
        <f t="shared" si="2"/>
        <v>9394.6199999999953</v>
      </c>
      <c r="L53" s="279">
        <f t="shared" si="15"/>
        <v>0</v>
      </c>
      <c r="M53" s="279"/>
      <c r="N53" s="4"/>
    </row>
    <row r="54" spans="1:14" x14ac:dyDescent="0.25">
      <c r="A54">
        <v>52</v>
      </c>
      <c r="B54" s="304">
        <f t="shared" si="3"/>
        <v>45127</v>
      </c>
      <c r="C54" s="321">
        <f t="shared" si="4"/>
        <v>0</v>
      </c>
      <c r="D54" s="304">
        <f t="shared" si="0"/>
        <v>0</v>
      </c>
      <c r="E54" s="279" cm="1">
        <f t="array" ref="E54">IF(C54=0,0,
IF(Situation!$B$152=0,0,
IF(OR(C54=12,C54=24,C54=36,C54=48,C54=60,C54=72),$E$1,
IF(AND(C54&gt;=1,C54&lt;=SUM($M$7*12)),0,
IF(AND(I54&lt;=$M$7,TEXT(D54,"aaaa")=TEXT($P$6,"aaaa")),0,
IF($M$7=0,SUM((Situation!$B$71:$B$85=MONTH(1&amp;"/"&amp;TEXT(D54,"mmmm")))*(Situation!$C$71:$C$85)),
IF(TEXT(D54,"aaaa")=TEXT($P$6,"aaaa"),SUM((Situation!$B$71:$B$85=MONTH(1&amp;"/"&amp;TEXT(D54,"mmmm")))*(Situation!$C$71:$C$85)),
0)))))))</f>
        <v>0</v>
      </c>
      <c r="F54" s="279">
        <f t="shared" si="5"/>
        <v>0</v>
      </c>
      <c r="G54" s="279" cm="1">
        <f t="array" ref="G54">IFERROR(IF(B54=$P$4,$K$1,
IF(B54=EDATE($B$1,84),0,
IF(COUNTIF($N$9:$N$20,B54),LOOKUP(2,1/($N$9:$N$20=B54),$Q$9:$Q$21)*-1,
IF(C54&lt;&gt;0,$G$1,0)))),0)</f>
        <v>0</v>
      </c>
      <c r="H54" s="279">
        <f t="shared" si="16"/>
        <v>0</v>
      </c>
      <c r="I54" s="321">
        <f t="shared" si="1"/>
        <v>0</v>
      </c>
      <c r="J54" t="str">
        <f>IF(K54&lt;&gt;"",CONCATENATE("Annuité ",COUNT($K$3:K54)),"")</f>
        <v/>
      </c>
      <c r="K54" s="279" t="str">
        <f t="shared" si="2"/>
        <v/>
      </c>
      <c r="L54" s="279">
        <f t="shared" si="15"/>
        <v>0</v>
      </c>
      <c r="M54" s="279"/>
      <c r="N54" s="4"/>
    </row>
    <row r="55" spans="1:14" x14ac:dyDescent="0.25">
      <c r="A55">
        <v>53</v>
      </c>
      <c r="B55" s="304">
        <f t="shared" si="3"/>
        <v>45158</v>
      </c>
      <c r="C55" s="321">
        <f t="shared" si="4"/>
        <v>0</v>
      </c>
      <c r="D55" s="304">
        <f t="shared" si="0"/>
        <v>0</v>
      </c>
      <c r="E55" s="279" cm="1">
        <f t="array" ref="E55">IF(C55=0,0,
IF(Situation!$B$152=0,0,
IF(OR(C55=12,C55=24,C55=36,C55=48,C55=60,C55=72),$E$1,
IF(AND(C55&gt;=1,C55&lt;=SUM($M$7*12)),0,
IF(AND(I55&lt;=$M$7,TEXT(D55,"aaaa")=TEXT($P$6,"aaaa")),0,
IF($M$7=0,SUM((Situation!$B$71:$B$85=MONTH(1&amp;"/"&amp;TEXT(D55,"mmmm")))*(Situation!$C$71:$C$85)),
IF(TEXT(D55,"aaaa")=TEXT($P$6,"aaaa"),SUM((Situation!$B$71:$B$85=MONTH(1&amp;"/"&amp;TEXT(D55,"mmmm")))*(Situation!$C$71:$C$85)),
0)))))))</f>
        <v>0</v>
      </c>
      <c r="F55" s="279">
        <f>IF($D$1=0,0,
IF(D55=$P$6,$F$1,
0))</f>
        <v>0</v>
      </c>
      <c r="G55" s="279" cm="1">
        <f t="array" ref="G55">IFERROR(IF(B55=$P$4,$K$1,
IF(B55=EDATE($B$1,84),0,
IF(COUNTIF($N$9:$N$20,B55),LOOKUP(2,1/($N$9:$N$20=B55),$Q$9:$Q$21)*-1,
IF(C55&lt;&gt;0,$G$1,0)))),0)</f>
        <v>0</v>
      </c>
      <c r="H55" s="279">
        <f t="shared" si="16"/>
        <v>0</v>
      </c>
      <c r="I55" s="321">
        <f t="shared" si="1"/>
        <v>0</v>
      </c>
      <c r="J55" t="str">
        <f>IF(K55&lt;&gt;"",CONCATENATE("Annuité ",COUNT($K$3:K55)),"")</f>
        <v/>
      </c>
      <c r="K55" s="279" t="str">
        <f t="shared" si="2"/>
        <v/>
      </c>
      <c r="L55" s="279">
        <f t="shared" si="15"/>
        <v>0</v>
      </c>
      <c r="M55" s="279"/>
      <c r="N55" s="279">
        <f>+IF(C41=0,0,)</f>
        <v>0</v>
      </c>
    </row>
    <row r="56" spans="1:14" x14ac:dyDescent="0.25">
      <c r="A56">
        <v>54</v>
      </c>
      <c r="B56" s="304">
        <f t="shared" si="3"/>
        <v>45189</v>
      </c>
      <c r="C56" s="321">
        <f t="shared" si="4"/>
        <v>0</v>
      </c>
      <c r="D56" s="304">
        <f t="shared" si="0"/>
        <v>0</v>
      </c>
      <c r="E56" s="279" cm="1">
        <f t="array" ref="E56">IF(C56=0,0,
IF(Situation!$B$152=0,0,
IF(OR(C56=12,C56=24,C56=36,C56=48,C56=60,C56=72),$E$1,
IF(AND(C56&gt;=1,C56&lt;=SUM($M$7*12)),0,
IF(AND(I56&lt;=$M$7,TEXT(D56,"aaaa")=TEXT($P$6,"aaaa")),0,
IF($M$7=0,SUM((Situation!$B$71:$B$85=MONTH(1&amp;"/"&amp;TEXT(D56,"mmmm")))*(Situation!$C$71:$C$85)),
IF(TEXT(D56,"aaaa")=TEXT($P$6,"aaaa"),SUM((Situation!$B$71:$B$85=MONTH(1&amp;"/"&amp;TEXT(D56,"mmmm")))*(Situation!$C$71:$C$85)),
0)))))))</f>
        <v>0</v>
      </c>
      <c r="F56" s="279">
        <f t="shared" si="5"/>
        <v>0</v>
      </c>
      <c r="G56" s="279" cm="1">
        <f t="array" ref="G56">IFERROR(IF(B56=$P$4,$K$1,
IF(B56=EDATE($B$1,84),0,
IF(COUNTIF($N$9:$N$20,B56),LOOKUP(2,1/($N$9:$N$20=B56),$Q$9:$Q$21)*-1,
IF(C56&lt;&gt;0,$G$1,0)))),0)</f>
        <v>0</v>
      </c>
      <c r="H56" s="279">
        <f t="shared" si="16"/>
        <v>0</v>
      </c>
      <c r="I56" s="321">
        <f t="shared" si="1"/>
        <v>0</v>
      </c>
      <c r="J56" t="str">
        <f>IF(K56&lt;&gt;"",CONCATENATE("Annuité ",COUNT($K$3:K56)),"")</f>
        <v/>
      </c>
      <c r="K56" s="279" t="str">
        <f t="shared" si="2"/>
        <v/>
      </c>
      <c r="L56" s="279">
        <f t="shared" si="15"/>
        <v>0</v>
      </c>
      <c r="M56" s="279"/>
      <c r="N56" s="279">
        <f>+IF(Situation!$B$152=0,0,)</f>
        <v>0</v>
      </c>
    </row>
    <row r="57" spans="1:14" x14ac:dyDescent="0.25">
      <c r="A57">
        <v>55</v>
      </c>
      <c r="B57" s="304">
        <f t="shared" si="3"/>
        <v>45219</v>
      </c>
      <c r="C57" s="321">
        <f t="shared" si="4"/>
        <v>0</v>
      </c>
      <c r="D57" s="304">
        <f t="shared" si="0"/>
        <v>0</v>
      </c>
      <c r="E57" s="279" cm="1">
        <f t="array" ref="E57">IF(C57=0,0,
IF(Situation!$B$152=0,0,
IF(OR(C57=12,C57=24,C57=36,C57=48,C57=60,C57=72),$E$1,
IF(AND(C57&gt;=1,C57&lt;=SUM($M$7*12)),0,
IF(AND(I57&lt;=$M$7,TEXT(D57,"aaaa")=TEXT($P$6,"aaaa")),0,
IF($M$7=0,SUM((Situation!$B$71:$B$85=MONTH(1&amp;"/"&amp;TEXT(D57,"mmmm")))*(Situation!$C$71:$C$85)),
IF(TEXT(D57,"aaaa")=TEXT($P$6,"aaaa"),SUM((Situation!$B$71:$B$85=MONTH(1&amp;"/"&amp;TEXT(D57,"mmmm")))*(Situation!$C$71:$C$85)),
0)))))))</f>
        <v>0</v>
      </c>
      <c r="F57" s="279">
        <f t="shared" si="5"/>
        <v>0</v>
      </c>
      <c r="G57" s="279" cm="1">
        <f t="array" ref="G57">IFERROR(IF(B57=$P$4,$K$1,
IF(B57=EDATE($B$1,84),0,
IF(COUNTIF($N$9:$N$20,B57),LOOKUP(2,1/($N$9:$N$20=B57),$Q$9:$Q$21)*-1,
IF(C57&lt;&gt;0,$G$1,0)))),0)</f>
        <v>0</v>
      </c>
      <c r="H57" s="279">
        <f t="shared" si="16"/>
        <v>0</v>
      </c>
      <c r="I57" s="321">
        <f t="shared" si="1"/>
        <v>0</v>
      </c>
      <c r="J57" t="str">
        <f>IF(K57&lt;&gt;"",CONCATENATE("Annuité ",COUNT($K$3:K57)),"")</f>
        <v/>
      </c>
      <c r="K57" s="279" t="str">
        <f t="shared" si="2"/>
        <v/>
      </c>
      <c r="L57" s="279">
        <f t="shared" si="15"/>
        <v>0</v>
      </c>
      <c r="M57" s="279"/>
      <c r="N57" s="279"/>
    </row>
    <row r="58" spans="1:14" x14ac:dyDescent="0.25">
      <c r="A58">
        <v>56</v>
      </c>
      <c r="B58" s="304">
        <f t="shared" si="3"/>
        <v>45250</v>
      </c>
      <c r="C58" s="321">
        <f t="shared" si="4"/>
        <v>0</v>
      </c>
      <c r="D58" s="304">
        <f t="shared" si="0"/>
        <v>0</v>
      </c>
      <c r="E58" s="279" cm="1">
        <f t="array" ref="E58">IF(C58=0,0,
IF(Situation!$B$152=0,0,
IF(OR(C58=12,C58=24,C58=36,C58=48,C58=60,C58=72),$E$1,
IF(AND(C58&gt;=1,C58&lt;=SUM($M$7*12)),0,
IF(AND(I58&lt;=$M$7,TEXT(D58,"aaaa")=TEXT($P$6,"aaaa")),0,
IF($M$7=0,SUM((Situation!$B$71:$B$85=MONTH(1&amp;"/"&amp;TEXT(D58,"mmmm")))*(Situation!$C$71:$C$85)),
IF(TEXT(D58,"aaaa")=TEXT($P$6,"aaaa"),SUM((Situation!$B$71:$B$85=MONTH(1&amp;"/"&amp;TEXT(D58,"mmmm")))*(Situation!$C$71:$C$85)),
0)))))))</f>
        <v>0</v>
      </c>
      <c r="F58" s="279">
        <f t="shared" si="5"/>
        <v>0</v>
      </c>
      <c r="G58" s="279" cm="1">
        <f t="array" ref="G58">IFERROR(IF(B58=$P$4,$K$1,
IF(B58=EDATE($B$1,84),0,
IF(COUNTIF($N$9:$N$20,B58),LOOKUP(2,1/($N$9:$N$20=B58),$Q$9:$Q$21)*-1,
IF(C58&lt;&gt;0,$G$1,0)))),0)</f>
        <v>0</v>
      </c>
      <c r="H58" s="279">
        <f t="shared" si="16"/>
        <v>0</v>
      </c>
      <c r="I58" s="321">
        <f t="shared" si="1"/>
        <v>0</v>
      </c>
      <c r="J58" t="str">
        <f>IF(K58&lt;&gt;"",CONCATENATE("Annuité ",COUNT($K$3:K58)),"")</f>
        <v/>
      </c>
      <c r="K58" s="279" t="str">
        <f t="shared" si="2"/>
        <v/>
      </c>
      <c r="L58" s="279">
        <f t="shared" si="15"/>
        <v>0</v>
      </c>
      <c r="M58" s="279"/>
      <c r="N58" s="279"/>
    </row>
    <row r="59" spans="1:14" x14ac:dyDescent="0.25">
      <c r="A59">
        <v>57</v>
      </c>
      <c r="B59" s="304">
        <f t="shared" si="3"/>
        <v>45280</v>
      </c>
      <c r="C59" s="321">
        <f t="shared" si="4"/>
        <v>0</v>
      </c>
      <c r="D59" s="304">
        <f t="shared" si="0"/>
        <v>0</v>
      </c>
      <c r="E59" s="279" cm="1">
        <f t="array" ref="E59">IF(C59=0,0,
IF(Situation!$B$152=0,0,
IF(OR(C59=12,C59=24,C59=36,C59=48,C59=60,C59=72),$E$1,
IF(AND(C59&gt;=1,C59&lt;=SUM($M$7*12)),0,
IF(AND(I59&lt;=$M$7,TEXT(D59,"aaaa")=TEXT($P$6,"aaaa")),0,
IF($M$7=0,SUM((Situation!$B$71:$B$85=MONTH(1&amp;"/"&amp;TEXT(D59,"mmmm")))*(Situation!$C$71:$C$85)),
IF(TEXT(D59,"aaaa")=TEXT($P$6,"aaaa"),SUM((Situation!$B$71:$B$85=MONTH(1&amp;"/"&amp;TEXT(D59,"mmmm")))*(Situation!$C$71:$C$85)),
0)))))))</f>
        <v>0</v>
      </c>
      <c r="F59" s="279">
        <f t="shared" si="5"/>
        <v>0</v>
      </c>
      <c r="G59" s="279" cm="1">
        <f t="array" ref="G59">IFERROR(IF(B59=$P$4,$K$1,
IF(B59=EDATE($B$1,84),0,
IF(COUNTIF($N$9:$N$20,B59),LOOKUP(2,1/($N$9:$N$20=B59),$Q$9:$Q$21)*-1,
IF(C59&lt;&gt;0,$G$1,0)))),0)</f>
        <v>0</v>
      </c>
      <c r="H59" s="279">
        <f t="shared" si="16"/>
        <v>0</v>
      </c>
      <c r="I59" s="321">
        <f t="shared" si="1"/>
        <v>0</v>
      </c>
      <c r="J59" t="str">
        <f>IF(K59&lt;&gt;"",CONCATENATE("Annuité ",COUNT($K$3:K59)),"")</f>
        <v/>
      </c>
      <c r="K59" s="279" t="str">
        <f t="shared" si="2"/>
        <v/>
      </c>
      <c r="L59" s="279">
        <f t="shared" si="15"/>
        <v>0</v>
      </c>
      <c r="M59" s="279"/>
    </row>
    <row r="60" spans="1:14" x14ac:dyDescent="0.25">
      <c r="A60">
        <v>58</v>
      </c>
      <c r="B60" s="304">
        <f t="shared" si="3"/>
        <v>45311</v>
      </c>
      <c r="C60" s="321">
        <f t="shared" si="4"/>
        <v>0</v>
      </c>
      <c r="D60" s="304">
        <f t="shared" si="0"/>
        <v>0</v>
      </c>
      <c r="E60" s="279" cm="1">
        <f t="array" ref="E60">IF(C60=0,0,
IF(Situation!$B$152=0,0,
IF(OR(C60=12,C60=24,C60=36,C60=48,C60=60,C60=72),$E$1,
IF(AND(C60&gt;=1,C60&lt;=SUM($M$7*12)),0,
IF(AND(I60&lt;=$M$7,TEXT(D60,"aaaa")=TEXT($P$6,"aaaa")),0,
IF($M$7=0,SUM((Situation!$B$71:$B$85=MONTH(1&amp;"/"&amp;TEXT(D60,"mmmm")))*(Situation!$C$71:$C$85)),
IF(TEXT(D60,"aaaa")=TEXT($P$6,"aaaa"),SUM((Situation!$B$71:$B$85=MONTH(1&amp;"/"&amp;TEXT(D60,"mmmm")))*(Situation!$C$71:$C$85)),
0)))))))</f>
        <v>0</v>
      </c>
      <c r="F60" s="279">
        <f t="shared" si="5"/>
        <v>0</v>
      </c>
      <c r="G60" s="279" cm="1">
        <f t="array" ref="G60">IFERROR(IF(B60=$P$4,$K$1,
IF(B60=EDATE($B$1,84),0,
IF(COUNTIF($N$9:$N$20,B60),LOOKUP(2,1/($N$9:$N$20=B60),$Q$9:$Q$21)*-1,
IF(C60&lt;&gt;0,$G$1,0)))),0)</f>
        <v>0</v>
      </c>
      <c r="H60" s="279">
        <f t="shared" si="16"/>
        <v>0</v>
      </c>
      <c r="I60" s="321">
        <f t="shared" si="1"/>
        <v>0</v>
      </c>
      <c r="J60" t="str">
        <f>IF(K60&lt;&gt;"",CONCATENATE("Annuité ",COUNT($K$3:K60)),"")</f>
        <v/>
      </c>
      <c r="K60" s="279" t="str">
        <f t="shared" si="2"/>
        <v/>
      </c>
      <c r="L60" s="279">
        <f t="shared" si="15"/>
        <v>0</v>
      </c>
      <c r="M60" s="279"/>
      <c r="N60" s="279">
        <f>0</f>
        <v>0</v>
      </c>
    </row>
    <row r="61" spans="1:14" x14ac:dyDescent="0.25">
      <c r="A61">
        <v>59</v>
      </c>
      <c r="B61" s="304">
        <f t="shared" si="3"/>
        <v>45342</v>
      </c>
      <c r="C61" s="321">
        <f t="shared" si="4"/>
        <v>0</v>
      </c>
      <c r="D61" s="304">
        <f t="shared" si="0"/>
        <v>0</v>
      </c>
      <c r="E61" s="279" cm="1">
        <f t="array" ref="E61">IF(C61=0,0,
IF(Situation!$B$152=0,0,
IF(OR(C61=12,C61=24,C61=36,C61=48,C61=60,C61=72),$E$1,
IF(AND(C61&gt;=1,C61&lt;=SUM($M$7*12)),0,
IF(AND(I61&lt;=$M$7,TEXT(D61,"aaaa")=TEXT($P$6,"aaaa")),0,
IF($M$7=0,SUM((Situation!$B$71:$B$85=MONTH(1&amp;"/"&amp;TEXT(D61,"mmmm")))*(Situation!$C$71:$C$85)),
IF(TEXT(D61,"aaaa")=TEXT($P$6,"aaaa"),SUM((Situation!$B$71:$B$85=MONTH(1&amp;"/"&amp;TEXT(D61,"mmmm")))*(Situation!$C$71:$C$85)),
0)))))))</f>
        <v>0</v>
      </c>
      <c r="F61" s="279">
        <f t="shared" si="5"/>
        <v>0</v>
      </c>
      <c r="G61" s="279" cm="1">
        <f t="array" ref="G61">IFERROR(IF(B61=$P$4,$K$1,
IF(B61=EDATE($B$1,84),0,
IF(COUNTIF($N$9:$N$20,B61),LOOKUP(2,1/($N$9:$N$20=B61),$Q$9:$Q$21)*-1,
IF(C61&lt;&gt;0,$G$1,0)))),0)</f>
        <v>0</v>
      </c>
      <c r="H61" s="279">
        <f t="shared" si="16"/>
        <v>0</v>
      </c>
      <c r="I61" s="321">
        <f t="shared" si="1"/>
        <v>0</v>
      </c>
      <c r="J61" t="str">
        <f>IF(K61&lt;&gt;"",CONCATENATE("Annuité ",COUNT($K$3:K61)),"")</f>
        <v/>
      </c>
      <c r="K61" s="279" t="str">
        <f t="shared" si="2"/>
        <v/>
      </c>
      <c r="L61" s="279">
        <f t="shared" si="15"/>
        <v>0</v>
      </c>
      <c r="M61" s="279"/>
      <c r="N61" s="4"/>
    </row>
    <row r="62" spans="1:14" x14ac:dyDescent="0.25">
      <c r="A62">
        <v>60</v>
      </c>
      <c r="B62" s="304">
        <f t="shared" si="3"/>
        <v>45371</v>
      </c>
      <c r="C62" s="321">
        <f t="shared" si="4"/>
        <v>0</v>
      </c>
      <c r="D62" s="304">
        <f t="shared" si="0"/>
        <v>0</v>
      </c>
      <c r="E62" s="279" cm="1">
        <f t="array" ref="E62">IF(C62=0,0,
IF(Situation!$B$152=0,0,
IF(OR(C62=12,C62=24,C62=36,C62=48,C62=60,C62=72),$E$1,
IF(AND(C62&gt;=1,C62&lt;=SUM($M$7*12)),0,
IF(AND(I62&lt;=$M$7,TEXT(D62,"aaaa")=TEXT($P$6,"aaaa")),0,
IF($M$7=0,SUM((Situation!$B$71:$B$85=MONTH(1&amp;"/"&amp;TEXT(D62,"mmmm")))*(Situation!$C$71:$C$85)),
IF(TEXT(D62,"aaaa")=TEXT($P$6,"aaaa"),SUM((Situation!$B$71:$B$85=MONTH(1&amp;"/"&amp;TEXT(D62,"mmmm")))*(Situation!$C$71:$C$85)),
0)))))))</f>
        <v>0</v>
      </c>
      <c r="F62" s="279">
        <f t="shared" si="5"/>
        <v>0</v>
      </c>
      <c r="G62" s="279" cm="1">
        <f t="array" ref="G62">IFERROR(IF(B62=$P$4,$K$1,
IF(B62=EDATE($B$1,84),0,
IF(COUNTIF($N$9:$N$20,B62),LOOKUP(2,1/($N$9:$N$20=B62),$Q$9:$Q$21)*-1,
IF(C62&lt;&gt;0,$G$1,0)))),0)</f>
        <v>0</v>
      </c>
      <c r="H62" s="279">
        <f t="shared" si="16"/>
        <v>0</v>
      </c>
      <c r="I62" s="321">
        <f t="shared" si="1"/>
        <v>0</v>
      </c>
      <c r="J62" t="str">
        <f>IF(K62&lt;&gt;"",CONCATENATE("Annuité ",COUNT($K$3:K62)),"")</f>
        <v/>
      </c>
      <c r="K62" s="279" t="str">
        <f t="shared" si="2"/>
        <v/>
      </c>
      <c r="L62" s="279">
        <f t="shared" si="15"/>
        <v>0</v>
      </c>
      <c r="M62" s="279"/>
      <c r="N62" s="4"/>
    </row>
    <row r="63" spans="1:14" x14ac:dyDescent="0.25">
      <c r="A63">
        <v>61</v>
      </c>
      <c r="B63" s="304">
        <f t="shared" si="3"/>
        <v>45402</v>
      </c>
      <c r="C63" s="321">
        <f t="shared" si="4"/>
        <v>0</v>
      </c>
      <c r="D63" s="304">
        <f t="shared" si="0"/>
        <v>0</v>
      </c>
      <c r="E63" s="279" cm="1">
        <f t="array" ref="E63">IF(C63=0,0,
IF(Situation!$B$152=0,0,
IF(OR(C63=12,C63=24,C63=36,C63=48,C63=60,C63=72),$E$1,
IF(AND(C63&gt;=1,C63&lt;=SUM($M$7*12)),0,
IF(AND(I63&lt;=$M$7,TEXT(D63,"aaaa")=TEXT($P$6,"aaaa")),0,
IF($M$7=0,SUM((Situation!$B$71:$B$85=MONTH(1&amp;"/"&amp;TEXT(D63,"mmmm")))*(Situation!$C$71:$C$85)),
IF(TEXT(D63,"aaaa")=TEXT($P$6,"aaaa"),SUM((Situation!$B$71:$B$85=MONTH(1&amp;"/"&amp;TEXT(D63,"mmmm")))*(Situation!$C$71:$C$85)),
0)))))))</f>
        <v>0</v>
      </c>
      <c r="F63" s="279">
        <f t="shared" si="5"/>
        <v>0</v>
      </c>
      <c r="G63" s="279" cm="1">
        <f t="array" ref="G63">IFERROR(IF(B63=$P$4,$K$1,
IF(B63=EDATE($B$1,84),0,
IF(COUNTIF($N$9:$N$20,B63),LOOKUP(2,1/($N$9:$N$20=B63),$Q$9:$Q$21)*-1,
IF(C63&lt;&gt;0,$G$1,0)))),0)</f>
        <v>0</v>
      </c>
      <c r="H63" s="279">
        <f t="shared" si="16"/>
        <v>0</v>
      </c>
      <c r="I63" s="321">
        <f t="shared" si="1"/>
        <v>0</v>
      </c>
      <c r="J63" t="str">
        <f>IF(K63&lt;&gt;"",CONCATENATE("Annuité ",COUNT($K$3:K63)),"")</f>
        <v/>
      </c>
      <c r="K63" s="279" t="str">
        <f t="shared" si="2"/>
        <v/>
      </c>
      <c r="L63" s="279">
        <f t="shared" si="15"/>
        <v>0</v>
      </c>
      <c r="M63" s="279"/>
    </row>
    <row r="64" spans="1:14" x14ac:dyDescent="0.25">
      <c r="A64">
        <v>62</v>
      </c>
      <c r="B64" s="304">
        <f t="shared" si="3"/>
        <v>45432</v>
      </c>
      <c r="C64" s="321">
        <f t="shared" si="4"/>
        <v>0</v>
      </c>
      <c r="D64" s="304">
        <f t="shared" si="0"/>
        <v>0</v>
      </c>
      <c r="E64" s="279" cm="1">
        <f t="array" ref="E64">IF(C64=0,0,
IF(Situation!$B$152=0,0,
IF(OR(C64=12,C64=24,C64=36,C64=48,C64=60,C64=72),$E$1,
IF(AND(C64&gt;=1,C64&lt;=SUM($M$7*12)),0,
IF(AND(I64&lt;=$M$7,TEXT(D64,"aaaa")=TEXT($P$6,"aaaa")),0,
IF($M$7=0,SUM((Situation!$B$71:$B$85=MONTH(1&amp;"/"&amp;TEXT(D64,"mmmm")))*(Situation!$C$71:$C$85)),
IF(TEXT(D64,"aaaa")=TEXT($P$6,"aaaa"),SUM((Situation!$B$71:$B$85=MONTH(1&amp;"/"&amp;TEXT(D64,"mmmm")))*(Situation!$C$71:$C$85)),
0)))))))</f>
        <v>0</v>
      </c>
      <c r="F64" s="279">
        <f t="shared" si="5"/>
        <v>0</v>
      </c>
      <c r="G64" s="279" cm="1">
        <f t="array" ref="G64">IFERROR(IF(B64=$P$4,$K$1,
IF(B64=EDATE($B$1,84),0,
IF(COUNTIF($N$9:$N$20,B64),LOOKUP(2,1/($N$9:$N$20=B64),$Q$9:$Q$21)*-1,
IF(C64&lt;&gt;0,$G$1,0)))),0)</f>
        <v>0</v>
      </c>
      <c r="H64" s="279">
        <f t="shared" si="16"/>
        <v>0</v>
      </c>
      <c r="I64" s="321">
        <f t="shared" si="1"/>
        <v>0</v>
      </c>
      <c r="J64" t="str">
        <f>IF(K64&lt;&gt;"",CONCATENATE("Annuité ",COUNT($K$3:K64)),"")</f>
        <v/>
      </c>
      <c r="K64" s="279" t="str">
        <f t="shared" si="2"/>
        <v/>
      </c>
      <c r="L64" s="279">
        <f t="shared" si="15"/>
        <v>0</v>
      </c>
      <c r="M64" s="279"/>
    </row>
    <row r="65" spans="1:13" x14ac:dyDescent="0.25">
      <c r="A65">
        <v>63</v>
      </c>
      <c r="B65" s="304">
        <f t="shared" si="3"/>
        <v>45463</v>
      </c>
      <c r="C65" s="321">
        <f t="shared" si="4"/>
        <v>0</v>
      </c>
      <c r="D65" s="304">
        <f t="shared" si="0"/>
        <v>0</v>
      </c>
      <c r="E65" s="279" cm="1">
        <f t="array" ref="E65">IF(C65=0,0,
IF(Situation!$B$152=0,0,
IF(OR(C65=12,C65=24,C65=36,C65=48,C65=60,C65=72),$E$1,
IF(AND(C65&gt;=1,C65&lt;=SUM($M$7*12)),0,
IF(AND(I65&lt;=$M$7,TEXT(D65,"aaaa")=TEXT($P$6,"aaaa")),0,
IF($M$7=0,SUM((Situation!$B$71:$B$85=MONTH(1&amp;"/"&amp;TEXT(D65,"mmmm")))*(Situation!$C$71:$C$85)),
IF(TEXT(D65,"aaaa")=TEXT($P$6,"aaaa"),SUM((Situation!$B$71:$B$85=MONTH(1&amp;"/"&amp;TEXT(D65,"mmmm")))*(Situation!$C$71:$C$85)),
0)))))))</f>
        <v>0</v>
      </c>
      <c r="F65" s="279">
        <f t="shared" si="5"/>
        <v>0</v>
      </c>
      <c r="G65" s="279" cm="1">
        <f t="array" ref="G65">IFERROR(IF(B65=$P$4,$K$1,
IF(B65=EDATE($B$1,84),0,
IF(COUNTIF($N$9:$N$20,B65),LOOKUP(2,1/($N$9:$N$20=B65),$Q$9:$Q$21)*-1,
IF(C65&lt;&gt;0,$G$1,0)))),0)</f>
        <v>0</v>
      </c>
      <c r="H65" s="279">
        <f t="shared" si="16"/>
        <v>0</v>
      </c>
      <c r="I65" s="321">
        <f t="shared" si="1"/>
        <v>0</v>
      </c>
      <c r="J65" t="str">
        <f>IF(K65&lt;&gt;"",CONCATENATE("Annuité ",COUNT($K$3:K65)),"")</f>
        <v/>
      </c>
      <c r="K65" s="279" t="str">
        <f t="shared" si="2"/>
        <v/>
      </c>
      <c r="L65" s="279">
        <f t="shared" si="15"/>
        <v>0</v>
      </c>
      <c r="M65" s="279"/>
    </row>
    <row r="66" spans="1:13" x14ac:dyDescent="0.25">
      <c r="A66">
        <v>64</v>
      </c>
      <c r="B66" s="304">
        <f t="shared" si="3"/>
        <v>45493</v>
      </c>
      <c r="C66" s="321">
        <f t="shared" si="4"/>
        <v>0</v>
      </c>
      <c r="D66" s="304">
        <f t="shared" si="0"/>
        <v>0</v>
      </c>
      <c r="E66" s="279" cm="1">
        <f t="array" ref="E66">IF(C66=0,0,
IF(Situation!$B$152=0,0,
IF(OR(C66=12,C66=24,C66=36,C66=48,C66=60,C66=72),$E$1,
IF(AND(C66&gt;=1,C66&lt;=SUM($M$7*12)),0,
IF(AND(I66&lt;=$M$7,TEXT(D66,"aaaa")=TEXT($P$6,"aaaa")),0,
IF($M$7=0,SUM((Situation!$B$71:$B$85=MONTH(1&amp;"/"&amp;TEXT(D66,"mmmm")))*(Situation!$C$71:$C$85)),
IF(TEXT(D66,"aaaa")=TEXT($P$6,"aaaa"),SUM((Situation!$B$71:$B$85=MONTH(1&amp;"/"&amp;TEXT(D66,"mmmm")))*(Situation!$C$71:$C$85)),
0)))))))</f>
        <v>0</v>
      </c>
      <c r="F66" s="279">
        <f t="shared" si="5"/>
        <v>0</v>
      </c>
      <c r="G66" s="279" cm="1">
        <f t="array" ref="G66">IFERROR(IF(B66=$P$4,$K$1,
IF(B66=EDATE($B$1,84),0,
IF(COUNTIF($N$9:$N$20,B66),LOOKUP(2,1/($N$9:$N$20=B66),$Q$9:$Q$21)*-1,
IF(C66&lt;&gt;0,$G$1,0)))),0)</f>
        <v>0</v>
      </c>
      <c r="H66" s="279">
        <f t="shared" si="16"/>
        <v>0</v>
      </c>
      <c r="I66" s="321">
        <f t="shared" si="1"/>
        <v>0</v>
      </c>
      <c r="J66" t="str">
        <f>IF(K66&lt;&gt;"",CONCATENATE("Annuité ",COUNT($K$3:K66)),"")</f>
        <v/>
      </c>
      <c r="K66" s="279" t="str">
        <f t="shared" si="2"/>
        <v/>
      </c>
      <c r="L66" s="279">
        <f t="shared" si="15"/>
        <v>0</v>
      </c>
      <c r="M66" s="279"/>
    </row>
    <row r="67" spans="1:13" x14ac:dyDescent="0.25">
      <c r="A67">
        <v>65</v>
      </c>
      <c r="B67" s="304">
        <f t="shared" si="3"/>
        <v>45524</v>
      </c>
      <c r="C67" s="321">
        <f t="shared" si="4"/>
        <v>0</v>
      </c>
      <c r="D67" s="304">
        <f t="shared" si="0"/>
        <v>0</v>
      </c>
      <c r="E67" s="279" cm="1">
        <f t="array" ref="E67">IF(C67=0,0,
IF(Situation!$B$152=0,0,
IF(OR(C67=12,C67=24,C67=36,C67=48,C67=60,C67=72),$E$1,
IF(AND(C67&gt;=1,C67&lt;=SUM($M$7*12)),0,
IF(AND(I67&lt;=$M$7,TEXT(D67,"aaaa")=TEXT($P$6,"aaaa")),0,
IF($M$7=0,SUM((Situation!$B$71:$B$85=MONTH(1&amp;"/"&amp;TEXT(D67,"mmmm")))*(Situation!$C$71:$C$85)),
IF(TEXT(D67,"aaaa")=TEXT($P$6,"aaaa"),SUM((Situation!$B$71:$B$85=MONTH(1&amp;"/"&amp;TEXT(D67,"mmmm")))*(Situation!$C$71:$C$85)),
0)))))))</f>
        <v>0</v>
      </c>
      <c r="F67" s="279">
        <f t="shared" si="5"/>
        <v>0</v>
      </c>
      <c r="G67" s="279" cm="1">
        <f t="array" ref="G67">IFERROR(IF(B67=$P$4,$K$1,
IF(B67=EDATE($B$1,84),0,
IF(COUNTIF($N$9:$N$20,B67),LOOKUP(2,1/($N$9:$N$20=B67),$Q$9:$Q$21)*-1,
IF(C67&lt;&gt;0,$G$1,0)))),0)</f>
        <v>0</v>
      </c>
      <c r="H67" s="279">
        <f t="shared" si="16"/>
        <v>0</v>
      </c>
      <c r="I67" s="321">
        <f t="shared" si="1"/>
        <v>0</v>
      </c>
      <c r="J67" t="str">
        <f>IF(K67&lt;&gt;"",CONCATENATE("Annuité ",COUNT($K$3:K67)),"")</f>
        <v/>
      </c>
      <c r="K67" s="279" t="str">
        <f t="shared" si="2"/>
        <v/>
      </c>
      <c r="L67" s="279">
        <f t="shared" si="15"/>
        <v>0</v>
      </c>
      <c r="M67" s="279"/>
    </row>
    <row r="68" spans="1:13" x14ac:dyDescent="0.25">
      <c r="A68">
        <v>66</v>
      </c>
      <c r="B68" s="304">
        <f t="shared" ref="B68:B86" si="17">EDATE($B$1,A68)</f>
        <v>45555</v>
      </c>
      <c r="C68" s="321">
        <f t="shared" si="4"/>
        <v>0</v>
      </c>
      <c r="D68" s="304">
        <f t="shared" ref="D68:D86" si="18">IF(C68&lt;&gt;0,B68,0)</f>
        <v>0</v>
      </c>
      <c r="E68" s="279" cm="1">
        <f t="array" ref="E68">IF(C68=0,0,
IF(Situation!$B$152=0,0,
IF(OR(C68=12,C68=24,C68=36,C68=48,C68=60,C68=72),$E$1,
IF(AND(C68&gt;=1,C68&lt;=SUM($M$7*12)),0,
IF(AND(I68&lt;=$M$7,TEXT(D68,"aaaa")=TEXT($P$6,"aaaa")),0,
IF($M$7=0,SUM((Situation!$B$71:$B$85=MONTH(1&amp;"/"&amp;TEXT(D68,"mmmm")))*(Situation!$C$71:$C$85)),
IF(TEXT(D68,"aaaa")=TEXT($P$6,"aaaa"),SUM((Situation!$B$71:$B$85=MONTH(1&amp;"/"&amp;TEXT(D68,"mmmm")))*(Situation!$C$71:$C$85)),
0)))))))</f>
        <v>0</v>
      </c>
      <c r="F68" s="279">
        <f t="shared" ref="F68:F73" si="19">IF($D$1=0,0,
IF(D68=$P$6,$F$1,
0))</f>
        <v>0</v>
      </c>
      <c r="G68" s="279" cm="1">
        <f t="array" ref="G68">IFERROR(IF(B68=$P$4,$K$1,
IF(B68=EDATE($B$1,84),0,
IF(COUNTIF($N$9:$N$20,B68),LOOKUP(2,1/($N$9:$N$20=B68),$Q$9:$Q$21)*-1,
IF(C68&lt;&gt;0,$G$1,0)))),0)</f>
        <v>0</v>
      </c>
      <c r="H68" s="279">
        <f t="shared" si="16"/>
        <v>0</v>
      </c>
      <c r="I68" s="321">
        <f t="shared" ref="I68:I86" si="20">IF(B68=$P$4,1,
IF(AND(C68&gt;=1,C68&lt;=12),2,
IF(AND(C68&gt;=13,C68&lt;=24),3,
IF(AND(C68&gt;=25,C68&lt;=36),4,
IF(AND(C68&gt;=37,C68&lt;=48),5,
IF(AND(C68&gt;=49,C68&lt;=60),6,
IF(AND(C68&gt;=61,C68&lt;=72),7,
IF(AND(C68&gt;=73,C68&lt;=84),8,
0))))))))</f>
        <v>0</v>
      </c>
      <c r="J68" t="str">
        <f>IF(K68&lt;&gt;"",CONCATENATE("Annuité ",COUNT($K$3:K68)),"")</f>
        <v/>
      </c>
      <c r="K68" s="279" t="str">
        <f t="shared" ref="K68:K86" si="21">IF(B68=$P$4,$K$1,
IF(C68=0,"",
IF(AND(OR(C68=12,C68=24,C68=36,C68=48,C68=60,C68=72),$M$7&lt;1),$O$8,
IF(OR(C68=12,C68=24,C68=36,C68=48,C68=60,C68=72),$O$7,
IF(B68=$P$6,$O$8,"")))))</f>
        <v/>
      </c>
      <c r="L68" s="279">
        <f t="shared" si="15"/>
        <v>0</v>
      </c>
      <c r="M68" s="279"/>
    </row>
    <row r="69" spans="1:13" x14ac:dyDescent="0.25">
      <c r="A69">
        <v>67</v>
      </c>
      <c r="B69" s="304">
        <f t="shared" si="17"/>
        <v>45585</v>
      </c>
      <c r="C69" s="321">
        <f t="shared" ref="C69:C86" si="22">IF(B69=$P$4,0,
IF(B68=$P$4,1,
IF(C68=0,0,
IF(C68=$O$6,0,
SUM(C68+1)))))</f>
        <v>0</v>
      </c>
      <c r="D69" s="304">
        <f t="shared" si="18"/>
        <v>0</v>
      </c>
      <c r="E69" s="279" cm="1">
        <f t="array" ref="E69">IF(C69=0,0,
IF(Situation!$B$152=0,0,
IF(OR(C69=12,C69=24,C69=36,C69=48,C69=60,C69=72),$E$1,
IF(AND(C69&gt;=1,C69&lt;=SUM($M$7*12)),0,
IF(AND(I69&lt;=$M$7,TEXT(D69,"aaaa")=TEXT($P$6,"aaaa")),0,
IF($M$7=0,SUM((Situation!$B$71:$B$85=MONTH(1&amp;"/"&amp;TEXT(D69,"mmmm")))*(Situation!$C$71:$C$85)),
IF(TEXT(D69,"aaaa")=TEXT($P$6,"aaaa"),SUM((Situation!$B$71:$B$85=MONTH(1&amp;"/"&amp;TEXT(D69,"mmmm")))*(Situation!$C$71:$C$85)),
0)))))))</f>
        <v>0</v>
      </c>
      <c r="F69" s="279">
        <f t="shared" si="19"/>
        <v>0</v>
      </c>
      <c r="G69" s="279" cm="1">
        <f t="array" ref="G69">IFERROR(IF(B69=$P$4,$K$1,
IF(B69=EDATE($B$1,84),0,
IF(COUNTIF($N$9:$N$20,B69),LOOKUP(2,1/($N$9:$N$20=B69),$Q$9:$Q$21)*-1,
IF(C69&lt;&gt;0,$G$1,0)))),0)</f>
        <v>0</v>
      </c>
      <c r="H69" s="279">
        <f t="shared" ref="H69:H86" si="23">IF(L68&lt;SUM(E69+G69),L68,SUM(E69+G69))</f>
        <v>0</v>
      </c>
      <c r="I69" s="321">
        <f t="shared" si="20"/>
        <v>0</v>
      </c>
      <c r="J69" t="str">
        <f>IF(K69&lt;&gt;"",CONCATENATE("Annuité ",COUNT($K$3:K69)),"")</f>
        <v/>
      </c>
      <c r="K69" s="279" t="str">
        <f t="shared" si="21"/>
        <v/>
      </c>
      <c r="L69" s="279">
        <f t="shared" si="15"/>
        <v>0</v>
      </c>
      <c r="M69" s="279"/>
    </row>
    <row r="70" spans="1:13" x14ac:dyDescent="0.25">
      <c r="A70">
        <v>68</v>
      </c>
      <c r="B70" s="304">
        <f t="shared" si="17"/>
        <v>45616</v>
      </c>
      <c r="C70" s="321">
        <f t="shared" si="22"/>
        <v>0</v>
      </c>
      <c r="D70" s="304">
        <f t="shared" si="18"/>
        <v>0</v>
      </c>
      <c r="E70" s="279" cm="1">
        <f t="array" ref="E70">IF(C70=0,0,
IF(Situation!$B$152=0,0,
IF(OR(C70=12,C70=24,C70=36,C70=48,C70=60,C70=72),$E$1,
IF(AND(C70&gt;=1,C70&lt;=SUM($M$7*12)),0,
IF(AND(I70&lt;=$M$7,TEXT(D70,"aaaa")=TEXT($P$6,"aaaa")),0,
IF($M$7=0,SUM((Situation!$B$71:$B$85=MONTH(1&amp;"/"&amp;TEXT(D70,"mmmm")))*(Situation!$C$71:$C$85)),
IF(TEXT(D70,"aaaa")=TEXT($P$6,"aaaa"),SUM((Situation!$B$71:$B$85=MONTH(1&amp;"/"&amp;TEXT(D70,"mmmm")))*(Situation!$C$71:$C$85)),
0)))))))</f>
        <v>0</v>
      </c>
      <c r="F70" s="279">
        <f t="shared" si="19"/>
        <v>0</v>
      </c>
      <c r="G70" s="279" cm="1">
        <f t="array" ref="G70">IFERROR(IF(B70=$P$4,$K$1,
IF(B70=EDATE($B$1,84),0,
IF(COUNTIF($N$9:$N$20,B70),LOOKUP(2,1/($N$9:$N$20=B70),$Q$9:$Q$21)*-1,
IF(C70&lt;&gt;0,$G$1,0)))),0)</f>
        <v>0</v>
      </c>
      <c r="H70" s="279">
        <f t="shared" si="23"/>
        <v>0</v>
      </c>
      <c r="I70" s="321">
        <f t="shared" si="20"/>
        <v>0</v>
      </c>
      <c r="J70" t="str">
        <f>IF(K70&lt;&gt;"",CONCATENATE("Annuité ",COUNT($K$3:K70)),"")</f>
        <v/>
      </c>
      <c r="K70" s="279" t="str">
        <f t="shared" si="21"/>
        <v/>
      </c>
      <c r="L70" s="279">
        <f t="shared" si="15"/>
        <v>0</v>
      </c>
      <c r="M70" s="279"/>
    </row>
    <row r="71" spans="1:13" x14ac:dyDescent="0.25">
      <c r="A71">
        <v>69</v>
      </c>
      <c r="B71" s="304">
        <f t="shared" si="17"/>
        <v>45646</v>
      </c>
      <c r="C71" s="321">
        <f t="shared" si="22"/>
        <v>0</v>
      </c>
      <c r="D71" s="304">
        <f t="shared" si="18"/>
        <v>0</v>
      </c>
      <c r="E71" s="279" cm="1">
        <f t="array" ref="E71">IF(C71=0,0,
IF(Situation!$B$152=0,0,
IF(OR(C71=12,C71=24,C71=36,C71=48,C71=60,C71=72),$E$1,
IF(AND(C71&gt;=1,C71&lt;=SUM($M$7*12)),0,
IF(AND(I71&lt;=$M$7,TEXT(D71,"aaaa")=TEXT($P$6,"aaaa")),0,
IF($M$7=0,SUM((Situation!$B$71:$B$85=MONTH(1&amp;"/"&amp;TEXT(D71,"mmmm")))*(Situation!$C$71:$C$85)),
IF(TEXT(D71,"aaaa")=TEXT($P$6,"aaaa"),SUM((Situation!$B$71:$B$85=MONTH(1&amp;"/"&amp;TEXT(D71,"mmmm")))*(Situation!$C$71:$C$85)),
0)))))))</f>
        <v>0</v>
      </c>
      <c r="F71" s="279">
        <f t="shared" si="19"/>
        <v>0</v>
      </c>
      <c r="G71" s="279" cm="1">
        <f t="array" ref="G71">IFERROR(IF(B71=$P$4,$K$1,
IF(B71=EDATE($B$1,84),0,
IF(COUNTIF($N$9:$N$20,B71),LOOKUP(2,1/($N$9:$N$20=B71),$Q$9:$Q$21)*-1,
IF(C71&lt;&gt;0,$G$1,0)))),0)</f>
        <v>0</v>
      </c>
      <c r="H71" s="279">
        <f t="shared" si="23"/>
        <v>0</v>
      </c>
      <c r="I71" s="321">
        <f t="shared" si="20"/>
        <v>0</v>
      </c>
      <c r="J71" t="str">
        <f>IF(K71&lt;&gt;"",CONCATENATE("Annuité ",COUNT($K$3:K71)),"")</f>
        <v/>
      </c>
      <c r="K71" s="279" t="str">
        <f t="shared" si="21"/>
        <v/>
      </c>
      <c r="L71" s="279">
        <f t="shared" si="15"/>
        <v>0</v>
      </c>
      <c r="M71" s="279"/>
    </row>
    <row r="72" spans="1:13" x14ac:dyDescent="0.25">
      <c r="A72">
        <v>70</v>
      </c>
      <c r="B72" s="304">
        <f t="shared" si="17"/>
        <v>45677</v>
      </c>
      <c r="C72" s="321">
        <f t="shared" si="22"/>
        <v>0</v>
      </c>
      <c r="D72" s="304">
        <f t="shared" si="18"/>
        <v>0</v>
      </c>
      <c r="E72" s="279" cm="1">
        <f t="array" ref="E72">IF(C72=0,0,
IF(Situation!$B$152=0,0,
IF(OR(C72=12,C72=24,C72=36,C72=48,C72=60,C72=72),$E$1,
IF(AND(C72&gt;=1,C72&lt;=SUM($M$7*12)),0,
IF(AND(I72&lt;=$M$7,TEXT(D72,"aaaa")=TEXT($P$6,"aaaa")),0,
IF($M$7=0,SUM((Situation!$B$71:$B$85=MONTH(1&amp;"/"&amp;TEXT(D72,"mmmm")))*(Situation!$C$71:$C$85)),
IF(TEXT(D72,"aaaa")=TEXT($P$6,"aaaa"),SUM((Situation!$B$71:$B$85=MONTH(1&amp;"/"&amp;TEXT(D72,"mmmm")))*(Situation!$C$71:$C$85)),
0)))))))</f>
        <v>0</v>
      </c>
      <c r="F72" s="279">
        <f t="shared" si="19"/>
        <v>0</v>
      </c>
      <c r="G72" s="279" cm="1">
        <f t="array" ref="G72">IFERROR(IF(B72=$P$4,$K$1,
IF(B72=EDATE($B$1,84),0,
IF(COUNTIF($N$9:$N$20,B72),LOOKUP(2,1/($N$9:$N$20=B72),$Q$9:$Q$21)*-1,
IF(C72&lt;&gt;0,$G$1,0)))),0)</f>
        <v>0</v>
      </c>
      <c r="H72" s="279">
        <f t="shared" si="23"/>
        <v>0</v>
      </c>
      <c r="I72" s="321">
        <f t="shared" si="20"/>
        <v>0</v>
      </c>
      <c r="J72" t="str">
        <f>IF(K72&lt;&gt;"",CONCATENATE("Annuité ",COUNT($K$3:K72)),"")</f>
        <v/>
      </c>
      <c r="K72" s="279" t="str">
        <f t="shared" si="21"/>
        <v/>
      </c>
      <c r="L72" s="279">
        <f t="shared" si="15"/>
        <v>0</v>
      </c>
      <c r="M72" s="279"/>
    </row>
    <row r="73" spans="1:13" x14ac:dyDescent="0.25">
      <c r="A73">
        <v>71</v>
      </c>
      <c r="B73" s="304">
        <f t="shared" si="17"/>
        <v>45708</v>
      </c>
      <c r="C73" s="321">
        <f t="shared" si="22"/>
        <v>0</v>
      </c>
      <c r="D73" s="304">
        <f t="shared" si="18"/>
        <v>0</v>
      </c>
      <c r="E73" s="279" cm="1">
        <f t="array" ref="E73">IF(C73=0,0,
IF(Situation!$B$152=0,0,
IF(OR(C73=12,C73=24,C73=36,C73=48,C73=60,C73=72),$E$1,
IF(AND(C73&gt;=1,C73&lt;=SUM($M$7*12)),0,
IF(AND(I73&lt;=$M$7,TEXT(D73,"aaaa")=TEXT($P$6,"aaaa")),0,
IF($M$7=0,SUM((Situation!$B$71:$B$85=MONTH(1&amp;"/"&amp;TEXT(D73,"mmmm")))*(Situation!$C$71:$C$85)),
IF(TEXT(D73,"aaaa")=TEXT($P$6,"aaaa"),SUM((Situation!$B$71:$B$85=MONTH(1&amp;"/"&amp;TEXT(D73,"mmmm")))*(Situation!$C$71:$C$85)),
0)))))))</f>
        <v>0</v>
      </c>
      <c r="F73" s="279">
        <f t="shared" si="19"/>
        <v>0</v>
      </c>
      <c r="G73" s="279" cm="1">
        <f t="array" ref="G73">IFERROR(IF(B73=$P$4,$K$1,
IF(B73=EDATE($B$1,84),0,
IF(COUNTIF($N$9:$N$20,B73),LOOKUP(2,1/($N$9:$N$20=B73),$Q$9:$Q$21)*-1,
IF(C73&lt;&gt;0,$G$1,0)))),0)</f>
        <v>0</v>
      </c>
      <c r="H73" s="279">
        <f>IF(L72&lt;SUM(E73+G73),L72,SUM(E73+G73))</f>
        <v>0</v>
      </c>
      <c r="I73" s="321">
        <f t="shared" si="20"/>
        <v>0</v>
      </c>
      <c r="J73" t="str">
        <f>IF(K73&lt;&gt;"",CONCATENATE("Annuité ",COUNT($K$3:K73)),"")</f>
        <v/>
      </c>
      <c r="K73" s="279" t="str">
        <f t="shared" si="21"/>
        <v/>
      </c>
      <c r="L73" s="279">
        <f t="shared" si="15"/>
        <v>0</v>
      </c>
      <c r="M73" s="279"/>
    </row>
    <row r="74" spans="1:13" x14ac:dyDescent="0.25">
      <c r="A74">
        <v>72</v>
      </c>
      <c r="B74" s="304">
        <f t="shared" si="17"/>
        <v>45736</v>
      </c>
      <c r="C74" s="321">
        <f t="shared" si="22"/>
        <v>0</v>
      </c>
      <c r="D74" s="304">
        <f t="shared" si="18"/>
        <v>0</v>
      </c>
      <c r="E74" s="279" cm="1">
        <f t="array" ref="E74">IF(C74=0,0,
IF(Situation!$B$152=0,0,
IF(OR(C74=12,C74=24,C74=36,C74=48,C74=60,C74=72),$E$1,
IF(AND(C74&gt;=1,C74&lt;=SUM($M$7*12)),0,
IF(AND(I74&lt;=$M$7,TEXT(D74,"aaaa")=TEXT($P$6,"aaaa")),0,
IF($M$7=0,SUM((Situation!$B$71:$B$85=MONTH(1&amp;"/"&amp;TEXT(D74,"mmmm")))*(Situation!$C$71:$C$85)),
IF(TEXT(D74,"aaaa")=TEXT($P$6,"aaaa"),SUM((Situation!$B$71:$B$85=MONTH(1&amp;"/"&amp;TEXT(D74,"mmmm")))*(Situation!$C$71:$C$85)),
0)))))))</f>
        <v>0</v>
      </c>
      <c r="F74" s="279">
        <f t="shared" ref="F74:F86" si="24">IF($D$1=0,0,
IF(D74=$P$6,$F$1,
0))</f>
        <v>0</v>
      </c>
      <c r="G74" s="279" cm="1">
        <f t="array" ref="G74">IFERROR(IF(B74=$P$4,$K$1,
IF(B74=EDATE($B$1,84),0,
IF(COUNTIF($N$9:$N$20,B74),LOOKUP(2,1/($N$9:$N$20=B74),$Q$9:$Q$21)*-1,
IF(C74&lt;&gt;0,$G$1,0)))),0)</f>
        <v>0</v>
      </c>
      <c r="H74" s="279">
        <f>IF(L73&lt;SUM(E74+G74),L73,SUM(E74+G74))</f>
        <v>0</v>
      </c>
      <c r="I74" s="321">
        <f t="shared" si="20"/>
        <v>0</v>
      </c>
      <c r="J74" t="str">
        <f>IF(K74&lt;&gt;"",CONCATENATE("Annuité ",COUNT($K$3:K74)),"")</f>
        <v/>
      </c>
      <c r="K74" s="279" t="str">
        <f t="shared" si="21"/>
        <v/>
      </c>
      <c r="L74" s="279">
        <f t="shared" si="15"/>
        <v>0</v>
      </c>
      <c r="M74" s="279"/>
    </row>
    <row r="75" spans="1:13" x14ac:dyDescent="0.25">
      <c r="A75">
        <v>73</v>
      </c>
      <c r="B75" s="304">
        <f t="shared" si="17"/>
        <v>45767</v>
      </c>
      <c r="C75" s="321">
        <f t="shared" si="22"/>
        <v>0</v>
      </c>
      <c r="D75" s="304">
        <f t="shared" si="18"/>
        <v>0</v>
      </c>
      <c r="E75" s="279" cm="1">
        <f t="array" ref="E75">IF(C75=0,0,
IF(Situation!$B$152=0,0,
IF(OR(C75=12,C75=24,C75=36,C75=48,C75=60,C75=72),$E$1,
IF(AND(C75&gt;=1,C75&lt;=SUM($M$7*12)),0,
IF(AND(I75&lt;=$M$7,TEXT(D75,"aaaa")=TEXT($P$6,"aaaa")),0,
IF($M$7=0,SUM((Situation!$B$71:$B$85=MONTH(1&amp;"/"&amp;TEXT(D75,"mmmm")))*(Situation!$C$71:$C$85)),
IF(TEXT(D75,"aaaa")=TEXT($P$6,"aaaa"),SUM((Situation!$B$71:$B$85=MONTH(1&amp;"/"&amp;TEXT(D75,"mmmm")))*(Situation!$C$71:$C$85)),
0)))))))</f>
        <v>0</v>
      </c>
      <c r="F75" s="279">
        <f t="shared" si="24"/>
        <v>0</v>
      </c>
      <c r="G75" s="279" cm="1">
        <f t="array" ref="G75">IFERROR(IF(B75=$P$4,$K$1,
IF(B75=EDATE($B$1,84),0,
IF(COUNTIF($N$9:$N$20,B75),LOOKUP(2,1/($N$9:$N$20=B75),$Q$9:$Q$21)*-1,
IF(C75&lt;&gt;0,$G$1,0)))),0)</f>
        <v>0</v>
      </c>
      <c r="H75" s="279">
        <f t="shared" si="23"/>
        <v>0</v>
      </c>
      <c r="I75" s="321">
        <f t="shared" si="20"/>
        <v>0</v>
      </c>
      <c r="J75" t="str">
        <f>IF(K75&lt;&gt;"",CONCATENATE("Annuité ",COUNT($K$3:K75)),"")</f>
        <v/>
      </c>
      <c r="K75" s="279" t="str">
        <f t="shared" si="21"/>
        <v/>
      </c>
      <c r="L75" s="279">
        <f t="shared" si="15"/>
        <v>0</v>
      </c>
      <c r="M75" s="279"/>
    </row>
    <row r="76" spans="1:13" x14ac:dyDescent="0.25">
      <c r="A76">
        <v>74</v>
      </c>
      <c r="B76" s="304">
        <f t="shared" si="17"/>
        <v>45797</v>
      </c>
      <c r="C76" s="321">
        <f t="shared" si="22"/>
        <v>0</v>
      </c>
      <c r="D76" s="304">
        <f t="shared" si="18"/>
        <v>0</v>
      </c>
      <c r="E76" s="279" cm="1">
        <f t="array" ref="E76">IF(C76=0,0,
IF(Situation!$B$152=0,0,
IF(OR(C76=12,C76=24,C76=36,C76=48,C76=60,C76=72),$E$1,
IF(AND(C76&gt;=1,C76&lt;=SUM($M$7*12)),0,
IF(AND(I76&lt;=$M$7,TEXT(D76,"aaaa")=TEXT($P$6,"aaaa")),0,
IF($M$7=0,SUM((Situation!$B$71:$B$85=MONTH(1&amp;"/"&amp;TEXT(D76,"mmmm")))*(Situation!$C$71:$C$85)),
IF(TEXT(D76,"aaaa")=TEXT($P$6,"aaaa"),SUM((Situation!$B$71:$B$85=MONTH(1&amp;"/"&amp;TEXT(D76,"mmmm")))*(Situation!$C$71:$C$85)),
0)))))))</f>
        <v>0</v>
      </c>
      <c r="F76" s="279">
        <f t="shared" si="24"/>
        <v>0</v>
      </c>
      <c r="G76" s="279" cm="1">
        <f t="array" ref="G76">IFERROR(IF(B76=$P$4,$K$1,
IF(B76=EDATE($B$1,84),0,
IF(COUNTIF($N$9:$N$20,B76),LOOKUP(2,1/($N$9:$N$20=B76),$Q$9:$Q$21)*-1,
IF(C76&lt;&gt;0,$G$1,0)))),0)</f>
        <v>0</v>
      </c>
      <c r="H76" s="279">
        <f t="shared" si="23"/>
        <v>0</v>
      </c>
      <c r="I76" s="321">
        <f t="shared" si="20"/>
        <v>0</v>
      </c>
      <c r="J76" t="str">
        <f>IF(K76&lt;&gt;"",CONCATENATE("Annuité ",COUNT($K$3:K76)),"")</f>
        <v/>
      </c>
      <c r="K76" s="279" t="str">
        <f t="shared" si="21"/>
        <v/>
      </c>
      <c r="L76" s="279">
        <f t="shared" si="15"/>
        <v>0</v>
      </c>
      <c r="M76" s="279"/>
    </row>
    <row r="77" spans="1:13" x14ac:dyDescent="0.25">
      <c r="A77">
        <v>75</v>
      </c>
      <c r="B77" s="304">
        <f t="shared" si="17"/>
        <v>45828</v>
      </c>
      <c r="C77" s="321">
        <f t="shared" si="22"/>
        <v>0</v>
      </c>
      <c r="D77" s="304">
        <f t="shared" si="18"/>
        <v>0</v>
      </c>
      <c r="E77" s="279" cm="1">
        <f t="array" ref="E77">IF(C77=0,0,
IF(Situation!$B$152=0,0,
IF(OR(C77=12,C77=24,C77=36,C77=48,C77=60,C77=72),$E$1,
IF(AND(C77&gt;=1,C77&lt;=SUM($M$7*12)),0,
IF(AND(I77&lt;=$M$7,TEXT(D77,"aaaa")=TEXT($P$6,"aaaa")),0,
IF($M$7=0,SUM((Situation!$B$71:$B$85=MONTH(1&amp;"/"&amp;TEXT(D77,"mmmm")))*(Situation!$C$71:$C$85)),
IF(TEXT(D77,"aaaa")=TEXT($P$6,"aaaa"),SUM((Situation!$B$71:$B$85=MONTH(1&amp;"/"&amp;TEXT(D77,"mmmm")))*(Situation!$C$71:$C$85)),
0)))))))</f>
        <v>0</v>
      </c>
      <c r="F77" s="279">
        <f t="shared" si="24"/>
        <v>0</v>
      </c>
      <c r="G77" s="279" cm="1">
        <f t="array" ref="G77">IFERROR(IF(B77=$P$4,$K$1,
IF(B77=EDATE($B$1,84),0,
IF(COUNTIF($N$9:$N$20,B77),LOOKUP(2,1/($N$9:$N$20=B77),$Q$9:$Q$21)*-1,
IF(C77&lt;&gt;0,$G$1,0)))),0)</f>
        <v>0</v>
      </c>
      <c r="H77" s="279">
        <f t="shared" si="23"/>
        <v>0</v>
      </c>
      <c r="I77" s="321">
        <f t="shared" si="20"/>
        <v>0</v>
      </c>
      <c r="J77" t="str">
        <f>IF(K77&lt;&gt;"",CONCATENATE("Annuité ",COUNT($K$3:K77)),"")</f>
        <v/>
      </c>
      <c r="K77" s="279" t="str">
        <f t="shared" si="21"/>
        <v/>
      </c>
      <c r="L77" s="279">
        <f>SUM(L76-H77)</f>
        <v>0</v>
      </c>
      <c r="M77" s="279"/>
    </row>
    <row r="78" spans="1:13" x14ac:dyDescent="0.25">
      <c r="A78">
        <v>76</v>
      </c>
      <c r="B78" s="304">
        <f t="shared" si="17"/>
        <v>45858</v>
      </c>
      <c r="C78" s="321">
        <f t="shared" si="22"/>
        <v>0</v>
      </c>
      <c r="D78" s="304">
        <f t="shared" si="18"/>
        <v>0</v>
      </c>
      <c r="E78" s="279" cm="1">
        <f t="array" ref="E78">IF(C78=0,0,
IF(Situation!$B$152=0,0,
IF(OR(C78=12,C78=24,C78=36,C78=48,C78=60,C78=72),$E$1,
IF(AND(C78&gt;=1,C78&lt;=SUM($M$7*12)),0,
IF(AND(I78&lt;=$M$7,TEXT(D78,"aaaa")=TEXT($P$6,"aaaa")),0,
IF($M$7=0,SUM((Situation!$B$71:$B$85=MONTH(1&amp;"/"&amp;TEXT(D78,"mmmm")))*(Situation!$C$71:$C$85)),
IF(TEXT(D78,"aaaa")=TEXT($P$6,"aaaa"),SUM((Situation!$B$71:$B$85=MONTH(1&amp;"/"&amp;TEXT(D78,"mmmm")))*(Situation!$C$71:$C$85)),
0)))))))</f>
        <v>0</v>
      </c>
      <c r="F78" s="279">
        <f t="shared" si="24"/>
        <v>0</v>
      </c>
      <c r="G78" s="279" cm="1">
        <f t="array" ref="G78">IFERROR(IF(B78=$P$4,$K$1,
IF(B78=EDATE($B$1,84),0,
IF(COUNTIF($N$9:$N$20,B78),LOOKUP(2,1/($N$9:$N$20=B78),$Q$9:$Q$21)*-1,
IF(C78&lt;&gt;0,$G$1,0)))),0)</f>
        <v>0</v>
      </c>
      <c r="H78" s="279">
        <f t="shared" si="23"/>
        <v>0</v>
      </c>
      <c r="I78" s="321">
        <f t="shared" si="20"/>
        <v>0</v>
      </c>
      <c r="J78" t="str">
        <f>IF(K78&lt;&gt;"",CONCATENATE("Annuité ",COUNT($K$3:K78)),"")</f>
        <v/>
      </c>
      <c r="K78" s="279" t="str">
        <f t="shared" si="21"/>
        <v/>
      </c>
      <c r="L78" s="279">
        <f>SUM(L77-H78)</f>
        <v>0</v>
      </c>
      <c r="M78" s="279"/>
    </row>
    <row r="79" spans="1:13" x14ac:dyDescent="0.25">
      <c r="A79">
        <v>77</v>
      </c>
      <c r="B79" s="304">
        <f t="shared" si="17"/>
        <v>45889</v>
      </c>
      <c r="C79" s="321">
        <f t="shared" si="22"/>
        <v>0</v>
      </c>
      <c r="D79" s="304">
        <f t="shared" si="18"/>
        <v>0</v>
      </c>
      <c r="E79" s="279" cm="1">
        <f t="array" ref="E79">IF(C79=0,0,
IF(Situation!$B$152=0,0,
IF(OR(C79=12,C79=24,C79=36,C79=48,C79=60,C79=72),$E$1,
IF(AND(C79&gt;=1,C79&lt;=SUM($M$7*12)),0,
IF(AND(I79&lt;=$M$7,TEXT(D79,"aaaa")=TEXT($P$6,"aaaa")),0,
IF($M$7=0,SUM((Situation!$B$71:$B$85=MONTH(1&amp;"/"&amp;TEXT(D79,"mmmm")))*(Situation!$C$71:$C$85)),
IF(TEXT(D79,"aaaa")=TEXT($P$6,"aaaa"),SUM((Situation!$B$71:$B$85=MONTH(1&amp;"/"&amp;TEXT(D79,"mmmm")))*(Situation!$C$71:$C$85)),
0)))))))</f>
        <v>0</v>
      </c>
      <c r="F79" s="279">
        <f t="shared" si="24"/>
        <v>0</v>
      </c>
      <c r="G79" s="279" cm="1">
        <f t="array" ref="G79">IFERROR(IF(B79=$P$4,$K$1,
IF(B79=EDATE($B$1,84),0,
IF(COUNTIF($N$9:$N$20,B79),LOOKUP(2,1/($N$9:$N$20=B79),$Q$9:$Q$21)*-1,
IF(C79&lt;&gt;0,$G$1,0)))),0)</f>
        <v>0</v>
      </c>
      <c r="H79" s="279">
        <f t="shared" si="23"/>
        <v>0</v>
      </c>
      <c r="I79" s="321">
        <f t="shared" si="20"/>
        <v>0</v>
      </c>
      <c r="J79" t="str">
        <f>IF(K79&lt;&gt;"",CONCATENATE("Annuité ",COUNT($K$3:K79)),"")</f>
        <v/>
      </c>
      <c r="K79" s="279" t="str">
        <f t="shared" si="21"/>
        <v/>
      </c>
      <c r="L79" s="279">
        <f>SUM(L78-H79)</f>
        <v>0</v>
      </c>
      <c r="M79" s="279"/>
    </row>
    <row r="80" spans="1:13" x14ac:dyDescent="0.25">
      <c r="A80">
        <v>78</v>
      </c>
      <c r="B80" s="304">
        <f t="shared" si="17"/>
        <v>45920</v>
      </c>
      <c r="C80" s="321">
        <f t="shared" si="22"/>
        <v>0</v>
      </c>
      <c r="D80" s="304">
        <f t="shared" si="18"/>
        <v>0</v>
      </c>
      <c r="E80" s="279" cm="1">
        <f t="array" ref="E80">IF(C80=0,0,
IF(Situation!$B$152=0,0,
IF(OR(C80=12,C80=24,C80=36,C80=48,C80=60,C80=72),$E$1,
IF(AND(C80&gt;=1,C80&lt;=SUM($M$7*12)),0,
IF(AND(I80&lt;=$M$7,TEXT(D80,"aaaa")=TEXT($P$6,"aaaa")),0,
IF($M$7=0,SUM((Situation!$B$71:$B$85=MONTH(1&amp;"/"&amp;TEXT(D80,"mmmm")))*(Situation!$C$71:$C$85)),
IF(TEXT(D80,"aaaa")=TEXT($P$6,"aaaa"),SUM((Situation!$B$71:$B$85=MONTH(1&amp;"/"&amp;TEXT(D80,"mmmm")))*(Situation!$C$71:$C$85)),
0)))))))</f>
        <v>0</v>
      </c>
      <c r="F80" s="279">
        <f t="shared" si="24"/>
        <v>0</v>
      </c>
      <c r="G80" s="279" cm="1">
        <f t="array" ref="G80">IFERROR(IF(B80=$P$4,$K$1,
IF(B80=EDATE($B$1,84),0,
IF(COUNTIF($N$9:$N$20,B80),LOOKUP(2,1/($N$9:$N$20=B80),$Q$9:$Q$21)*-1,
IF(C80&lt;&gt;0,$G$1,0)))),0)</f>
        <v>0</v>
      </c>
      <c r="H80" s="279">
        <f t="shared" si="23"/>
        <v>0</v>
      </c>
      <c r="I80" s="321">
        <f t="shared" si="20"/>
        <v>0</v>
      </c>
      <c r="J80" t="str">
        <f>IF(K80&lt;&gt;"",CONCATENATE("Annuité ",COUNT($K$3:K80)),"")</f>
        <v/>
      </c>
      <c r="K80" s="279" t="str">
        <f t="shared" si="21"/>
        <v/>
      </c>
      <c r="L80" s="279">
        <f t="shared" si="15"/>
        <v>0</v>
      </c>
      <c r="M80" s="279"/>
    </row>
    <row r="81" spans="1:14" x14ac:dyDescent="0.25">
      <c r="A81">
        <v>79</v>
      </c>
      <c r="B81" s="304">
        <f t="shared" si="17"/>
        <v>45950</v>
      </c>
      <c r="C81" s="321">
        <f t="shared" si="22"/>
        <v>0</v>
      </c>
      <c r="D81" s="304">
        <f t="shared" si="18"/>
        <v>0</v>
      </c>
      <c r="E81" s="279" cm="1">
        <f t="array" ref="E81">IF(C81=0,0,
IF(Situation!$B$152=0,0,
IF(OR(C81=12,C81=24,C81=36,C81=48,C81=60,C81=72),$E$1,
IF(AND(C81&gt;=1,C81&lt;=SUM($M$7*12)),0,
IF(AND(I81&lt;=$M$7,TEXT(D81,"aaaa")=TEXT($P$6,"aaaa")),0,
IF($M$7=0,SUM((Situation!$B$71:$B$85=MONTH(1&amp;"/"&amp;TEXT(D81,"mmmm")))*(Situation!$C$71:$C$85)),
IF(TEXT(D81,"aaaa")=TEXT($P$6,"aaaa"),SUM((Situation!$B$71:$B$85=MONTH(1&amp;"/"&amp;TEXT(D81,"mmmm")))*(Situation!$C$71:$C$85)),
0)))))))</f>
        <v>0</v>
      </c>
      <c r="F81" s="279">
        <f t="shared" si="24"/>
        <v>0</v>
      </c>
      <c r="G81" s="279" cm="1">
        <f t="array" ref="G81">IFERROR(IF(B81=$P$4,$K$1,
IF(B81=EDATE($B$1,84),0,
IF(COUNTIF($N$9:$N$20,B81),LOOKUP(2,1/($N$9:$N$20=B81),$Q$9:$Q$21)*-1,
IF(C81&lt;&gt;0,$G$1,0)))),0)</f>
        <v>0</v>
      </c>
      <c r="H81" s="279">
        <f t="shared" si="23"/>
        <v>0</v>
      </c>
      <c r="I81" s="321">
        <f t="shared" si="20"/>
        <v>0</v>
      </c>
      <c r="J81" t="str">
        <f>IF(K81&lt;&gt;"",CONCATENATE("Annuité ",COUNT($K$3:K81)),"")</f>
        <v/>
      </c>
      <c r="K81" s="279" t="str">
        <f t="shared" si="21"/>
        <v/>
      </c>
      <c r="L81" s="279">
        <f t="shared" si="15"/>
        <v>0</v>
      </c>
      <c r="M81" s="279"/>
    </row>
    <row r="82" spans="1:14" x14ac:dyDescent="0.25">
      <c r="A82">
        <v>80</v>
      </c>
      <c r="B82" s="304">
        <f t="shared" si="17"/>
        <v>45981</v>
      </c>
      <c r="C82" s="321">
        <f t="shared" si="22"/>
        <v>0</v>
      </c>
      <c r="D82" s="304">
        <f t="shared" si="18"/>
        <v>0</v>
      </c>
      <c r="E82" s="279" cm="1">
        <f t="array" ref="E82">IF(C82=0,0,
IF(Situation!$B$152=0,0,
IF(OR(C82=12,C82=24,C82=36,C82=48,C82=60,C82=72),$E$1,
IF(AND(C82&gt;=1,C82&lt;=SUM($M$7*12)),0,
IF(AND(I82&lt;=$M$7,TEXT(D82,"aaaa")=TEXT($P$6,"aaaa")),0,
IF($M$7=0,SUM((Situation!$B$71:$B$85=MONTH(1&amp;"/"&amp;TEXT(D82,"mmmm")))*(Situation!$C$71:$C$85)),
IF(TEXT(D82,"aaaa")=TEXT($P$6,"aaaa"),SUM((Situation!$B$71:$B$85=MONTH(1&amp;"/"&amp;TEXT(D82,"mmmm")))*(Situation!$C$71:$C$85)),
0)))))))</f>
        <v>0</v>
      </c>
      <c r="F82" s="279">
        <f t="shared" si="24"/>
        <v>0</v>
      </c>
      <c r="G82" s="279" cm="1">
        <f t="array" ref="G82">IFERROR(IF(B82=$P$4,$K$1,
IF(B82=EDATE($B$1,84),0,
IF(COUNTIF($N$9:$N$20,B82),LOOKUP(2,1/($N$9:$N$20=B82),$Q$9:$Q$21)*-1,
IF(C82&lt;&gt;0,$G$1,0)))),0)</f>
        <v>0</v>
      </c>
      <c r="H82" s="279">
        <f t="shared" si="23"/>
        <v>0</v>
      </c>
      <c r="I82" s="321">
        <f t="shared" si="20"/>
        <v>0</v>
      </c>
      <c r="J82" t="str">
        <f>IF(K82&lt;&gt;"",CONCATENATE("Annuité ",COUNT($K$3:K82)),"")</f>
        <v/>
      </c>
      <c r="K82" s="279" t="str">
        <f t="shared" si="21"/>
        <v/>
      </c>
      <c r="L82" s="279">
        <f t="shared" si="15"/>
        <v>0</v>
      </c>
      <c r="M82" s="279"/>
    </row>
    <row r="83" spans="1:14" x14ac:dyDescent="0.25">
      <c r="A83">
        <v>81</v>
      </c>
      <c r="B83" s="304">
        <f t="shared" si="17"/>
        <v>46011</v>
      </c>
      <c r="C83" s="321">
        <f t="shared" si="22"/>
        <v>0</v>
      </c>
      <c r="D83" s="304">
        <f t="shared" si="18"/>
        <v>0</v>
      </c>
      <c r="E83" s="279" cm="1">
        <f t="array" ref="E83">IF(C83=0,0,
IF(Situation!$B$152=0,0,
IF(OR(C83=12,C83=24,C83=36,C83=48,C83=60,C83=72),$E$1,
IF(AND(C83&gt;=1,C83&lt;=SUM($M$7*12)),0,
IF(AND(I83&lt;=$M$7,TEXT(D83,"aaaa")=TEXT($P$6,"aaaa")),0,
IF($M$7=0,SUM((Situation!$B$71:$B$85=MONTH(1&amp;"/"&amp;TEXT(D83,"mmmm")))*(Situation!$C$71:$C$85)),
IF(TEXT(D83,"aaaa")=TEXT($P$6,"aaaa"),SUM((Situation!$B$71:$B$85=MONTH(1&amp;"/"&amp;TEXT(D83,"mmmm")))*(Situation!$C$71:$C$85)),
0)))))))</f>
        <v>0</v>
      </c>
      <c r="F83" s="279">
        <f t="shared" si="24"/>
        <v>0</v>
      </c>
      <c r="G83" s="279" cm="1">
        <f t="array" ref="G83">IFERROR(IF(B83=$P$4,$K$1,
IF(B83=EDATE($B$1,84),0,
IF(COUNTIF($N$9:$N$20,B83),LOOKUP(2,1/($N$9:$N$20=B83),$Q$9:$Q$21)*-1,
IF(C83&lt;&gt;0,$G$1,0)))),0)</f>
        <v>0</v>
      </c>
      <c r="H83" s="279">
        <f t="shared" si="23"/>
        <v>0</v>
      </c>
      <c r="I83" s="321">
        <f t="shared" si="20"/>
        <v>0</v>
      </c>
      <c r="J83" t="str">
        <f>IF(K83&lt;&gt;"",CONCATENATE("Annuité ",COUNT($K$3:K83)),"")</f>
        <v/>
      </c>
      <c r="K83" s="279" t="str">
        <f t="shared" si="21"/>
        <v/>
      </c>
      <c r="L83" s="279">
        <f t="shared" si="15"/>
        <v>0</v>
      </c>
      <c r="M83" s="279"/>
    </row>
    <row r="84" spans="1:14" x14ac:dyDescent="0.25">
      <c r="A84">
        <v>82</v>
      </c>
      <c r="B84" s="304">
        <f t="shared" si="17"/>
        <v>46042</v>
      </c>
      <c r="C84" s="321">
        <f t="shared" si="22"/>
        <v>0</v>
      </c>
      <c r="D84" s="304">
        <f t="shared" si="18"/>
        <v>0</v>
      </c>
      <c r="E84" s="279" cm="1">
        <f t="array" ref="E84">IF(C84=0,0,
IF(Situation!$B$152=0,0,
IF(OR(C84=12,C84=24,C84=36,C84=48,C84=60,C84=72),$E$1,
IF(AND(C84&gt;=1,C84&lt;=SUM($M$7*12)),0,
IF(AND(I84&lt;=$M$7,TEXT(D84,"aaaa")=TEXT($P$6,"aaaa")),0,
IF($M$7=0,SUM((Situation!$B$71:$B$85=MONTH(1&amp;"/"&amp;TEXT(D84,"mmmm")))*(Situation!$C$71:$C$85)),
IF(TEXT(D84,"aaaa")=TEXT($P$6,"aaaa"),SUM((Situation!$B$71:$B$85=MONTH(1&amp;"/"&amp;TEXT(D84,"mmmm")))*(Situation!$C$71:$C$85)),
0)))))))</f>
        <v>0</v>
      </c>
      <c r="F84" s="279">
        <f t="shared" si="24"/>
        <v>0</v>
      </c>
      <c r="G84" s="279" cm="1">
        <f t="array" ref="G84">IFERROR(IF(B84=$P$4,$K$1,
IF(B84=EDATE($B$1,84),0,
IF(COUNTIF($N$9:$N$20,B84),LOOKUP(2,1/($N$9:$N$20=B84),$Q$9:$Q$21)*-1,
IF(C84&lt;&gt;0,$G$1,0)))),0)</f>
        <v>0</v>
      </c>
      <c r="H84" s="279">
        <f t="shared" si="23"/>
        <v>0</v>
      </c>
      <c r="I84" s="321">
        <f t="shared" si="20"/>
        <v>0</v>
      </c>
      <c r="J84" t="str">
        <f>IF(K84&lt;&gt;"",CONCATENATE("Annuité ",COUNT($K$3:K84)),"")</f>
        <v/>
      </c>
      <c r="K84" s="279" t="str">
        <f t="shared" si="21"/>
        <v/>
      </c>
      <c r="L84" s="279">
        <f t="shared" si="15"/>
        <v>0</v>
      </c>
      <c r="M84" s="279"/>
    </row>
    <row r="85" spans="1:14" x14ac:dyDescent="0.25">
      <c r="A85">
        <v>83</v>
      </c>
      <c r="B85" s="304">
        <f t="shared" si="17"/>
        <v>46073</v>
      </c>
      <c r="C85" s="321">
        <f t="shared" si="22"/>
        <v>0</v>
      </c>
      <c r="D85" s="304">
        <f t="shared" si="18"/>
        <v>0</v>
      </c>
      <c r="E85" s="279" cm="1">
        <f t="array" ref="E85">IF(C85=0,0,
IF(Situation!$B$152=0,0,
IF(OR(C85=12,C85=24,C85=36,C85=48,C85=60,C85=72),$E$1,
IF(AND(C85&gt;=1,C85&lt;=SUM($M$7*12)),0,
IF(AND(I85&lt;=$M$7,TEXT(D85,"aaaa")=TEXT($P$6,"aaaa")),0,
IF($M$7=0,SUM((Situation!$B$71:$B$85=MONTH(1&amp;"/"&amp;TEXT(D85,"mmmm")))*(Situation!$C$71:$C$85)),
IF(TEXT(D85,"aaaa")=TEXT($P$6,"aaaa"),SUM((Situation!$B$71:$B$85=MONTH(1&amp;"/"&amp;TEXT(D85,"mmmm")))*(Situation!$C$71:$C$85)),
0)))))))</f>
        <v>0</v>
      </c>
      <c r="F85" s="279">
        <f t="shared" si="24"/>
        <v>0</v>
      </c>
      <c r="G85" s="279" cm="1">
        <f t="array" ref="G85">IFERROR(IF(B85=$P$4,$K$1,
IF(B85=EDATE($B$1,84),0,
IF(COUNTIF($N$9:$N$20,B85),LOOKUP(2,1/($N$9:$N$20=B85),$Q$9:$Q$21)*-1,
IF(C85&lt;&gt;0,$G$1,0)))),0)</f>
        <v>0</v>
      </c>
      <c r="H85" s="279">
        <f t="shared" si="23"/>
        <v>0</v>
      </c>
      <c r="I85" s="321">
        <f t="shared" si="20"/>
        <v>0</v>
      </c>
      <c r="J85" t="str">
        <f>IF(K85&lt;&gt;"",CONCATENATE("Annuité ",COUNT($K$3:K85)),"")</f>
        <v/>
      </c>
      <c r="K85" s="279" t="str">
        <f t="shared" si="21"/>
        <v/>
      </c>
      <c r="L85" s="279">
        <f t="shared" si="15"/>
        <v>0</v>
      </c>
      <c r="M85" s="279"/>
    </row>
    <row r="86" spans="1:14" x14ac:dyDescent="0.25">
      <c r="A86">
        <v>84</v>
      </c>
      <c r="B86" s="304">
        <f t="shared" si="17"/>
        <v>46101</v>
      </c>
      <c r="C86" s="321">
        <f t="shared" si="22"/>
        <v>0</v>
      </c>
      <c r="D86" s="304">
        <f t="shared" si="18"/>
        <v>0</v>
      </c>
      <c r="E86" s="279" cm="1">
        <f t="array" ref="E86">IF(C86=0,0,
IF(Situation!$B$152=0,0,
IF(OR(C86=12,C86=24,C86=36,C86=48,C86=60,C86=72),$E$1,
IF(AND(C86&gt;=1,C86&lt;=SUM($M$7*12)),0,
IF(AND(I86&lt;=$M$7,TEXT(D86,"aaaa")=TEXT($P$6,"aaaa")),0,
IF($M$7=0,SUM((Situation!$B$71:$B$85=MONTH(1&amp;"/"&amp;TEXT(D86,"mmmm")))*(Situation!$C$71:$C$85)),
IF(TEXT(D86,"aaaa")=TEXT($P$6,"aaaa"),SUM((Situation!$B$71:$B$85=MONTH(1&amp;"/"&amp;TEXT(D86,"mmmm")))*(Situation!$C$71:$C$85)),
0)))))))</f>
        <v>0</v>
      </c>
      <c r="F86" s="279">
        <f t="shared" si="24"/>
        <v>0</v>
      </c>
      <c r="G86" s="279" cm="1">
        <f t="array" ref="G86">IFERROR(IF(B86=$P$4,$K$1,
IF(B86=EDATE($B$1,84),0,
IF(COUNTIF($N$9:$N$20,B86),LOOKUP(2,1/($N$9:$N$20=B86),$Q$9:$Q$21)*-1,
IF(C86&lt;&gt;0,$G$1,0)))),0)</f>
        <v>0</v>
      </c>
      <c r="H86" s="279">
        <f t="shared" si="23"/>
        <v>0</v>
      </c>
      <c r="I86" s="321">
        <f t="shared" si="20"/>
        <v>0</v>
      </c>
      <c r="J86" t="str">
        <f>IF(K86&lt;&gt;"",CONCATENATE("Annuité ",COUNT($K$3:K86)),"")</f>
        <v/>
      </c>
      <c r="K86" s="279" t="str">
        <f t="shared" si="21"/>
        <v/>
      </c>
      <c r="L86" s="279">
        <f t="shared" si="15"/>
        <v>0</v>
      </c>
      <c r="M86" s="279"/>
    </row>
    <row r="87" spans="1:14" ht="15.75" x14ac:dyDescent="0.25">
      <c r="A87" s="295" t="s">
        <v>239</v>
      </c>
      <c r="B87" s="295"/>
      <c r="C87" s="295"/>
      <c r="D87" s="295"/>
      <c r="E87" s="295"/>
      <c r="F87" s="295"/>
      <c r="G87" s="295"/>
      <c r="H87" s="310">
        <f>SUM(H4:H86)</f>
        <v>39874.619999999981</v>
      </c>
      <c r="I87" s="310"/>
      <c r="J87" s="322">
        <f>SUM(H87/L1)*100</f>
        <v>99.999999999999972</v>
      </c>
      <c r="K87" s="310">
        <f>SUM(K3:K86)</f>
        <v>39874.619999999995</v>
      </c>
      <c r="L87" s="295"/>
      <c r="M87" s="279"/>
    </row>
    <row r="88" spans="1:14" x14ac:dyDescent="0.25">
      <c r="M88" s="279"/>
    </row>
    <row r="89" spans="1:14" x14ac:dyDescent="0.25">
      <c r="M89" s="279"/>
    </row>
    <row r="90" spans="1:14" x14ac:dyDescent="0.25">
      <c r="M90" s="279"/>
      <c r="N90" s="279"/>
    </row>
    <row r="91" spans="1:14" x14ac:dyDescent="0.25">
      <c r="M91" s="279"/>
    </row>
    <row r="92" spans="1:14" x14ac:dyDescent="0.25">
      <c r="M92" s="279"/>
    </row>
    <row r="93" spans="1:14" x14ac:dyDescent="0.25">
      <c r="M93" s="279"/>
    </row>
    <row r="94" spans="1:14" x14ac:dyDescent="0.25">
      <c r="M94" s="279"/>
    </row>
    <row r="95" spans="1:14" x14ac:dyDescent="0.25">
      <c r="M95" s="279"/>
    </row>
    <row r="96" spans="1:14" x14ac:dyDescent="0.25">
      <c r="M96" s="279"/>
    </row>
    <row r="97" spans="10:13" x14ac:dyDescent="0.25">
      <c r="M97" s="279"/>
    </row>
    <row r="98" spans="10:13" x14ac:dyDescent="0.25">
      <c r="M98" s="279"/>
    </row>
    <row r="99" spans="10:13" x14ac:dyDescent="0.25">
      <c r="M99" s="279"/>
    </row>
    <row r="100" spans="10:13" x14ac:dyDescent="0.25">
      <c r="M100" s="279"/>
    </row>
    <row r="105" spans="10:13" x14ac:dyDescent="0.25">
      <c r="J105" s="279"/>
    </row>
  </sheetData>
  <phoneticPr fontId="42" type="noConversion"/>
  <conditionalFormatting sqref="N55:N58 N60 A3:A86 H88 O9:O20 C3:L86">
    <cfRule type="cellIs" dxfId="9" priority="5" operator="equal">
      <formula>0</formula>
    </cfRule>
  </conditionalFormatting>
  <conditionalFormatting sqref="M9:R20">
    <cfRule type="cellIs" dxfId="8" priority="1" operator="equal">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A7AB8-A254-4ACE-B78C-D1AC8076BAE1}">
  <dimension ref="A1:X101"/>
  <sheetViews>
    <sheetView topLeftCell="A2" workbookViewId="0">
      <selection activeCell="Q32" sqref="Q32"/>
    </sheetView>
  </sheetViews>
  <sheetFormatPr baseColWidth="10" defaultRowHeight="15" x14ac:dyDescent="0.25"/>
  <cols>
    <col min="9" max="9" width="5.5703125" customWidth="1"/>
    <col min="13" max="13" width="10" customWidth="1"/>
    <col min="14" max="14" width="22.140625" customWidth="1"/>
  </cols>
  <sheetData>
    <row r="1" spans="1:23" ht="15.75" x14ac:dyDescent="0.25">
      <c r="A1" s="297"/>
      <c r="B1" s="298">
        <f>Situation!B9</f>
        <v>43544</v>
      </c>
      <c r="C1" s="298"/>
      <c r="D1" s="298">
        <f>Situation!G159</f>
        <v>0</v>
      </c>
      <c r="E1" s="299">
        <f>Situation!C152</f>
        <v>0</v>
      </c>
      <c r="F1" s="299">
        <f>Situation!E130</f>
        <v>300</v>
      </c>
      <c r="G1" s="299">
        <f>Situation!C145</f>
        <v>0</v>
      </c>
      <c r="H1" s="299"/>
      <c r="I1" s="299"/>
      <c r="J1" s="299"/>
      <c r="K1" s="299">
        <f>Situation!G165</f>
        <v>0</v>
      </c>
      <c r="L1" s="299">
        <f>Situation!H170</f>
        <v>0</v>
      </c>
      <c r="M1" s="306"/>
    </row>
    <row r="2" spans="1:23" ht="45" x14ac:dyDescent="0.25">
      <c r="A2" s="296" t="s">
        <v>218</v>
      </c>
      <c r="B2" s="296" t="s">
        <v>213</v>
      </c>
      <c r="C2" s="296" t="s">
        <v>212</v>
      </c>
      <c r="D2" s="296" t="s">
        <v>214</v>
      </c>
      <c r="E2" s="296" t="s">
        <v>219</v>
      </c>
      <c r="F2" s="296" t="s">
        <v>216</v>
      </c>
      <c r="G2" s="296" t="s">
        <v>211</v>
      </c>
      <c r="H2" s="296" t="s">
        <v>215</v>
      </c>
      <c r="I2" s="296" t="s">
        <v>248</v>
      </c>
      <c r="J2" s="296" t="s">
        <v>173</v>
      </c>
      <c r="K2" s="296" t="s">
        <v>231</v>
      </c>
      <c r="L2" s="296" t="s">
        <v>217</v>
      </c>
      <c r="M2" s="307"/>
      <c r="N2" s="296" t="s">
        <v>5</v>
      </c>
      <c r="O2" s="296">
        <f>IF(D1=0,0,DATEDIF(D1,EDATE(B1,85),"m"))</f>
        <v>0</v>
      </c>
      <c r="P2" s="329">
        <f>EDATE(B1,84)</f>
        <v>46101</v>
      </c>
      <c r="T2" s="134"/>
      <c r="U2" s="134"/>
      <c r="V2" s="134"/>
      <c r="W2" s="134"/>
    </row>
    <row r="3" spans="1:23" x14ac:dyDescent="0.25">
      <c r="A3">
        <v>1</v>
      </c>
      <c r="B3" s="304">
        <f>EDATE($B$1,A3)</f>
        <v>43575</v>
      </c>
      <c r="C3" s="321">
        <f>IF(B3&lt;$D$1,0,
IF(AND(MONTH(B3)&amp;YEAR(B3)=MONTH($D$1)&amp;YEAR($D$1),DAY($D$1)),1,0))</f>
        <v>0</v>
      </c>
      <c r="D3" s="304">
        <f>IF(C3&lt;&gt;0,B3,0)</f>
        <v>0</v>
      </c>
      <c r="E3" s="279">
        <f>IF(C3=0,0,
IF(Situation!$C$153=0,0,
IF(MOD(C3,12)&lt;&gt;0,0,$E$1)))</f>
        <v>0</v>
      </c>
      <c r="F3" s="279">
        <f>IF($D$1=0,0,
IF(D3=$P$6,$F$1,
0))</f>
        <v>0</v>
      </c>
      <c r="G3" s="279" cm="1">
        <f t="array" ref="G3">IFERROR(IF(B3=$P$4,$K$1,
IF(B3=EDATE($B$1,84),0,
IF(COUNTIF($N$9:$N$20,B3),LOOKUP(2,1/($N$9:$N$20=B3),$Q$9:$Q$21)*-1,
IF(C3&lt;&gt;0,$G$1,0)))),0)</f>
        <v>0</v>
      </c>
      <c r="H3" s="279">
        <f>SUM(E3+G3)</f>
        <v>0</v>
      </c>
      <c r="I3" s="305">
        <f>IF(B3=$P$4,1,
IF(AND(C3&gt;=1,C3&lt;=12),2,
IF(AND(C3&gt;=13,C3&lt;=24),3,
IF(AND(C3&gt;=25,C3&lt;=36),4,
IF(AND(C3&gt;=37,C3&lt;=48),5,
IF(AND(C3&gt;=49,C3&lt;=60),6,
IF(AND(C3&gt;=61,C3&lt;=72),7,
IF(AND(C3&gt;=73,C3&lt;=84),8,
0))))))))</f>
        <v>0</v>
      </c>
      <c r="J3" t="str">
        <f>IF(K3&lt;&gt;"",CONCATENATE("Annuité ",COUNT($K$3:K3)),"")</f>
        <v/>
      </c>
      <c r="K3" s="327" t="str">
        <f>IF(B3=$P$4,$K$1,
IF(C3=0,"",
IF(AND(OR(C3=12,C3=24,C3=36,C3=48,C3=60,C3=72),$M$7&lt;1),$O$8,
IF(OR(C3=12,C3=24,C3=36,C3=48,C3=60,C3=72),$O$7,
IF(B3=$P$6,$O$8,"")))))</f>
        <v/>
      </c>
      <c r="L3" s="279">
        <f>IFERROR(SUM(L1-H3),0)</f>
        <v>0</v>
      </c>
      <c r="M3" s="279"/>
      <c r="N3" s="8" t="s">
        <v>240</v>
      </c>
      <c r="O3" s="184">
        <f>L1</f>
        <v>0</v>
      </c>
      <c r="T3" s="314"/>
      <c r="U3" s="314"/>
      <c r="V3" s="314"/>
      <c r="W3" s="134"/>
    </row>
    <row r="4" spans="1:23" x14ac:dyDescent="0.25">
      <c r="A4">
        <v>2</v>
      </c>
      <c r="B4" s="304">
        <f t="shared" ref="B4:B67" si="0">EDATE($B$1,A4)</f>
        <v>43605</v>
      </c>
      <c r="C4" s="321">
        <f>IF(B4=$P$4,0,
IF(B3=$P$4,1,
IF(C3=0,0,
IF(C3=$O$6,0,
SUM(C3+1)))))</f>
        <v>0</v>
      </c>
      <c r="D4" s="304">
        <f t="shared" ref="D4:D67" si="1">IF(C4&lt;&gt;0,B4,0)</f>
        <v>0</v>
      </c>
      <c r="E4" s="279" cm="1">
        <f t="array" ref="E4">IF(C4=0,0,
IF(Situation!$C$153=0,0,
IF(OR(C4=12,C4=24,C4=36,C4=48,C4=60,C4=72),$E$1,
IF(AND(C4&gt;=1,C4&lt;=SUM($M$7*12)),0,
IF(AND(I4&lt;=$M$7,TEXT(D4,"aaaa")=TEXT($P$6,"aaaa")),0,
IF(M7=0,SUM((Situation!$D$71:$D$85=MONTH(1&amp;"/"&amp;TEXT(D4,"mmmm")))*(Situation!$E$71:$E$85)),
IF(TEXT(D4,"aaaa")=TEXT($P$6,"aaaa"),SUM((Situation!$D$71:$D$85=MONTH(1&amp;"/"&amp;TEXT(D4,"mmmm")))*(Situation!$E$71:$E$85)),
0)))))))</f>
        <v>0</v>
      </c>
      <c r="F4" s="279">
        <f>IF($D$1=0,0,
IF(D4=$P$6,$F$1,
0))</f>
        <v>0</v>
      </c>
      <c r="G4" s="279" cm="1">
        <f t="array" ref="G4">IFERROR(IF(B4=$P$4,$K$1,
IF(B4=EDATE($B$1,84),0,
IF(COUNTIF($N$9:$N$20,B4),LOOKUP(2,1/($N$9:$N$20=B4),$Q$9:$Q$21)*-1,
IF(C4&lt;&gt;0,$G$1,0)))),0)</f>
        <v>0</v>
      </c>
      <c r="H4" s="279">
        <f>IF(L3&lt;SUM(E4+G4),L3,SUM(E4+G4))</f>
        <v>0</v>
      </c>
      <c r="I4" s="305">
        <f t="shared" ref="I4:I67" si="2">IF(B4=$P$4,1,
IF(AND(C4&gt;=1,C4&lt;=12),2,
IF(AND(C4&gt;=13,C4&lt;=24),3,
IF(AND(C4&gt;=25,C4&lt;=36),4,
IF(AND(C4&gt;=37,C4&lt;=48),5,
IF(AND(C4&gt;=49,C4&lt;=60),6,
IF(AND(C4&gt;=61,C4&lt;=72),7,
IF(AND(C4&gt;=73,C4&lt;=84),8,
0))))))))</f>
        <v>0</v>
      </c>
      <c r="J4" t="str">
        <f>IF(K4&lt;&gt;"",CONCATENATE("Annuité ",COUNT($K$3:K4)),"")</f>
        <v/>
      </c>
      <c r="K4" s="327" t="str">
        <f t="shared" ref="K4:K67" si="3">IF(B4=$P$4,$K$1,
IF(C4=0,"",
IF(AND(OR(C4=12,C4=24,C4=36,C4=48,C4=60,C4=72),$M$7&lt;1),$O$8,
IF(OR(C4=12,C4=24,C4=36,C4=48,C4=60,C4=72),$O$7,
IF(B4=$P$6,$O$8,"")))))</f>
        <v/>
      </c>
      <c r="L4" s="279">
        <f>SUM(L3-H4)</f>
        <v>0</v>
      </c>
      <c r="M4" s="279"/>
      <c r="N4" t="s">
        <v>173</v>
      </c>
      <c r="O4" s="184">
        <f>-K1</f>
        <v>0</v>
      </c>
      <c r="P4" s="304">
        <f>IFERROR(EDATE(B1,SUM(DATEDIF(B1,D1,"m"))-1),0)</f>
        <v>0</v>
      </c>
      <c r="T4" s="315"/>
      <c r="U4" s="134"/>
      <c r="V4" s="280"/>
      <c r="W4" s="134"/>
    </row>
    <row r="5" spans="1:23" x14ac:dyDescent="0.25">
      <c r="A5">
        <v>3</v>
      </c>
      <c r="B5" s="304">
        <f t="shared" si="0"/>
        <v>43636</v>
      </c>
      <c r="C5" s="321">
        <f t="shared" ref="C5:C68" si="4">IF(B5=$P$4,0,
IF(B4=$P$4,1,
IF(C4=0,0,
IF(C4=$O$6,0,
SUM(C4+1)))))</f>
        <v>0</v>
      </c>
      <c r="D5" s="304">
        <f t="shared" si="1"/>
        <v>0</v>
      </c>
      <c r="E5" s="279" cm="1">
        <f t="array" ref="E5">IF(C5=0,0,
IF(Situation!$C$153=0,0,
IF(OR(C5=12,C5=24,C5=36,C5=48,C5=60,C5=72),$E$1,
IF(AND(C5&gt;=1,C5&lt;=SUM($M$7*12)),0,
IF(AND(I5&lt;=$M$7,TEXT(D5,"aaaa")=TEXT($P$6,"aaaa")),0,
IF(M8=0,SUM((Situation!$D$71:$D$85=MONTH(1&amp;"/"&amp;TEXT(D5,"mmmm")))*(Situation!$E$71:$E$85)),
IF(TEXT(D5,"aaaa")=TEXT($P$6,"aaaa"),SUM((Situation!$D$71:$D$85=MONTH(1&amp;"/"&amp;TEXT(D5,"mmmm")))*(Situation!$E$71:$E$85)),
0)))))))</f>
        <v>0</v>
      </c>
      <c r="F5" s="279">
        <f>IF($D$1=0,0,
IF(D5=$P$6,$F$1,
0))</f>
        <v>0</v>
      </c>
      <c r="G5" s="279" cm="1">
        <f t="array" ref="G5">IFERROR(IF(B5=$P$4,$K$1,
IF(B5=EDATE($B$1,84),0,
IF(COUNTIF($N$9:$N$20,B5),LOOKUP(2,1/($N$9:$N$20=B5),$Q$9:$Q$21)*-1,
IF(C5&lt;&gt;0,$G$1,0)))),0)</f>
        <v>0</v>
      </c>
      <c r="H5" s="279">
        <f>IF(L4&lt;SUM(E5+G5),L4,SUM(E5+G5))</f>
        <v>0</v>
      </c>
      <c r="I5" s="305">
        <f t="shared" si="2"/>
        <v>0</v>
      </c>
      <c r="J5" t="str">
        <f>IF(K5&lt;&gt;"",CONCATENATE("Annuité ",COUNT($K$3:K5)),"")</f>
        <v/>
      </c>
      <c r="K5" s="327" t="str">
        <f t="shared" si="3"/>
        <v/>
      </c>
      <c r="L5" s="279">
        <f>SUM(L4-H5)</f>
        <v>0</v>
      </c>
      <c r="M5" s="279"/>
      <c r="N5" s="271" t="s">
        <v>242</v>
      </c>
      <c r="O5" s="313">
        <f>SUM(O3:O4)</f>
        <v>0</v>
      </c>
      <c r="T5" s="315"/>
      <c r="U5" s="134"/>
      <c r="V5" s="280"/>
      <c r="W5" s="134"/>
    </row>
    <row r="6" spans="1:23" x14ac:dyDescent="0.25">
      <c r="A6">
        <v>4</v>
      </c>
      <c r="B6" s="304">
        <f t="shared" si="0"/>
        <v>43666</v>
      </c>
      <c r="C6" s="321">
        <f t="shared" si="4"/>
        <v>0</v>
      </c>
      <c r="D6" s="304">
        <f t="shared" si="1"/>
        <v>0</v>
      </c>
      <c r="E6" s="279" cm="1">
        <f t="array" ref="E6">IF(C6=0,0,
IF(Situation!$C$153=0,0,
IF(OR(C6=12,C6=24,C6=36,C6=48,C6=60,C6=72),$E$1,
IF(AND(C6&gt;=1,C6&lt;=SUM($M$7*12)),0,
IF(AND(I6&lt;=$M$7,TEXT(D6,"aaaa")=TEXT($P$6,"aaaa")),0,
IF(M9=0,SUM((Situation!$D$71:$D$85=MONTH(1&amp;"/"&amp;TEXT(D6,"mmmm")))*(Situation!$E$71:$E$85)),
IF(TEXT(D6,"aaaa")=TEXT($P$6,"aaaa"),SUM((Situation!$D$71:$D$85=MONTH(1&amp;"/"&amp;TEXT(D6,"mmmm")))*(Situation!$E$71:$E$85)),
0)))))))</f>
        <v>0</v>
      </c>
      <c r="F6" s="279">
        <f t="shared" ref="F6:F67" si="5">IF($D$1=0,0,
IF(D6=$P$6,$F$1,
0))</f>
        <v>0</v>
      </c>
      <c r="G6" s="279" cm="1">
        <f t="array" ref="G6">IFERROR(IF(B6=$P$4,$K$1,
IF(B6=EDATE($B$1,84),0,
IF(COUNTIF($N$9:$N$20,B6),LOOKUP(2,1/($N$9:$N$20=B6),$Q$9:$Q$21)*-1,
IF(C6&lt;&gt;0,$G$1,0)))),0)</f>
        <v>0</v>
      </c>
      <c r="H6" s="279">
        <f>IF(L5&lt;SUM(E6+G6),L5,SUM(E6+G6))</f>
        <v>0</v>
      </c>
      <c r="I6" s="305">
        <f t="shared" si="2"/>
        <v>0</v>
      </c>
      <c r="J6" t="str">
        <f>IF(K6&lt;&gt;"",CONCATENATE("Annuité ",COUNT($K$3:K6)),"")</f>
        <v/>
      </c>
      <c r="K6" s="327" t="str">
        <f t="shared" si="3"/>
        <v/>
      </c>
      <c r="L6" s="279">
        <f>SUM(L5-H6)</f>
        <v>0</v>
      </c>
      <c r="M6" s="279"/>
      <c r="N6" t="s">
        <v>249</v>
      </c>
      <c r="O6" s="305">
        <f>IF(SUM(SUM(M7*12)+M8)&gt;O2,O2,SUM(SUM(M7*12)+M8))</f>
        <v>0</v>
      </c>
      <c r="P6" s="304" cm="1">
        <f t="array" ref="P6">IFERROR(LOOKUP(2,1/($Q$9:$Q$20&lt;&gt;0),$N$9:$N$20),0)</f>
        <v>0</v>
      </c>
      <c r="Q6" cm="1">
        <f t="array" ref="Q6">IFERROR(LOOKUP(2,1/($H$3:$H$86&lt;&gt;0),$A$3:$A$86),0)</f>
        <v>0</v>
      </c>
      <c r="T6" s="315"/>
      <c r="U6" s="134"/>
      <c r="V6" s="280"/>
      <c r="W6" s="134"/>
    </row>
    <row r="7" spans="1:23" x14ac:dyDescent="0.25">
      <c r="A7">
        <v>5</v>
      </c>
      <c r="B7" s="304">
        <f t="shared" si="0"/>
        <v>43697</v>
      </c>
      <c r="C7" s="321">
        <f t="shared" si="4"/>
        <v>0</v>
      </c>
      <c r="D7" s="304">
        <f t="shared" si="1"/>
        <v>0</v>
      </c>
      <c r="E7" s="279" cm="1">
        <f t="array" ref="E7">IF(C7=0,0,
IF(Situation!$C$153=0,0,
IF(OR(C7=12,C7=24,C7=36,C7=48,C7=60,C7=72),$E$1,
IF(AND(C7&gt;=1,C7&lt;=SUM($M$7*12)),0,
IF(AND(I7&lt;=$M$7,TEXT(D7,"aaaa")=TEXT($P$6,"aaaa")),0,
IF(M10=0,SUM((Situation!$D$71:$D$85=MONTH(1&amp;"/"&amp;TEXT(D7,"mmmm")))*(Situation!$E$71:$E$85)),
IF(TEXT(D7,"aaaa")=TEXT($P$6,"aaaa"),SUM((Situation!$D$71:$D$85=MONTH(1&amp;"/"&amp;TEXT(D7,"mmmm")))*(Situation!$E$71:$E$85)),
0)))))))</f>
        <v>0</v>
      </c>
      <c r="F7" s="279">
        <f t="shared" si="5"/>
        <v>0</v>
      </c>
      <c r="G7" s="279" cm="1">
        <f t="array" ref="G7">IFERROR(IF(B7=$P$4,$K$1,
IF(B7=EDATE($B$1,84),0,
IF(COUNTIF($N$9:$N$20,B7),LOOKUP(2,1/($N$9:$N$20=B7),$Q$9:$Q$21)*-1,
IF(C7&lt;&gt;0,$G$1,0)))),0)</f>
        <v>0</v>
      </c>
      <c r="H7" s="279">
        <f>IF(L6&lt;SUM(E7+G7),L6,SUM(E7+G7))</f>
        <v>0</v>
      </c>
      <c r="I7" s="305">
        <f t="shared" si="2"/>
        <v>0</v>
      </c>
      <c r="J7" t="str">
        <f>IF(K7&lt;&gt;"",CONCATENATE("Annuité ",COUNT($K$3:K7)),"")</f>
        <v/>
      </c>
      <c r="K7" s="327" t="str">
        <f t="shared" si="3"/>
        <v/>
      </c>
      <c r="L7" s="279">
        <f>SUM(L6-H7)</f>
        <v>0</v>
      </c>
      <c r="M7">
        <f>IFERROR(IF(ROUNDDOWN(SUM(O5/O7),0)&gt;ROUNDDOWN(SUM(O2/12),0),ROUNDDOWN(SUM(O2/12),0),ROUNDDOWN(SUM(O5/O7),0)),0)</f>
        <v>0</v>
      </c>
      <c r="N7" t="s">
        <v>173</v>
      </c>
      <c r="O7" s="184">
        <f>IF(D1=0,0,SUM(E1+SUM(G1*12)))</f>
        <v>0</v>
      </c>
      <c r="P7" s="304"/>
      <c r="T7" s="315"/>
      <c r="U7" s="134"/>
      <c r="V7" s="134"/>
      <c r="W7" s="134"/>
    </row>
    <row r="8" spans="1:23" x14ac:dyDescent="0.25">
      <c r="A8">
        <v>6</v>
      </c>
      <c r="B8" s="304">
        <f t="shared" si="0"/>
        <v>43728</v>
      </c>
      <c r="C8" s="321">
        <f t="shared" si="4"/>
        <v>0</v>
      </c>
      <c r="D8" s="304">
        <f t="shared" si="1"/>
        <v>0</v>
      </c>
      <c r="E8" s="279" cm="1">
        <f t="array" ref="E8">IF(C8=0,0,
IF(Situation!$C$153=0,0,
IF(OR(C8=12,C8=24,C8=36,C8=48,C8=60,C8=72),$E$1,
IF(AND(C8&gt;=1,C8&lt;=SUM($M$7*12)),0,
IF(AND(I8&lt;=$M$7,TEXT(D8,"aaaa")=TEXT($P$6,"aaaa")),0,
IF(M11=0,SUM((Situation!$D$71:$D$85=MONTH(1&amp;"/"&amp;TEXT(D8,"mmmm")))*(Situation!$E$71:$E$85)),
IF(TEXT(D8,"aaaa")=TEXT($P$6,"aaaa"),SUM((Situation!$D$71:$D$85=MONTH(1&amp;"/"&amp;TEXT(D8,"mmmm")))*(Situation!$E$71:$E$85)),
0)))))))</f>
        <v>0</v>
      </c>
      <c r="F8" s="279">
        <f t="shared" si="5"/>
        <v>0</v>
      </c>
      <c r="G8" s="279" cm="1">
        <f t="array" ref="G8">IFERROR(IF(B8=$P$4,$K$1,
IF(B8=EDATE($B$1,84),0,
IF(COUNTIF($N$9:$N$20,B8),LOOKUP(2,1/($N$9:$N$20=B8),$Q$9:$Q$21)*-1,
IF(C8&lt;&gt;0,$G$1,0)))),0)</f>
        <v>0</v>
      </c>
      <c r="H8" s="279">
        <f>IF(L7&lt;SUM(E8+G8),L7,SUM(E8+G8))</f>
        <v>0</v>
      </c>
      <c r="I8" s="305">
        <f t="shared" si="2"/>
        <v>0</v>
      </c>
      <c r="J8" t="str">
        <f>IF(K8&lt;&gt;"",CONCATENATE("Annuité ",COUNT($K$3:K8)),"")</f>
        <v/>
      </c>
      <c r="K8" s="327" t="str">
        <f t="shared" si="3"/>
        <v/>
      </c>
      <c r="L8" s="279">
        <f>SUM(L7-H8)</f>
        <v>0</v>
      </c>
      <c r="M8" s="305" cm="1">
        <f t="array" ref="M8">IFERROR(LOOKUP(2,1/($Q$9:$Q$20&lt;&gt;0),$M$9:$M$20),0)</f>
        <v>0</v>
      </c>
      <c r="N8" t="s">
        <v>241</v>
      </c>
      <c r="O8" s="184">
        <f>SUM(Q9:Q20)*-1</f>
        <v>0</v>
      </c>
      <c r="P8" s="304">
        <f>IFERROR(EDATE(P4,SUM(M7*12)-1),0)</f>
        <v>0</v>
      </c>
      <c r="Q8" s="184">
        <f>SUM(O5-SUM(O7*M7))</f>
        <v>0</v>
      </c>
      <c r="R8" s="279"/>
      <c r="T8" s="134"/>
      <c r="U8" s="134"/>
      <c r="V8" s="280"/>
      <c r="W8" s="134"/>
    </row>
    <row r="9" spans="1:23" x14ac:dyDescent="0.25">
      <c r="A9">
        <v>7</v>
      </c>
      <c r="B9" s="304">
        <f t="shared" si="0"/>
        <v>43758</v>
      </c>
      <c r="C9" s="321">
        <f t="shared" si="4"/>
        <v>0</v>
      </c>
      <c r="D9" s="304">
        <f t="shared" si="1"/>
        <v>0</v>
      </c>
      <c r="E9" s="279" cm="1">
        <f t="array" ref="E9">IF(C9=0,0,
IF(Situation!$C$153=0,0,
IF(OR(C9=12,C9=24,C9=36,C9=48,C9=60,C9=72),$E$1,
IF(AND(C9&gt;=1,C9&lt;=SUM($M$7*12)),0,
IF(AND(I9&lt;=$M$7,TEXT(D9,"aaaa")=TEXT($P$6,"aaaa")),0,
IF(M12=0,SUM((Situation!$D$71:$D$85=MONTH(1&amp;"/"&amp;TEXT(D9,"mmmm")))*(Situation!$E$71:$E$85)),
IF(TEXT(D9,"aaaa")=TEXT($P$6,"aaaa"),SUM((Situation!$D$71:$D$85=MONTH(1&amp;"/"&amp;TEXT(D9,"mmmm")))*(Situation!$E$71:$E$85)),
0)))))))</f>
        <v>0</v>
      </c>
      <c r="F9" s="279">
        <f t="shared" si="5"/>
        <v>0</v>
      </c>
      <c r="G9" s="279" cm="1">
        <f t="array" ref="G9">IFERROR(IF(B9=$P$4,$K$1,
IF(B9=EDATE($B$1,84),0,
IF(COUNTIF($N$9:$N$20,B9),LOOKUP(2,1/($N$9:$N$20=B9),$Q$9:$Q$21)*-1,
IF(C9&lt;&gt;0,$G$1,0)))),0)</f>
        <v>0</v>
      </c>
      <c r="H9" s="279">
        <f t="shared" ref="H9:H43" si="6">IF(L8&lt;SUM(E9+G9),L8,SUM(E9+G9))</f>
        <v>0</v>
      </c>
      <c r="I9" s="305">
        <f t="shared" si="2"/>
        <v>0</v>
      </c>
      <c r="J9" t="str">
        <f>IF(K9&lt;&gt;"",CONCATENATE("Annuité ",COUNT($K$3:K9)),"")</f>
        <v/>
      </c>
      <c r="K9" s="327" t="str">
        <f t="shared" si="3"/>
        <v/>
      </c>
      <c r="L9" s="279">
        <f t="shared" ref="L9:L51" si="7">SUM(L8-H9)</f>
        <v>0</v>
      </c>
      <c r="M9" s="305">
        <f>IF(N9=0,0,1)</f>
        <v>0</v>
      </c>
      <c r="N9" s="308">
        <f>IF($Q$8=0,0,
IF(P8=P2,0,
IF(IF(AND(OR(DAY(B1)=29,DAY(B1)=30,DAY(B1)=31),OR(DAY(P8)=28,DAY(P8)=29)),SUM(P8+DAY(B1)+1))=EDATE($B$1,84),0,
IF(EDATE(P8,1)=EDATE($B$1,84),0,
EDATE($P$8,1)))))</f>
        <v>0</v>
      </c>
      <c r="O9" s="309" cm="1">
        <f t="array" ref="O9">IF(N9=0,0,
IF(Situation!$C$152=0,0,
SUM((Situation!$D$71:$D$85=MONTH(1&amp;"/"&amp;TEXT(N9,"mmmm")))*(Situation!$E$71:$E$85))))</f>
        <v>0</v>
      </c>
      <c r="P9" s="309">
        <f>IF(N9=0,0,
IF(AND(SUM($Q$8/$G$1)&gt;11,SUM($Q$8/$G$1)&lt;=12),$G$1,
IF(Situation!$C$143=0,SUM($G$1-SUM($F$1/12)),$G$1)))</f>
        <v>0</v>
      </c>
      <c r="Q9" s="309">
        <f>IF(N9=0,0,
IF(SUM(O9:P9)&gt;Q8,-Q8,
-SUM(O9:P9)))</f>
        <v>0</v>
      </c>
      <c r="R9" s="309">
        <f>SUM(Q8+Q9)</f>
        <v>0</v>
      </c>
      <c r="T9" s="134"/>
      <c r="U9" s="134"/>
      <c r="V9" s="280"/>
      <c r="W9" s="134"/>
    </row>
    <row r="10" spans="1:23" x14ac:dyDescent="0.25">
      <c r="A10">
        <v>8</v>
      </c>
      <c r="B10" s="304">
        <f t="shared" si="0"/>
        <v>43789</v>
      </c>
      <c r="C10" s="321">
        <f t="shared" si="4"/>
        <v>0</v>
      </c>
      <c r="D10" s="304">
        <f t="shared" si="1"/>
        <v>0</v>
      </c>
      <c r="E10" s="279" cm="1">
        <f t="array" ref="E10">IF(C10=0,0,
IF(Situation!$C$153=0,0,
IF(OR(C10=12,C10=24,C10=36,C10=48,C10=60,C10=72),$E$1,
IF(AND(C10&gt;=1,C10&lt;=SUM($M$7*12)),0,
IF(AND(I10&lt;=$M$7,TEXT(D10,"aaaa")=TEXT($P$6,"aaaa")),0,
IF(M13=0,SUM((Situation!$D$71:$D$85=MONTH(1&amp;"/"&amp;TEXT(D10,"mmmm")))*(Situation!$E$71:$E$85)),
IF(TEXT(D10,"aaaa")=TEXT($P$6,"aaaa"),SUM((Situation!$D$71:$D$85=MONTH(1&amp;"/"&amp;TEXT(D10,"mmmm")))*(Situation!$E$71:$E$85)),
0)))))))</f>
        <v>0</v>
      </c>
      <c r="F10" s="279">
        <f t="shared" si="5"/>
        <v>0</v>
      </c>
      <c r="G10" s="279" cm="1">
        <f t="array" ref="G10">IFERROR(IF(B10=$P$4,$K$1,
IF(B10=EDATE($B$1,84),0,
IF(COUNTIF($N$9:$N$20,B10),LOOKUP(2,1/($N$9:$N$20=B10),$Q$9:$Q$21)*-1,
IF(C10&lt;&gt;0,$G$1,0)))),0)</f>
        <v>0</v>
      </c>
      <c r="H10" s="279">
        <f t="shared" si="6"/>
        <v>0</v>
      </c>
      <c r="I10" s="305">
        <f t="shared" si="2"/>
        <v>0</v>
      </c>
      <c r="J10" t="str">
        <f>IF(K10&lt;&gt;"",CONCATENATE("Annuité ",COUNT($K$3:K10)),"")</f>
        <v/>
      </c>
      <c r="K10" s="327" t="str">
        <f t="shared" si="3"/>
        <v/>
      </c>
      <c r="L10" s="279">
        <f t="shared" si="7"/>
        <v>0</v>
      </c>
      <c r="M10" s="305">
        <f>IF(N10=0,0,SUM(M9+1))</f>
        <v>0</v>
      </c>
      <c r="N10" s="308">
        <f>IF(N9=0,0,
IF(R9=0,0,
IF(EDATE(N9,1)=EDATE($B$1,84),0,
EDATE(N9,1))))</f>
        <v>0</v>
      </c>
      <c r="O10" s="309" cm="1">
        <f t="array" ref="O10">IF(N10=0,0,
IF(Situation!$C$152=0,0,
SUM((Situation!$D$71:$D$85=MONTH(1&amp;"/"&amp;TEXT(N10,"mmmm")))*(Situation!$E$71:$E$85))))</f>
        <v>0</v>
      </c>
      <c r="P10" s="309">
        <f>IF(N10=0,0,
IF(AND(SUM($Q$8/$G$1)&gt;11,SUM($Q$8/$G$1)&lt;=12),$G$1,
IF(Situation!$C$143=0,SUM($G$1-SUM($F$1/12)),$G$1)))</f>
        <v>0</v>
      </c>
      <c r="Q10" s="309">
        <f>IF(N10=0,0,
IF(SUM(O10:P10)&gt;R9,-R9,-SUM(O10:P10)))</f>
        <v>0</v>
      </c>
      <c r="R10" s="309">
        <f>SUM(R9+Q10)</f>
        <v>0</v>
      </c>
      <c r="T10" s="134"/>
      <c r="U10" s="134"/>
      <c r="V10" s="280"/>
      <c r="W10" s="134"/>
    </row>
    <row r="11" spans="1:23" x14ac:dyDescent="0.25">
      <c r="A11">
        <v>9</v>
      </c>
      <c r="B11" s="304">
        <f t="shared" si="0"/>
        <v>43819</v>
      </c>
      <c r="C11" s="321">
        <f t="shared" si="4"/>
        <v>0</v>
      </c>
      <c r="D11" s="304">
        <f t="shared" si="1"/>
        <v>0</v>
      </c>
      <c r="E11" s="279" cm="1">
        <f t="array" ref="E11">IF(C11=0,0,
IF(Situation!$C$153=0,0,
IF(OR(C11=12,C11=24,C11=36,C11=48,C11=60,C11=72),$E$1,
IF(AND(C11&gt;=1,C11&lt;=SUM($M$7*12)),0,
IF(AND(I11&lt;=$M$7,TEXT(D11,"aaaa")=TEXT($P$6,"aaaa")),0,
IF(M14=0,SUM((Situation!$D$71:$D$85=MONTH(1&amp;"/"&amp;TEXT(D11,"mmmm")))*(Situation!$E$71:$E$85)),
IF(TEXT(D11,"aaaa")=TEXT($P$6,"aaaa"),SUM((Situation!$D$71:$D$85=MONTH(1&amp;"/"&amp;TEXT(D11,"mmmm")))*(Situation!$E$71:$E$85)),
0)))))))</f>
        <v>0</v>
      </c>
      <c r="F11" s="279">
        <f t="shared" si="5"/>
        <v>0</v>
      </c>
      <c r="G11" s="279" cm="1">
        <f t="array" ref="G11">IFERROR(IF(B11=$P$4,$K$1,
IF(B11=EDATE($B$1,84),0,
IF(COUNTIF($N$9:$N$20,B11),LOOKUP(2,1/($N$9:$N$20=B11),$Q$9:$Q$21)*-1,
IF(C11&lt;&gt;0,$G$1,0)))),0)</f>
        <v>0</v>
      </c>
      <c r="H11" s="279">
        <f t="shared" si="6"/>
        <v>0</v>
      </c>
      <c r="I11" s="305">
        <f t="shared" si="2"/>
        <v>0</v>
      </c>
      <c r="J11" t="str">
        <f>IF(K11&lt;&gt;"",CONCATENATE("Annuité ",COUNT($K$3:K11)),"")</f>
        <v/>
      </c>
      <c r="K11" s="327" t="str">
        <f t="shared" si="3"/>
        <v/>
      </c>
      <c r="L11" s="279">
        <f t="shared" si="7"/>
        <v>0</v>
      </c>
      <c r="M11" s="305">
        <f t="shared" ref="M11:M20" si="8">IF(N11=0,0,SUM(M10+1))</f>
        <v>0</v>
      </c>
      <c r="N11" s="308">
        <f t="shared" ref="N11:N20" si="9">IF(N10=0,0,
IF(R10=0,0,
IF(EDATE(N10,1)=EDATE($B$1,84),0,
EDATE(N10,1))))</f>
        <v>0</v>
      </c>
      <c r="O11" s="309" cm="1">
        <f t="array" ref="O11">IF(N11=0,0,
IF(Situation!$C$152=0,0,
SUM((Situation!$D$71:$D$85=MONTH(1&amp;"/"&amp;TEXT(N11,"mmmm")))*(Situation!$E$71:$E$85))))</f>
        <v>0</v>
      </c>
      <c r="P11" s="309">
        <f>IF(N11=0,0,
IF(AND(SUM($Q$8/$G$1)&gt;11,SUM($Q$8/$G$1)&lt;=12),$G$1,
IF(Situation!$C$143=0,SUM($G$1-SUM($F$1/12)),$G$1)))</f>
        <v>0</v>
      </c>
      <c r="Q11" s="309">
        <f t="shared" ref="Q11:Q20" si="10">IF(N11=0,0,
IF(SUM(O11:P11)&gt;R10,-R10,-SUM(O11:P11)))</f>
        <v>0</v>
      </c>
      <c r="R11" s="309">
        <f>SUM(R10+Q11)</f>
        <v>0</v>
      </c>
      <c r="T11" s="134"/>
      <c r="U11" s="134"/>
      <c r="V11" s="280"/>
      <c r="W11" s="134"/>
    </row>
    <row r="12" spans="1:23" x14ac:dyDescent="0.25">
      <c r="A12">
        <v>10</v>
      </c>
      <c r="B12" s="304">
        <f t="shared" si="0"/>
        <v>43850</v>
      </c>
      <c r="C12" s="321">
        <f t="shared" si="4"/>
        <v>0</v>
      </c>
      <c r="D12" s="304">
        <f t="shared" si="1"/>
        <v>0</v>
      </c>
      <c r="E12" s="279" cm="1">
        <f t="array" ref="E12">IF(C12=0,0,
IF(Situation!$C$153=0,0,
IF(OR(C12=12,C12=24,C12=36,C12=48,C12=60,C12=72),$E$1,
IF(AND(C12&gt;=1,C12&lt;=SUM($M$7*12)),0,
IF(AND(I12&lt;=$M$7,TEXT(D12,"aaaa")=TEXT($P$6,"aaaa")),0,
IF(M15=0,SUM((Situation!$D$71:$D$85=MONTH(1&amp;"/"&amp;TEXT(D12,"mmmm")))*(Situation!$E$71:$E$85)),
IF(TEXT(D12,"aaaa")=TEXT($P$6,"aaaa"),SUM((Situation!$D$71:$D$85=MONTH(1&amp;"/"&amp;TEXT(D12,"mmmm")))*(Situation!$E$71:$E$85)),
0)))))))</f>
        <v>0</v>
      </c>
      <c r="F12" s="279">
        <f t="shared" si="5"/>
        <v>0</v>
      </c>
      <c r="G12" s="279" cm="1">
        <f t="array" ref="G12">IFERROR(IF(B12=$P$4,$K$1,
IF(B12=EDATE($B$1,84),0,
IF(COUNTIF($N$9:$N$20,B12),LOOKUP(2,1/($N$9:$N$20=B12),$Q$9:$Q$21)*-1,
IF(C12&lt;&gt;0,$G$1,0)))),0)</f>
        <v>0</v>
      </c>
      <c r="H12" s="279">
        <f t="shared" si="6"/>
        <v>0</v>
      </c>
      <c r="I12" s="305">
        <f t="shared" si="2"/>
        <v>0</v>
      </c>
      <c r="J12" t="str">
        <f>IF(K12&lt;&gt;"",CONCATENATE("Annuité ",COUNT($K$3:K12)),"")</f>
        <v/>
      </c>
      <c r="K12" s="327" t="str">
        <f t="shared" si="3"/>
        <v/>
      </c>
      <c r="L12" s="279">
        <f t="shared" si="7"/>
        <v>0</v>
      </c>
      <c r="M12" s="305">
        <f t="shared" si="8"/>
        <v>0</v>
      </c>
      <c r="N12" s="308">
        <f t="shared" si="9"/>
        <v>0</v>
      </c>
      <c r="O12" s="309" cm="1">
        <f t="array" ref="O12">IF(N12=0,0,
IF(Situation!$C$152=0,0,
SUM((Situation!$D$71:$D$85=MONTH(1&amp;"/"&amp;TEXT(N12,"mmmm")))*(Situation!$E$71:$E$85))))</f>
        <v>0</v>
      </c>
      <c r="P12" s="309">
        <f>IF(N12=0,0,
IF(AND(SUM($Q$8/$G$1)&gt;11,SUM($Q$8/$G$1)&lt;=12),$G$1,
IF(Situation!$C$143=0,SUM($G$1-SUM($F$1/12)),$G$1)))</f>
        <v>0</v>
      </c>
      <c r="Q12" s="309">
        <f t="shared" si="10"/>
        <v>0</v>
      </c>
      <c r="R12" s="309">
        <f t="shared" ref="R12:R20" si="11">SUM(R11+Q12)</f>
        <v>0</v>
      </c>
      <c r="T12" s="134"/>
      <c r="U12" s="134"/>
      <c r="V12" s="280"/>
      <c r="W12" s="134"/>
    </row>
    <row r="13" spans="1:23" x14ac:dyDescent="0.25">
      <c r="A13">
        <v>11</v>
      </c>
      <c r="B13" s="304">
        <f t="shared" si="0"/>
        <v>43881</v>
      </c>
      <c r="C13" s="321">
        <f t="shared" si="4"/>
        <v>0</v>
      </c>
      <c r="D13" s="304">
        <f t="shared" si="1"/>
        <v>0</v>
      </c>
      <c r="E13" s="279" cm="1">
        <f t="array" ref="E13">IF(C13=0,0,
IF(Situation!$C$153=0,0,
IF(OR(C13=12,C13=24,C13=36,C13=48,C13=60,C13=72),$E$1,
IF(AND(C13&gt;=1,C13&lt;=SUM($M$7*12)),0,
IF(AND(I13&lt;=$M$7,TEXT(D13,"aaaa")=TEXT($P$6,"aaaa")),0,
IF(M16=0,SUM((Situation!$D$71:$D$85=MONTH(1&amp;"/"&amp;TEXT(D13,"mmmm")))*(Situation!$E$71:$E$85)),
IF(TEXT(D13,"aaaa")=TEXT($P$6,"aaaa"),SUM((Situation!$D$71:$D$85=MONTH(1&amp;"/"&amp;TEXT(D13,"mmmm")))*(Situation!$E$71:$E$85)),
0)))))))</f>
        <v>0</v>
      </c>
      <c r="F13" s="279">
        <f t="shared" si="5"/>
        <v>0</v>
      </c>
      <c r="G13" s="279" cm="1">
        <f t="array" ref="G13">IFERROR(IF(B13=$P$4,$K$1,
IF(B13=EDATE($B$1,84),0,
IF(COUNTIF($N$9:$N$20,B13),LOOKUP(2,1/($N$9:$N$20=B13),$Q$9:$Q$21)*-1,
IF(C13&lt;&gt;0,$G$1,0)))),0)</f>
        <v>0</v>
      </c>
      <c r="H13" s="279">
        <f t="shared" si="6"/>
        <v>0</v>
      </c>
      <c r="I13" s="305">
        <f t="shared" si="2"/>
        <v>0</v>
      </c>
      <c r="J13" t="str">
        <f>IF(K13&lt;&gt;"",CONCATENATE("Annuité ",COUNT($K$3:K13)),"")</f>
        <v/>
      </c>
      <c r="K13" s="327" t="str">
        <f t="shared" si="3"/>
        <v/>
      </c>
      <c r="L13" s="279">
        <f t="shared" si="7"/>
        <v>0</v>
      </c>
      <c r="M13" s="305">
        <f t="shared" si="8"/>
        <v>0</v>
      </c>
      <c r="N13" s="308">
        <f t="shared" si="9"/>
        <v>0</v>
      </c>
      <c r="O13" s="309" cm="1">
        <f t="array" ref="O13">IF(N13=0,0,
IF(Situation!$C$152=0,0,
SUM((Situation!$D$71:$D$85=MONTH(1&amp;"/"&amp;TEXT(N13,"mmmm")))*(Situation!$E$71:$E$85))))</f>
        <v>0</v>
      </c>
      <c r="P13" s="309">
        <f>IF(N13=0,0,
IF(AND(SUM($Q$8/$G$1)&gt;11,SUM($Q$8/$G$1)&lt;=12),$G$1,
IF(Situation!$C$143=0,SUM($G$1-SUM($F$1/12)),$G$1)))</f>
        <v>0</v>
      </c>
      <c r="Q13" s="309">
        <f t="shared" si="10"/>
        <v>0</v>
      </c>
      <c r="R13" s="309">
        <f t="shared" si="11"/>
        <v>0</v>
      </c>
      <c r="T13" s="134"/>
      <c r="U13" s="134"/>
      <c r="V13" s="280"/>
      <c r="W13" s="134"/>
    </row>
    <row r="14" spans="1:23" x14ac:dyDescent="0.25">
      <c r="A14">
        <v>12</v>
      </c>
      <c r="B14" s="304">
        <f t="shared" si="0"/>
        <v>43910</v>
      </c>
      <c r="C14" s="321">
        <f t="shared" si="4"/>
        <v>0</v>
      </c>
      <c r="D14" s="304">
        <f t="shared" si="1"/>
        <v>0</v>
      </c>
      <c r="E14" s="279" cm="1">
        <f t="array" ref="E14">IF(C14=0,0,
IF(Situation!$C$153=0,0,
IF(OR(C14=12,C14=24,C14=36,C14=48,C14=60,C14=72),$E$1,
IF(AND(C14&gt;=1,C14&lt;=SUM($M$7*12)),0,
IF(AND(I14&lt;=$M$7,TEXT(D14,"aaaa")=TEXT($P$6,"aaaa")),0,
IF(M17=0,SUM((Situation!$D$71:$D$85=MONTH(1&amp;"/"&amp;TEXT(D14,"mmmm")))*(Situation!$E$71:$E$85)),
IF(TEXT(D14,"aaaa")=TEXT($P$6,"aaaa"),SUM((Situation!$D$71:$D$85=MONTH(1&amp;"/"&amp;TEXT(D14,"mmmm")))*(Situation!$E$71:$E$85)),
0)))))))</f>
        <v>0</v>
      </c>
      <c r="F14" s="279">
        <f t="shared" si="5"/>
        <v>0</v>
      </c>
      <c r="G14" s="279" cm="1">
        <f t="array" ref="G14">IFERROR(IF(B14=$P$4,$K$1,
IF(B14=EDATE($B$1,84),0,
IF(COUNTIF($N$9:$N$20,B14),LOOKUP(2,1/($N$9:$N$20=B14),$Q$9:$Q$21)*-1,
IF(C14&lt;&gt;0,$G$1,0)))),0)</f>
        <v>0</v>
      </c>
      <c r="H14" s="279">
        <f t="shared" si="6"/>
        <v>0</v>
      </c>
      <c r="I14" s="305">
        <f t="shared" si="2"/>
        <v>0</v>
      </c>
      <c r="J14" t="str">
        <f>IF(K14&lt;&gt;"",CONCATENATE("Annuité ",COUNT($K$3:K14)),"")</f>
        <v/>
      </c>
      <c r="K14" s="327" t="str">
        <f t="shared" si="3"/>
        <v/>
      </c>
      <c r="L14" s="279">
        <f t="shared" si="7"/>
        <v>0</v>
      </c>
      <c r="M14" s="305">
        <f t="shared" si="8"/>
        <v>0</v>
      </c>
      <c r="N14" s="308">
        <f t="shared" si="9"/>
        <v>0</v>
      </c>
      <c r="O14" s="309" cm="1">
        <f t="array" ref="O14">IF(N14=0,0,
IF(Situation!$C$152=0,0,
SUM((Situation!$D$71:$D$85=MONTH(1&amp;"/"&amp;TEXT(N14,"mmmm")))*(Situation!$E$71:$E$85))))</f>
        <v>0</v>
      </c>
      <c r="P14" s="309">
        <f>IF(N14=0,0,
IF(AND(SUM($Q$8/$G$1)&gt;11,SUM($Q$8/$G$1)&lt;=12),$G$1,
IF(Situation!$C$143=0,SUM($G$1-SUM($F$1/12)),$G$1)))</f>
        <v>0</v>
      </c>
      <c r="Q14" s="309">
        <f t="shared" si="10"/>
        <v>0</v>
      </c>
      <c r="R14" s="309">
        <f t="shared" si="11"/>
        <v>0</v>
      </c>
      <c r="T14" s="134"/>
      <c r="U14" s="134"/>
      <c r="V14" s="280"/>
      <c r="W14" s="134"/>
    </row>
    <row r="15" spans="1:23" x14ac:dyDescent="0.25">
      <c r="A15">
        <v>13</v>
      </c>
      <c r="B15" s="304">
        <f t="shared" si="0"/>
        <v>43941</v>
      </c>
      <c r="C15" s="321">
        <f t="shared" si="4"/>
        <v>0</v>
      </c>
      <c r="D15" s="304">
        <f t="shared" si="1"/>
        <v>0</v>
      </c>
      <c r="E15" s="279" cm="1">
        <f t="array" ref="E15">IF(C15=0,0,
IF(Situation!$C$153=0,0,
IF(OR(C15=12,C15=24,C15=36,C15=48,C15=60,C15=72),$E$1,
IF(AND(C15&gt;=1,C15&lt;=SUM($M$7*12)),0,
IF(AND(I15&lt;=$M$7,TEXT(D15,"aaaa")=TEXT($P$6,"aaaa")),0,
IF(M18=0,SUM((Situation!$D$71:$D$85=MONTH(1&amp;"/"&amp;TEXT(D15,"mmmm")))*(Situation!$E$71:$E$85)),
IF(TEXT(D15,"aaaa")=TEXT($P$6,"aaaa"),SUM((Situation!$D$71:$D$85=MONTH(1&amp;"/"&amp;TEXT(D15,"mmmm")))*(Situation!$E$71:$E$85)),
0)))))))</f>
        <v>0</v>
      </c>
      <c r="F15" s="279">
        <f t="shared" si="5"/>
        <v>0</v>
      </c>
      <c r="G15" s="279" cm="1">
        <f t="array" ref="G15">IFERROR(IF(B15=$P$4,$K$1,
IF(B15=EDATE($B$1,84),0,
IF(COUNTIF($N$9:$N$20,B15),LOOKUP(2,1/($N$9:$N$20=B15),$Q$9:$Q$21)*-1,
IF(C15&lt;&gt;0,$G$1,0)))),0)</f>
        <v>0</v>
      </c>
      <c r="H15" s="279">
        <f t="shared" si="6"/>
        <v>0</v>
      </c>
      <c r="I15" s="305">
        <f t="shared" si="2"/>
        <v>0</v>
      </c>
      <c r="J15" t="str">
        <f>IF(K15&lt;&gt;"",CONCATENATE("Annuité ",COUNT($K$3:K15)),"")</f>
        <v/>
      </c>
      <c r="K15" s="327" t="str">
        <f t="shared" si="3"/>
        <v/>
      </c>
      <c r="L15" s="279">
        <f t="shared" si="7"/>
        <v>0</v>
      </c>
      <c r="M15" s="305">
        <f t="shared" si="8"/>
        <v>0</v>
      </c>
      <c r="N15" s="308">
        <f t="shared" si="9"/>
        <v>0</v>
      </c>
      <c r="O15" s="309" cm="1">
        <f t="array" ref="O15">IF(N15=0,0,
IF(Situation!$C$152=0,0,
SUM((Situation!$D$71:$D$85=MONTH(1&amp;"/"&amp;TEXT(N15,"mmmm")))*(Situation!$E$71:$E$85))))</f>
        <v>0</v>
      </c>
      <c r="P15" s="309">
        <f>IF(N15=0,0,
IF(AND(SUM($Q$8/$G$1)&gt;11,SUM($Q$8/$G$1)&lt;=12),$G$1,
IF(Situation!$C$143=0,SUM($G$1-SUM($F$1/12)),$G$1)))</f>
        <v>0</v>
      </c>
      <c r="Q15" s="309">
        <f t="shared" si="10"/>
        <v>0</v>
      </c>
      <c r="R15" s="309">
        <f t="shared" si="11"/>
        <v>0</v>
      </c>
      <c r="T15" s="134"/>
      <c r="U15" s="134"/>
      <c r="V15" s="280"/>
      <c r="W15" s="134"/>
    </row>
    <row r="16" spans="1:23" x14ac:dyDescent="0.25">
      <c r="A16">
        <v>14</v>
      </c>
      <c r="B16" s="304">
        <f t="shared" si="0"/>
        <v>43971</v>
      </c>
      <c r="C16" s="321">
        <f t="shared" si="4"/>
        <v>0</v>
      </c>
      <c r="D16" s="304">
        <f t="shared" si="1"/>
        <v>0</v>
      </c>
      <c r="E16" s="279" cm="1">
        <f t="array" ref="E16">IF(C16=0,0,
IF(Situation!$C$153=0,0,
IF(OR(C16=12,C16=24,C16=36,C16=48,C16=60,C16=72),$E$1,
IF(AND(C16&gt;=1,C16&lt;=SUM($M$7*12)),0,
IF(AND(I16&lt;=$M$7,TEXT(D16,"aaaa")=TEXT($P$6,"aaaa")),0,
IF(M19=0,SUM((Situation!$D$71:$D$85=MONTH(1&amp;"/"&amp;TEXT(D16,"mmmm")))*(Situation!$E$71:$E$85)),
IF(TEXT(D16,"aaaa")=TEXT($P$6,"aaaa"),SUM((Situation!$D$71:$D$85=MONTH(1&amp;"/"&amp;TEXT(D16,"mmmm")))*(Situation!$E$71:$E$85)),
0)))))))</f>
        <v>0</v>
      </c>
      <c r="F16" s="279">
        <f t="shared" si="5"/>
        <v>0</v>
      </c>
      <c r="G16" s="279" cm="1">
        <f t="array" ref="G16">IFERROR(IF(B16=$P$4,$K$1,
IF(B16=EDATE($B$1,84),0,
IF(COUNTIF($N$9:$N$20,B16),LOOKUP(2,1/($N$9:$N$20=B16),$Q$9:$Q$21)*-1,
IF(C16&lt;&gt;0,$G$1,0)))),0)</f>
        <v>0</v>
      </c>
      <c r="H16" s="279">
        <f t="shared" si="6"/>
        <v>0</v>
      </c>
      <c r="I16" s="305">
        <f t="shared" si="2"/>
        <v>0</v>
      </c>
      <c r="J16" t="str">
        <f>IF(K16&lt;&gt;"",CONCATENATE("Annuité ",COUNT($K$3:K16)),"")</f>
        <v/>
      </c>
      <c r="K16" s="327" t="str">
        <f t="shared" si="3"/>
        <v/>
      </c>
      <c r="L16" s="279">
        <f t="shared" si="7"/>
        <v>0</v>
      </c>
      <c r="M16" s="305">
        <f t="shared" si="8"/>
        <v>0</v>
      </c>
      <c r="N16" s="308">
        <f t="shared" si="9"/>
        <v>0</v>
      </c>
      <c r="O16" s="309" cm="1">
        <f t="array" ref="O16">IF(N16=0,0,
IF(Situation!$C$152=0,0,
SUM((Situation!$D$71:$D$85=MONTH(1&amp;"/"&amp;TEXT(N16,"mmmm")))*(Situation!$E$71:$E$85))))</f>
        <v>0</v>
      </c>
      <c r="P16" s="309">
        <f>IF(N16=0,0,
IF(AND(SUM($Q$8/$G$1)&gt;11,SUM($Q$8/$G$1)&lt;=12),$G$1,
IF(Situation!$C$143=0,SUM($G$1-SUM($F$1/12)),$G$1)))</f>
        <v>0</v>
      </c>
      <c r="Q16" s="309">
        <f t="shared" si="10"/>
        <v>0</v>
      </c>
      <c r="R16" s="309">
        <f t="shared" si="11"/>
        <v>0</v>
      </c>
      <c r="T16" s="134"/>
      <c r="U16" s="134"/>
      <c r="V16" s="280"/>
      <c r="W16" s="134"/>
    </row>
    <row r="17" spans="1:23" x14ac:dyDescent="0.25">
      <c r="A17">
        <v>15</v>
      </c>
      <c r="B17" s="304">
        <f t="shared" si="0"/>
        <v>44002</v>
      </c>
      <c r="C17" s="321">
        <f t="shared" si="4"/>
        <v>0</v>
      </c>
      <c r="D17" s="304">
        <f t="shared" si="1"/>
        <v>0</v>
      </c>
      <c r="E17" s="279" cm="1">
        <f t="array" ref="E17">IF(C17=0,0,
IF(Situation!$C$153=0,0,
IF(OR(C17=12,C17=24,C17=36,C17=48,C17=60,C17=72),$E$1,
IF(AND(C17&gt;=1,C17&lt;=SUM($M$7*12)),0,
IF(AND(I17&lt;=$M$7,TEXT(D17,"aaaa")=TEXT($P$6,"aaaa")),0,
IF(M20=0,SUM((Situation!$D$71:$D$85=MONTH(1&amp;"/"&amp;TEXT(D17,"mmmm")))*(Situation!$E$71:$E$85)),
IF(TEXT(D17,"aaaa")=TEXT($P$6,"aaaa"),SUM((Situation!$D$71:$D$85=MONTH(1&amp;"/"&amp;TEXT(D17,"mmmm")))*(Situation!$E$71:$E$85)),
0)))))))</f>
        <v>0</v>
      </c>
      <c r="F17" s="279">
        <f t="shared" si="5"/>
        <v>0</v>
      </c>
      <c r="G17" s="279" cm="1">
        <f t="array" ref="G17">IFERROR(IF(B17=$P$4,$K$1,
IF(B17=EDATE($B$1,84),0,
IF(COUNTIF($N$9:$N$20,B17),LOOKUP(2,1/($N$9:$N$20=B17),$Q$9:$Q$21)*-1,
IF(C17&lt;&gt;0,$G$1,0)))),0)</f>
        <v>0</v>
      </c>
      <c r="H17" s="279">
        <f t="shared" si="6"/>
        <v>0</v>
      </c>
      <c r="I17" s="305">
        <f t="shared" si="2"/>
        <v>0</v>
      </c>
      <c r="J17" t="str">
        <f>IF(K17&lt;&gt;"",CONCATENATE("Annuité ",COUNT($K$3:K17)),"")</f>
        <v/>
      </c>
      <c r="K17" s="327" t="str">
        <f t="shared" si="3"/>
        <v/>
      </c>
      <c r="L17" s="279">
        <f t="shared" si="7"/>
        <v>0</v>
      </c>
      <c r="M17" s="305">
        <f t="shared" si="8"/>
        <v>0</v>
      </c>
      <c r="N17" s="308">
        <f t="shared" si="9"/>
        <v>0</v>
      </c>
      <c r="O17" s="309" cm="1">
        <f t="array" ref="O17">IF(N17=0,0,
IF(Situation!$C$152=0,0,
SUM((Situation!$D$71:$D$85=MONTH(1&amp;"/"&amp;TEXT(N17,"mmmm")))*(Situation!$E$71:$E$85))))</f>
        <v>0</v>
      </c>
      <c r="P17" s="309">
        <f>IF(N17=0,0,
IF(AND(SUM($Q$8/$G$1)&gt;11,SUM($Q$8/$G$1)&lt;=12),$G$1,
IF(Situation!$C$143=0,SUM($G$1-SUM($F$1/12)),$G$1)))</f>
        <v>0</v>
      </c>
      <c r="Q17" s="309">
        <f t="shared" si="10"/>
        <v>0</v>
      </c>
      <c r="R17" s="309">
        <f t="shared" si="11"/>
        <v>0</v>
      </c>
      <c r="T17" s="134"/>
      <c r="U17" s="134"/>
      <c r="V17" s="280"/>
      <c r="W17" s="134"/>
    </row>
    <row r="18" spans="1:23" x14ac:dyDescent="0.25">
      <c r="A18">
        <v>16</v>
      </c>
      <c r="B18" s="304">
        <f t="shared" si="0"/>
        <v>44032</v>
      </c>
      <c r="C18" s="321">
        <f t="shared" si="4"/>
        <v>0</v>
      </c>
      <c r="D18" s="304">
        <f t="shared" si="1"/>
        <v>0</v>
      </c>
      <c r="E18" s="279" cm="1">
        <f t="array" ref="E18">IF(C18=0,0,
IF(Situation!$C$153=0,0,
IF(OR(C18=12,C18=24,C18=36,C18=48,C18=60,C18=72),$E$1,
IF(AND(C18&gt;=1,C18&lt;=SUM($M$7*12)),0,
IF(AND(I18&lt;=$M$7,TEXT(D18,"aaaa")=TEXT($P$6,"aaaa")),0,
IF(M21=0,SUM((Situation!$D$71:$D$85=MONTH(1&amp;"/"&amp;TEXT(D18,"mmmm")))*(Situation!$E$71:$E$85)),
IF(TEXT(D18,"aaaa")=TEXT($P$6,"aaaa"),SUM((Situation!$D$71:$D$85=MONTH(1&amp;"/"&amp;TEXT(D18,"mmmm")))*(Situation!$E$71:$E$85)),
0)))))))</f>
        <v>0</v>
      </c>
      <c r="F18" s="279">
        <f t="shared" si="5"/>
        <v>0</v>
      </c>
      <c r="G18" s="279" cm="1">
        <f t="array" ref="G18">IFERROR(IF(B18=$P$4,$K$1,
IF(B18=EDATE($B$1,84),0,
IF(COUNTIF($N$9:$N$20,B18),LOOKUP(2,1/($N$9:$N$20=B18),$Q$9:$Q$21)*-1,
IF(C18&lt;&gt;0,$G$1,0)))),0)</f>
        <v>0</v>
      </c>
      <c r="H18" s="279">
        <f t="shared" si="6"/>
        <v>0</v>
      </c>
      <c r="I18" s="305">
        <f t="shared" si="2"/>
        <v>0</v>
      </c>
      <c r="J18" t="str">
        <f>IF(K18&lt;&gt;"",CONCATENATE("Annuité ",COUNT($K$3:K18)),"")</f>
        <v/>
      </c>
      <c r="K18" s="327" t="str">
        <f t="shared" si="3"/>
        <v/>
      </c>
      <c r="L18" s="279">
        <f t="shared" si="7"/>
        <v>0</v>
      </c>
      <c r="M18" s="305">
        <f t="shared" si="8"/>
        <v>0</v>
      </c>
      <c r="N18" s="308">
        <f t="shared" si="9"/>
        <v>0</v>
      </c>
      <c r="O18" s="309" cm="1">
        <f t="array" ref="O18">IF(N18=0,0,
IF(Situation!$C$152=0,0,
SUM((Situation!$D$71:$D$85=MONTH(1&amp;"/"&amp;TEXT(N18,"mmmm")))*(Situation!$E$71:$E$85))))</f>
        <v>0</v>
      </c>
      <c r="P18" s="309">
        <f>IF(N18=0,0,
IF(AND(SUM($Q$8/$G$1)&gt;11,SUM($Q$8/$G$1)&lt;=12),$G$1,
IF(Situation!$C$143=0,SUM($G$1-SUM($F$1/12)),$G$1)))</f>
        <v>0</v>
      </c>
      <c r="Q18" s="309">
        <f t="shared" si="10"/>
        <v>0</v>
      </c>
      <c r="R18" s="309">
        <f t="shared" si="11"/>
        <v>0</v>
      </c>
      <c r="T18" s="134"/>
      <c r="U18" s="134"/>
      <c r="V18" s="280"/>
      <c r="W18" s="134"/>
    </row>
    <row r="19" spans="1:23" x14ac:dyDescent="0.25">
      <c r="A19">
        <v>17</v>
      </c>
      <c r="B19" s="304">
        <f t="shared" si="0"/>
        <v>44063</v>
      </c>
      <c r="C19" s="321">
        <f t="shared" si="4"/>
        <v>0</v>
      </c>
      <c r="D19" s="304">
        <f t="shared" si="1"/>
        <v>0</v>
      </c>
      <c r="E19" s="279" cm="1">
        <f t="array" ref="E19">IF(C19=0,0,
IF(Situation!$C$153=0,0,
IF(OR(C19=12,C19=24,C19=36,C19=48,C19=60,C19=72),$E$1,
IF(AND(C19&gt;=1,C19&lt;=SUM($M$7*12)),0,
IF(AND(I19&lt;=$M$7,TEXT(D19,"aaaa")=TEXT($P$6,"aaaa")),0,
IF(M22=0,SUM((Situation!$D$71:$D$85=MONTH(1&amp;"/"&amp;TEXT(D19,"mmmm")))*(Situation!$E$71:$E$85)),
IF(TEXT(D19,"aaaa")=TEXT($P$6,"aaaa"),SUM((Situation!$D$71:$D$85=MONTH(1&amp;"/"&amp;TEXT(D19,"mmmm")))*(Situation!$E$71:$E$85)),
0)))))))</f>
        <v>0</v>
      </c>
      <c r="F19" s="279">
        <f t="shared" si="5"/>
        <v>0</v>
      </c>
      <c r="G19" s="279" cm="1">
        <f t="array" ref="G19">IFERROR(IF(B19=$P$4,$K$1,
IF(B19=EDATE($B$1,84),0,
IF(COUNTIF($N$9:$N$20,B19),LOOKUP(2,1/($N$9:$N$20=B19),$Q$9:$Q$21)*-1,
IF(C19&lt;&gt;0,$G$1,0)))),0)</f>
        <v>0</v>
      </c>
      <c r="H19" s="279">
        <f t="shared" si="6"/>
        <v>0</v>
      </c>
      <c r="I19" s="305">
        <f t="shared" si="2"/>
        <v>0</v>
      </c>
      <c r="J19" t="str">
        <f>IF(K19&lt;&gt;"",CONCATENATE("Annuité ",COUNT($K$3:K19)),"")</f>
        <v/>
      </c>
      <c r="K19" s="327" t="str">
        <f t="shared" si="3"/>
        <v/>
      </c>
      <c r="L19" s="279">
        <f t="shared" si="7"/>
        <v>0</v>
      </c>
      <c r="M19" s="305">
        <f t="shared" si="8"/>
        <v>0</v>
      </c>
      <c r="N19" s="308">
        <f t="shared" si="9"/>
        <v>0</v>
      </c>
      <c r="O19" s="309" cm="1">
        <f t="array" ref="O19">IF(N19=0,0,
IF(Situation!$C$152=0,0,
SUM((Situation!$D$71:$D$85=MONTH(1&amp;"/"&amp;TEXT(N19,"mmmm")))*(Situation!$E$71:$E$85))))</f>
        <v>0</v>
      </c>
      <c r="P19" s="309">
        <f>IF(N19=0,0,
IF(AND(SUM($Q$8/$G$1)&gt;11,SUM($Q$8/$G$1)&lt;=12),$G$1,
IF(Situation!$C$143=0,SUM($G$1-SUM($F$1/12)),$G$1)))</f>
        <v>0</v>
      </c>
      <c r="Q19" s="309">
        <f t="shared" si="10"/>
        <v>0</v>
      </c>
      <c r="R19" s="309">
        <f t="shared" si="11"/>
        <v>0</v>
      </c>
      <c r="T19" s="134"/>
      <c r="U19" s="134"/>
      <c r="V19" s="280"/>
      <c r="W19" s="134"/>
    </row>
    <row r="20" spans="1:23" x14ac:dyDescent="0.25">
      <c r="A20">
        <v>18</v>
      </c>
      <c r="B20" s="304">
        <f t="shared" si="0"/>
        <v>44094</v>
      </c>
      <c r="C20" s="321">
        <f t="shared" si="4"/>
        <v>0</v>
      </c>
      <c r="D20" s="304">
        <f t="shared" si="1"/>
        <v>0</v>
      </c>
      <c r="E20" s="279" cm="1">
        <f t="array" ref="E20">IF(C20=0,0,
IF(Situation!$C$153=0,0,
IF(OR(C20=12,C20=24,C20=36,C20=48,C20=60,C20=72),$E$1,
IF(AND(C20&gt;=1,C20&lt;=SUM($M$7*12)),0,
IF(AND(I20&lt;=$M$7,TEXT(D20,"aaaa")=TEXT($P$6,"aaaa")),0,
IF(M23=0,SUM((Situation!$D$71:$D$85=MONTH(1&amp;"/"&amp;TEXT(D20,"mmmm")))*(Situation!$E$71:$E$85)),
IF(TEXT(D20,"aaaa")=TEXT($P$6,"aaaa"),SUM((Situation!$D$71:$D$85=MONTH(1&amp;"/"&amp;TEXT(D20,"mmmm")))*(Situation!$E$71:$E$85)),
0)))))))</f>
        <v>0</v>
      </c>
      <c r="F20" s="279">
        <f t="shared" si="5"/>
        <v>0</v>
      </c>
      <c r="G20" s="279" cm="1">
        <f t="array" ref="G20">IFERROR(IF(B20=$P$4,$K$1,
IF(B20=EDATE($B$1,84),0,
IF(COUNTIF($N$9:$N$20,B20),LOOKUP(2,1/($N$9:$N$20=B20),$Q$9:$Q$21)*-1,
IF(C20&lt;&gt;0,$G$1,0)))),0)</f>
        <v>0</v>
      </c>
      <c r="H20" s="279">
        <f t="shared" si="6"/>
        <v>0</v>
      </c>
      <c r="I20" s="305">
        <f t="shared" si="2"/>
        <v>0</v>
      </c>
      <c r="J20" t="str">
        <f>IF(K20&lt;&gt;"",CONCATENATE("Annuité ",COUNT($K$3:K20)),"")</f>
        <v/>
      </c>
      <c r="K20" s="327" t="str">
        <f t="shared" si="3"/>
        <v/>
      </c>
      <c r="L20" s="279">
        <f t="shared" si="7"/>
        <v>0</v>
      </c>
      <c r="M20" s="305">
        <f t="shared" si="8"/>
        <v>0</v>
      </c>
      <c r="N20" s="308">
        <f t="shared" si="9"/>
        <v>0</v>
      </c>
      <c r="O20" s="309" cm="1">
        <f t="array" ref="O20">IF(N20=0,0,
IF(Situation!$C$152=0,0,
SUM((Situation!$D$71:$D$85=MONTH(1&amp;"/"&amp;TEXT(N20,"mmmm")))*(Situation!$E$71:$E$85))))</f>
        <v>0</v>
      </c>
      <c r="P20" s="309">
        <f>IF(N20=0,0,
IF(AND(SUM($Q$8/$G$1)&gt;11,SUM($Q$8/$G$1)&lt;=12),$G$1,
IF(Situation!$C$143=0,SUM($G$1-SUM($F$1/12)),$G$1)))</f>
        <v>0</v>
      </c>
      <c r="Q20" s="309">
        <f t="shared" si="10"/>
        <v>0</v>
      </c>
      <c r="R20" s="309">
        <f t="shared" si="11"/>
        <v>0</v>
      </c>
      <c r="T20" s="134"/>
      <c r="U20" s="134"/>
      <c r="V20" s="280"/>
      <c r="W20" s="134"/>
    </row>
    <row r="21" spans="1:23" x14ac:dyDescent="0.25">
      <c r="A21">
        <v>19</v>
      </c>
      <c r="B21" s="304">
        <f t="shared" si="0"/>
        <v>44124</v>
      </c>
      <c r="C21" s="321">
        <f t="shared" si="4"/>
        <v>0</v>
      </c>
      <c r="D21" s="304">
        <f t="shared" si="1"/>
        <v>0</v>
      </c>
      <c r="E21" s="279" cm="1">
        <f t="array" ref="E21">IF(C21=0,0,
IF(Situation!$C$153=0,0,
IF(OR(C21=12,C21=24,C21=36,C21=48,C21=60,C21=72),$E$1,
IF(AND(C21&gt;=1,C21&lt;=SUM($M$7*12)),0,
IF(AND(I21&lt;=$M$7,TEXT(D21,"aaaa")=TEXT($P$6,"aaaa")),0,
IF(M24=0,SUM((Situation!$D$71:$D$85=MONTH(1&amp;"/"&amp;TEXT(D21,"mmmm")))*(Situation!$E$71:$E$85)),
IF(TEXT(D21,"aaaa")=TEXT($P$6,"aaaa"),SUM((Situation!$D$71:$D$85=MONTH(1&amp;"/"&amp;TEXT(D21,"mmmm")))*(Situation!$E$71:$E$85)),
0)))))))</f>
        <v>0</v>
      </c>
      <c r="F21" s="279">
        <f t="shared" si="5"/>
        <v>0</v>
      </c>
      <c r="G21" s="279" cm="1">
        <f t="array" ref="G21">IFERROR(IF(B21=$P$4,$K$1,
IF(B21=EDATE($B$1,84),0,
IF(COUNTIF($N$9:$N$20,B21),LOOKUP(2,1/($N$9:$N$20=B21),$Q$9:$Q$21)*-1,
IF(C21&lt;&gt;0,$G$1,0)))),0)</f>
        <v>0</v>
      </c>
      <c r="H21" s="279">
        <f t="shared" si="6"/>
        <v>0</v>
      </c>
      <c r="I21" s="305">
        <f t="shared" si="2"/>
        <v>0</v>
      </c>
      <c r="J21" t="str">
        <f>IF(K21&lt;&gt;"",CONCATENATE("Annuité ",COUNT($K$3:K21)),"")</f>
        <v/>
      </c>
      <c r="K21" s="327" t="str">
        <f t="shared" si="3"/>
        <v/>
      </c>
      <c r="L21" s="279">
        <f t="shared" si="7"/>
        <v>0</v>
      </c>
      <c r="M21" s="305"/>
      <c r="N21" s="311"/>
      <c r="P21" s="311"/>
      <c r="T21" s="315"/>
      <c r="U21" s="134"/>
      <c r="V21" s="134"/>
      <c r="W21" s="134"/>
    </row>
    <row r="22" spans="1:23" x14ac:dyDescent="0.25">
      <c r="A22">
        <v>20</v>
      </c>
      <c r="B22" s="304">
        <f t="shared" si="0"/>
        <v>44155</v>
      </c>
      <c r="C22" s="321">
        <f t="shared" si="4"/>
        <v>0</v>
      </c>
      <c r="D22" s="304">
        <f t="shared" si="1"/>
        <v>0</v>
      </c>
      <c r="E22" s="279" cm="1">
        <f t="array" ref="E22">IF(C22=0,0,
IF(Situation!$C$153=0,0,
IF(OR(C22=12,C22=24,C22=36,C22=48,C22=60,C22=72),$E$1,
IF(AND(C22&gt;=1,C22&lt;=SUM($M$7*12)),0,
IF(AND(I22&lt;=$M$7,TEXT(D22,"aaaa")=TEXT($P$6,"aaaa")),0,
IF(M25=0,SUM((Situation!$D$71:$D$85=MONTH(1&amp;"/"&amp;TEXT(D22,"mmmm")))*(Situation!$E$71:$E$85)),
IF(TEXT(D22,"aaaa")=TEXT($P$6,"aaaa"),SUM((Situation!$D$71:$D$85=MONTH(1&amp;"/"&amp;TEXT(D22,"mmmm")))*(Situation!$E$71:$E$85)),
0)))))))</f>
        <v>0</v>
      </c>
      <c r="F22" s="279">
        <f t="shared" si="5"/>
        <v>0</v>
      </c>
      <c r="G22" s="279" cm="1">
        <f t="array" ref="G22">IFERROR(IF(B22=$P$4,$K$1,
IF(B22=EDATE($B$1,84),0,
IF(COUNTIF($N$9:$N$20,B22),LOOKUP(2,1/($N$9:$N$20=B22),$Q$9:$Q$21)*-1,
IF(C22&lt;&gt;0,$G$1,0)))),0)</f>
        <v>0</v>
      </c>
      <c r="H22" s="279">
        <f t="shared" si="6"/>
        <v>0</v>
      </c>
      <c r="I22" s="305">
        <f t="shared" si="2"/>
        <v>0</v>
      </c>
      <c r="J22" t="str">
        <f>IF(K22&lt;&gt;"",CONCATENATE("Annuité ",COUNT($K$3:K22)),"")</f>
        <v/>
      </c>
      <c r="K22" s="327" t="str">
        <f t="shared" si="3"/>
        <v/>
      </c>
      <c r="L22" s="279">
        <f t="shared" si="7"/>
        <v>0</v>
      </c>
      <c r="M22" s="279"/>
      <c r="N22" s="62" t="s">
        <v>232</v>
      </c>
      <c r="O22" s="62"/>
      <c r="P22" s="323">
        <f>L1</f>
        <v>0</v>
      </c>
      <c r="Q22" s="324" t="s">
        <v>283</v>
      </c>
      <c r="T22" s="315"/>
      <c r="U22" s="316"/>
      <c r="V22" s="134"/>
      <c r="W22" s="134"/>
    </row>
    <row r="23" spans="1:23" x14ac:dyDescent="0.25">
      <c r="A23">
        <v>21</v>
      </c>
      <c r="B23" s="304">
        <f t="shared" si="0"/>
        <v>44185</v>
      </c>
      <c r="C23" s="321">
        <f t="shared" si="4"/>
        <v>0</v>
      </c>
      <c r="D23" s="304">
        <f t="shared" si="1"/>
        <v>0</v>
      </c>
      <c r="E23" s="279" cm="1">
        <f t="array" ref="E23">IF(C23=0,0,
IF(Situation!$C$153=0,0,
IF(OR(C23=12,C23=24,C23=36,C23=48,C23=60,C23=72),$E$1,
IF(AND(C23&gt;=1,C23&lt;=SUM($M$7*12)),0,
IF(AND(I23&lt;=$M$7,TEXT(D23,"aaaa")=TEXT($P$6,"aaaa")),0,
IF(M26=0,SUM((Situation!$D$71:$D$85=MONTH(1&amp;"/"&amp;TEXT(D23,"mmmm")))*(Situation!$E$71:$E$85)),
IF(TEXT(D23,"aaaa")=TEXT($P$6,"aaaa"),SUM((Situation!$D$71:$D$85=MONTH(1&amp;"/"&amp;TEXT(D23,"mmmm")))*(Situation!$E$71:$E$85)),
0)))))))</f>
        <v>0</v>
      </c>
      <c r="F23" s="279">
        <f t="shared" si="5"/>
        <v>0</v>
      </c>
      <c r="G23" s="279" cm="1">
        <f t="array" ref="G23">IFERROR(IF(B23=$P$4,$K$1,
IF(B23=EDATE($B$1,84),0,
IF(COUNTIF($N$9:$N$20,B23),LOOKUP(2,1/($N$9:$N$20=B23),$Q$9:$Q$21)*-1,
IF(C23&lt;&gt;0,$G$1,0)))),0)</f>
        <v>0</v>
      </c>
      <c r="H23" s="279">
        <f>IF(L22&lt;SUM(E23+G23),L22,SUM(E23+G23))</f>
        <v>0</v>
      </c>
      <c r="I23" s="305">
        <f t="shared" si="2"/>
        <v>0</v>
      </c>
      <c r="J23" t="str">
        <f>IF(K23&lt;&gt;"",CONCATENATE("Annuité ",COUNT($K$3:K23)),"")</f>
        <v/>
      </c>
      <c r="K23" s="327" t="str">
        <f t="shared" si="3"/>
        <v/>
      </c>
      <c r="L23" s="279">
        <f t="shared" si="7"/>
        <v>0</v>
      </c>
      <c r="M23" s="279"/>
      <c r="N23" s="26" t="s">
        <v>12</v>
      </c>
      <c r="O23" s="308">
        <f>P4</f>
        <v>0</v>
      </c>
      <c r="P23" s="309" t="str" cm="1">
        <f t="array" ref="P23">IFERROR(LOOKUP(2,1/($J$3:$J$86=N23),-$K$3:$K$86),"")</f>
        <v/>
      </c>
      <c r="T23" s="134"/>
      <c r="U23" s="134"/>
      <c r="V23" s="134"/>
      <c r="W23" s="134"/>
    </row>
    <row r="24" spans="1:23" x14ac:dyDescent="0.25">
      <c r="A24">
        <v>22</v>
      </c>
      <c r="B24" s="304">
        <f t="shared" si="0"/>
        <v>44216</v>
      </c>
      <c r="C24" s="321">
        <f t="shared" si="4"/>
        <v>0</v>
      </c>
      <c r="D24" s="304">
        <f t="shared" si="1"/>
        <v>0</v>
      </c>
      <c r="E24" s="279" cm="1">
        <f t="array" ref="E24">IF(C24=0,0,
IF(Situation!$C$153=0,0,
IF(OR(C24=12,C24=24,C24=36,C24=48,C24=60,C24=72),$E$1,
IF(AND(C24&gt;=1,C24&lt;=SUM($M$7*12)),0,
IF(AND(I24&lt;=$M$7,TEXT(D24,"aaaa")=TEXT($P$6,"aaaa")),0,
IF(M27=0,SUM((Situation!$D$71:$D$85=MONTH(1&amp;"/"&amp;TEXT(D24,"mmmm")))*(Situation!$E$71:$E$85)),
IF(TEXT(D24,"aaaa")=TEXT($P$6,"aaaa"),SUM((Situation!$D$71:$D$85=MONTH(1&amp;"/"&amp;TEXT(D24,"mmmm")))*(Situation!$E$71:$E$85)),
0)))))))</f>
        <v>0</v>
      </c>
      <c r="F24" s="279">
        <f t="shared" si="5"/>
        <v>0</v>
      </c>
      <c r="G24" s="279" cm="1">
        <f t="array" ref="G24">IFERROR(IF(B24=$P$4,$K$1,
IF(B24=EDATE($B$1,84),0,
IF(COUNTIF($N$9:$N$20,B24),LOOKUP(2,1/($N$9:$N$20=B24),$Q$9:$Q$21)*-1,
IF(C24&lt;&gt;0,$G$1,0)))),0)</f>
        <v>0</v>
      </c>
      <c r="H24" s="279">
        <f t="shared" si="6"/>
        <v>0</v>
      </c>
      <c r="I24" s="305">
        <f t="shared" si="2"/>
        <v>0</v>
      </c>
      <c r="J24" t="str">
        <f>IF(K24&lt;&gt;"",CONCATENATE("Annuité ",COUNT($K$3:K24)),"")</f>
        <v/>
      </c>
      <c r="K24" s="327" t="str">
        <f t="shared" si="3"/>
        <v/>
      </c>
      <c r="L24" s="279">
        <f t="shared" si="7"/>
        <v>0</v>
      </c>
      <c r="M24" s="279"/>
      <c r="N24" s="26" t="s">
        <v>210</v>
      </c>
      <c r="O24" s="308" t="str" cm="1">
        <f t="array" ref="O24">IFERROR(LOOKUP(2,1/($J$3:$J$86=N24),$D$3:$D$86),"")</f>
        <v/>
      </c>
      <c r="P24" s="309" t="str" cm="1">
        <f t="array" ref="P24">IFERROR(LOOKUP(2,1/($J$3:$J$86=N24),-$K$3:$K$86),"")</f>
        <v/>
      </c>
      <c r="T24" s="315"/>
      <c r="U24" s="182"/>
      <c r="V24" s="182"/>
      <c r="W24" s="182"/>
    </row>
    <row r="25" spans="1:23" x14ac:dyDescent="0.25">
      <c r="A25">
        <v>23</v>
      </c>
      <c r="B25" s="304">
        <f t="shared" si="0"/>
        <v>44247</v>
      </c>
      <c r="C25" s="321">
        <f t="shared" si="4"/>
        <v>0</v>
      </c>
      <c r="D25" s="304">
        <f t="shared" si="1"/>
        <v>0</v>
      </c>
      <c r="E25" s="279" cm="1">
        <f t="array" ref="E25">IF(C25=0,0,
IF(Situation!$C$153=0,0,
IF(OR(C25=12,C25=24,C25=36,C25=48,C25=60,C25=72),$E$1,
IF(AND(C25&gt;=1,C25&lt;=SUM($M$7*12)),0,
IF(AND(I25&lt;=$M$7,TEXT(D25,"aaaa")=TEXT($P$6,"aaaa")),0,
IF(M28=0,SUM((Situation!$D$71:$D$85=MONTH(1&amp;"/"&amp;TEXT(D25,"mmmm")))*(Situation!$E$71:$E$85)),
IF(TEXT(D25,"aaaa")=TEXT($P$6,"aaaa"),SUM((Situation!$D$71:$D$85=MONTH(1&amp;"/"&amp;TEXT(D25,"mmmm")))*(Situation!$E$71:$E$85)),
0)))))))</f>
        <v>0</v>
      </c>
      <c r="F25" s="279">
        <f t="shared" si="5"/>
        <v>0</v>
      </c>
      <c r="G25" s="279" cm="1">
        <f t="array" ref="G25">IFERROR(IF(B25=$P$4,$K$1,
IF(B25=EDATE($B$1,84),0,
IF(COUNTIF($N$9:$N$20,B25),LOOKUP(2,1/($N$9:$N$20=B25),$Q$9:$Q$21)*-1,
IF(C25&lt;&gt;0,$G$1,0)))),0)</f>
        <v>0</v>
      </c>
      <c r="H25" s="279">
        <f t="shared" si="6"/>
        <v>0</v>
      </c>
      <c r="I25" s="305">
        <f t="shared" si="2"/>
        <v>0</v>
      </c>
      <c r="J25" t="str">
        <f>IF(K25&lt;&gt;"",CONCATENATE("Annuité ",COUNT($K$3:K25)),"")</f>
        <v/>
      </c>
      <c r="K25" s="327" t="str">
        <f t="shared" si="3"/>
        <v/>
      </c>
      <c r="L25" s="279">
        <f t="shared" si="7"/>
        <v>0</v>
      </c>
      <c r="M25" s="279"/>
      <c r="N25" s="26" t="s">
        <v>233</v>
      </c>
      <c r="O25" s="308" t="str" cm="1">
        <f t="array" ref="O25">IFERROR(LOOKUP(2,1/($J$3:$J$86=N25),$D$3:$D$86),"")</f>
        <v/>
      </c>
      <c r="P25" s="309" t="str" cm="1">
        <f t="array" ref="P25">IFERROR(LOOKUP(2,1/($J$3:$J$86=N25),-$K$3:$K$86),"")</f>
        <v/>
      </c>
      <c r="T25" s="315"/>
      <c r="U25" s="134"/>
      <c r="V25" s="316"/>
      <c r="W25" s="280"/>
    </row>
    <row r="26" spans="1:23" x14ac:dyDescent="0.25">
      <c r="A26">
        <v>24</v>
      </c>
      <c r="B26" s="304">
        <f t="shared" si="0"/>
        <v>44275</v>
      </c>
      <c r="C26" s="321">
        <f t="shared" si="4"/>
        <v>0</v>
      </c>
      <c r="D26" s="304">
        <f t="shared" si="1"/>
        <v>0</v>
      </c>
      <c r="E26" s="279" cm="1">
        <f t="array" ref="E26">IF(C26=0,0,
IF(Situation!$C$153=0,0,
IF(OR(C26=12,C26=24,C26=36,C26=48,C26=60,C26=72),$E$1,
IF(AND(C26&gt;=1,C26&lt;=SUM($M$7*12)),0,
IF(AND(I26&lt;=$M$7,TEXT(D26,"aaaa")=TEXT($P$6,"aaaa")),0,
IF(M29=0,SUM((Situation!$D$71:$D$85=MONTH(1&amp;"/"&amp;TEXT(D26,"mmmm")))*(Situation!$E$71:$E$85)),
IF(TEXT(D26,"aaaa")=TEXT($P$6,"aaaa"),SUM((Situation!$D$71:$D$85=MONTH(1&amp;"/"&amp;TEXT(D26,"mmmm")))*(Situation!$E$71:$E$85)),
0)))))))</f>
        <v>0</v>
      </c>
      <c r="F26" s="279">
        <f t="shared" si="5"/>
        <v>0</v>
      </c>
      <c r="G26" s="279" cm="1">
        <f t="array" ref="G26">IFERROR(IF(B26=$P$4,$K$1,
IF(B26=EDATE($B$1,84),0,
IF(COUNTIF($N$9:$N$20,B26),LOOKUP(2,1/($N$9:$N$20=B26),$Q$9:$Q$21)*-1,
IF(C26&lt;&gt;0,$G$1,0)))),0)</f>
        <v>0</v>
      </c>
      <c r="H26" s="279">
        <f t="shared" si="6"/>
        <v>0</v>
      </c>
      <c r="I26" s="305">
        <f t="shared" si="2"/>
        <v>0</v>
      </c>
      <c r="J26" t="str">
        <f>IF(K26&lt;&gt;"",CONCATENATE("Annuité ",COUNT($K$3:K26)),"")</f>
        <v/>
      </c>
      <c r="K26" s="327" t="str">
        <f t="shared" si="3"/>
        <v/>
      </c>
      <c r="L26" s="279">
        <f t="shared" si="7"/>
        <v>0</v>
      </c>
      <c r="M26" s="279"/>
      <c r="N26" s="26" t="s">
        <v>234</v>
      </c>
      <c r="O26" s="308" t="str" cm="1">
        <f t="array" ref="O26">IFERROR(LOOKUP(2,1/($J$3:$J$86=N26),$D$3:$D$86),"")</f>
        <v/>
      </c>
      <c r="P26" s="309" t="str" cm="1">
        <f t="array" ref="P26">IFERROR(LOOKUP(2,1/($J$3:$J$86=N26),-$K$3:$K$86),"")</f>
        <v/>
      </c>
      <c r="T26" s="315"/>
      <c r="U26" s="134"/>
      <c r="V26" s="316"/>
      <c r="W26" s="280"/>
    </row>
    <row r="27" spans="1:23" x14ac:dyDescent="0.25">
      <c r="A27">
        <v>25</v>
      </c>
      <c r="B27" s="304">
        <f t="shared" si="0"/>
        <v>44306</v>
      </c>
      <c r="C27" s="321">
        <f t="shared" si="4"/>
        <v>0</v>
      </c>
      <c r="D27" s="304">
        <f t="shared" si="1"/>
        <v>0</v>
      </c>
      <c r="E27" s="279" cm="1">
        <f t="array" ref="E27">IF(C27=0,0,
IF(Situation!$C$153=0,0,
IF(OR(C27=12,C27=24,C27=36,C27=48,C27=60,C27=72),$E$1,
IF(AND(C27&gt;=1,C27&lt;=SUM($M$7*12)),0,
IF(AND(I27&lt;=$M$7,TEXT(D27,"aaaa")=TEXT($P$6,"aaaa")),0,
IF(M30=0,SUM((Situation!$D$71:$D$85=MONTH(1&amp;"/"&amp;TEXT(D27,"mmmm")))*(Situation!$E$71:$E$85)),
IF(TEXT(D27,"aaaa")=TEXT($P$6,"aaaa"),SUM((Situation!$D$71:$D$85=MONTH(1&amp;"/"&amp;TEXT(D27,"mmmm")))*(Situation!$E$71:$E$85)),
0)))))))</f>
        <v>0</v>
      </c>
      <c r="F27" s="279">
        <f t="shared" si="5"/>
        <v>0</v>
      </c>
      <c r="G27" s="279" cm="1">
        <f t="array" ref="G27">IFERROR(IF(B27=$P$4,$K$1,
IF(B27=EDATE($B$1,84),0,
IF(COUNTIF($N$9:$N$20,B27),LOOKUP(2,1/($N$9:$N$20=B27),$Q$9:$Q$21)*-1,
IF(C27&lt;&gt;0,$G$1,0)))),0)</f>
        <v>0</v>
      </c>
      <c r="H27" s="279">
        <f t="shared" si="6"/>
        <v>0</v>
      </c>
      <c r="I27" s="305">
        <f t="shared" si="2"/>
        <v>0</v>
      </c>
      <c r="J27" t="str">
        <f>IF(K27&lt;&gt;"",CONCATENATE("Annuité ",COUNT($K$3:K27)),"")</f>
        <v/>
      </c>
      <c r="K27" s="327" t="str">
        <f t="shared" si="3"/>
        <v/>
      </c>
      <c r="L27" s="279">
        <f t="shared" si="7"/>
        <v>0</v>
      </c>
      <c r="M27" s="279"/>
      <c r="N27" s="26" t="s">
        <v>235</v>
      </c>
      <c r="O27" s="308" t="str" cm="1">
        <f t="array" ref="O27">IFERROR(LOOKUP(2,1/($J$3:$J$86=N27),$D$3:$D$86),"")</f>
        <v/>
      </c>
      <c r="P27" s="309" t="str" cm="1">
        <f t="array" ref="P27">IFERROR(LOOKUP(2,1/($J$3:$J$86=N27),-$K$3:$K$86),"")</f>
        <v/>
      </c>
      <c r="T27" s="315"/>
      <c r="U27" s="134"/>
      <c r="V27" s="316"/>
      <c r="W27" s="280"/>
    </row>
    <row r="28" spans="1:23" x14ac:dyDescent="0.25">
      <c r="A28">
        <v>26</v>
      </c>
      <c r="B28" s="304">
        <f t="shared" si="0"/>
        <v>44336</v>
      </c>
      <c r="C28" s="321">
        <f t="shared" si="4"/>
        <v>0</v>
      </c>
      <c r="D28" s="304">
        <f t="shared" si="1"/>
        <v>0</v>
      </c>
      <c r="E28" s="279" cm="1">
        <f t="array" ref="E28">IF(C28=0,0,
IF(Situation!$C$153=0,0,
IF(OR(C28=12,C28=24,C28=36,C28=48,C28=60,C28=72),$E$1,
IF(AND(C28&gt;=1,C28&lt;=SUM($M$7*12)),0,
IF(AND(I28&lt;=$M$7,TEXT(D28,"aaaa")=TEXT($P$6,"aaaa")),0,
IF(M31=0,SUM((Situation!$D$71:$D$85=MONTH(1&amp;"/"&amp;TEXT(D28,"mmmm")))*(Situation!$E$71:$E$85)),
IF(TEXT(D28,"aaaa")=TEXT($P$6,"aaaa"),SUM((Situation!$D$71:$D$85=MONTH(1&amp;"/"&amp;TEXT(D28,"mmmm")))*(Situation!$E$71:$E$85)),
0)))))))</f>
        <v>0</v>
      </c>
      <c r="F28" s="279">
        <f t="shared" si="5"/>
        <v>0</v>
      </c>
      <c r="G28" s="279" cm="1">
        <f t="array" ref="G28">IFERROR(IF(B28=$P$4,$K$1,
IF(B28=EDATE($B$1,84),0,
IF(COUNTIF($N$9:$N$20,B28),LOOKUP(2,1/($N$9:$N$20=B28),$Q$9:$Q$21)*-1,
IF(C28&lt;&gt;0,$G$1,0)))),0)</f>
        <v>0</v>
      </c>
      <c r="H28" s="279">
        <f t="shared" si="6"/>
        <v>0</v>
      </c>
      <c r="I28" s="305">
        <f t="shared" si="2"/>
        <v>0</v>
      </c>
      <c r="J28" t="str">
        <f>IF(K28&lt;&gt;"",CONCATENATE("Annuité ",COUNT($K$3:K28)),"")</f>
        <v/>
      </c>
      <c r="K28" s="327" t="str">
        <f t="shared" si="3"/>
        <v/>
      </c>
      <c r="L28" s="279">
        <f t="shared" si="7"/>
        <v>0</v>
      </c>
      <c r="M28" s="279"/>
      <c r="N28" s="26" t="s">
        <v>236</v>
      </c>
      <c r="O28" s="308" t="str" cm="1">
        <f t="array" ref="O28">IFERROR(LOOKUP(2,1/($J$3:$J$86=N28),$D$3:$D$86),"")</f>
        <v/>
      </c>
      <c r="P28" s="309" t="str" cm="1">
        <f t="array" ref="P28">IFERROR(LOOKUP(2,1/($J$3:$J$86=N28),-$K$3:$K$86),"")</f>
        <v/>
      </c>
      <c r="T28" s="315"/>
      <c r="U28" s="134"/>
      <c r="V28" s="316"/>
      <c r="W28" s="280"/>
    </row>
    <row r="29" spans="1:23" x14ac:dyDescent="0.25">
      <c r="A29">
        <v>27</v>
      </c>
      <c r="B29" s="304">
        <f t="shared" si="0"/>
        <v>44367</v>
      </c>
      <c r="C29" s="321">
        <f t="shared" si="4"/>
        <v>0</v>
      </c>
      <c r="D29" s="304">
        <f t="shared" si="1"/>
        <v>0</v>
      </c>
      <c r="E29" s="279" cm="1">
        <f t="array" ref="E29">IF(C29=0,0,
IF(Situation!$C$153=0,0,
IF(OR(C29=12,C29=24,C29=36,C29=48,C29=60,C29=72),$E$1,
IF(AND(C29&gt;=1,C29&lt;=SUM($M$7*12)),0,
IF(AND(I29&lt;=$M$7,TEXT(D29,"aaaa")=TEXT($P$6,"aaaa")),0,
IF(M32=0,SUM((Situation!$D$71:$D$85=MONTH(1&amp;"/"&amp;TEXT(D29,"mmmm")))*(Situation!$E$71:$E$85)),
IF(TEXT(D29,"aaaa")=TEXT($P$6,"aaaa"),SUM((Situation!$D$71:$D$85=MONTH(1&amp;"/"&amp;TEXT(D29,"mmmm")))*(Situation!$E$71:$E$85)),
0)))))))</f>
        <v>0</v>
      </c>
      <c r="F29" s="279">
        <f t="shared" si="5"/>
        <v>0</v>
      </c>
      <c r="G29" s="279" cm="1">
        <f t="array" ref="G29">IFERROR(IF(B29=$P$4,$K$1,
IF(B29=EDATE($B$1,84),0,
IF(COUNTIF($N$9:$N$20,B29),LOOKUP(2,1/($N$9:$N$20=B29),$Q$9:$Q$21)*-1,
IF(C29&lt;&gt;0,$G$1,0)))),0)</f>
        <v>0</v>
      </c>
      <c r="H29" s="279">
        <f t="shared" si="6"/>
        <v>0</v>
      </c>
      <c r="I29" s="305">
        <f t="shared" si="2"/>
        <v>0</v>
      </c>
      <c r="J29" t="str">
        <f>IF(K29&lt;&gt;"",CONCATENATE("Annuité ",COUNT($K$3:K29)),"")</f>
        <v/>
      </c>
      <c r="K29" s="327" t="str">
        <f t="shared" si="3"/>
        <v/>
      </c>
      <c r="L29" s="279">
        <f t="shared" si="7"/>
        <v>0</v>
      </c>
      <c r="M29" s="279"/>
      <c r="N29" s="26" t="s">
        <v>237</v>
      </c>
      <c r="O29" s="308" t="str" cm="1">
        <f t="array" ref="O29">IFERROR(LOOKUP(2,1/($J$3:$J$86=N29),$D$3:$D$86),"")</f>
        <v/>
      </c>
      <c r="P29" s="309" t="str" cm="1">
        <f t="array" ref="P29">IFERROR(LOOKUP(2,1/($J$3:$J$86=N29),-$K$3:$K$86),"")</f>
        <v/>
      </c>
      <c r="T29" s="315"/>
      <c r="U29" s="134"/>
      <c r="V29" s="316"/>
      <c r="W29" s="280"/>
    </row>
    <row r="30" spans="1:23" x14ac:dyDescent="0.25">
      <c r="A30">
        <v>28</v>
      </c>
      <c r="B30" s="304">
        <f t="shared" si="0"/>
        <v>44397</v>
      </c>
      <c r="C30" s="321">
        <f t="shared" si="4"/>
        <v>0</v>
      </c>
      <c r="D30" s="304">
        <f t="shared" si="1"/>
        <v>0</v>
      </c>
      <c r="E30" s="279" cm="1">
        <f t="array" ref="E30">IF(C30=0,0,
IF(Situation!$C$153=0,0,
IF(OR(C30=12,C30=24,C30=36,C30=48,C30=60,C30=72),$E$1,
IF(AND(C30&gt;=1,C30&lt;=SUM($M$7*12)),0,
IF(AND(I30&lt;=$M$7,TEXT(D30,"aaaa")=TEXT($P$6,"aaaa")),0,
IF(M33=0,SUM((Situation!$D$71:$D$85=MONTH(1&amp;"/"&amp;TEXT(D30,"mmmm")))*(Situation!$E$71:$E$85)),
IF(TEXT(D30,"aaaa")=TEXT($P$6,"aaaa"),SUM((Situation!$D$71:$D$85=MONTH(1&amp;"/"&amp;TEXT(D30,"mmmm")))*(Situation!$E$71:$E$85)),
0)))))))</f>
        <v>0</v>
      </c>
      <c r="F30" s="279">
        <f t="shared" si="5"/>
        <v>0</v>
      </c>
      <c r="G30" s="279" cm="1">
        <f t="array" ref="G30">IFERROR(IF(B30=$P$4,$K$1,
IF(B30=EDATE($B$1,84),0,
IF(COUNTIF($N$9:$N$20,B30),LOOKUP(2,1/($N$9:$N$20=B30),$Q$9:$Q$21)*-1,
IF(C30&lt;&gt;0,$G$1,0)))),0)</f>
        <v>0</v>
      </c>
      <c r="H30" s="279">
        <f t="shared" si="6"/>
        <v>0</v>
      </c>
      <c r="I30" s="305">
        <f t="shared" si="2"/>
        <v>0</v>
      </c>
      <c r="J30" t="str">
        <f>IF(K30&lt;&gt;"",CONCATENATE("Annuité ",COUNT($K$3:K30)),"")</f>
        <v/>
      </c>
      <c r="K30" s="327" t="str">
        <f t="shared" si="3"/>
        <v/>
      </c>
      <c r="L30" s="279">
        <f t="shared" si="7"/>
        <v>0</v>
      </c>
      <c r="M30" s="279"/>
      <c r="N30" s="26" t="s">
        <v>261</v>
      </c>
      <c r="O30" s="308" t="str" cm="1">
        <f t="array" ref="O30">IFERROR(LOOKUP(2,1/($J$3:$J$86=N30),$D$3:$D$86),"")</f>
        <v/>
      </c>
      <c r="P30" s="309" t="str" cm="1">
        <f t="array" ref="P30">IFERROR(LOOKUP(2,1/($J$3:$J$86=N30),-$K$3:$K$86),"")</f>
        <v/>
      </c>
      <c r="T30" s="315"/>
      <c r="U30" s="134"/>
      <c r="V30" s="316"/>
      <c r="W30" s="280"/>
    </row>
    <row r="31" spans="1:23" x14ac:dyDescent="0.25">
      <c r="A31">
        <v>29</v>
      </c>
      <c r="B31" s="304">
        <f t="shared" si="0"/>
        <v>44428</v>
      </c>
      <c r="C31" s="321">
        <f t="shared" si="4"/>
        <v>0</v>
      </c>
      <c r="D31" s="304">
        <f t="shared" si="1"/>
        <v>0</v>
      </c>
      <c r="E31" s="279" cm="1">
        <f t="array" ref="E31">IF(C31=0,0,
IF(Situation!$C$153=0,0,
IF(OR(C31=12,C31=24,C31=36,C31=48,C31=60,C31=72),$E$1,
IF(AND(C31&gt;=1,C31&lt;=SUM($M$7*12)),0,
IF(AND(I31&lt;=$M$7,TEXT(D31,"aaaa")=TEXT($P$6,"aaaa")),0,
IF(M34=0,SUM((Situation!$D$71:$D$85=MONTH(1&amp;"/"&amp;TEXT(D31,"mmmm")))*(Situation!$E$71:$E$85)),
IF(TEXT(D31,"aaaa")=TEXT($P$6,"aaaa"),SUM((Situation!$D$71:$D$85=MONTH(1&amp;"/"&amp;TEXT(D31,"mmmm")))*(Situation!$E$71:$E$85)),
0)))))))</f>
        <v>0</v>
      </c>
      <c r="F31" s="279">
        <f t="shared" si="5"/>
        <v>0</v>
      </c>
      <c r="G31" s="279" cm="1">
        <f t="array" ref="G31">IFERROR(IF(B31=$P$4,$K$1,
IF(B31=EDATE($B$1,84),0,
IF(COUNTIF($N$9:$N$20,B31),LOOKUP(2,1/($N$9:$N$20=B31),$Q$9:$Q$21)*-1,
IF(C31&lt;&gt;0,$G$1,0)))),0)</f>
        <v>0</v>
      </c>
      <c r="H31" s="279">
        <f t="shared" si="6"/>
        <v>0</v>
      </c>
      <c r="I31" s="305">
        <f t="shared" si="2"/>
        <v>0</v>
      </c>
      <c r="J31" t="str">
        <f>IF(K31&lt;&gt;"",CONCATENATE("Annuité ",COUNT($K$3:K31)),"")</f>
        <v/>
      </c>
      <c r="K31" s="327" t="str">
        <f t="shared" si="3"/>
        <v/>
      </c>
      <c r="L31" s="279">
        <f t="shared" si="7"/>
        <v>0</v>
      </c>
      <c r="M31" s="279"/>
      <c r="N31" s="164" t="s">
        <v>238</v>
      </c>
      <c r="O31" s="164"/>
      <c r="P31" s="324">
        <f>SUM(P22:P29)</f>
        <v>0</v>
      </c>
      <c r="Q31" s="324" t="s">
        <v>283</v>
      </c>
      <c r="T31" s="315"/>
      <c r="U31" s="134"/>
      <c r="V31" s="316"/>
      <c r="W31" s="315"/>
    </row>
    <row r="32" spans="1:23" x14ac:dyDescent="0.25">
      <c r="A32">
        <v>30</v>
      </c>
      <c r="B32" s="304">
        <f t="shared" si="0"/>
        <v>44459</v>
      </c>
      <c r="C32" s="321">
        <f t="shared" si="4"/>
        <v>0</v>
      </c>
      <c r="D32" s="304">
        <f t="shared" si="1"/>
        <v>0</v>
      </c>
      <c r="E32" s="279" cm="1">
        <f t="array" ref="E32">IF(C32=0,0,
IF(Situation!$C$153=0,0,
IF(OR(C32=12,C32=24,C32=36,C32=48,C32=60,C32=72),$E$1,
IF(AND(C32&gt;=1,C32&lt;=SUM($M$7*12)),0,
IF(AND(I32&lt;=$M$7,TEXT(D32,"aaaa")=TEXT($P$6,"aaaa")),0,
IF(M35=0,SUM((Situation!$D$71:$D$85=MONTH(1&amp;"/"&amp;TEXT(D32,"mmmm")))*(Situation!$E$71:$E$85)),
IF(TEXT(D32,"aaaa")=TEXT($P$6,"aaaa"),SUM((Situation!$D$71:$D$85=MONTH(1&amp;"/"&amp;TEXT(D32,"mmmm")))*(Situation!$E$71:$E$85)),
0)))))))</f>
        <v>0</v>
      </c>
      <c r="F32" s="279">
        <f t="shared" si="5"/>
        <v>0</v>
      </c>
      <c r="G32" s="279" cm="1">
        <f t="array" ref="G32">IFERROR(IF(B32=$P$4,$K$1,
IF(B32=EDATE($B$1,84),0,
IF(COUNTIF($N$9:$N$20,B32),LOOKUP(2,1/($N$9:$N$20=B32),$Q$9:$Q$21)*-1,
IF(C32&lt;&gt;0,$G$1,0)))),0)</f>
        <v>0</v>
      </c>
      <c r="H32" s="279">
        <f t="shared" si="6"/>
        <v>0</v>
      </c>
      <c r="I32" s="305">
        <f t="shared" si="2"/>
        <v>0</v>
      </c>
      <c r="J32" t="str">
        <f>IF(K32&lt;&gt;"",CONCATENATE("Annuité ",COUNT($K$3:K32)),"")</f>
        <v/>
      </c>
      <c r="K32" s="327" t="str">
        <f t="shared" si="3"/>
        <v/>
      </c>
      <c r="L32" s="279">
        <f t="shared" si="7"/>
        <v>0</v>
      </c>
      <c r="M32" s="279"/>
      <c r="N32" s="26" t="str">
        <f t="shared" ref="N32:N38" si="12">IF(Q23="ok",N23,"")</f>
        <v/>
      </c>
      <c r="O32" s="308"/>
      <c r="P32" s="309" t="str">
        <f t="shared" ref="P32:P38" si="13">IF(Q32="ok",P23,"")</f>
        <v/>
      </c>
      <c r="T32" s="315"/>
      <c r="U32" s="182"/>
      <c r="V32" s="182"/>
      <c r="W32" s="182"/>
    </row>
    <row r="33" spans="1:24" x14ac:dyDescent="0.25">
      <c r="A33">
        <v>31</v>
      </c>
      <c r="B33" s="304">
        <f t="shared" si="0"/>
        <v>44489</v>
      </c>
      <c r="C33" s="321">
        <f t="shared" si="4"/>
        <v>0</v>
      </c>
      <c r="D33" s="304">
        <f t="shared" si="1"/>
        <v>0</v>
      </c>
      <c r="E33" s="279" cm="1">
        <f t="array" ref="E33">IF(C33=0,0,
IF(Situation!$C$153=0,0,
IF(OR(C33=12,C33=24,C33=36,C33=48,C33=60,C33=72),$E$1,
IF(AND(C33&gt;=1,C33&lt;=SUM($M$7*12)),0,
IF(AND(I33&lt;=$M$7,TEXT(D33,"aaaa")=TEXT($P$6,"aaaa")),0,
IF(M36=0,SUM((Situation!$D$71:$D$85=MONTH(1&amp;"/"&amp;TEXT(D33,"mmmm")))*(Situation!$E$71:$E$85)),
IF(TEXT(D33,"aaaa")=TEXT($P$6,"aaaa"),SUM((Situation!$D$71:$D$85=MONTH(1&amp;"/"&amp;TEXT(D33,"mmmm")))*(Situation!$E$71:$E$85)),
0)))))))</f>
        <v>0</v>
      </c>
      <c r="F33" s="279">
        <f t="shared" si="5"/>
        <v>0</v>
      </c>
      <c r="G33" s="279" cm="1">
        <f t="array" ref="G33">IFERROR(IF(B33=$P$4,$K$1,
IF(B33=EDATE($B$1,84),0,
IF(COUNTIF($N$9:$N$20,B33),LOOKUP(2,1/($N$9:$N$20=B33),$Q$9:$Q$21)*-1,
IF(C33&lt;&gt;0,$G$1,0)))),0)</f>
        <v>0</v>
      </c>
      <c r="H33" s="279">
        <f t="shared" si="6"/>
        <v>0</v>
      </c>
      <c r="I33" s="305">
        <f t="shared" si="2"/>
        <v>0</v>
      </c>
      <c r="J33" t="str">
        <f>IF(K33&lt;&gt;"",CONCATENATE("Annuité ",COUNT($K$3:K33)),"")</f>
        <v/>
      </c>
      <c r="K33" s="327" t="str">
        <f t="shared" si="3"/>
        <v/>
      </c>
      <c r="L33" s="279">
        <f t="shared" si="7"/>
        <v>0</v>
      </c>
      <c r="M33" s="279"/>
      <c r="N33" s="26" t="str">
        <f t="shared" si="12"/>
        <v/>
      </c>
      <c r="O33" s="308"/>
      <c r="P33" s="309" t="str">
        <f t="shared" si="13"/>
        <v/>
      </c>
      <c r="T33" s="315"/>
      <c r="U33" s="134"/>
      <c r="V33" s="316"/>
      <c r="W33" s="280"/>
      <c r="X33" s="184"/>
    </row>
    <row r="34" spans="1:24" x14ac:dyDescent="0.25">
      <c r="A34">
        <v>32</v>
      </c>
      <c r="B34" s="304">
        <f t="shared" si="0"/>
        <v>44520</v>
      </c>
      <c r="C34" s="321">
        <f t="shared" si="4"/>
        <v>0</v>
      </c>
      <c r="D34" s="304">
        <f t="shared" si="1"/>
        <v>0</v>
      </c>
      <c r="E34" s="279" cm="1">
        <f t="array" ref="E34">IF(C34=0,0,
IF(Situation!$C$153=0,0,
IF(OR(C34=12,C34=24,C34=36,C34=48,C34=60,C34=72),$E$1,
IF(AND(C34&gt;=1,C34&lt;=SUM($M$7*12)),0,
IF(AND(I34&lt;=$M$7,TEXT(D34,"aaaa")=TEXT($P$6,"aaaa")),0,
IF(M37=0,SUM((Situation!$D$71:$D$85=MONTH(1&amp;"/"&amp;TEXT(D34,"mmmm")))*(Situation!$E$71:$E$85)),
IF(TEXT(D34,"aaaa")=TEXT($P$6,"aaaa"),SUM((Situation!$D$71:$D$85=MONTH(1&amp;"/"&amp;TEXT(D34,"mmmm")))*(Situation!$E$71:$E$85)),
0)))))))</f>
        <v>0</v>
      </c>
      <c r="F34" s="279">
        <f t="shared" si="5"/>
        <v>0</v>
      </c>
      <c r="G34" s="279" cm="1">
        <f t="array" ref="G34">IFERROR(IF(B34=$P$4,$K$1,
IF(B34=EDATE($B$1,84),0,
IF(COUNTIF($N$9:$N$20,B34),LOOKUP(2,1/($N$9:$N$20=B34),$Q$9:$Q$21)*-1,
IF(C34&lt;&gt;0,$G$1,0)))),0)</f>
        <v>0</v>
      </c>
      <c r="H34" s="279">
        <f t="shared" si="6"/>
        <v>0</v>
      </c>
      <c r="I34" s="305">
        <f t="shared" si="2"/>
        <v>0</v>
      </c>
      <c r="J34" t="str">
        <f>IF(K34&lt;&gt;"",CONCATENATE("Annuité ",COUNT($K$3:K34)),"")</f>
        <v/>
      </c>
      <c r="K34" s="327" t="str">
        <f t="shared" si="3"/>
        <v/>
      </c>
      <c r="L34" s="279">
        <f t="shared" si="7"/>
        <v>0</v>
      </c>
      <c r="M34" s="279"/>
      <c r="N34" s="26" t="str">
        <f t="shared" si="12"/>
        <v/>
      </c>
      <c r="O34" s="308"/>
      <c r="P34" s="309" t="str">
        <f t="shared" si="13"/>
        <v/>
      </c>
      <c r="T34" s="315"/>
      <c r="U34" s="134"/>
      <c r="V34" s="316"/>
      <c r="W34" s="280"/>
    </row>
    <row r="35" spans="1:24" x14ac:dyDescent="0.25">
      <c r="A35">
        <v>33</v>
      </c>
      <c r="B35" s="304">
        <f t="shared" si="0"/>
        <v>44550</v>
      </c>
      <c r="C35" s="321">
        <f t="shared" si="4"/>
        <v>0</v>
      </c>
      <c r="D35" s="304">
        <f t="shared" si="1"/>
        <v>0</v>
      </c>
      <c r="E35" s="279" cm="1">
        <f t="array" ref="E35">IF(C35=0,0,
IF(Situation!$C$153=0,0,
IF(OR(C35=12,C35=24,C35=36,C35=48,C35=60,C35=72),$E$1,
IF(AND(C35&gt;=1,C35&lt;=SUM($M$7*12)),0,
IF(AND(I35&lt;=$M$7,TEXT(D35,"aaaa")=TEXT($P$6,"aaaa")),0,
IF(M38=0,SUM((Situation!$D$71:$D$85=MONTH(1&amp;"/"&amp;TEXT(D35,"mmmm")))*(Situation!$E$71:$E$85)),
IF(TEXT(D35,"aaaa")=TEXT($P$6,"aaaa"),SUM((Situation!$D$71:$D$85=MONTH(1&amp;"/"&amp;TEXT(D35,"mmmm")))*(Situation!$E$71:$E$85)),
0)))))))</f>
        <v>0</v>
      </c>
      <c r="F35" s="279">
        <f t="shared" si="5"/>
        <v>0</v>
      </c>
      <c r="G35" s="279" cm="1">
        <f t="array" ref="G35">IFERROR(IF(B35=$P$4,$K$1,
IF(B35=EDATE($B$1,84),0,
IF(COUNTIF($N$9:$N$20,B35),LOOKUP(2,1/($N$9:$N$20=B35),$Q$9:$Q$21)*-1,
IF(C35&lt;&gt;0,$G$1,0)))),0)</f>
        <v>0</v>
      </c>
      <c r="H35" s="279">
        <f t="shared" si="6"/>
        <v>0</v>
      </c>
      <c r="I35" s="305">
        <f t="shared" si="2"/>
        <v>0</v>
      </c>
      <c r="J35" t="str">
        <f>IF(K35&lt;&gt;"",CONCATENATE("Annuité ",COUNT($K$3:K35)),"")</f>
        <v/>
      </c>
      <c r="K35" s="327" t="str">
        <f t="shared" si="3"/>
        <v/>
      </c>
      <c r="L35" s="279">
        <f t="shared" si="7"/>
        <v>0</v>
      </c>
      <c r="M35" s="279"/>
      <c r="N35" s="26" t="str">
        <f t="shared" si="12"/>
        <v/>
      </c>
      <c r="O35" s="308"/>
      <c r="P35" s="309" t="str">
        <f t="shared" si="13"/>
        <v/>
      </c>
      <c r="T35" s="315"/>
      <c r="U35" s="134"/>
      <c r="V35" s="316"/>
      <c r="W35" s="280"/>
    </row>
    <row r="36" spans="1:24" x14ac:dyDescent="0.25">
      <c r="A36">
        <v>34</v>
      </c>
      <c r="B36" s="304">
        <f t="shared" si="0"/>
        <v>44581</v>
      </c>
      <c r="C36" s="321">
        <f t="shared" si="4"/>
        <v>0</v>
      </c>
      <c r="D36" s="304">
        <f t="shared" si="1"/>
        <v>0</v>
      </c>
      <c r="E36" s="279" cm="1">
        <f t="array" ref="E36">IF(C36=0,0,
IF(Situation!$C$153=0,0,
IF(OR(C36=12,C36=24,C36=36,C36=48,C36=60,C36=72),$E$1,
IF(AND(C36&gt;=1,C36&lt;=SUM($M$7*12)),0,
IF(AND(I36&lt;=$M$7,TEXT(D36,"aaaa")=TEXT($P$6,"aaaa")),0,
IF(M39=0,SUM((Situation!$D$71:$D$85=MONTH(1&amp;"/"&amp;TEXT(D36,"mmmm")))*(Situation!$E$71:$E$85)),
IF(TEXT(D36,"aaaa")=TEXT($P$6,"aaaa"),SUM((Situation!$D$71:$D$85=MONTH(1&amp;"/"&amp;TEXT(D36,"mmmm")))*(Situation!$E$71:$E$85)),
0)))))))</f>
        <v>0</v>
      </c>
      <c r="F36" s="279">
        <f t="shared" si="5"/>
        <v>0</v>
      </c>
      <c r="G36" s="279" cm="1">
        <f t="array" ref="G36">IFERROR(IF(B36=$P$4,$K$1,
IF(B36=EDATE($B$1,84),0,
IF(COUNTIF($N$9:$N$20,B36),LOOKUP(2,1/($N$9:$N$20=B36),$Q$9:$Q$21)*-1,
IF(C36&lt;&gt;0,$G$1,0)))),0)</f>
        <v>0</v>
      </c>
      <c r="H36" s="279">
        <f t="shared" si="6"/>
        <v>0</v>
      </c>
      <c r="I36" s="305">
        <f t="shared" si="2"/>
        <v>0</v>
      </c>
      <c r="J36" t="str">
        <f>IF(K36&lt;&gt;"",CONCATENATE("Annuité ",COUNT($K$3:K36)),"")</f>
        <v/>
      </c>
      <c r="K36" s="327" t="str">
        <f t="shared" si="3"/>
        <v/>
      </c>
      <c r="L36" s="279">
        <f t="shared" si="7"/>
        <v>0</v>
      </c>
      <c r="M36" s="279"/>
      <c r="N36" s="26" t="str">
        <f t="shared" si="12"/>
        <v/>
      </c>
      <c r="O36" s="308"/>
      <c r="P36" s="309" t="str">
        <f t="shared" si="13"/>
        <v/>
      </c>
      <c r="T36" s="315"/>
      <c r="U36" s="134"/>
      <c r="V36" s="316"/>
      <c r="W36" s="280"/>
    </row>
    <row r="37" spans="1:24" x14ac:dyDescent="0.25">
      <c r="A37">
        <v>35</v>
      </c>
      <c r="B37" s="304">
        <f t="shared" si="0"/>
        <v>44612</v>
      </c>
      <c r="C37" s="321">
        <f t="shared" si="4"/>
        <v>0</v>
      </c>
      <c r="D37" s="304">
        <f t="shared" si="1"/>
        <v>0</v>
      </c>
      <c r="E37" s="279" cm="1">
        <f t="array" ref="E37">IF(C37=0,0,
IF(Situation!$C$153=0,0,
IF(OR(C37=12,C37=24,C37=36,C37=48,C37=60,C37=72),$E$1,
IF(AND(C37&gt;=1,C37&lt;=SUM($M$7*12)),0,
IF(AND(I37&lt;=$M$7,TEXT(D37,"aaaa")=TEXT($P$6,"aaaa")),0,
IF(M40=0,SUM((Situation!$D$71:$D$85=MONTH(1&amp;"/"&amp;TEXT(D37,"mmmm")))*(Situation!$E$71:$E$85)),
IF(TEXT(D37,"aaaa")=TEXT($P$6,"aaaa"),SUM((Situation!$D$71:$D$85=MONTH(1&amp;"/"&amp;TEXT(D37,"mmmm")))*(Situation!$E$71:$E$85)),
0)))))))</f>
        <v>0</v>
      </c>
      <c r="F37" s="279">
        <f t="shared" si="5"/>
        <v>0</v>
      </c>
      <c r="G37" s="279" cm="1">
        <f t="array" ref="G37">IFERROR(IF(B37=$P$4,$K$1,
IF(B37=EDATE($B$1,84),0,
IF(COUNTIF($N$9:$N$20,B37),LOOKUP(2,1/($N$9:$N$20=B37),$Q$9:$Q$21)*-1,
IF(C37&lt;&gt;0,$G$1,0)))),0)</f>
        <v>0</v>
      </c>
      <c r="H37" s="279">
        <f t="shared" si="6"/>
        <v>0</v>
      </c>
      <c r="I37" s="305">
        <f t="shared" si="2"/>
        <v>0</v>
      </c>
      <c r="J37" t="str">
        <f>IF(K37&lt;&gt;"",CONCATENATE("Annuité ",COUNT($K$3:K37)),"")</f>
        <v/>
      </c>
      <c r="K37" s="327" t="str">
        <f t="shared" si="3"/>
        <v/>
      </c>
      <c r="L37" s="279">
        <f t="shared" si="7"/>
        <v>0</v>
      </c>
      <c r="M37" s="279"/>
      <c r="N37" s="26" t="str">
        <f t="shared" si="12"/>
        <v/>
      </c>
      <c r="O37" s="308"/>
      <c r="P37" s="309" t="str">
        <f t="shared" si="13"/>
        <v/>
      </c>
      <c r="T37" s="315"/>
      <c r="U37" s="134"/>
      <c r="V37" s="316"/>
      <c r="W37" s="280"/>
    </row>
    <row r="38" spans="1:24" x14ac:dyDescent="0.25">
      <c r="A38">
        <v>36</v>
      </c>
      <c r="B38" s="304">
        <f t="shared" si="0"/>
        <v>44640</v>
      </c>
      <c r="C38" s="321">
        <f t="shared" si="4"/>
        <v>0</v>
      </c>
      <c r="D38" s="304">
        <f t="shared" si="1"/>
        <v>0</v>
      </c>
      <c r="E38" s="279" cm="1">
        <f t="array" ref="E38">IF(C38=0,0,
IF(Situation!$C$153=0,0,
IF(OR(C38=12,C38=24,C38=36,C38=48,C38=60,C38=72),$E$1,
IF(AND(C38&gt;=1,C38&lt;=SUM($M$7*12)),0,
IF(AND(I38&lt;=$M$7,TEXT(D38,"aaaa")=TEXT($P$6,"aaaa")),0,
IF(M41=0,SUM((Situation!$D$71:$D$85=MONTH(1&amp;"/"&amp;TEXT(D38,"mmmm")))*(Situation!$E$71:$E$85)),
IF(TEXT(D38,"aaaa")=TEXT($P$6,"aaaa"),SUM((Situation!$D$71:$D$85=MONTH(1&amp;"/"&amp;TEXT(D38,"mmmm")))*(Situation!$E$71:$E$85)),
0)))))))</f>
        <v>0</v>
      </c>
      <c r="F38" s="279">
        <f t="shared" si="5"/>
        <v>0</v>
      </c>
      <c r="G38" s="279" cm="1">
        <f t="array" ref="G38">IFERROR(IF(B38=$P$4,$K$1,
IF(B38=EDATE($B$1,84),0,
IF(COUNTIF($N$9:$N$20,B38),LOOKUP(2,1/($N$9:$N$20=B38),$Q$9:$Q$21)*-1,
IF(C38&lt;&gt;0,$G$1,0)))),0)</f>
        <v>0</v>
      </c>
      <c r="H38" s="279">
        <f t="shared" si="6"/>
        <v>0</v>
      </c>
      <c r="I38" s="305">
        <f t="shared" si="2"/>
        <v>0</v>
      </c>
      <c r="J38" t="str">
        <f>IF(K38&lt;&gt;"",CONCATENATE("Annuité ",COUNT($K$3:K38)),"")</f>
        <v/>
      </c>
      <c r="K38" s="327" t="str">
        <f t="shared" si="3"/>
        <v/>
      </c>
      <c r="L38" s="279">
        <f t="shared" si="7"/>
        <v>0</v>
      </c>
      <c r="M38" s="279"/>
      <c r="N38" s="26" t="str">
        <f t="shared" si="12"/>
        <v/>
      </c>
      <c r="O38" s="308"/>
      <c r="P38" s="309" t="str">
        <f t="shared" si="13"/>
        <v/>
      </c>
      <c r="T38" s="315"/>
      <c r="U38" s="134"/>
      <c r="V38" s="316"/>
      <c r="W38" s="280"/>
    </row>
    <row r="39" spans="1:24" x14ac:dyDescent="0.25">
      <c r="A39">
        <v>37</v>
      </c>
      <c r="B39" s="304">
        <f t="shared" si="0"/>
        <v>44671</v>
      </c>
      <c r="C39" s="321">
        <f t="shared" si="4"/>
        <v>0</v>
      </c>
      <c r="D39" s="304">
        <f t="shared" si="1"/>
        <v>0</v>
      </c>
      <c r="E39" s="279" cm="1">
        <f t="array" ref="E39">IF(C39=0,0,
IF(Situation!$C$153=0,0,
IF(OR(C39=12,C39=24,C39=36,C39=48,C39=60,C39=72),$E$1,
IF(AND(C39&gt;=1,C39&lt;=SUM($M$7*12)),0,
IF(AND(I39&lt;=$M$7,TEXT(D39,"aaaa")=TEXT($P$6,"aaaa")),0,
IF(M42=0,SUM((Situation!$D$71:$D$85=MONTH(1&amp;"/"&amp;TEXT(D39,"mmmm")))*(Situation!$E$71:$E$85)),
IF(TEXT(D39,"aaaa")=TEXT($P$6,"aaaa"),SUM((Situation!$D$71:$D$85=MONTH(1&amp;"/"&amp;TEXT(D39,"mmmm")))*(Situation!$E$71:$E$85)),
0)))))))</f>
        <v>0</v>
      </c>
      <c r="F39" s="279">
        <f t="shared" si="5"/>
        <v>0</v>
      </c>
      <c r="G39" s="279" cm="1">
        <f t="array" ref="G39">IFERROR(IF(B39=$P$4,$K$1,
IF(B39=EDATE($B$1,84),0,
IF(COUNTIF($N$9:$N$20,B39),LOOKUP(2,1/($N$9:$N$20=B39),$Q$9:$Q$21)*-1,
IF(C39&lt;&gt;0,$G$1,0)))),0)</f>
        <v>0</v>
      </c>
      <c r="H39" s="279">
        <f t="shared" si="6"/>
        <v>0</v>
      </c>
      <c r="I39" s="305">
        <f t="shared" si="2"/>
        <v>0</v>
      </c>
      <c r="J39" t="str">
        <f>IF(K39&lt;&gt;"",CONCATENATE("Annuité ",COUNT($K$3:K39)),"")</f>
        <v/>
      </c>
      <c r="K39" s="327" t="str">
        <f t="shared" si="3"/>
        <v/>
      </c>
      <c r="L39" s="279">
        <f t="shared" si="7"/>
        <v>0</v>
      </c>
      <c r="M39" s="279"/>
      <c r="T39" s="315"/>
      <c r="U39" s="134"/>
      <c r="V39" s="316"/>
      <c r="W39" s="280"/>
    </row>
    <row r="40" spans="1:24" x14ac:dyDescent="0.25">
      <c r="A40">
        <v>38</v>
      </c>
      <c r="B40" s="304">
        <f t="shared" si="0"/>
        <v>44701</v>
      </c>
      <c r="C40" s="321">
        <f t="shared" si="4"/>
        <v>0</v>
      </c>
      <c r="D40" s="304">
        <f t="shared" si="1"/>
        <v>0</v>
      </c>
      <c r="E40" s="279" cm="1">
        <f t="array" ref="E40">IF(C40=0,0,
IF(Situation!$C$153=0,0,
IF(OR(C40=12,C40=24,C40=36,C40=48,C40=60,C40=72),$E$1,
IF(AND(C40&gt;=1,C40&lt;=SUM($M$7*12)),0,
IF(AND(I40&lt;=$M$7,TEXT(D40,"aaaa")=TEXT($P$6,"aaaa")),0,
IF(M43=0,SUM((Situation!$D$71:$D$85=MONTH(1&amp;"/"&amp;TEXT(D40,"mmmm")))*(Situation!$E$71:$E$85)),
IF(TEXT(D40,"aaaa")=TEXT($P$6,"aaaa"),SUM((Situation!$D$71:$D$85=MONTH(1&amp;"/"&amp;TEXT(D40,"mmmm")))*(Situation!$E$71:$E$85)),
0)))))))</f>
        <v>0</v>
      </c>
      <c r="F40" s="279">
        <f t="shared" si="5"/>
        <v>0</v>
      </c>
      <c r="G40" s="279" cm="1">
        <f t="array" ref="G40">IFERROR(IF(B40=$P$4,$K$1,
IF(B40=EDATE($B$1,84),0,
IF(COUNTIF($N$9:$N$20,B40),LOOKUP(2,1/($N$9:$N$20=B40),$Q$9:$Q$21)*-1,
IF(C40&lt;&gt;0,$G$1,0)))),0)</f>
        <v>0</v>
      </c>
      <c r="H40" s="279">
        <f t="shared" si="6"/>
        <v>0</v>
      </c>
      <c r="I40" s="305">
        <f t="shared" si="2"/>
        <v>0</v>
      </c>
      <c r="J40" t="str">
        <f>IF(K40&lt;&gt;"",CONCATENATE("Annuité ",COUNT($K$3:K40)),"")</f>
        <v/>
      </c>
      <c r="K40" s="327" t="str">
        <f t="shared" si="3"/>
        <v/>
      </c>
      <c r="L40" s="279">
        <f t="shared" si="7"/>
        <v>0</v>
      </c>
      <c r="M40" s="279"/>
      <c r="T40" s="134"/>
      <c r="U40" s="134"/>
      <c r="V40" s="134"/>
      <c r="W40" s="134"/>
    </row>
    <row r="41" spans="1:24" x14ac:dyDescent="0.25">
      <c r="A41">
        <v>39</v>
      </c>
      <c r="B41" s="304">
        <f t="shared" si="0"/>
        <v>44732</v>
      </c>
      <c r="C41" s="321">
        <f t="shared" si="4"/>
        <v>0</v>
      </c>
      <c r="D41" s="304">
        <f t="shared" si="1"/>
        <v>0</v>
      </c>
      <c r="E41" s="279" cm="1">
        <f t="array" ref="E41">IF(C41=0,0,
IF(Situation!$C$153=0,0,
IF(OR(C41=12,C41=24,C41=36,C41=48,C41=60,C41=72),$E$1,
IF(AND(C41&gt;=1,C41&lt;=SUM($M$7*12)),0,
IF(AND(I41&lt;=$M$7,TEXT(D41,"aaaa")=TEXT($P$6,"aaaa")),0,
IF(M44=0,SUM((Situation!$D$71:$D$85=MONTH(1&amp;"/"&amp;TEXT(D41,"mmmm")))*(Situation!$E$71:$E$85)),
IF(TEXT(D41,"aaaa")=TEXT($P$6,"aaaa"),SUM((Situation!$D$71:$D$85=MONTH(1&amp;"/"&amp;TEXT(D41,"mmmm")))*(Situation!$E$71:$E$85)),
0)))))))</f>
        <v>0</v>
      </c>
      <c r="F41" s="279">
        <f t="shared" si="5"/>
        <v>0</v>
      </c>
      <c r="G41" s="279" cm="1">
        <f t="array" ref="G41">IFERROR(IF(B41=$P$4,$K$1,
IF(B41=EDATE($B$1,84),0,
IF(COUNTIF($N$9:$N$20,B41),LOOKUP(2,1/($N$9:$N$20=B41),$Q$9:$Q$21)*-1,
IF(C41&lt;&gt;0,$G$1,0)))),0)</f>
        <v>0</v>
      </c>
      <c r="H41" s="279">
        <f t="shared" si="6"/>
        <v>0</v>
      </c>
      <c r="I41" s="305">
        <f t="shared" si="2"/>
        <v>0</v>
      </c>
      <c r="J41" t="str">
        <f>IF(K41&lt;&gt;"",CONCATENATE("Annuité ",COUNT($K$3:K41)),"")</f>
        <v/>
      </c>
      <c r="K41" s="327" t="str">
        <f t="shared" si="3"/>
        <v/>
      </c>
      <c r="L41" s="279">
        <f t="shared" si="7"/>
        <v>0</v>
      </c>
      <c r="M41" s="279"/>
      <c r="T41" s="134"/>
      <c r="U41" s="134"/>
      <c r="V41" s="134"/>
      <c r="W41" s="134"/>
    </row>
    <row r="42" spans="1:24" x14ac:dyDescent="0.25">
      <c r="A42">
        <v>40</v>
      </c>
      <c r="B42" s="304">
        <f t="shared" si="0"/>
        <v>44762</v>
      </c>
      <c r="C42" s="321">
        <f t="shared" si="4"/>
        <v>0</v>
      </c>
      <c r="D42" s="304">
        <f t="shared" si="1"/>
        <v>0</v>
      </c>
      <c r="E42" s="279" cm="1">
        <f t="array" ref="E42">IF(C42=0,0,
IF(Situation!$C$153=0,0,
IF(OR(C42=12,C42=24,C42=36,C42=48,C42=60,C42=72),$E$1,
IF(AND(C42&gt;=1,C42&lt;=SUM($M$7*12)),0,
IF(AND(I42&lt;=$M$7,TEXT(D42,"aaaa")=TEXT($P$6,"aaaa")),0,
IF(M45=0,SUM((Situation!$D$71:$D$85=MONTH(1&amp;"/"&amp;TEXT(D42,"mmmm")))*(Situation!$E$71:$E$85)),
IF(TEXT(D42,"aaaa")=TEXT($P$6,"aaaa"),SUM((Situation!$D$71:$D$85=MONTH(1&amp;"/"&amp;TEXT(D42,"mmmm")))*(Situation!$E$71:$E$85)),
0)))))))</f>
        <v>0</v>
      </c>
      <c r="F42" s="279">
        <f t="shared" si="5"/>
        <v>0</v>
      </c>
      <c r="G42" s="279" cm="1">
        <f t="array" ref="G42">IFERROR(IF(B42=$P$4,$K$1,
IF(B42=EDATE($B$1,84),0,
IF(COUNTIF($N$9:$N$20,B42),LOOKUP(2,1/($N$9:$N$20=B42),$Q$9:$Q$21)*-1,
IF(C42&lt;&gt;0,$G$1,0)))),0)</f>
        <v>0</v>
      </c>
      <c r="H42" s="279">
        <f t="shared" si="6"/>
        <v>0</v>
      </c>
      <c r="I42" s="305">
        <f t="shared" si="2"/>
        <v>0</v>
      </c>
      <c r="J42" t="str">
        <f>IF(K42&lt;&gt;"",CONCATENATE("Annuité ",COUNT($K$3:K42)),"")</f>
        <v/>
      </c>
      <c r="K42" s="327" t="str">
        <f t="shared" si="3"/>
        <v/>
      </c>
      <c r="L42" s="279">
        <f t="shared" si="7"/>
        <v>0</v>
      </c>
      <c r="M42" s="279"/>
    </row>
    <row r="43" spans="1:24" x14ac:dyDescent="0.25">
      <c r="A43">
        <v>41</v>
      </c>
      <c r="B43" s="304">
        <f t="shared" si="0"/>
        <v>44793</v>
      </c>
      <c r="C43" s="321">
        <f t="shared" si="4"/>
        <v>0</v>
      </c>
      <c r="D43" s="304">
        <f t="shared" si="1"/>
        <v>0</v>
      </c>
      <c r="E43" s="279" cm="1">
        <f t="array" ref="E43">IF(C43=0,0,
IF(Situation!$C$153=0,0,
IF(OR(C43=12,C43=24,C43=36,C43=48,C43=60,C43=72),$E$1,
IF(AND(C43&gt;=1,C43&lt;=SUM($M$7*12)),0,
IF(AND(I43&lt;=$M$7,TEXT(D43,"aaaa")=TEXT($P$6,"aaaa")),0,
IF(M46=0,SUM((Situation!$D$71:$D$85=MONTH(1&amp;"/"&amp;TEXT(D43,"mmmm")))*(Situation!$E$71:$E$85)),
IF(TEXT(D43,"aaaa")=TEXT($P$6,"aaaa"),SUM((Situation!$D$71:$D$85=MONTH(1&amp;"/"&amp;TEXT(D43,"mmmm")))*(Situation!$E$71:$E$85)),
0)))))))</f>
        <v>0</v>
      </c>
      <c r="F43" s="279">
        <f t="shared" si="5"/>
        <v>0</v>
      </c>
      <c r="G43" s="279" cm="1">
        <f t="array" ref="G43">IFERROR(IF(B43=$P$4,$K$1,
IF(B43=EDATE($B$1,84),0,
IF(COUNTIF($N$9:$N$20,B43),LOOKUP(2,1/($N$9:$N$20=B43),$Q$9:$Q$21)*-1,
IF(C43&lt;&gt;0,$G$1,0)))),0)</f>
        <v>0</v>
      </c>
      <c r="H43" s="279">
        <f t="shared" si="6"/>
        <v>0</v>
      </c>
      <c r="I43" s="305">
        <f t="shared" si="2"/>
        <v>0</v>
      </c>
      <c r="J43" t="str">
        <f>IF(K43&lt;&gt;"",CONCATENATE("Annuité ",COUNT($K$3:K43)),"")</f>
        <v/>
      </c>
      <c r="K43" s="327" t="str">
        <f t="shared" si="3"/>
        <v/>
      </c>
      <c r="L43" s="279">
        <f t="shared" si="7"/>
        <v>0</v>
      </c>
      <c r="M43" s="279"/>
    </row>
    <row r="44" spans="1:24" x14ac:dyDescent="0.25">
      <c r="A44">
        <v>42</v>
      </c>
      <c r="B44" s="304">
        <f t="shared" si="0"/>
        <v>44824</v>
      </c>
      <c r="C44" s="321">
        <f t="shared" si="4"/>
        <v>0</v>
      </c>
      <c r="D44" s="304">
        <f t="shared" si="1"/>
        <v>0</v>
      </c>
      <c r="E44" s="279" cm="1">
        <f t="array" ref="E44">IF(C44=0,0,
IF(Situation!$C$153=0,0,
IF(OR(C44=12,C44=24,C44=36,C44=48,C44=60,C44=72),$E$1,
IF(AND(C44&gt;=1,C44&lt;=SUM($M$7*12)),0,
IF(AND(I44&lt;=$M$7,TEXT(D44,"aaaa")=TEXT($P$6,"aaaa")),0,
IF(M47=0,SUM((Situation!$D$71:$D$85=MONTH(1&amp;"/"&amp;TEXT(D44,"mmmm")))*(Situation!$E$71:$E$85)),
IF(TEXT(D44,"aaaa")=TEXT($P$6,"aaaa"),SUM((Situation!$D$71:$D$85=MONTH(1&amp;"/"&amp;TEXT(D44,"mmmm")))*(Situation!$E$71:$E$85)),
0)))))))</f>
        <v>0</v>
      </c>
      <c r="F44" s="279">
        <f t="shared" si="5"/>
        <v>0</v>
      </c>
      <c r="G44" s="279" cm="1">
        <f t="array" ref="G44">IFERROR(IF(B44=$P$4,$K$1,
IF(B44=EDATE($B$1,84),0,
IF(COUNTIF($N$9:$N$20,B44),LOOKUP(2,1/($N$9:$N$20=B44),$Q$9:$Q$21)*-1,
IF(C44&lt;&gt;0,$G$1,0)))),0)</f>
        <v>0</v>
      </c>
      <c r="H44" s="279">
        <f t="shared" ref="H44:H60" si="14">IF(L43&lt;SUM(E44+G44),L43,SUM(E44+G44))</f>
        <v>0</v>
      </c>
      <c r="I44" s="305">
        <f t="shared" si="2"/>
        <v>0</v>
      </c>
      <c r="J44" t="str">
        <f>IF(K44&lt;&gt;"",CONCATENATE("Annuité ",COUNT($K$3:K44)),"")</f>
        <v/>
      </c>
      <c r="K44" s="327" t="str">
        <f t="shared" si="3"/>
        <v/>
      </c>
      <c r="L44" s="279">
        <f t="shared" si="7"/>
        <v>0</v>
      </c>
      <c r="M44" s="279"/>
    </row>
    <row r="45" spans="1:24" x14ac:dyDescent="0.25">
      <c r="A45">
        <v>43</v>
      </c>
      <c r="B45" s="304">
        <f t="shared" si="0"/>
        <v>44854</v>
      </c>
      <c r="C45" s="321">
        <f t="shared" si="4"/>
        <v>0</v>
      </c>
      <c r="D45" s="304">
        <f t="shared" si="1"/>
        <v>0</v>
      </c>
      <c r="E45" s="279" cm="1">
        <f t="array" ref="E45">IF(C45=0,0,
IF(Situation!$C$153=0,0,
IF(OR(C45=12,C45=24,C45=36,C45=48,C45=60,C45=72),$E$1,
IF(AND(C45&gt;=1,C45&lt;=SUM($M$7*12)),0,
IF(AND(I45&lt;=$M$7,TEXT(D45,"aaaa")=TEXT($P$6,"aaaa")),0,
IF(M48=0,SUM((Situation!$D$71:$D$85=MONTH(1&amp;"/"&amp;TEXT(D45,"mmmm")))*(Situation!$E$71:$E$85)),
IF(TEXT(D45,"aaaa")=TEXT($P$6,"aaaa"),SUM((Situation!$D$71:$D$85=MONTH(1&amp;"/"&amp;TEXT(D45,"mmmm")))*(Situation!$E$71:$E$85)),
0)))))))</f>
        <v>0</v>
      </c>
      <c r="F45" s="279">
        <f t="shared" si="5"/>
        <v>0</v>
      </c>
      <c r="G45" s="279" cm="1">
        <f t="array" ref="G45">IFERROR(IF(B45=$P$4,$K$1,
IF(B45=EDATE($B$1,84),0,
IF(COUNTIF($N$9:$N$20,B45),LOOKUP(2,1/($N$9:$N$20=B45),$Q$9:$Q$21)*-1,
IF(C45&lt;&gt;0,$G$1,0)))),0)</f>
        <v>0</v>
      </c>
      <c r="H45" s="279">
        <f t="shared" si="14"/>
        <v>0</v>
      </c>
      <c r="I45" s="305">
        <f t="shared" si="2"/>
        <v>0</v>
      </c>
      <c r="J45" t="str">
        <f>IF(K45&lt;&gt;"",CONCATENATE("Annuité ",COUNT($K$3:K45)),"")</f>
        <v/>
      </c>
      <c r="K45" s="327" t="str">
        <f t="shared" si="3"/>
        <v/>
      </c>
      <c r="L45" s="279">
        <f t="shared" si="7"/>
        <v>0</v>
      </c>
      <c r="M45" s="279"/>
    </row>
    <row r="46" spans="1:24" x14ac:dyDescent="0.25">
      <c r="A46">
        <v>44</v>
      </c>
      <c r="B46" s="304">
        <f t="shared" si="0"/>
        <v>44885</v>
      </c>
      <c r="C46" s="321">
        <f t="shared" si="4"/>
        <v>0</v>
      </c>
      <c r="D46" s="304">
        <f t="shared" si="1"/>
        <v>0</v>
      </c>
      <c r="E46" s="279" cm="1">
        <f t="array" ref="E46">IF(C46=0,0,
IF(Situation!$C$153=0,0,
IF(OR(C46=12,C46=24,C46=36,C46=48,C46=60,C46=72),$E$1,
IF(AND(C46&gt;=1,C46&lt;=SUM($M$7*12)),0,
IF(AND(I46&lt;=$M$7,TEXT(D46,"aaaa")=TEXT($P$6,"aaaa")),0,
IF(M49=0,SUM((Situation!$D$71:$D$85=MONTH(1&amp;"/"&amp;TEXT(D46,"mmmm")))*(Situation!$E$71:$E$85)),
IF(TEXT(D46,"aaaa")=TEXT($P$6,"aaaa"),SUM((Situation!$D$71:$D$85=MONTH(1&amp;"/"&amp;TEXT(D46,"mmmm")))*(Situation!$E$71:$E$85)),
0)))))))</f>
        <v>0</v>
      </c>
      <c r="F46" s="279">
        <f t="shared" si="5"/>
        <v>0</v>
      </c>
      <c r="G46" s="279" cm="1">
        <f t="array" ref="G46">IFERROR(IF(B46=$P$4,$K$1,
IF(B46=EDATE($B$1,84),0,
IF(COUNTIF($N$9:$N$20,B46),LOOKUP(2,1/($N$9:$N$20=B46),$Q$9:$Q$21)*-1,
IF(C46&lt;&gt;0,$G$1,0)))),0)</f>
        <v>0</v>
      </c>
      <c r="H46" s="279">
        <f t="shared" si="14"/>
        <v>0</v>
      </c>
      <c r="I46" s="305">
        <f t="shared" si="2"/>
        <v>0</v>
      </c>
      <c r="J46" t="str">
        <f>IF(K46&lt;&gt;"",CONCATENATE("Annuité ",COUNT($K$3:K46)),"")</f>
        <v/>
      </c>
      <c r="K46" s="327" t="str">
        <f t="shared" si="3"/>
        <v/>
      </c>
      <c r="L46" s="279">
        <f t="shared" si="7"/>
        <v>0</v>
      </c>
      <c r="M46" s="279"/>
    </row>
    <row r="47" spans="1:24" x14ac:dyDescent="0.25">
      <c r="A47">
        <v>45</v>
      </c>
      <c r="B47" s="304">
        <f t="shared" si="0"/>
        <v>44915</v>
      </c>
      <c r="C47" s="321">
        <f t="shared" si="4"/>
        <v>0</v>
      </c>
      <c r="D47" s="304">
        <f t="shared" si="1"/>
        <v>0</v>
      </c>
      <c r="E47" s="279" cm="1">
        <f t="array" ref="E47">IF(C47=0,0,
IF(Situation!$C$153=0,0,
IF(OR(C47=12,C47=24,C47=36,C47=48,C47=60,C47=72),$E$1,
IF(AND(C47&gt;=1,C47&lt;=SUM($M$7*12)),0,
IF(AND(I47&lt;=$M$7,TEXT(D47,"aaaa")=TEXT($P$6,"aaaa")),0,
IF(M50=0,SUM((Situation!$D$71:$D$85=MONTH(1&amp;"/"&amp;TEXT(D47,"mmmm")))*(Situation!$E$71:$E$85)),
IF(TEXT(D47,"aaaa")=TEXT($P$6,"aaaa"),SUM((Situation!$D$71:$D$85=MONTH(1&amp;"/"&amp;TEXT(D47,"mmmm")))*(Situation!$E$71:$E$85)),
0)))))))</f>
        <v>0</v>
      </c>
      <c r="F47" s="279">
        <f t="shared" si="5"/>
        <v>0</v>
      </c>
      <c r="G47" s="279" cm="1">
        <f t="array" ref="G47">IFERROR(IF(B47=$P$4,$K$1,
IF(B47=EDATE($B$1,84),0,
IF(COUNTIF($N$9:$N$20,B47),LOOKUP(2,1/($N$9:$N$20=B47),$Q$9:$Q$21)*-1,
IF(C47&lt;&gt;0,$G$1,0)))),0)</f>
        <v>0</v>
      </c>
      <c r="H47" s="279">
        <f t="shared" si="14"/>
        <v>0</v>
      </c>
      <c r="I47" s="305">
        <f t="shared" si="2"/>
        <v>0</v>
      </c>
      <c r="J47" t="str">
        <f>IF(K47&lt;&gt;"",CONCATENATE("Annuité ",COUNT($K$3:K47)),"")</f>
        <v/>
      </c>
      <c r="K47" s="327" t="str">
        <f t="shared" si="3"/>
        <v/>
      </c>
      <c r="L47" s="279">
        <f t="shared" si="7"/>
        <v>0</v>
      </c>
      <c r="M47" s="279"/>
    </row>
    <row r="48" spans="1:24" x14ac:dyDescent="0.25">
      <c r="A48">
        <v>46</v>
      </c>
      <c r="B48" s="304">
        <f t="shared" si="0"/>
        <v>44946</v>
      </c>
      <c r="C48" s="321">
        <f t="shared" si="4"/>
        <v>0</v>
      </c>
      <c r="D48" s="304">
        <f t="shared" si="1"/>
        <v>0</v>
      </c>
      <c r="E48" s="279" cm="1">
        <f t="array" ref="E48">IF(C48=0,0,
IF(Situation!$C$153=0,0,
IF(OR(C48=12,C48=24,C48=36,C48=48,C48=60,C48=72),$E$1,
IF(AND(C48&gt;=1,C48&lt;=SUM($M$7*12)),0,
IF(AND(I48&lt;=$M$7,TEXT(D48,"aaaa")=TEXT($P$6,"aaaa")),0,
IF(M51=0,SUM((Situation!$D$71:$D$85=MONTH(1&amp;"/"&amp;TEXT(D48,"mmmm")))*(Situation!$E$71:$E$85)),
IF(TEXT(D48,"aaaa")=TEXT($P$6,"aaaa"),SUM((Situation!$D$71:$D$85=MONTH(1&amp;"/"&amp;TEXT(D48,"mmmm")))*(Situation!$E$71:$E$85)),
0)))))))</f>
        <v>0</v>
      </c>
      <c r="F48" s="279">
        <f t="shared" si="5"/>
        <v>0</v>
      </c>
      <c r="G48" s="279" cm="1">
        <f t="array" ref="G48">IFERROR(IF(B48=$P$4,$K$1,
IF(B48=EDATE($B$1,84),0,
IF(COUNTIF($N$9:$N$20,B48),LOOKUP(2,1/($N$9:$N$20=B48),$Q$9:$Q$21)*-1,
IF(C48&lt;&gt;0,$G$1,0)))),0)</f>
        <v>0</v>
      </c>
      <c r="H48" s="279">
        <f t="shared" si="14"/>
        <v>0</v>
      </c>
      <c r="I48" s="305">
        <f t="shared" si="2"/>
        <v>0</v>
      </c>
      <c r="J48" t="str">
        <f>IF(K48&lt;&gt;"",CONCATENATE("Annuité ",COUNT($K$3:K48)),"")</f>
        <v/>
      </c>
      <c r="K48" s="327" t="str">
        <f t="shared" si="3"/>
        <v/>
      </c>
      <c r="L48" s="279">
        <f t="shared" si="7"/>
        <v>0</v>
      </c>
      <c r="M48" s="279"/>
      <c r="N48" s="184"/>
    </row>
    <row r="49" spans="1:14" x14ac:dyDescent="0.25">
      <c r="A49">
        <v>47</v>
      </c>
      <c r="B49" s="304">
        <f t="shared" si="0"/>
        <v>44977</v>
      </c>
      <c r="C49" s="321">
        <f t="shared" si="4"/>
        <v>0</v>
      </c>
      <c r="D49" s="304">
        <f t="shared" si="1"/>
        <v>0</v>
      </c>
      <c r="E49" s="279" cm="1">
        <f t="array" ref="E49">IF(C49=0,0,
IF(Situation!$C$153=0,0,
IF(OR(C49=12,C49=24,C49=36,C49=48,C49=60,C49=72),$E$1,
IF(AND(C49&gt;=1,C49&lt;=SUM($M$7*12)),0,
IF(AND(I49&lt;=$M$7,TEXT(D49,"aaaa")=TEXT($P$6,"aaaa")),0,
IF(M52=0,SUM((Situation!$D$71:$D$85=MONTH(1&amp;"/"&amp;TEXT(D49,"mmmm")))*(Situation!$E$71:$E$85)),
IF(TEXT(D49,"aaaa")=TEXT($P$6,"aaaa"),SUM((Situation!$D$71:$D$85=MONTH(1&amp;"/"&amp;TEXT(D49,"mmmm")))*(Situation!$E$71:$E$85)),
0)))))))</f>
        <v>0</v>
      </c>
      <c r="F49" s="279">
        <f t="shared" si="5"/>
        <v>0</v>
      </c>
      <c r="G49" s="279" cm="1">
        <f t="array" ref="G49">IFERROR(IF(B49=$P$4,$K$1,
IF(B49=EDATE($B$1,84),0,
IF(COUNTIF($N$9:$N$20,B49),LOOKUP(2,1/($N$9:$N$20=B49),$Q$9:$Q$21)*-1,
IF(C49&lt;&gt;0,$G$1,0)))),0)</f>
        <v>0</v>
      </c>
      <c r="H49" s="279">
        <f t="shared" si="14"/>
        <v>0</v>
      </c>
      <c r="I49" s="305">
        <f t="shared" si="2"/>
        <v>0</v>
      </c>
      <c r="J49" t="str">
        <f>IF(K49&lt;&gt;"",CONCATENATE("Annuité ",COUNT($K$3:K49)),"")</f>
        <v/>
      </c>
      <c r="K49" s="327" t="str">
        <f t="shared" si="3"/>
        <v/>
      </c>
      <c r="L49" s="279">
        <f t="shared" si="7"/>
        <v>0</v>
      </c>
      <c r="M49" s="279"/>
    </row>
    <row r="50" spans="1:14" x14ac:dyDescent="0.25">
      <c r="A50">
        <v>48</v>
      </c>
      <c r="B50" s="304">
        <f t="shared" si="0"/>
        <v>45005</v>
      </c>
      <c r="C50" s="321">
        <f t="shared" si="4"/>
        <v>0</v>
      </c>
      <c r="D50" s="304">
        <f t="shared" si="1"/>
        <v>0</v>
      </c>
      <c r="E50" s="279" cm="1">
        <f t="array" ref="E50">IF(C50=0,0,
IF(Situation!$C$153=0,0,
IF(OR(C50=12,C50=24,C50=36,C50=48,C50=60,C50=72),$E$1,
IF(AND(C50&gt;=1,C50&lt;=SUM($M$7*12)),0,
IF(AND(I50&lt;=$M$7,TEXT(D50,"aaaa")=TEXT($P$6,"aaaa")),0,
IF(M53=0,SUM((Situation!$D$71:$D$85=MONTH(1&amp;"/"&amp;TEXT(D50,"mmmm")))*(Situation!$E$71:$E$85)),
IF(TEXT(D50,"aaaa")=TEXT($P$6,"aaaa"),SUM((Situation!$D$71:$D$85=MONTH(1&amp;"/"&amp;TEXT(D50,"mmmm")))*(Situation!$E$71:$E$85)),
0)))))))</f>
        <v>0</v>
      </c>
      <c r="F50" s="279">
        <f t="shared" si="5"/>
        <v>0</v>
      </c>
      <c r="G50" s="279" cm="1">
        <f t="array" ref="G50">IFERROR(IF(B50=$P$4,$K$1,
IF(B50=EDATE($B$1,84),0,
IF(COUNTIF($N$9:$N$20,B50),LOOKUP(2,1/($N$9:$N$20=B50),$Q$9:$Q$21)*-1,
IF(C50&lt;&gt;0,$G$1,0)))),0)</f>
        <v>0</v>
      </c>
      <c r="H50" s="279">
        <f t="shared" si="14"/>
        <v>0</v>
      </c>
      <c r="I50" s="305">
        <f t="shared" si="2"/>
        <v>0</v>
      </c>
      <c r="J50" t="str">
        <f>IF(K50&lt;&gt;"",CONCATENATE("Annuité ",COUNT($K$3:K50)),"")</f>
        <v/>
      </c>
      <c r="K50" s="327" t="str">
        <f t="shared" si="3"/>
        <v/>
      </c>
      <c r="L50" s="279">
        <f t="shared" si="7"/>
        <v>0</v>
      </c>
      <c r="M50" s="279"/>
    </row>
    <row r="51" spans="1:14" x14ac:dyDescent="0.25">
      <c r="A51">
        <v>49</v>
      </c>
      <c r="B51" s="304">
        <f t="shared" si="0"/>
        <v>45036</v>
      </c>
      <c r="C51" s="321">
        <f t="shared" si="4"/>
        <v>0</v>
      </c>
      <c r="D51" s="304">
        <f t="shared" si="1"/>
        <v>0</v>
      </c>
      <c r="E51" s="279" cm="1">
        <f t="array" ref="E51">IF(C51=0,0,
IF(Situation!$C$153=0,0,
IF(OR(C51=12,C51=24,C51=36,C51=48,C51=60,C51=72),$E$1,
IF(AND(C51&gt;=1,C51&lt;=SUM($M$7*12)),0,
IF(AND(I51&lt;=$M$7,TEXT(D51,"aaaa")=TEXT($P$6,"aaaa")),0,
IF(M54=0,SUM((Situation!$D$71:$D$85=MONTH(1&amp;"/"&amp;TEXT(D51,"mmmm")))*(Situation!$E$71:$E$85)),
IF(TEXT(D51,"aaaa")=TEXT($P$6,"aaaa"),SUM((Situation!$D$71:$D$85=MONTH(1&amp;"/"&amp;TEXT(D51,"mmmm")))*(Situation!$E$71:$E$85)),
0)))))))</f>
        <v>0</v>
      </c>
      <c r="F51" s="279">
        <f t="shared" si="5"/>
        <v>0</v>
      </c>
      <c r="G51" s="279" cm="1">
        <f t="array" ref="G51">IFERROR(IF(B51=$P$4,$K$1,
IF(B51=EDATE($B$1,84),0,
IF(COUNTIF($N$9:$N$20,B51),LOOKUP(2,1/($N$9:$N$20=B51),$Q$9:$Q$21)*-1,
IF(C51&lt;&gt;0,$G$1,0)))),0)</f>
        <v>0</v>
      </c>
      <c r="H51" s="279">
        <f t="shared" si="14"/>
        <v>0</v>
      </c>
      <c r="I51" s="305">
        <f t="shared" si="2"/>
        <v>0</v>
      </c>
      <c r="J51" t="str">
        <f>IF(K51&lt;&gt;"",CONCATENATE("Annuité ",COUNT($K$3:K51)),"")</f>
        <v/>
      </c>
      <c r="K51" s="327" t="str">
        <f t="shared" si="3"/>
        <v/>
      </c>
      <c r="L51" s="279">
        <f t="shared" si="7"/>
        <v>0</v>
      </c>
      <c r="M51" s="279"/>
    </row>
    <row r="52" spans="1:14" x14ac:dyDescent="0.25">
      <c r="A52">
        <v>50</v>
      </c>
      <c r="B52" s="304">
        <f t="shared" si="0"/>
        <v>45066</v>
      </c>
      <c r="C52" s="321">
        <f t="shared" si="4"/>
        <v>0</v>
      </c>
      <c r="D52" s="304">
        <f t="shared" si="1"/>
        <v>0</v>
      </c>
      <c r="E52" s="279" cm="1">
        <f t="array" ref="E52">IF(C52=0,0,
IF(Situation!$C$153=0,0,
IF(OR(C52=12,C52=24,C52=36,C52=48,C52=60,C52=72),$E$1,
IF(AND(C52&gt;=1,C52&lt;=SUM($M$7*12)),0,
IF(AND(I52&lt;=$M$7,TEXT(D52,"aaaa")=TEXT($P$6,"aaaa")),0,
IF(M55=0,SUM((Situation!$D$71:$D$85=MONTH(1&amp;"/"&amp;TEXT(D52,"mmmm")))*(Situation!$E$71:$E$85)),
IF(TEXT(D52,"aaaa")=TEXT($P$6,"aaaa"),SUM((Situation!$D$71:$D$85=MONTH(1&amp;"/"&amp;TEXT(D52,"mmmm")))*(Situation!$E$71:$E$85)),
0)))))))</f>
        <v>0</v>
      </c>
      <c r="F52" s="279">
        <f t="shared" si="5"/>
        <v>0</v>
      </c>
      <c r="G52" s="279" cm="1">
        <f t="array" ref="G52">IFERROR(IF(B52=$P$4,$K$1,
IF(B52=EDATE($B$1,84),0,
IF(COUNTIF($N$9:$N$20,B52),LOOKUP(2,1/($N$9:$N$20=B52),$Q$9:$Q$21)*-1,
IF(C52&lt;&gt;0,$G$1,0)))),0)</f>
        <v>0</v>
      </c>
      <c r="H52" s="279">
        <f t="shared" si="14"/>
        <v>0</v>
      </c>
      <c r="I52" s="305">
        <f t="shared" si="2"/>
        <v>0</v>
      </c>
      <c r="J52" t="str">
        <f>IF(K52&lt;&gt;"",CONCATENATE("Annuité ",COUNT($K$3:K52)),"")</f>
        <v/>
      </c>
      <c r="K52" s="327" t="str">
        <f t="shared" si="3"/>
        <v/>
      </c>
      <c r="L52" s="279">
        <f t="shared" ref="L52:L76" si="15">SUM(L51-H52)</f>
        <v>0</v>
      </c>
      <c r="M52" s="279"/>
    </row>
    <row r="53" spans="1:14" x14ac:dyDescent="0.25">
      <c r="A53">
        <v>51</v>
      </c>
      <c r="B53" s="304">
        <f t="shared" si="0"/>
        <v>45097</v>
      </c>
      <c r="C53" s="321">
        <f t="shared" si="4"/>
        <v>0</v>
      </c>
      <c r="D53" s="304">
        <f t="shared" si="1"/>
        <v>0</v>
      </c>
      <c r="E53" s="279" cm="1">
        <f t="array" ref="E53">IF(C53=0,0,
IF(Situation!$C$153=0,0,
IF(OR(C53=12,C53=24,C53=36,C53=48,C53=60,C53=72),$E$1,
IF(AND(C53&gt;=1,C53&lt;=SUM($M$7*12)),0,
IF(AND(I53&lt;=$M$7,TEXT(D53,"aaaa")=TEXT($P$6,"aaaa")),0,
IF(M56=0,SUM((Situation!$D$71:$D$85=MONTH(1&amp;"/"&amp;TEXT(D53,"mmmm")))*(Situation!$E$71:$E$85)),
IF(TEXT(D53,"aaaa")=TEXT($P$6,"aaaa"),SUM((Situation!$D$71:$D$85=MONTH(1&amp;"/"&amp;TEXT(D53,"mmmm")))*(Situation!$E$71:$E$85)),
0)))))))</f>
        <v>0</v>
      </c>
      <c r="F53" s="279">
        <f t="shared" si="5"/>
        <v>0</v>
      </c>
      <c r="G53" s="279" cm="1">
        <f t="array" ref="G53">IFERROR(IF(B53=$P$4,$K$1,
IF(B53=EDATE($B$1,84),0,
IF(COUNTIF($N$9:$N$20,B53),LOOKUP(2,1/($N$9:$N$20=B53),$Q$9:$Q$21)*-1,
IF(C53&lt;&gt;0,$G$1,0)))),0)</f>
        <v>0</v>
      </c>
      <c r="H53" s="279">
        <f t="shared" si="14"/>
        <v>0</v>
      </c>
      <c r="I53" s="305">
        <f t="shared" si="2"/>
        <v>0</v>
      </c>
      <c r="J53" t="str">
        <f>IF(K53&lt;&gt;"",CONCATENATE("Annuité ",COUNT($K$3:K53)),"")</f>
        <v/>
      </c>
      <c r="K53" s="327" t="str">
        <f t="shared" si="3"/>
        <v/>
      </c>
      <c r="L53" s="279">
        <f t="shared" si="15"/>
        <v>0</v>
      </c>
      <c r="M53" s="279"/>
    </row>
    <row r="54" spans="1:14" x14ac:dyDescent="0.25">
      <c r="A54">
        <v>52</v>
      </c>
      <c r="B54" s="304">
        <f t="shared" si="0"/>
        <v>45127</v>
      </c>
      <c r="C54" s="321">
        <f t="shared" si="4"/>
        <v>0</v>
      </c>
      <c r="D54" s="304">
        <f t="shared" si="1"/>
        <v>0</v>
      </c>
      <c r="E54" s="279" cm="1">
        <f t="array" ref="E54">IF(C54=0,0,
IF(Situation!$C$153=0,0,
IF(OR(C54=12,C54=24,C54=36,C54=48,C54=60,C54=72),$E$1,
IF(AND(C54&gt;=1,C54&lt;=SUM($M$7*12)),0,
IF(AND(I54&lt;=$M$7,TEXT(D54,"aaaa")=TEXT($P$6,"aaaa")),0,
IF(M57=0,SUM((Situation!$D$71:$D$85=MONTH(1&amp;"/"&amp;TEXT(D54,"mmmm")))*(Situation!$E$71:$E$85)),
IF(TEXT(D54,"aaaa")=TEXT($P$6,"aaaa"),SUM((Situation!$D$71:$D$85=MONTH(1&amp;"/"&amp;TEXT(D54,"mmmm")))*(Situation!$E$71:$E$85)),
0)))))))</f>
        <v>0</v>
      </c>
      <c r="F54" s="279">
        <f t="shared" si="5"/>
        <v>0</v>
      </c>
      <c r="G54" s="279" cm="1">
        <f t="array" ref="G54">IFERROR(IF(B54=$P$4,$K$1,
IF(B54=EDATE($B$1,84),0,
IF(COUNTIF($N$9:$N$20,B54),LOOKUP(2,1/($N$9:$N$20=B54),$Q$9:$Q$21)*-1,
IF(C54&lt;&gt;0,$G$1,0)))),0)</f>
        <v>0</v>
      </c>
      <c r="H54" s="279">
        <f t="shared" si="14"/>
        <v>0</v>
      </c>
      <c r="I54" s="305">
        <f t="shared" si="2"/>
        <v>0</v>
      </c>
      <c r="J54" t="str">
        <f>IF(K54&lt;&gt;"",CONCATENATE("Annuité ",COUNT($K$3:K54)),"")</f>
        <v/>
      </c>
      <c r="K54" s="327" t="str">
        <f t="shared" si="3"/>
        <v/>
      </c>
      <c r="L54" s="279">
        <f t="shared" si="15"/>
        <v>0</v>
      </c>
      <c r="M54" s="279"/>
      <c r="N54" s="279"/>
    </row>
    <row r="55" spans="1:14" x14ac:dyDescent="0.25">
      <c r="A55">
        <v>53</v>
      </c>
      <c r="B55" s="304">
        <f t="shared" si="0"/>
        <v>45158</v>
      </c>
      <c r="C55" s="321">
        <f t="shared" si="4"/>
        <v>0</v>
      </c>
      <c r="D55" s="304">
        <f t="shared" si="1"/>
        <v>0</v>
      </c>
      <c r="E55" s="279" cm="1">
        <f t="array" ref="E55">IF(C55=0,0,
IF(Situation!$C$153=0,0,
IF(OR(C55=12,C55=24,C55=36,C55=48,C55=60,C55=72),$E$1,
IF(AND(C55&gt;=1,C55&lt;=SUM($M$7*12)),0,
IF(AND(I55&lt;=$M$7,TEXT(D55,"aaaa")=TEXT($P$6,"aaaa")),0,
IF(M58=0,SUM((Situation!$D$71:$D$85=MONTH(1&amp;"/"&amp;TEXT(D55,"mmmm")))*(Situation!$E$71:$E$85)),
IF(TEXT(D55,"aaaa")=TEXT($P$6,"aaaa"),SUM((Situation!$D$71:$D$85=MONTH(1&amp;"/"&amp;TEXT(D55,"mmmm")))*(Situation!$E$71:$E$85)),
0)))))))</f>
        <v>0</v>
      </c>
      <c r="F55" s="279">
        <f t="shared" si="5"/>
        <v>0</v>
      </c>
      <c r="G55" s="279" cm="1">
        <f t="array" ref="G55">IFERROR(IF(B55=$P$4,$K$1,
IF(B55=EDATE($B$1,84),0,
IF(COUNTIF($N$9:$N$20,B55),LOOKUP(2,1/($N$9:$N$20=B55),$Q$9:$Q$21)*-1,
IF(C55&lt;&gt;0,$G$1,0)))),0)</f>
        <v>0</v>
      </c>
      <c r="H55" s="279">
        <f t="shared" si="14"/>
        <v>0</v>
      </c>
      <c r="I55" s="305">
        <f t="shared" si="2"/>
        <v>0</v>
      </c>
      <c r="J55" t="str">
        <f>IF(K55&lt;&gt;"",CONCATENATE("Annuité ",COUNT($K$3:K55)),"")</f>
        <v/>
      </c>
      <c r="K55" s="327" t="str">
        <f t="shared" si="3"/>
        <v/>
      </c>
      <c r="L55" s="279">
        <f t="shared" si="15"/>
        <v>0</v>
      </c>
      <c r="M55" s="279"/>
    </row>
    <row r="56" spans="1:14" x14ac:dyDescent="0.25">
      <c r="A56">
        <v>54</v>
      </c>
      <c r="B56" s="304">
        <f t="shared" si="0"/>
        <v>45189</v>
      </c>
      <c r="C56" s="321">
        <f t="shared" si="4"/>
        <v>0</v>
      </c>
      <c r="D56" s="304">
        <f t="shared" si="1"/>
        <v>0</v>
      </c>
      <c r="E56" s="279" cm="1">
        <f t="array" ref="E56">IF(C56=0,0,
IF(Situation!$C$153=0,0,
IF(OR(C56=12,C56=24,C56=36,C56=48,C56=60,C56=72),$E$1,
IF(AND(C56&gt;=1,C56&lt;=SUM($M$7*12)),0,
IF(AND(I56&lt;=$M$7,TEXT(D56,"aaaa")=TEXT($P$6,"aaaa")),0,
IF(M59=0,SUM((Situation!$D$71:$D$85=MONTH(1&amp;"/"&amp;TEXT(D56,"mmmm")))*(Situation!$E$71:$E$85)),
IF(TEXT(D56,"aaaa")=TEXT($P$6,"aaaa"),SUM((Situation!$D$71:$D$85=MONTH(1&amp;"/"&amp;TEXT(D56,"mmmm")))*(Situation!$E$71:$E$85)),
0)))))))</f>
        <v>0</v>
      </c>
      <c r="F56" s="279">
        <f t="shared" si="5"/>
        <v>0</v>
      </c>
      <c r="G56" s="279" cm="1">
        <f t="array" ref="G56">IFERROR(IF(B56=$P$4,$K$1,
IF(B56=EDATE($B$1,84),0,
IF(COUNTIF($N$9:$N$20,B56),LOOKUP(2,1/($N$9:$N$20=B56),$Q$9:$Q$21)*-1,
IF(C56&lt;&gt;0,$G$1,0)))),0)</f>
        <v>0</v>
      </c>
      <c r="H56" s="279">
        <f t="shared" si="14"/>
        <v>0</v>
      </c>
      <c r="I56" s="305">
        <f t="shared" si="2"/>
        <v>0</v>
      </c>
      <c r="J56" t="str">
        <f>IF(K56&lt;&gt;"",CONCATENATE("Annuité ",COUNT($K$3:K56)),"")</f>
        <v/>
      </c>
      <c r="K56" s="327" t="str">
        <f t="shared" si="3"/>
        <v/>
      </c>
      <c r="L56" s="279">
        <f t="shared" si="15"/>
        <v>0</v>
      </c>
      <c r="M56" s="279"/>
    </row>
    <row r="57" spans="1:14" x14ac:dyDescent="0.25">
      <c r="A57">
        <v>55</v>
      </c>
      <c r="B57" s="304">
        <f t="shared" si="0"/>
        <v>45219</v>
      </c>
      <c r="C57" s="321">
        <f t="shared" si="4"/>
        <v>0</v>
      </c>
      <c r="D57" s="304">
        <f t="shared" si="1"/>
        <v>0</v>
      </c>
      <c r="E57" s="279" cm="1">
        <f t="array" ref="E57">IF(C57=0,0,
IF(Situation!$C$153=0,0,
IF(OR(C57=12,C57=24,C57=36,C57=48,C57=60,C57=72),$E$1,
IF(AND(C57&gt;=1,C57&lt;=SUM($M$7*12)),0,
IF(AND(I57&lt;=$M$7,TEXT(D57,"aaaa")=TEXT($P$6,"aaaa")),0,
IF(M60=0,SUM((Situation!$D$71:$D$85=MONTH(1&amp;"/"&amp;TEXT(D57,"mmmm")))*(Situation!$E$71:$E$85)),
IF(TEXT(D57,"aaaa")=TEXT($P$6,"aaaa"),SUM((Situation!$D$71:$D$85=MONTH(1&amp;"/"&amp;TEXT(D57,"mmmm")))*(Situation!$E$71:$E$85)),
0)))))))</f>
        <v>0</v>
      </c>
      <c r="F57" s="279">
        <f t="shared" si="5"/>
        <v>0</v>
      </c>
      <c r="G57" s="279" cm="1">
        <f t="array" ref="G57">IFERROR(IF(B57=$P$4,$K$1,
IF(B57=EDATE($B$1,84),0,
IF(COUNTIF($N$9:$N$20,B57),LOOKUP(2,1/($N$9:$N$20=B57),$Q$9:$Q$21)*-1,
IF(C57&lt;&gt;0,$G$1,0)))),0)</f>
        <v>0</v>
      </c>
      <c r="H57" s="279">
        <f t="shared" si="14"/>
        <v>0</v>
      </c>
      <c r="I57" s="305">
        <f t="shared" si="2"/>
        <v>0</v>
      </c>
      <c r="J57" t="str">
        <f>IF(K57&lt;&gt;"",CONCATENATE("Annuité ",COUNT($K$3:K57)),"")</f>
        <v/>
      </c>
      <c r="K57" s="327" t="str">
        <f t="shared" si="3"/>
        <v/>
      </c>
      <c r="L57" s="279">
        <f t="shared" si="15"/>
        <v>0</v>
      </c>
      <c r="M57" s="279"/>
    </row>
    <row r="58" spans="1:14" x14ac:dyDescent="0.25">
      <c r="A58">
        <v>56</v>
      </c>
      <c r="B58" s="304">
        <f t="shared" si="0"/>
        <v>45250</v>
      </c>
      <c r="C58" s="321">
        <f t="shared" si="4"/>
        <v>0</v>
      </c>
      <c r="D58" s="304">
        <f t="shared" si="1"/>
        <v>0</v>
      </c>
      <c r="E58" s="279" cm="1">
        <f t="array" ref="E58">IF(C58=0,0,
IF(Situation!$C$153=0,0,
IF(OR(C58=12,C58=24,C58=36,C58=48,C58=60,C58=72),$E$1,
IF(AND(C58&gt;=1,C58&lt;=SUM($M$7*12)),0,
IF(AND(I58&lt;=$M$7,TEXT(D58,"aaaa")=TEXT($P$6,"aaaa")),0,
IF(M61=0,SUM((Situation!$D$71:$D$85=MONTH(1&amp;"/"&amp;TEXT(D58,"mmmm")))*(Situation!$E$71:$E$85)),
IF(TEXT(D58,"aaaa")=TEXT($P$6,"aaaa"),SUM((Situation!$D$71:$D$85=MONTH(1&amp;"/"&amp;TEXT(D58,"mmmm")))*(Situation!$E$71:$E$85)),
0)))))))</f>
        <v>0</v>
      </c>
      <c r="F58" s="279">
        <f t="shared" si="5"/>
        <v>0</v>
      </c>
      <c r="G58" s="279" cm="1">
        <f t="array" ref="G58">IFERROR(IF(B58=$P$4,$K$1,
IF(B58=EDATE($B$1,84),0,
IF(COUNTIF($N$9:$N$20,B58),LOOKUP(2,1/($N$9:$N$20=B58),$Q$9:$Q$21)*-1,
IF(C58&lt;&gt;0,$G$1,0)))),0)</f>
        <v>0</v>
      </c>
      <c r="H58" s="279">
        <f t="shared" si="14"/>
        <v>0</v>
      </c>
      <c r="I58" s="305">
        <f t="shared" si="2"/>
        <v>0</v>
      </c>
      <c r="J58" t="str">
        <f>IF(K58&lt;&gt;"",CONCATENATE("Annuité ",COUNT($K$3:K58)),"")</f>
        <v/>
      </c>
      <c r="K58" s="327" t="str">
        <f t="shared" si="3"/>
        <v/>
      </c>
      <c r="L58" s="279">
        <f t="shared" si="15"/>
        <v>0</v>
      </c>
      <c r="M58" s="279"/>
    </row>
    <row r="59" spans="1:14" x14ac:dyDescent="0.25">
      <c r="A59">
        <v>57</v>
      </c>
      <c r="B59" s="304">
        <f t="shared" si="0"/>
        <v>45280</v>
      </c>
      <c r="C59" s="321">
        <f t="shared" si="4"/>
        <v>0</v>
      </c>
      <c r="D59" s="304">
        <f t="shared" si="1"/>
        <v>0</v>
      </c>
      <c r="E59" s="279" cm="1">
        <f t="array" ref="E59">IF(C59=0,0,
IF(Situation!$C$153=0,0,
IF(OR(C59=12,C59=24,C59=36,C59=48,C59=60,C59=72),$E$1,
IF(AND(C59&gt;=1,C59&lt;=SUM($M$7*12)),0,
IF(AND(I59&lt;=$M$7,TEXT(D59,"aaaa")=TEXT($P$6,"aaaa")),0,
IF(M62=0,SUM((Situation!$D$71:$D$85=MONTH(1&amp;"/"&amp;TEXT(D59,"mmmm")))*(Situation!$E$71:$E$85)),
IF(TEXT(D59,"aaaa")=TEXT($P$6,"aaaa"),SUM((Situation!$D$71:$D$85=MONTH(1&amp;"/"&amp;TEXT(D59,"mmmm")))*(Situation!$E$71:$E$85)),
0)))))))</f>
        <v>0</v>
      </c>
      <c r="F59" s="279">
        <f t="shared" si="5"/>
        <v>0</v>
      </c>
      <c r="G59" s="279" cm="1">
        <f t="array" ref="G59">IFERROR(IF(B59=$P$4,$K$1,
IF(B59=EDATE($B$1,84),0,
IF(COUNTIF($N$9:$N$20,B59),LOOKUP(2,1/($N$9:$N$20=B59),$Q$9:$Q$21)*-1,
IF(C59&lt;&gt;0,$G$1,0)))),0)</f>
        <v>0</v>
      </c>
      <c r="H59" s="279">
        <f t="shared" si="14"/>
        <v>0</v>
      </c>
      <c r="I59" s="305">
        <f t="shared" si="2"/>
        <v>0</v>
      </c>
      <c r="J59" t="str">
        <f>IF(K59&lt;&gt;"",CONCATENATE("Annuité ",COUNT($K$3:K59)),"")</f>
        <v/>
      </c>
      <c r="K59" s="327" t="str">
        <f t="shared" si="3"/>
        <v/>
      </c>
      <c r="L59" s="279">
        <f t="shared" si="15"/>
        <v>0</v>
      </c>
      <c r="M59" s="279"/>
    </row>
    <row r="60" spans="1:14" x14ac:dyDescent="0.25">
      <c r="A60">
        <v>58</v>
      </c>
      <c r="B60" s="304">
        <f t="shared" si="0"/>
        <v>45311</v>
      </c>
      <c r="C60" s="321">
        <f t="shared" si="4"/>
        <v>0</v>
      </c>
      <c r="D60" s="304">
        <f t="shared" si="1"/>
        <v>0</v>
      </c>
      <c r="E60" s="279" cm="1">
        <f t="array" ref="E60">IF(C60=0,0,
IF(Situation!$C$153=0,0,
IF(OR(C60=12,C60=24,C60=36,C60=48,C60=60,C60=72),$E$1,
IF(AND(C60&gt;=1,C60&lt;=SUM($M$7*12)),0,
IF(AND(I60&lt;=$M$7,TEXT(D60,"aaaa")=TEXT($P$6,"aaaa")),0,
IF(M63=0,SUM((Situation!$D$71:$D$85=MONTH(1&amp;"/"&amp;TEXT(D60,"mmmm")))*(Situation!$E$71:$E$85)),
IF(TEXT(D60,"aaaa")=TEXT($P$6,"aaaa"),SUM((Situation!$D$71:$D$85=MONTH(1&amp;"/"&amp;TEXT(D60,"mmmm")))*(Situation!$E$71:$E$85)),
0)))))))</f>
        <v>0</v>
      </c>
      <c r="F60" s="279">
        <f t="shared" si="5"/>
        <v>0</v>
      </c>
      <c r="G60" s="279" cm="1">
        <f t="array" ref="G60">IFERROR(IF(B60=$P$4,$K$1,
IF(B60=EDATE($B$1,84),0,
IF(COUNTIF($N$9:$N$20,B60),LOOKUP(2,1/($N$9:$N$20=B60),$Q$9:$Q$21)*-1,
IF(C60&lt;&gt;0,$G$1,0)))),0)</f>
        <v>0</v>
      </c>
      <c r="H60" s="279">
        <f t="shared" si="14"/>
        <v>0</v>
      </c>
      <c r="I60" s="305">
        <f t="shared" si="2"/>
        <v>0</v>
      </c>
      <c r="J60" t="str">
        <f>IF(K60&lt;&gt;"",CONCATENATE("Annuité ",COUNT($K$3:K60)),"")</f>
        <v/>
      </c>
      <c r="K60" s="327" t="str">
        <f t="shared" si="3"/>
        <v/>
      </c>
      <c r="L60" s="279">
        <f t="shared" si="15"/>
        <v>0</v>
      </c>
      <c r="M60" s="279"/>
    </row>
    <row r="61" spans="1:14" x14ac:dyDescent="0.25">
      <c r="A61">
        <v>59</v>
      </c>
      <c r="B61" s="304">
        <f t="shared" si="0"/>
        <v>45342</v>
      </c>
      <c r="C61" s="321">
        <f t="shared" si="4"/>
        <v>0</v>
      </c>
      <c r="D61" s="304">
        <f t="shared" si="1"/>
        <v>0</v>
      </c>
      <c r="E61" s="279" cm="1">
        <f t="array" ref="E61">IF(C61=0,0,
IF(Situation!$C$153=0,0,
IF(OR(C61=12,C61=24,C61=36,C61=48,C61=60,C61=72),$E$1,
IF(AND(C61&gt;=1,C61&lt;=SUM($M$7*12)),0,
IF(AND(I61&lt;=$M$7,TEXT(D61,"aaaa")=TEXT($P$6,"aaaa")),0,
IF(M64=0,SUM((Situation!$D$71:$D$85=MONTH(1&amp;"/"&amp;TEXT(D61,"mmmm")))*(Situation!$E$71:$E$85)),
IF(TEXT(D61,"aaaa")=TEXT($P$6,"aaaa"),SUM((Situation!$D$71:$D$85=MONTH(1&amp;"/"&amp;TEXT(D61,"mmmm")))*(Situation!$E$71:$E$85)),
0)))))))</f>
        <v>0</v>
      </c>
      <c r="F61" s="279">
        <f t="shared" si="5"/>
        <v>0</v>
      </c>
      <c r="G61" s="279" cm="1">
        <f t="array" ref="G61">IFERROR(IF(B61=$P$4,$K$1,
IF(B61=EDATE($B$1,84),0,
IF(COUNTIF($N$9:$N$20,B61),LOOKUP(2,1/($N$9:$N$20=B61),$Q$9:$Q$21)*-1,
IF(C61&lt;&gt;0,$G$1,0)))),0)</f>
        <v>0</v>
      </c>
      <c r="H61" s="279">
        <f>IF(L60&lt;SUM(E61+G61),L60,SUM(E61+G61))</f>
        <v>0</v>
      </c>
      <c r="I61" s="305">
        <f t="shared" si="2"/>
        <v>0</v>
      </c>
      <c r="J61" t="str">
        <f>IF(K61&lt;&gt;"",CONCATENATE("Annuité ",COUNT($K$3:K61)),"")</f>
        <v/>
      </c>
      <c r="K61" s="327" t="str">
        <f t="shared" si="3"/>
        <v/>
      </c>
      <c r="L61" s="279">
        <f t="shared" si="15"/>
        <v>0</v>
      </c>
      <c r="M61" s="279"/>
    </row>
    <row r="62" spans="1:14" x14ac:dyDescent="0.25">
      <c r="A62">
        <v>60</v>
      </c>
      <c r="B62" s="304">
        <f t="shared" si="0"/>
        <v>45371</v>
      </c>
      <c r="C62" s="321">
        <f t="shared" si="4"/>
        <v>0</v>
      </c>
      <c r="D62" s="304">
        <f t="shared" si="1"/>
        <v>0</v>
      </c>
      <c r="E62" s="279" cm="1">
        <f t="array" ref="E62">IF(C62=0,0,
IF(Situation!$C$153=0,0,
IF(OR(C62=12,C62=24,C62=36,C62=48,C62=60,C62=72),$E$1,
IF(AND(C62&gt;=1,C62&lt;=SUM($M$7*12)),0,
IF(AND(I62&lt;=$M$7,TEXT(D62,"aaaa")=TEXT($P$6,"aaaa")),0,
IF(M65=0,SUM((Situation!$D$71:$D$85=MONTH(1&amp;"/"&amp;TEXT(D62,"mmmm")))*(Situation!$E$71:$E$85)),
IF(TEXT(D62,"aaaa")=TEXT($P$6,"aaaa"),SUM((Situation!$D$71:$D$85=MONTH(1&amp;"/"&amp;TEXT(D62,"mmmm")))*(Situation!$E$71:$E$85)),
0)))))))</f>
        <v>0</v>
      </c>
      <c r="F62" s="279">
        <f t="shared" si="5"/>
        <v>0</v>
      </c>
      <c r="G62" s="279" cm="1">
        <f t="array" ref="G62">IFERROR(IF(B62=$P$4,$K$1,
IF(B62=EDATE($B$1,84),0,
IF(COUNTIF($N$9:$N$20,B62),LOOKUP(2,1/($N$9:$N$20=B62),$Q$9:$Q$21)*-1,
IF(C62&lt;&gt;0,$G$1,0)))),0)</f>
        <v>0</v>
      </c>
      <c r="H62" s="279">
        <f>IF(L61&lt;SUM(E62+G62),L61,SUM(E62+G62))</f>
        <v>0</v>
      </c>
      <c r="I62" s="305">
        <f t="shared" si="2"/>
        <v>0</v>
      </c>
      <c r="J62" t="str">
        <f>IF(K62&lt;&gt;"",CONCATENATE("Annuité ",COUNT($K$3:K62)),"")</f>
        <v/>
      </c>
      <c r="K62" s="327" t="str">
        <f t="shared" si="3"/>
        <v/>
      </c>
      <c r="L62" s="279">
        <f t="shared" si="15"/>
        <v>0</v>
      </c>
      <c r="M62" s="279"/>
    </row>
    <row r="63" spans="1:14" x14ac:dyDescent="0.25">
      <c r="A63">
        <v>61</v>
      </c>
      <c r="B63" s="304">
        <f t="shared" si="0"/>
        <v>45402</v>
      </c>
      <c r="C63" s="321">
        <f t="shared" si="4"/>
        <v>0</v>
      </c>
      <c r="D63" s="304">
        <f t="shared" si="1"/>
        <v>0</v>
      </c>
      <c r="E63" s="279" cm="1">
        <f t="array" ref="E63">IF(C63=0,0,
IF(Situation!$C$153=0,0,
IF(OR(C63=12,C63=24,C63=36,C63=48,C63=60,C63=72),$E$1,
IF(AND(C63&gt;=1,C63&lt;=SUM($M$7*12)),0,
IF(AND(I63&lt;=$M$7,TEXT(D63,"aaaa")=TEXT($P$6,"aaaa")),0,
IF(M66=0,SUM((Situation!$D$71:$D$85=MONTH(1&amp;"/"&amp;TEXT(D63,"mmmm")))*(Situation!$E$71:$E$85)),
IF(TEXT(D63,"aaaa")=TEXT($P$6,"aaaa"),SUM((Situation!$D$71:$D$85=MONTH(1&amp;"/"&amp;TEXT(D63,"mmmm")))*(Situation!$E$71:$E$85)),
0)))))))</f>
        <v>0</v>
      </c>
      <c r="F63" s="279">
        <f t="shared" si="5"/>
        <v>0</v>
      </c>
      <c r="G63" s="279" cm="1">
        <f t="array" ref="G63">IFERROR(IF(B63=$P$4,$K$1,
IF(B63=EDATE($B$1,84),0,
IF(COUNTIF($N$9:$N$20,B63),LOOKUP(2,1/($N$9:$N$20=B63),$Q$9:$Q$21)*-1,
IF(C63&lt;&gt;0,$G$1,0)))),0)</f>
        <v>0</v>
      </c>
      <c r="H63" s="279">
        <f>IF(L62&lt;SUM(E63+G63),L62,SUM(E63+G63))</f>
        <v>0</v>
      </c>
      <c r="I63" s="305">
        <f t="shared" si="2"/>
        <v>0</v>
      </c>
      <c r="J63" t="str">
        <f>IF(K63&lt;&gt;"",CONCATENATE("Annuité ",COUNT($K$3:K63)),"")</f>
        <v/>
      </c>
      <c r="K63" s="327" t="str">
        <f t="shared" si="3"/>
        <v/>
      </c>
      <c r="L63" s="279">
        <f t="shared" si="15"/>
        <v>0</v>
      </c>
      <c r="M63" s="279"/>
    </row>
    <row r="64" spans="1:14" x14ac:dyDescent="0.25">
      <c r="A64">
        <v>62</v>
      </c>
      <c r="B64" s="304">
        <f t="shared" si="0"/>
        <v>45432</v>
      </c>
      <c r="C64" s="321">
        <f t="shared" si="4"/>
        <v>0</v>
      </c>
      <c r="D64" s="304">
        <f t="shared" si="1"/>
        <v>0</v>
      </c>
      <c r="E64" s="279" cm="1">
        <f t="array" ref="E64">IF(C64=0,0,
IF(Situation!$C$153=0,0,
IF(OR(C64=12,C64=24,C64=36,C64=48,C64=60,C64=72),$E$1,
IF(AND(C64&gt;=1,C64&lt;=SUM($M$7*12)),0,
IF(AND(I64&lt;=$M$7,TEXT(D64,"aaaa")=TEXT($P$6,"aaaa")),0,
IF(M67=0,SUM((Situation!$D$71:$D$85=MONTH(1&amp;"/"&amp;TEXT(D64,"mmmm")))*(Situation!$E$71:$E$85)),
IF(TEXT(D64,"aaaa")=TEXT($P$6,"aaaa"),SUM((Situation!$D$71:$D$85=MONTH(1&amp;"/"&amp;TEXT(D64,"mmmm")))*(Situation!$E$71:$E$85)),
0)))))))</f>
        <v>0</v>
      </c>
      <c r="F64" s="279">
        <f t="shared" si="5"/>
        <v>0</v>
      </c>
      <c r="G64" s="279" cm="1">
        <f t="array" ref="G64">IFERROR(IF(B64=$P$4,$K$1,
IF(B64=EDATE($B$1,84),0,
IF(COUNTIF($N$9:$N$20,B64),LOOKUP(2,1/($N$9:$N$20=B64),$Q$9:$Q$21)*-1,
IF(C64&lt;&gt;0,$G$1,0)))),0)</f>
        <v>0</v>
      </c>
      <c r="H64" s="279">
        <f>IF(L63&lt;SUM(E64+G64),L63,SUM(E64+G64))</f>
        <v>0</v>
      </c>
      <c r="I64" s="305">
        <f t="shared" si="2"/>
        <v>0</v>
      </c>
      <c r="J64" t="str">
        <f>IF(K64&lt;&gt;"",CONCATENATE("Annuité ",COUNT($K$3:K64)),"")</f>
        <v/>
      </c>
      <c r="K64" s="327" t="str">
        <f t="shared" si="3"/>
        <v/>
      </c>
      <c r="L64" s="279">
        <f t="shared" si="15"/>
        <v>0</v>
      </c>
      <c r="M64" s="279"/>
    </row>
    <row r="65" spans="1:13" x14ac:dyDescent="0.25">
      <c r="A65">
        <v>63</v>
      </c>
      <c r="B65" s="304">
        <f t="shared" si="0"/>
        <v>45463</v>
      </c>
      <c r="C65" s="321">
        <f t="shared" si="4"/>
        <v>0</v>
      </c>
      <c r="D65" s="304">
        <f t="shared" si="1"/>
        <v>0</v>
      </c>
      <c r="E65" s="279" cm="1">
        <f t="array" ref="E65">IF(C65=0,0,
IF(Situation!$C$153=0,0,
IF(OR(C65=12,C65=24,C65=36,C65=48,C65=60,C65=72),$E$1,
IF(AND(C65&gt;=1,C65&lt;=SUM($M$7*12)),0,
IF(AND(I65&lt;=$M$7,TEXT(D65,"aaaa")=TEXT($P$6,"aaaa")),0,
IF(M68=0,SUM((Situation!$D$71:$D$85=MONTH(1&amp;"/"&amp;TEXT(D65,"mmmm")))*(Situation!$E$71:$E$85)),
IF(TEXT(D65,"aaaa")=TEXT($P$6,"aaaa"),SUM((Situation!$D$71:$D$85=MONTH(1&amp;"/"&amp;TEXT(D65,"mmmm")))*(Situation!$E$71:$E$85)),
0)))))))</f>
        <v>0</v>
      </c>
      <c r="F65" s="279">
        <f t="shared" si="5"/>
        <v>0</v>
      </c>
      <c r="G65" s="279" cm="1">
        <f t="array" ref="G65">IFERROR(IF(B65=$P$4,$K$1,
IF(B65=EDATE($B$1,84),0,
IF(COUNTIF($N$9:$N$20,B65),LOOKUP(2,1/($N$9:$N$20=B65),$Q$9:$Q$21)*-1,
IF(C65&lt;&gt;0,$G$1,0)))),0)</f>
        <v>0</v>
      </c>
      <c r="H65" s="279">
        <f>IF(L64&lt;SUM(E65+G65),L64,SUM(E65+G65))</f>
        <v>0</v>
      </c>
      <c r="I65" s="305">
        <f t="shared" si="2"/>
        <v>0</v>
      </c>
      <c r="J65" t="str">
        <f>IF(K65&lt;&gt;"",CONCATENATE("Annuité ",COUNT($K$3:K65)),"")</f>
        <v/>
      </c>
      <c r="K65" s="327" t="str">
        <f t="shared" si="3"/>
        <v/>
      </c>
      <c r="L65" s="279">
        <f t="shared" si="15"/>
        <v>0</v>
      </c>
      <c r="M65" s="279"/>
    </row>
    <row r="66" spans="1:13" x14ac:dyDescent="0.25">
      <c r="A66">
        <v>64</v>
      </c>
      <c r="B66" s="304">
        <f t="shared" si="0"/>
        <v>45493</v>
      </c>
      <c r="C66" s="321">
        <f t="shared" si="4"/>
        <v>0</v>
      </c>
      <c r="D66" s="304">
        <f t="shared" si="1"/>
        <v>0</v>
      </c>
      <c r="E66" s="279" cm="1">
        <f t="array" ref="E66">IF(C66=0,0,
IF(Situation!$C$153=0,0,
IF(OR(C66=12,C66=24,C66=36,C66=48,C66=60,C66=72),$E$1,
IF(AND(C66&gt;=1,C66&lt;=SUM($M$7*12)),0,
IF(AND(I66&lt;=$M$7,TEXT(D66,"aaaa")=TEXT($P$6,"aaaa")),0,
IF(M69=0,SUM((Situation!$D$71:$D$85=MONTH(1&amp;"/"&amp;TEXT(D66,"mmmm")))*(Situation!$E$71:$E$85)),
IF(TEXT(D66,"aaaa")=TEXT($P$6,"aaaa"),SUM((Situation!$D$71:$D$85=MONTH(1&amp;"/"&amp;TEXT(D66,"mmmm")))*(Situation!$E$71:$E$85)),
0)))))))</f>
        <v>0</v>
      </c>
      <c r="F66" s="279">
        <f t="shared" si="5"/>
        <v>0</v>
      </c>
      <c r="G66" s="279" cm="1">
        <f t="array" ref="G66">IFERROR(IF(B66=$P$4,$K$1,
IF(B66=EDATE($B$1,84),0,
IF(COUNTIF($N$9:$N$20,B66),LOOKUP(2,1/($N$9:$N$20=B66),$Q$9:$Q$21)*-1,
IF(C66&lt;&gt;0,$G$1,0)))),0)</f>
        <v>0</v>
      </c>
      <c r="H66" s="279">
        <f t="shared" ref="H66:H72" si="16">IF(L65&lt;SUM(E66+G66),L65,SUM(E66+G66))</f>
        <v>0</v>
      </c>
      <c r="I66" s="305">
        <f t="shared" si="2"/>
        <v>0</v>
      </c>
      <c r="J66" t="str">
        <f>IF(K66&lt;&gt;"",CONCATENATE("Annuité ",COUNT($K$3:K66)),"")</f>
        <v/>
      </c>
      <c r="K66" s="327" t="str">
        <f t="shared" si="3"/>
        <v/>
      </c>
      <c r="L66" s="279">
        <f t="shared" si="15"/>
        <v>0</v>
      </c>
      <c r="M66" s="279"/>
    </row>
    <row r="67" spans="1:13" x14ac:dyDescent="0.25">
      <c r="A67">
        <v>65</v>
      </c>
      <c r="B67" s="304">
        <f t="shared" si="0"/>
        <v>45524</v>
      </c>
      <c r="C67" s="321">
        <f t="shared" si="4"/>
        <v>0</v>
      </c>
      <c r="D67" s="304">
        <f t="shared" si="1"/>
        <v>0</v>
      </c>
      <c r="E67" s="279" cm="1">
        <f t="array" ref="E67">IF(C67=0,0,
IF(Situation!$C$153=0,0,
IF(OR(C67=12,C67=24,C67=36,C67=48,C67=60,C67=72),$E$1,
IF(AND(C67&gt;=1,C67&lt;=SUM($M$7*12)),0,
IF(AND(I67&lt;=$M$7,TEXT(D67,"aaaa")=TEXT($P$6,"aaaa")),0,
IF(M70=0,SUM((Situation!$D$71:$D$85=MONTH(1&amp;"/"&amp;TEXT(D67,"mmmm")))*(Situation!$E$71:$E$85)),
IF(TEXT(D67,"aaaa")=TEXT($P$6,"aaaa"),SUM((Situation!$D$71:$D$85=MONTH(1&amp;"/"&amp;TEXT(D67,"mmmm")))*(Situation!$E$71:$E$85)),
0)))))))</f>
        <v>0</v>
      </c>
      <c r="F67" s="279">
        <f t="shared" si="5"/>
        <v>0</v>
      </c>
      <c r="G67" s="279" cm="1">
        <f t="array" ref="G67">IFERROR(IF(B67=$P$4,$K$1,
IF(B67=EDATE($B$1,84),0,
IF(COUNTIF($N$9:$N$20,B67),LOOKUP(2,1/($N$9:$N$20=B67),$Q$9:$Q$21)*-1,
IF(C67&lt;&gt;0,$G$1,0)))),0)</f>
        <v>0</v>
      </c>
      <c r="H67" s="279">
        <f t="shared" si="16"/>
        <v>0</v>
      </c>
      <c r="I67" s="305">
        <f t="shared" si="2"/>
        <v>0</v>
      </c>
      <c r="J67" t="str">
        <f>IF(K67&lt;&gt;"",CONCATENATE("Annuité ",COUNT($K$3:K67)),"")</f>
        <v/>
      </c>
      <c r="K67" s="327" t="str">
        <f t="shared" si="3"/>
        <v/>
      </c>
      <c r="L67" s="279">
        <f t="shared" si="15"/>
        <v>0</v>
      </c>
      <c r="M67" s="279"/>
    </row>
    <row r="68" spans="1:13" x14ac:dyDescent="0.25">
      <c r="A68">
        <v>66</v>
      </c>
      <c r="B68" s="304">
        <f t="shared" ref="B68:B85" si="17">EDATE($B$1,A68)</f>
        <v>45555</v>
      </c>
      <c r="C68" s="321">
        <f t="shared" si="4"/>
        <v>0</v>
      </c>
      <c r="D68" s="304">
        <f t="shared" ref="D68:D86" si="18">IF(C68&lt;&gt;0,B68,0)</f>
        <v>0</v>
      </c>
      <c r="E68" s="279" cm="1">
        <f t="array" ref="E68">IF(C68=0,0,
IF(Situation!$C$153=0,0,
IF(OR(C68=12,C68=24,C68=36,C68=48,C68=60,C68=72),$E$1,
IF(AND(C68&gt;=1,C68&lt;=SUM($M$7*12)),0,
IF(AND(I68&lt;=$M$7,TEXT(D68,"aaaa")=TEXT($P$6,"aaaa")),0,
IF(M71=0,SUM((Situation!$D$71:$D$85=MONTH(1&amp;"/"&amp;TEXT(D68,"mmmm")))*(Situation!$E$71:$E$85)),
IF(TEXT(D68,"aaaa")=TEXT($P$6,"aaaa"),SUM((Situation!$D$71:$D$85=MONTH(1&amp;"/"&amp;TEXT(D68,"mmmm")))*(Situation!$E$71:$E$85)),
0)))))))</f>
        <v>0</v>
      </c>
      <c r="F68" s="279">
        <f t="shared" ref="F68:F86" si="19">IF($D$1=0,0,
IF(D68=$P$6,$F$1,
0))</f>
        <v>0</v>
      </c>
      <c r="G68" s="279" cm="1">
        <f t="array" ref="G68">IFERROR(IF(B68=$P$4,$K$1,
IF(B68=EDATE($B$1,84),0,
IF(COUNTIF($N$9:$N$20,B68),LOOKUP(2,1/($N$9:$N$20=B68),$Q$9:$Q$21)*-1,
IF(C68&lt;&gt;0,$G$1,0)))),0)</f>
        <v>0</v>
      </c>
      <c r="H68" s="279">
        <f t="shared" si="16"/>
        <v>0</v>
      </c>
      <c r="I68" s="305">
        <f t="shared" ref="I68:I86" si="20">IF(B68=$P$4,1,
IF(AND(C68&gt;=1,C68&lt;=12),2,
IF(AND(C68&gt;=13,C68&lt;=24),3,
IF(AND(C68&gt;=25,C68&lt;=36),4,
IF(AND(C68&gt;=37,C68&lt;=48),5,
IF(AND(C68&gt;=49,C68&lt;=60),6,
IF(AND(C68&gt;=61,C68&lt;=72),7,
IF(AND(C68&gt;=73,C68&lt;=84),8,
0))))))))</f>
        <v>0</v>
      </c>
      <c r="J68" t="str">
        <f>IF(K68&lt;&gt;"",CONCATENATE("Annuité ",COUNT($K$3:K68)),"")</f>
        <v/>
      </c>
      <c r="K68" s="327" t="str">
        <f t="shared" ref="K68:K86" si="21">IF(B68=$P$4,$K$1,
IF(C68=0,"",
IF(AND(OR(C68=12,C68=24,C68=36,C68=48,C68=60,C68=72),$M$7&lt;1),$O$8,
IF(OR(C68=12,C68=24,C68=36,C68=48,C68=60,C68=72),$O$7,
IF(B68=$P$6,$O$8,"")))))</f>
        <v/>
      </c>
      <c r="L68" s="279">
        <f t="shared" si="15"/>
        <v>0</v>
      </c>
      <c r="M68" s="279"/>
    </row>
    <row r="69" spans="1:13" x14ac:dyDescent="0.25">
      <c r="A69">
        <v>67</v>
      </c>
      <c r="B69" s="304">
        <f t="shared" si="17"/>
        <v>45585</v>
      </c>
      <c r="C69" s="321">
        <f t="shared" ref="C69:C86" si="22">IF(B69=$P$4,0,
IF(B68=$P$4,1,
IF(C68=0,0,
IF(C68=$O$6,0,
SUM(C68+1)))))</f>
        <v>0</v>
      </c>
      <c r="D69" s="304">
        <f t="shared" si="18"/>
        <v>0</v>
      </c>
      <c r="E69" s="279" cm="1">
        <f t="array" ref="E69">IF(C69=0,0,
IF(Situation!$C$153=0,0,
IF(OR(C69=12,C69=24,C69=36,C69=48,C69=60,C69=72),$E$1,
IF(AND(C69&gt;=1,C69&lt;=SUM($M$7*12)),0,
IF(AND(I69&lt;=$M$7,TEXT(D69,"aaaa")=TEXT($P$6,"aaaa")),0,
IF(M72=0,SUM((Situation!$D$71:$D$85=MONTH(1&amp;"/"&amp;TEXT(D69,"mmmm")))*(Situation!$E$71:$E$85)),
IF(TEXT(D69,"aaaa")=TEXT($P$6,"aaaa"),SUM((Situation!$D$71:$D$85=MONTH(1&amp;"/"&amp;TEXT(D69,"mmmm")))*(Situation!$E$71:$E$85)),
0)))))))</f>
        <v>0</v>
      </c>
      <c r="F69" s="279">
        <f t="shared" si="19"/>
        <v>0</v>
      </c>
      <c r="G69" s="279" cm="1">
        <f t="array" ref="G69">IFERROR(IF(B69=$P$4,$K$1,
IF(B69=EDATE($B$1,84),0,
IF(COUNTIF($N$9:$N$20,B69),LOOKUP(2,1/($N$9:$N$20=B69),$Q$9:$Q$21)*-1,
IF(C69&lt;&gt;0,$G$1,0)))),0)</f>
        <v>0</v>
      </c>
      <c r="H69" s="279">
        <f t="shared" si="16"/>
        <v>0</v>
      </c>
      <c r="I69" s="305">
        <f t="shared" si="20"/>
        <v>0</v>
      </c>
      <c r="J69" t="str">
        <f>IF(K69&lt;&gt;"",CONCATENATE("Annuité ",COUNT($K$3:K69)),"")</f>
        <v/>
      </c>
      <c r="K69" s="327" t="str">
        <f t="shared" si="21"/>
        <v/>
      </c>
      <c r="L69" s="279">
        <f t="shared" si="15"/>
        <v>0</v>
      </c>
      <c r="M69" s="279"/>
    </row>
    <row r="70" spans="1:13" x14ac:dyDescent="0.25">
      <c r="A70">
        <v>68</v>
      </c>
      <c r="B70" s="304">
        <f t="shared" si="17"/>
        <v>45616</v>
      </c>
      <c r="C70" s="321">
        <f t="shared" si="22"/>
        <v>0</v>
      </c>
      <c r="D70" s="304">
        <f t="shared" si="18"/>
        <v>0</v>
      </c>
      <c r="E70" s="279" cm="1">
        <f t="array" ref="E70">IF(C70=0,0,
IF(Situation!$C$153=0,0,
IF(OR(C70=12,C70=24,C70=36,C70=48,C70=60,C70=72),$E$1,
IF(AND(C70&gt;=1,C70&lt;=SUM($M$7*12)),0,
IF(AND(I70&lt;=$M$7,TEXT(D70,"aaaa")=TEXT($P$6,"aaaa")),0,
IF(M73=0,SUM((Situation!$D$71:$D$85=MONTH(1&amp;"/"&amp;TEXT(D70,"mmmm")))*(Situation!$E$71:$E$85)),
IF(TEXT(D70,"aaaa")=TEXT($P$6,"aaaa"),SUM((Situation!$D$71:$D$85=MONTH(1&amp;"/"&amp;TEXT(D70,"mmmm")))*(Situation!$E$71:$E$85)),
0)))))))</f>
        <v>0</v>
      </c>
      <c r="F70" s="279">
        <f t="shared" si="19"/>
        <v>0</v>
      </c>
      <c r="G70" s="279" cm="1">
        <f t="array" ref="G70">IFERROR(IF(B70=$P$4,$K$1,
IF(B70=EDATE($B$1,84),0,
IF(COUNTIF($N$9:$N$20,B70),LOOKUP(2,1/($N$9:$N$20=B70),$Q$9:$Q$21)*-1,
IF(C70&lt;&gt;0,$G$1,0)))),0)</f>
        <v>0</v>
      </c>
      <c r="H70" s="279">
        <f t="shared" si="16"/>
        <v>0</v>
      </c>
      <c r="I70" s="305">
        <f t="shared" si="20"/>
        <v>0</v>
      </c>
      <c r="J70" t="str">
        <f>IF(K70&lt;&gt;"",CONCATENATE("Annuité ",COUNT($K$3:K70)),"")</f>
        <v/>
      </c>
      <c r="K70" s="327" t="str">
        <f t="shared" si="21"/>
        <v/>
      </c>
      <c r="L70" s="279">
        <f t="shared" si="15"/>
        <v>0</v>
      </c>
      <c r="M70" s="279"/>
    </row>
    <row r="71" spans="1:13" x14ac:dyDescent="0.25">
      <c r="A71">
        <v>69</v>
      </c>
      <c r="B71" s="304">
        <f t="shared" si="17"/>
        <v>45646</v>
      </c>
      <c r="C71" s="321">
        <f t="shared" si="22"/>
        <v>0</v>
      </c>
      <c r="D71" s="304">
        <f t="shared" si="18"/>
        <v>0</v>
      </c>
      <c r="E71" s="279" cm="1">
        <f t="array" ref="E71">IF(C71=0,0,
IF(Situation!$C$153=0,0,
IF(OR(C71=12,C71=24,C71=36,C71=48,C71=60,C71=72),$E$1,
IF(AND(C71&gt;=1,C71&lt;=SUM($M$7*12)),0,
IF(AND(I71&lt;=$M$7,TEXT(D71,"aaaa")=TEXT($P$6,"aaaa")),0,
IF(M74=0,SUM((Situation!$D$71:$D$85=MONTH(1&amp;"/"&amp;TEXT(D71,"mmmm")))*(Situation!$E$71:$E$85)),
IF(TEXT(D71,"aaaa")=TEXT($P$6,"aaaa"),SUM((Situation!$D$71:$D$85=MONTH(1&amp;"/"&amp;TEXT(D71,"mmmm")))*(Situation!$E$71:$E$85)),
0)))))))</f>
        <v>0</v>
      </c>
      <c r="F71" s="279">
        <f t="shared" si="19"/>
        <v>0</v>
      </c>
      <c r="G71" s="279" cm="1">
        <f t="array" ref="G71">IFERROR(IF(B71=$P$4,$K$1,
IF(B71=EDATE($B$1,84),0,
IF(COUNTIF($N$9:$N$20,B71),LOOKUP(2,1/($N$9:$N$20=B71),$Q$9:$Q$21)*-1,
IF(C71&lt;&gt;0,$G$1,0)))),0)</f>
        <v>0</v>
      </c>
      <c r="H71" s="279">
        <f t="shared" si="16"/>
        <v>0</v>
      </c>
      <c r="I71" s="305">
        <f t="shared" si="20"/>
        <v>0</v>
      </c>
      <c r="J71" t="str">
        <f>IF(K71&lt;&gt;"",CONCATENATE("Annuité ",COUNT($K$3:K71)),"")</f>
        <v/>
      </c>
      <c r="K71" s="327" t="str">
        <f t="shared" si="21"/>
        <v/>
      </c>
      <c r="L71" s="279">
        <f t="shared" si="15"/>
        <v>0</v>
      </c>
      <c r="M71" s="279"/>
    </row>
    <row r="72" spans="1:13" x14ac:dyDescent="0.25">
      <c r="A72">
        <v>70</v>
      </c>
      <c r="B72" s="304">
        <f t="shared" si="17"/>
        <v>45677</v>
      </c>
      <c r="C72" s="321">
        <f t="shared" si="22"/>
        <v>0</v>
      </c>
      <c r="D72" s="304">
        <f t="shared" si="18"/>
        <v>0</v>
      </c>
      <c r="E72" s="279" cm="1">
        <f t="array" ref="E72">IF(C72=0,0,
IF(Situation!$C$153=0,0,
IF(OR(C72=12,C72=24,C72=36,C72=48,C72=60,C72=72),$E$1,
IF(AND(C72&gt;=1,C72&lt;=SUM($M$7*12)),0,
IF(AND(I72&lt;=$M$7,TEXT(D72,"aaaa")=TEXT($P$6,"aaaa")),0,
IF(M75=0,SUM((Situation!$D$71:$D$85=MONTH(1&amp;"/"&amp;TEXT(D72,"mmmm")))*(Situation!$E$71:$E$85)),
IF(TEXT(D72,"aaaa")=TEXT($P$6,"aaaa"),SUM((Situation!$D$71:$D$85=MONTH(1&amp;"/"&amp;TEXT(D72,"mmmm")))*(Situation!$E$71:$E$85)),
0)))))))</f>
        <v>0</v>
      </c>
      <c r="F72" s="279">
        <f t="shared" si="19"/>
        <v>0</v>
      </c>
      <c r="G72" s="279" cm="1">
        <f t="array" ref="G72">IFERROR(IF(B72=$P$4,$K$1,
IF(B72=EDATE($B$1,84),0,
IF(COUNTIF($N$9:$N$20,B72),LOOKUP(2,1/($N$9:$N$20=B72),$Q$9:$Q$21)*-1,
IF(C72&lt;&gt;0,$G$1,0)))),0)</f>
        <v>0</v>
      </c>
      <c r="H72" s="279">
        <f t="shared" si="16"/>
        <v>0</v>
      </c>
      <c r="I72" s="305">
        <f t="shared" si="20"/>
        <v>0</v>
      </c>
      <c r="J72" t="str">
        <f>IF(K72&lt;&gt;"",CONCATENATE("Annuité ",COUNT($K$3:K72)),"")</f>
        <v/>
      </c>
      <c r="K72" s="327" t="str">
        <f t="shared" si="21"/>
        <v/>
      </c>
      <c r="L72" s="279">
        <f t="shared" si="15"/>
        <v>0</v>
      </c>
      <c r="M72" s="279"/>
    </row>
    <row r="73" spans="1:13" x14ac:dyDescent="0.25">
      <c r="A73">
        <v>71</v>
      </c>
      <c r="B73" s="304">
        <f t="shared" si="17"/>
        <v>45708</v>
      </c>
      <c r="C73" s="321">
        <f t="shared" si="22"/>
        <v>0</v>
      </c>
      <c r="D73" s="304">
        <f t="shared" si="18"/>
        <v>0</v>
      </c>
      <c r="E73" s="279" cm="1">
        <f t="array" ref="E73">IF(C73=0,0,
IF(Situation!$C$153=0,0,
IF(OR(C73=12,C73=24,C73=36,C73=48,C73=60,C73=72),$E$1,
IF(AND(C73&gt;=1,C73&lt;=SUM($M$7*12)),0,
IF(AND(I73&lt;=$M$7,TEXT(D73,"aaaa")=TEXT($P$6,"aaaa")),0,
IF(M76=0,SUM((Situation!$D$71:$D$85=MONTH(1&amp;"/"&amp;TEXT(D73,"mmmm")))*(Situation!$E$71:$E$85)),
IF(TEXT(D73,"aaaa")=TEXT($P$6,"aaaa"),SUM((Situation!$D$71:$D$85=MONTH(1&amp;"/"&amp;TEXT(D73,"mmmm")))*(Situation!$E$71:$E$85)),
0)))))))</f>
        <v>0</v>
      </c>
      <c r="F73" s="279">
        <f t="shared" si="19"/>
        <v>0</v>
      </c>
      <c r="G73" s="279" cm="1">
        <f t="array" ref="G73">IFERROR(IF(B73=$P$4,$K$1,
IF(B73=EDATE($B$1,84),0,
IF(COUNTIF($N$9:$N$20,B73),LOOKUP(2,1/($N$9:$N$20=B73),$Q$9:$Q$21)*-1,
IF(C73&lt;&gt;0,$G$1,0)))),0)</f>
        <v>0</v>
      </c>
      <c r="H73" s="279">
        <f>IF(L72&lt;SUM(E73+G73),L72,SUM(E73+G73))</f>
        <v>0</v>
      </c>
      <c r="I73" s="305">
        <f t="shared" si="20"/>
        <v>0</v>
      </c>
      <c r="J73" t="str">
        <f>IF(K73&lt;&gt;"",CONCATENATE("Annuité ",COUNT($K$3:K73)),"")</f>
        <v/>
      </c>
      <c r="K73" s="327" t="str">
        <f t="shared" si="21"/>
        <v/>
      </c>
      <c r="L73" s="279">
        <f t="shared" si="15"/>
        <v>0</v>
      </c>
      <c r="M73" s="279"/>
    </row>
    <row r="74" spans="1:13" x14ac:dyDescent="0.25">
      <c r="A74">
        <v>72</v>
      </c>
      <c r="B74" s="304">
        <f t="shared" si="17"/>
        <v>45736</v>
      </c>
      <c r="C74" s="321">
        <f t="shared" si="22"/>
        <v>0</v>
      </c>
      <c r="D74" s="304">
        <f t="shared" si="18"/>
        <v>0</v>
      </c>
      <c r="E74" s="279" cm="1">
        <f t="array" ref="E74">IF(C74=0,0,
IF(Situation!$C$153=0,0,
IF(OR(C74=12,C74=24,C74=36,C74=48,C74=60,C74=72),$E$1,
IF(AND(C74&gt;=1,C74&lt;=SUM($M$7*12)),0,
IF(AND(I74&lt;=$M$7,TEXT(D74,"aaaa")=TEXT($P$6,"aaaa")),0,
IF(M77=0,SUM((Situation!$D$71:$D$85=MONTH(1&amp;"/"&amp;TEXT(D74,"mmmm")))*(Situation!$E$71:$E$85)),
IF(TEXT(D74,"aaaa")=TEXT($P$6,"aaaa"),SUM((Situation!$D$71:$D$85=MONTH(1&amp;"/"&amp;TEXT(D74,"mmmm")))*(Situation!$E$71:$E$85)),
0)))))))</f>
        <v>0</v>
      </c>
      <c r="F74" s="279">
        <f t="shared" si="19"/>
        <v>0</v>
      </c>
      <c r="G74" s="279" cm="1">
        <f t="array" ref="G74">IFERROR(IF(B74=$P$4,$K$1,
IF(B74=EDATE($B$1,84),0,
IF(COUNTIF($N$9:$N$20,B74),LOOKUP(2,1/($N$9:$N$20=B74),$Q$9:$Q$21)*-1,
IF(C74&lt;&gt;0,$G$1,0)))),0)</f>
        <v>0</v>
      </c>
      <c r="H74" s="279">
        <f>IF(L73&lt;SUM(E74+G74),L73,SUM(E74+G74))</f>
        <v>0</v>
      </c>
      <c r="I74" s="305">
        <f t="shared" si="20"/>
        <v>0</v>
      </c>
      <c r="J74" t="str">
        <f>IF(K74&lt;&gt;"",CONCATENATE("Annuité ",COUNT($K$3:K74)),"")</f>
        <v/>
      </c>
      <c r="K74" s="327" t="str">
        <f t="shared" si="21"/>
        <v/>
      </c>
      <c r="L74" s="279">
        <f t="shared" si="15"/>
        <v>0</v>
      </c>
      <c r="M74" s="279"/>
    </row>
    <row r="75" spans="1:13" x14ac:dyDescent="0.25">
      <c r="A75">
        <v>73</v>
      </c>
      <c r="B75" s="304">
        <f t="shared" si="17"/>
        <v>45767</v>
      </c>
      <c r="C75" s="321">
        <f t="shared" si="22"/>
        <v>0</v>
      </c>
      <c r="D75" s="304">
        <f t="shared" si="18"/>
        <v>0</v>
      </c>
      <c r="E75" s="279" cm="1">
        <f t="array" ref="E75">IF(C75=0,0,
IF(Situation!$C$153=0,0,
IF(OR(C75=12,C75=24,C75=36,C75=48,C75=60,C75=72),$E$1,
IF(AND(C75&gt;=1,C75&lt;=SUM($M$7*12)),0,
IF(AND(I75&lt;=$M$7,TEXT(D75,"aaaa")=TEXT($P$6,"aaaa")),0,
IF(M78=0,SUM((Situation!$D$71:$D$85=MONTH(1&amp;"/"&amp;TEXT(D75,"mmmm")))*(Situation!$E$71:$E$85)),
IF(TEXT(D75,"aaaa")=TEXT($P$6,"aaaa"),SUM((Situation!$D$71:$D$85=MONTH(1&amp;"/"&amp;TEXT(D75,"mmmm")))*(Situation!$E$71:$E$85)),
0)))))))</f>
        <v>0</v>
      </c>
      <c r="F75" s="279">
        <f t="shared" si="19"/>
        <v>0</v>
      </c>
      <c r="G75" s="279" cm="1">
        <f t="array" ref="G75">IFERROR(IF(B75=$P$4,$K$1,
IF(B75=EDATE($B$1,84),0,
IF(COUNTIF($N$9:$N$20,B75),LOOKUP(2,1/($N$9:$N$20=B75),$Q$9:$Q$21)*-1,
IF(C75&lt;&gt;0,$G$1,0)))),0)</f>
        <v>0</v>
      </c>
      <c r="H75" s="279">
        <f t="shared" ref="H75:H86" si="23">IF(L74&lt;SUM(E75+G75),L74,SUM(E75+G75))</f>
        <v>0</v>
      </c>
      <c r="I75" s="305">
        <f t="shared" si="20"/>
        <v>0</v>
      </c>
      <c r="J75" t="str">
        <f>IF(K75&lt;&gt;"",CONCATENATE("Annuité ",COUNT($K$3:K75)),"")</f>
        <v/>
      </c>
      <c r="K75" s="327" t="str">
        <f t="shared" si="21"/>
        <v/>
      </c>
      <c r="L75" s="279">
        <f t="shared" si="15"/>
        <v>0</v>
      </c>
      <c r="M75" s="279"/>
    </row>
    <row r="76" spans="1:13" x14ac:dyDescent="0.25">
      <c r="A76">
        <v>74</v>
      </c>
      <c r="B76" s="304">
        <f t="shared" si="17"/>
        <v>45797</v>
      </c>
      <c r="C76" s="321">
        <f t="shared" si="22"/>
        <v>0</v>
      </c>
      <c r="D76" s="304">
        <f t="shared" si="18"/>
        <v>0</v>
      </c>
      <c r="E76" s="279" cm="1">
        <f t="array" ref="E76">IF(C76=0,0,
IF(Situation!$C$153=0,0,
IF(OR(C76=12,C76=24,C76=36,C76=48,C76=60,C76=72),$E$1,
IF(AND(C76&gt;=1,C76&lt;=SUM($M$7*12)),0,
IF(AND(I76&lt;=$M$7,TEXT(D76,"aaaa")=TEXT($P$6,"aaaa")),0,
IF(M79=0,SUM((Situation!$D$71:$D$85=MONTH(1&amp;"/"&amp;TEXT(D76,"mmmm")))*(Situation!$E$71:$E$85)),
IF(TEXT(D76,"aaaa")=TEXT($P$6,"aaaa"),SUM((Situation!$D$71:$D$85=MONTH(1&amp;"/"&amp;TEXT(D76,"mmmm")))*(Situation!$E$71:$E$85)),
0)))))))</f>
        <v>0</v>
      </c>
      <c r="F76" s="279">
        <f t="shared" si="19"/>
        <v>0</v>
      </c>
      <c r="G76" s="279" cm="1">
        <f t="array" ref="G76">IFERROR(IF(B76=$P$4,$K$1,
IF(B76=EDATE($B$1,84),0,
IF(COUNTIF($N$9:$N$20,B76),LOOKUP(2,1/($N$9:$N$20=B76),$Q$9:$Q$21)*-1,
IF(C76&lt;&gt;0,$G$1,0)))),0)</f>
        <v>0</v>
      </c>
      <c r="H76" s="279">
        <f t="shared" si="23"/>
        <v>0</v>
      </c>
      <c r="I76" s="305">
        <f t="shared" si="20"/>
        <v>0</v>
      </c>
      <c r="J76" t="str">
        <f>IF(K76&lt;&gt;"",CONCATENATE("Annuité ",COUNT($K$3:K76)),"")</f>
        <v/>
      </c>
      <c r="K76" s="327" t="str">
        <f t="shared" si="21"/>
        <v/>
      </c>
      <c r="L76" s="279">
        <f t="shared" si="15"/>
        <v>0</v>
      </c>
      <c r="M76" s="279"/>
    </row>
    <row r="77" spans="1:13" x14ac:dyDescent="0.25">
      <c r="A77">
        <v>75</v>
      </c>
      <c r="B77" s="304">
        <f t="shared" si="17"/>
        <v>45828</v>
      </c>
      <c r="C77" s="321">
        <f t="shared" si="22"/>
        <v>0</v>
      </c>
      <c r="D77" s="304">
        <f t="shared" si="18"/>
        <v>0</v>
      </c>
      <c r="E77" s="279" cm="1">
        <f t="array" ref="E77">IF(C77=0,0,
IF(Situation!$C$153=0,0,
IF(OR(C77=12,C77=24,C77=36,C77=48,C77=60,C77=72),$E$1,
IF(AND(C77&gt;=1,C77&lt;=SUM($M$7*12)),0,
IF(AND(I77&lt;=$M$7,TEXT(D77,"aaaa")=TEXT($P$6,"aaaa")),0,
IF(M80=0,SUM((Situation!$D$71:$D$85=MONTH(1&amp;"/"&amp;TEXT(D77,"mmmm")))*(Situation!$E$71:$E$85)),
IF(TEXT(D77,"aaaa")=TEXT($P$6,"aaaa"),SUM((Situation!$D$71:$D$85=MONTH(1&amp;"/"&amp;TEXT(D77,"mmmm")))*(Situation!$E$71:$E$85)),
0)))))))</f>
        <v>0</v>
      </c>
      <c r="F77" s="279">
        <f t="shared" si="19"/>
        <v>0</v>
      </c>
      <c r="G77" s="279" cm="1">
        <f t="array" ref="G77">IFERROR(IF(B77=$P$4,$K$1,
IF(B77=EDATE($B$1,84),0,
IF(COUNTIF($N$9:$N$20,B77),LOOKUP(2,1/($N$9:$N$20=B77),$Q$9:$Q$21)*-1,
IF(C77&lt;&gt;0,$G$1,0)))),0)</f>
        <v>0</v>
      </c>
      <c r="H77" s="279">
        <f t="shared" si="23"/>
        <v>0</v>
      </c>
      <c r="I77" s="305">
        <f t="shared" si="20"/>
        <v>0</v>
      </c>
      <c r="J77" t="str">
        <f>IF(K77&lt;&gt;"",CONCATENATE("Annuité ",COUNT($K$3:K77)),"")</f>
        <v/>
      </c>
      <c r="K77" s="327" t="str">
        <f t="shared" si="21"/>
        <v/>
      </c>
      <c r="L77" s="279">
        <f>SUM(L76-H77)</f>
        <v>0</v>
      </c>
      <c r="M77" s="279"/>
    </row>
    <row r="78" spans="1:13" x14ac:dyDescent="0.25">
      <c r="A78">
        <v>76</v>
      </c>
      <c r="B78" s="304">
        <f t="shared" si="17"/>
        <v>45858</v>
      </c>
      <c r="C78" s="321">
        <f t="shared" si="22"/>
        <v>0</v>
      </c>
      <c r="D78" s="304">
        <f t="shared" si="18"/>
        <v>0</v>
      </c>
      <c r="E78" s="279" cm="1">
        <f t="array" ref="E78">IF(C78=0,0,
IF(Situation!$C$153=0,0,
IF(OR(C78=12,C78=24,C78=36,C78=48,C78=60,C78=72),$E$1,
IF(AND(C78&gt;=1,C78&lt;=SUM($M$7*12)),0,
IF(AND(I78&lt;=$M$7,TEXT(D78,"aaaa")=TEXT($P$6,"aaaa")),0,
IF(M81=0,SUM((Situation!$D$71:$D$85=MONTH(1&amp;"/"&amp;TEXT(D78,"mmmm")))*(Situation!$E$71:$E$85)),
IF(TEXT(D78,"aaaa")=TEXT($P$6,"aaaa"),SUM((Situation!$D$71:$D$85=MONTH(1&amp;"/"&amp;TEXT(D78,"mmmm")))*(Situation!$E$71:$E$85)),
0)))))))</f>
        <v>0</v>
      </c>
      <c r="F78" s="279">
        <f t="shared" si="19"/>
        <v>0</v>
      </c>
      <c r="G78" s="279" cm="1">
        <f t="array" ref="G78">IFERROR(IF(B78=$P$4,$K$1,
IF(B78=EDATE($B$1,84),0,
IF(COUNTIF($N$9:$N$20,B78),LOOKUP(2,1/($N$9:$N$20=B78),$Q$9:$Q$21)*-1,
IF(C78&lt;&gt;0,$G$1,0)))),0)</f>
        <v>0</v>
      </c>
      <c r="H78" s="279">
        <f>IF(L77&lt;SUM(E78+G78),L77,SUM(E78+G78))</f>
        <v>0</v>
      </c>
      <c r="I78" s="305">
        <f t="shared" si="20"/>
        <v>0</v>
      </c>
      <c r="J78" t="str">
        <f>IF(K78&lt;&gt;"",CONCATENATE("Annuité ",COUNT($K$3:K78)),"")</f>
        <v/>
      </c>
      <c r="K78" s="327" t="str">
        <f t="shared" si="21"/>
        <v/>
      </c>
      <c r="L78" s="279">
        <f>SUM(L77-H78)</f>
        <v>0</v>
      </c>
      <c r="M78" s="279"/>
    </row>
    <row r="79" spans="1:13" x14ac:dyDescent="0.25">
      <c r="A79">
        <v>77</v>
      </c>
      <c r="B79" s="304">
        <f t="shared" si="17"/>
        <v>45889</v>
      </c>
      <c r="C79" s="321">
        <f t="shared" si="22"/>
        <v>0</v>
      </c>
      <c r="D79" s="304">
        <f t="shared" si="18"/>
        <v>0</v>
      </c>
      <c r="E79" s="279" cm="1">
        <f t="array" ref="E79">IF(C79=0,0,
IF(Situation!$C$153=0,0,
IF(OR(C79=12,C79=24,C79=36,C79=48,C79=60,C79=72),$E$1,
IF(AND(C79&gt;=1,C79&lt;=SUM($M$7*12)),0,
IF(AND(I79&lt;=$M$7,TEXT(D79,"aaaa")=TEXT($P$6,"aaaa")),0,
IF(M82=0,SUM((Situation!$D$71:$D$85=MONTH(1&amp;"/"&amp;TEXT(D79,"mmmm")))*(Situation!$E$71:$E$85)),
IF(TEXT(D79,"aaaa")=TEXT($P$6,"aaaa"),SUM((Situation!$D$71:$D$85=MONTH(1&amp;"/"&amp;TEXT(D79,"mmmm")))*(Situation!$E$71:$E$85)),
0)))))))</f>
        <v>0</v>
      </c>
      <c r="F79" s="279">
        <f t="shared" si="19"/>
        <v>0</v>
      </c>
      <c r="G79" s="279" cm="1">
        <f t="array" ref="G79">IFERROR(IF(B79=$P$4,$K$1,
IF(B79=EDATE($B$1,84),0,
IF(COUNTIF($N$9:$N$20,B79),LOOKUP(2,1/($N$9:$N$20=B79),$Q$9:$Q$21)*-1,
IF(C79&lt;&gt;0,$G$1,0)))),0)</f>
        <v>0</v>
      </c>
      <c r="H79" s="279">
        <f t="shared" si="23"/>
        <v>0</v>
      </c>
      <c r="I79" s="305">
        <f t="shared" si="20"/>
        <v>0</v>
      </c>
      <c r="J79" t="str">
        <f>IF(K79&lt;&gt;"",CONCATENATE("Annuité ",COUNT($K$3:K79)),"")</f>
        <v/>
      </c>
      <c r="K79" s="327" t="str">
        <f t="shared" si="21"/>
        <v/>
      </c>
      <c r="L79" s="279">
        <f>SUM(L78-H79)</f>
        <v>0</v>
      </c>
      <c r="M79" s="279"/>
    </row>
    <row r="80" spans="1:13" x14ac:dyDescent="0.25">
      <c r="A80">
        <v>78</v>
      </c>
      <c r="B80" s="304">
        <f t="shared" si="17"/>
        <v>45920</v>
      </c>
      <c r="C80" s="321">
        <f t="shared" si="22"/>
        <v>0</v>
      </c>
      <c r="D80" s="304">
        <f t="shared" si="18"/>
        <v>0</v>
      </c>
      <c r="E80" s="279" cm="1">
        <f t="array" ref="E80">IF(C80=0,0,
IF(Situation!$C$153=0,0,
IF(OR(C80=12,C80=24,C80=36,C80=48,C80=60,C80=72),$E$1,
IF(AND(C80&gt;=1,C80&lt;=SUM($M$7*12)),0,
IF(AND(I80&lt;=$M$7,TEXT(D80,"aaaa")=TEXT($P$6,"aaaa")),0,
IF(M83=0,SUM((Situation!$D$71:$D$85=MONTH(1&amp;"/"&amp;TEXT(D80,"mmmm")))*(Situation!$E$71:$E$85)),
IF(TEXT(D80,"aaaa")=TEXT($P$6,"aaaa"),SUM((Situation!$D$71:$D$85=MONTH(1&amp;"/"&amp;TEXT(D80,"mmmm")))*(Situation!$E$71:$E$85)),
0)))))))</f>
        <v>0</v>
      </c>
      <c r="F80" s="279">
        <f t="shared" si="19"/>
        <v>0</v>
      </c>
      <c r="G80" s="279" cm="1">
        <f t="array" ref="G80">IFERROR(IF(B80=$P$4,$K$1,
IF(B80=EDATE($B$1,84),0,
IF(COUNTIF($N$9:$N$20,B80),LOOKUP(2,1/($N$9:$N$20=B80),$Q$9:$Q$21)*-1,
IF(C80&lt;&gt;0,$G$1,0)))),0)</f>
        <v>0</v>
      </c>
      <c r="H80" s="279">
        <f t="shared" si="23"/>
        <v>0</v>
      </c>
      <c r="I80" s="305">
        <f t="shared" si="20"/>
        <v>0</v>
      </c>
      <c r="J80" t="str">
        <f>IF(K80&lt;&gt;"",CONCATENATE("Annuité ",COUNT($K$3:K80)),"")</f>
        <v/>
      </c>
      <c r="K80" s="327" t="str">
        <f t="shared" si="21"/>
        <v/>
      </c>
      <c r="L80" s="279">
        <f t="shared" ref="L80:L85" si="24">SUM(L79-H80)</f>
        <v>0</v>
      </c>
      <c r="M80" s="279"/>
    </row>
    <row r="81" spans="1:15" x14ac:dyDescent="0.25">
      <c r="A81">
        <v>79</v>
      </c>
      <c r="B81" s="304">
        <f t="shared" si="17"/>
        <v>45950</v>
      </c>
      <c r="C81" s="321">
        <f t="shared" si="22"/>
        <v>0</v>
      </c>
      <c r="D81" s="304">
        <f t="shared" si="18"/>
        <v>0</v>
      </c>
      <c r="E81" s="279" cm="1">
        <f t="array" ref="E81">IF(C81=0,0,
IF(Situation!$C$153=0,0,
IF(OR(C81=12,C81=24,C81=36,C81=48,C81=60,C81=72),$E$1,
IF(AND(C81&gt;=1,C81&lt;=SUM($M$7*12)),0,
IF(AND(I81&lt;=$M$7,TEXT(D81,"aaaa")=TEXT($P$6,"aaaa")),0,
IF(M84=0,SUM((Situation!$D$71:$D$85=MONTH(1&amp;"/"&amp;TEXT(D81,"mmmm")))*(Situation!$E$71:$E$85)),
IF(TEXT(D81,"aaaa")=TEXT($P$6,"aaaa"),SUM((Situation!$D$71:$D$85=MONTH(1&amp;"/"&amp;TEXT(D81,"mmmm")))*(Situation!$E$71:$E$85)),
0)))))))</f>
        <v>0</v>
      </c>
      <c r="F81" s="279">
        <f t="shared" si="19"/>
        <v>0</v>
      </c>
      <c r="G81" s="279" cm="1">
        <f t="array" ref="G81">IFERROR(IF(B81=$P$4,$K$1,
IF(B81=EDATE($B$1,84),0,
IF(COUNTIF($N$9:$N$20,B81),LOOKUP(2,1/($N$9:$N$20=B81),$Q$9:$Q$21)*-1,
IF(C81&lt;&gt;0,$G$1,0)))),0)</f>
        <v>0</v>
      </c>
      <c r="H81" s="279">
        <f t="shared" si="23"/>
        <v>0</v>
      </c>
      <c r="I81" s="305">
        <f t="shared" si="20"/>
        <v>0</v>
      </c>
      <c r="J81" t="str">
        <f>IF(K81&lt;&gt;"",CONCATENATE("Annuité ",COUNT($K$3:K81)),"")</f>
        <v/>
      </c>
      <c r="K81" s="327" t="str">
        <f t="shared" si="21"/>
        <v/>
      </c>
      <c r="L81" s="279">
        <f t="shared" si="24"/>
        <v>0</v>
      </c>
      <c r="M81" s="279"/>
      <c r="O81" s="279"/>
    </row>
    <row r="82" spans="1:15" x14ac:dyDescent="0.25">
      <c r="A82">
        <v>80</v>
      </c>
      <c r="B82" s="304">
        <f t="shared" si="17"/>
        <v>45981</v>
      </c>
      <c r="C82" s="321">
        <f t="shared" si="22"/>
        <v>0</v>
      </c>
      <c r="D82" s="304">
        <f t="shared" si="18"/>
        <v>0</v>
      </c>
      <c r="E82" s="279" cm="1">
        <f t="array" ref="E82">IF(C82=0,0,
IF(Situation!$C$153=0,0,
IF(OR(C82=12,C82=24,C82=36,C82=48,C82=60,C82=72),$E$1,
IF(AND(C82&gt;=1,C82&lt;=SUM($M$7*12)),0,
IF(AND(I82&lt;=$M$7,TEXT(D82,"aaaa")=TEXT($P$6,"aaaa")),0,
IF(M85=0,SUM((Situation!$D$71:$D$85=MONTH(1&amp;"/"&amp;TEXT(D82,"mmmm")))*(Situation!$E$71:$E$85)),
IF(TEXT(D82,"aaaa")=TEXT($P$6,"aaaa"),SUM((Situation!$D$71:$D$85=MONTH(1&amp;"/"&amp;TEXT(D82,"mmmm")))*(Situation!$E$71:$E$85)),
0)))))))</f>
        <v>0</v>
      </c>
      <c r="F82" s="279">
        <f t="shared" si="19"/>
        <v>0</v>
      </c>
      <c r="G82" s="279" cm="1">
        <f t="array" ref="G82">IFERROR(IF(B82=$P$4,$K$1,
IF(B82=EDATE($B$1,84),0,
IF(COUNTIF($N$9:$N$20,B82),LOOKUP(2,1/($N$9:$N$20=B82),$Q$9:$Q$21)*-1,
IF(C82&lt;&gt;0,$G$1,0)))),0)</f>
        <v>0</v>
      </c>
      <c r="H82" s="279">
        <f t="shared" si="23"/>
        <v>0</v>
      </c>
      <c r="I82" s="305">
        <f t="shared" si="20"/>
        <v>0</v>
      </c>
      <c r="J82" t="str">
        <f>IF(K82&lt;&gt;"",CONCATENATE("Annuité ",COUNT($K$3:K82)),"")</f>
        <v/>
      </c>
      <c r="K82" s="327" t="str">
        <f t="shared" si="21"/>
        <v/>
      </c>
      <c r="L82" s="279">
        <f t="shared" si="24"/>
        <v>0</v>
      </c>
      <c r="M82" s="279"/>
    </row>
    <row r="83" spans="1:15" x14ac:dyDescent="0.25">
      <c r="A83">
        <v>81</v>
      </c>
      <c r="B83" s="304">
        <f t="shared" si="17"/>
        <v>46011</v>
      </c>
      <c r="C83" s="321">
        <f t="shared" si="22"/>
        <v>0</v>
      </c>
      <c r="D83" s="304">
        <f t="shared" si="18"/>
        <v>0</v>
      </c>
      <c r="E83" s="279" cm="1">
        <f t="array" ref="E83">IF(C83=0,0,
IF(Situation!$C$153=0,0,
IF(OR(C83=12,C83=24,C83=36,C83=48,C83=60,C83=72),$E$1,
IF(AND(C83&gt;=1,C83&lt;=SUM($M$7*12)),0,
IF(AND(I83&lt;=$M$7,TEXT(D83,"aaaa")=TEXT($P$6,"aaaa")),0,
IF(M86=0,SUM((Situation!$D$71:$D$85=MONTH(1&amp;"/"&amp;TEXT(D83,"mmmm")))*(Situation!$E$71:$E$85)),
IF(TEXT(D83,"aaaa")=TEXT($P$6,"aaaa"),SUM((Situation!$D$71:$D$85=MONTH(1&amp;"/"&amp;TEXT(D83,"mmmm")))*(Situation!$E$71:$E$85)),
0)))))))</f>
        <v>0</v>
      </c>
      <c r="F83" s="279">
        <f t="shared" si="19"/>
        <v>0</v>
      </c>
      <c r="G83" s="279" cm="1">
        <f t="array" ref="G83">IFERROR(IF(B83=$P$4,$K$1,
IF(B83=EDATE($B$1,84),0,
IF(COUNTIF($N$9:$N$20,B83),LOOKUP(2,1/($N$9:$N$20=B83),$Q$9:$Q$21)*-1,
IF(C83&lt;&gt;0,$G$1,0)))),0)</f>
        <v>0</v>
      </c>
      <c r="H83" s="279">
        <f t="shared" si="23"/>
        <v>0</v>
      </c>
      <c r="I83" s="305">
        <f t="shared" si="20"/>
        <v>0</v>
      </c>
      <c r="J83" t="str">
        <f>IF(K83&lt;&gt;"",CONCATENATE("Annuité ",COUNT($K$3:K83)),"")</f>
        <v/>
      </c>
      <c r="K83" s="327" t="str">
        <f t="shared" si="21"/>
        <v/>
      </c>
      <c r="L83" s="279">
        <f t="shared" si="24"/>
        <v>0</v>
      </c>
      <c r="M83" s="279"/>
    </row>
    <row r="84" spans="1:15" x14ac:dyDescent="0.25">
      <c r="A84">
        <v>82</v>
      </c>
      <c r="B84" s="304">
        <f t="shared" si="17"/>
        <v>46042</v>
      </c>
      <c r="C84" s="321">
        <f t="shared" si="22"/>
        <v>0</v>
      </c>
      <c r="D84" s="304">
        <f t="shared" si="18"/>
        <v>0</v>
      </c>
      <c r="E84" s="279" cm="1">
        <f t="array" ref="E84">IF(C84=0,0,
IF(Situation!$C$153=0,0,
IF(OR(C84=12,C84=24,C84=36,C84=48,C84=60,C84=72),$E$1,
IF(AND(C84&gt;=1,C84&lt;=SUM($M$7*12)),0,
IF(AND(I84&lt;=$M$7,TEXT(D84,"aaaa")=TEXT($P$6,"aaaa")),0,
IF(M87=0,SUM((Situation!$D$71:$D$85=MONTH(1&amp;"/"&amp;TEXT(D84,"mmmm")))*(Situation!$E$71:$E$85)),
IF(TEXT(D84,"aaaa")=TEXT($P$6,"aaaa"),SUM((Situation!$D$71:$D$85=MONTH(1&amp;"/"&amp;TEXT(D84,"mmmm")))*(Situation!$E$71:$E$85)),
0)))))))</f>
        <v>0</v>
      </c>
      <c r="F84" s="279">
        <f t="shared" si="19"/>
        <v>0</v>
      </c>
      <c r="G84" s="279" cm="1">
        <f t="array" ref="G84">IFERROR(IF(B84=$P$4,$K$1,
IF(B84=EDATE($B$1,84),0,
IF(COUNTIF($N$9:$N$20,B84),LOOKUP(2,1/($N$9:$N$20=B84),$Q$9:$Q$21)*-1,
IF(C84&lt;&gt;0,$G$1,0)))),0)</f>
        <v>0</v>
      </c>
      <c r="H84" s="279">
        <f t="shared" si="23"/>
        <v>0</v>
      </c>
      <c r="I84" s="305">
        <f t="shared" si="20"/>
        <v>0</v>
      </c>
      <c r="J84" t="str">
        <f>IF(K84&lt;&gt;"",CONCATENATE("Annuité ",COUNT($K$3:K84)),"")</f>
        <v/>
      </c>
      <c r="K84" s="327" t="str">
        <f t="shared" si="21"/>
        <v/>
      </c>
      <c r="L84" s="279">
        <f t="shared" si="24"/>
        <v>0</v>
      </c>
      <c r="M84" s="279"/>
    </row>
    <row r="85" spans="1:15" x14ac:dyDescent="0.25">
      <c r="A85">
        <v>83</v>
      </c>
      <c r="B85" s="304">
        <f t="shared" si="17"/>
        <v>46073</v>
      </c>
      <c r="C85" s="321">
        <f t="shared" si="22"/>
        <v>0</v>
      </c>
      <c r="D85" s="304">
        <f t="shared" si="18"/>
        <v>0</v>
      </c>
      <c r="E85" s="279" cm="1">
        <f t="array" ref="E85">IF(C85=0,0,
IF(Situation!$C$153=0,0,
IF(OR(C85=12,C85=24,C85=36,C85=48,C85=60,C85=72),$E$1,
IF(AND(C85&gt;=1,C85&lt;=SUM($M$7*12)),0,
IF(AND(I85&lt;=$M$7,TEXT(D85,"aaaa")=TEXT($P$6,"aaaa")),0,
IF(M88=0,SUM((Situation!$D$71:$D$85=MONTH(1&amp;"/"&amp;TEXT(D85,"mmmm")))*(Situation!$E$71:$E$85)),
IF(TEXT(D85,"aaaa")=TEXT($P$6,"aaaa"),SUM((Situation!$D$71:$D$85=MONTH(1&amp;"/"&amp;TEXT(D85,"mmmm")))*(Situation!$E$71:$E$85)),
0)))))))</f>
        <v>0</v>
      </c>
      <c r="F85" s="279">
        <f t="shared" si="19"/>
        <v>0</v>
      </c>
      <c r="G85" s="279" cm="1">
        <f t="array" ref="G85">IFERROR(IF(B85=$P$4,$K$1,
IF(B85=EDATE($B$1,84),0,
IF(COUNTIF($N$9:$N$20,B85),LOOKUP(2,1/($N$9:$N$20=B85),$Q$9:$Q$21)*-1,
IF(C85&lt;&gt;0,$G$1,0)))),0)</f>
        <v>0</v>
      </c>
      <c r="H85" s="279">
        <f t="shared" si="23"/>
        <v>0</v>
      </c>
      <c r="I85" s="305">
        <f t="shared" si="20"/>
        <v>0</v>
      </c>
      <c r="J85" t="str">
        <f>IF(K85&lt;&gt;"",CONCATENATE("Annuité ",COUNT($K$3:K85)),"")</f>
        <v/>
      </c>
      <c r="K85" s="327" t="str">
        <f t="shared" si="21"/>
        <v/>
      </c>
      <c r="L85" s="279">
        <f t="shared" si="24"/>
        <v>0</v>
      </c>
      <c r="M85" s="279"/>
    </row>
    <row r="86" spans="1:15" x14ac:dyDescent="0.25">
      <c r="A86">
        <v>84</v>
      </c>
      <c r="B86" s="304">
        <f>EDATE($B$1,A86)</f>
        <v>46101</v>
      </c>
      <c r="C86" s="321">
        <f t="shared" si="22"/>
        <v>0</v>
      </c>
      <c r="D86" s="304">
        <f t="shared" si="18"/>
        <v>0</v>
      </c>
      <c r="E86" s="279" cm="1">
        <f t="array" ref="E86">IF(C86=0,0,
IF(Situation!$C$153=0,0,
IF(OR(C86=12,C86=24,C86=36,C86=48,C86=60,C86=72),$E$1,
IF(AND(C86&gt;=1,C86&lt;=SUM($M$7*12)),0,
IF(AND(I86&lt;=$M$7,TEXT(D86,"aaaa")=TEXT($P$6,"aaaa")),0,
IF(M89=0,SUM((Situation!$D$71:$D$85=MONTH(1&amp;"/"&amp;TEXT(D86,"mmmm")))*(Situation!$E$71:$E$85)),
IF(TEXT(D86,"aaaa")=TEXT($P$6,"aaaa"),SUM((Situation!$D$71:$D$85=MONTH(1&amp;"/"&amp;TEXT(D86,"mmmm")))*(Situation!$E$71:$E$85)),
0)))))))</f>
        <v>0</v>
      </c>
      <c r="F86" s="279">
        <f t="shared" si="19"/>
        <v>0</v>
      </c>
      <c r="G86" s="279" cm="1">
        <f t="array" ref="G86">IFERROR(IF(B86=$P$4,$K$1,
IF(B86=EDATE($B$1,84),0,
IF(COUNTIF($N$9:$N$20,B86),LOOKUP(2,1/($N$9:$N$20=B86),$Q$9:$Q$21)*-1,
IF(C86&lt;&gt;0,$G$1,0)))),0)</f>
        <v>0</v>
      </c>
      <c r="H86" s="279">
        <f t="shared" si="23"/>
        <v>0</v>
      </c>
      <c r="I86" s="305">
        <f t="shared" si="20"/>
        <v>0</v>
      </c>
      <c r="J86" t="str">
        <f>IF(K86&lt;&gt;"",CONCATENATE("Annuité ",COUNT($K$3:K86)),"")</f>
        <v/>
      </c>
      <c r="K86" s="327" t="str">
        <f t="shared" si="21"/>
        <v/>
      </c>
      <c r="L86" s="279">
        <f>SUM(L85-H86)</f>
        <v>0</v>
      </c>
      <c r="M86" s="279"/>
    </row>
    <row r="87" spans="1:15" ht="15.75" x14ac:dyDescent="0.25">
      <c r="A87" s="295" t="s">
        <v>239</v>
      </c>
      <c r="B87" s="295"/>
      <c r="C87" s="295"/>
      <c r="D87" s="295"/>
      <c r="E87" s="295"/>
      <c r="F87" s="295"/>
      <c r="G87" s="295"/>
      <c r="H87" s="310">
        <f>SUM(H4:H86)</f>
        <v>0</v>
      </c>
      <c r="I87" s="310"/>
      <c r="J87" s="310" t="e">
        <f>SUM(H87/L1)*100</f>
        <v>#DIV/0!</v>
      </c>
      <c r="K87" s="310">
        <f>SUM(K3:K86)</f>
        <v>0</v>
      </c>
      <c r="L87" s="295"/>
      <c r="M87" s="279"/>
      <c r="N87" s="279"/>
    </row>
    <row r="88" spans="1:15" x14ac:dyDescent="0.25">
      <c r="M88" s="279"/>
    </row>
    <row r="89" spans="1:15" x14ac:dyDescent="0.25">
      <c r="M89" s="279"/>
    </row>
    <row r="90" spans="1:15" x14ac:dyDescent="0.25">
      <c r="M90" s="279"/>
    </row>
    <row r="91" spans="1:15" x14ac:dyDescent="0.25">
      <c r="M91" s="279"/>
    </row>
    <row r="92" spans="1:15" x14ac:dyDescent="0.25">
      <c r="M92" s="279"/>
    </row>
    <row r="93" spans="1:15" x14ac:dyDescent="0.25">
      <c r="M93" s="279"/>
    </row>
    <row r="94" spans="1:15" x14ac:dyDescent="0.25">
      <c r="M94" s="279"/>
    </row>
    <row r="95" spans="1:15" x14ac:dyDescent="0.25">
      <c r="M95" s="279"/>
    </row>
    <row r="96" spans="1:15" x14ac:dyDescent="0.25">
      <c r="M96" s="279"/>
    </row>
    <row r="97" spans="9:13" x14ac:dyDescent="0.25">
      <c r="M97" s="279"/>
    </row>
    <row r="101" spans="9:13" x14ac:dyDescent="0.25">
      <c r="I101" s="279"/>
    </row>
  </sheetData>
  <phoneticPr fontId="42" type="noConversion"/>
  <conditionalFormatting sqref="A3:A86 C3:L86">
    <cfRule type="cellIs" dxfId="7" priority="3" operator="equal">
      <formula>0</formula>
    </cfRule>
  </conditionalFormatting>
  <conditionalFormatting sqref="M9:R20">
    <cfRule type="cellIs" dxfId="6" priority="1" operator="equal">
      <formula>0</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606A6-B448-46F5-9D4B-C30D228C2E6A}">
  <dimension ref="A1:AB226"/>
  <sheetViews>
    <sheetView tabSelected="1" topLeftCell="K1" workbookViewId="0">
      <selection activeCell="M20" sqref="M20"/>
    </sheetView>
  </sheetViews>
  <sheetFormatPr baseColWidth="10" defaultRowHeight="15" x14ac:dyDescent="0.25"/>
  <cols>
    <col min="1" max="1" width="0" hidden="1" customWidth="1"/>
    <col min="2" max="2" width="16.28515625" hidden="1" customWidth="1"/>
    <col min="3" max="3" width="26.7109375" hidden="1" customWidth="1"/>
    <col min="4" max="5" width="0" hidden="1" customWidth="1"/>
    <col min="6" max="6" width="11.42578125" hidden="1" customWidth="1"/>
    <col min="7" max="7" width="17.28515625" hidden="1" customWidth="1"/>
    <col min="8" max="8" width="17.140625" hidden="1" customWidth="1"/>
    <col min="9" max="10" width="11.42578125" hidden="1" customWidth="1"/>
    <col min="11" max="11" width="17.28515625" customWidth="1"/>
    <col min="12" max="12" width="21.7109375" customWidth="1"/>
    <col min="13" max="15" width="11.42578125" customWidth="1"/>
    <col min="16" max="16" width="15.5703125" customWidth="1"/>
    <col min="17" max="17" width="21.5703125" style="183" customWidth="1"/>
    <col min="18" max="19" width="22.42578125" customWidth="1"/>
    <col min="20" max="20" width="18.42578125" customWidth="1"/>
    <col min="21" max="63" width="11.42578125" customWidth="1"/>
  </cols>
  <sheetData>
    <row r="1" spans="2:20" x14ac:dyDescent="0.25">
      <c r="T1" s="321"/>
    </row>
    <row r="2" spans="2:20" x14ac:dyDescent="0.25">
      <c r="T2" s="321"/>
    </row>
    <row r="3" spans="2:20" x14ac:dyDescent="0.25">
      <c r="T3" s="321"/>
    </row>
    <row r="4" spans="2:20" x14ac:dyDescent="0.25">
      <c r="T4" s="321"/>
    </row>
    <row r="5" spans="2:20" x14ac:dyDescent="0.25">
      <c r="T5" s="321"/>
    </row>
    <row r="6" spans="2:20" x14ac:dyDescent="0.25">
      <c r="T6" s="321"/>
    </row>
    <row r="7" spans="2:20" x14ac:dyDescent="0.25">
      <c r="T7" s="321"/>
    </row>
    <row r="8" spans="2:20" x14ac:dyDescent="0.25">
      <c r="T8" s="321"/>
    </row>
    <row r="9" spans="2:20" x14ac:dyDescent="0.25">
      <c r="B9" s="4" t="s">
        <v>170</v>
      </c>
      <c r="G9" t="s">
        <v>170</v>
      </c>
      <c r="T9" s="321"/>
    </row>
    <row r="10" spans="2:20" x14ac:dyDescent="0.25">
      <c r="B10" s="4" t="s">
        <v>154</v>
      </c>
      <c r="G10" t="s">
        <v>154</v>
      </c>
      <c r="T10" s="321"/>
    </row>
    <row r="11" spans="2:20" x14ac:dyDescent="0.25">
      <c r="B11" s="4" t="s">
        <v>182</v>
      </c>
      <c r="G11" t="s">
        <v>182</v>
      </c>
      <c r="T11" s="321"/>
    </row>
    <row r="12" spans="2:20" x14ac:dyDescent="0.25">
      <c r="B12" t="s">
        <v>171</v>
      </c>
      <c r="G12" t="s">
        <v>171</v>
      </c>
      <c r="T12" s="321"/>
    </row>
    <row r="13" spans="2:20" x14ac:dyDescent="0.25">
      <c r="B13" t="s">
        <v>172</v>
      </c>
      <c r="G13" t="s">
        <v>172</v>
      </c>
      <c r="T13" s="321"/>
    </row>
    <row r="14" spans="2:20" x14ac:dyDescent="0.25">
      <c r="B14" t="s">
        <v>173</v>
      </c>
      <c r="G14" s="366" t="s">
        <v>173</v>
      </c>
      <c r="T14" s="321"/>
    </row>
    <row r="15" spans="2:20" x14ac:dyDescent="0.25">
      <c r="B15" t="s">
        <v>184</v>
      </c>
      <c r="G15" t="s">
        <v>184</v>
      </c>
      <c r="T15" s="321"/>
    </row>
    <row r="16" spans="2:20" x14ac:dyDescent="0.25">
      <c r="B16" t="s">
        <v>183</v>
      </c>
      <c r="F16" s="123"/>
      <c r="G16" t="s">
        <v>183</v>
      </c>
      <c r="T16" s="321"/>
    </row>
    <row r="17" spans="1:23" x14ac:dyDescent="0.25">
      <c r="A17" s="393" t="s">
        <v>174</v>
      </c>
      <c r="B17" s="393"/>
      <c r="C17" s="393"/>
      <c r="D17" s="393"/>
      <c r="F17" s="393" t="s">
        <v>206</v>
      </c>
      <c r="G17" s="393"/>
      <c r="H17" s="393"/>
      <c r="I17" s="393"/>
      <c r="J17" s="128"/>
      <c r="K17" s="393" t="s">
        <v>256</v>
      </c>
      <c r="L17" s="393"/>
      <c r="M17" s="393"/>
      <c r="N17" s="128"/>
      <c r="O17" s="128"/>
      <c r="P17" s="128"/>
      <c r="Q17" s="128"/>
      <c r="T17" s="4"/>
    </row>
    <row r="18" spans="1:23" x14ac:dyDescent="0.25">
      <c r="A18" s="287" t="s">
        <v>150</v>
      </c>
      <c r="B18" s="288" t="s">
        <v>92</v>
      </c>
      <c r="C18" s="288" t="s">
        <v>169</v>
      </c>
      <c r="D18" s="289" t="s">
        <v>151</v>
      </c>
      <c r="F18" s="287" t="s">
        <v>150</v>
      </c>
      <c r="G18" s="287" t="s">
        <v>92</v>
      </c>
      <c r="H18" s="287" t="s">
        <v>204</v>
      </c>
      <c r="I18" s="287" t="s">
        <v>151</v>
      </c>
      <c r="K18" s="287" t="s">
        <v>92</v>
      </c>
      <c r="L18" s="287" t="s">
        <v>204</v>
      </c>
      <c r="M18" s="287" t="s">
        <v>151</v>
      </c>
      <c r="N18" s="368" t="s">
        <v>272</v>
      </c>
      <c r="O18" s="368"/>
      <c r="P18" s="368"/>
      <c r="Q18" s="430" t="s">
        <v>327</v>
      </c>
      <c r="T18" s="4"/>
    </row>
    <row r="19" spans="1:23" ht="30" x14ac:dyDescent="0.25">
      <c r="A19" s="379">
        <v>43544</v>
      </c>
      <c r="B19" s="319" t="s">
        <v>13</v>
      </c>
      <c r="C19" s="319" t="s">
        <v>13</v>
      </c>
      <c r="D19" s="320">
        <v>0</v>
      </c>
      <c r="F19" s="379">
        <v>44441</v>
      </c>
      <c r="G19" s="319" t="s">
        <v>13</v>
      </c>
      <c r="H19" s="319" t="s">
        <v>13</v>
      </c>
      <c r="I19" s="320">
        <v>21201.39</v>
      </c>
      <c r="J19" s="4"/>
      <c r="K19" t="s">
        <v>13</v>
      </c>
      <c r="L19" t="s">
        <v>13</v>
      </c>
      <c r="M19" s="184">
        <f>IF('Tableau de répartion actuel'!Q32="ok",'Fiche comptable'!N19,IFERROR(IF(RIGHT(VLOOKUP("*Annuité 1*",H19:H1008,1,0),LEN(VLOOKUP("*Annuité 1*",H19:H1008,1,0))-FIND("-",VLOOKUP("*Annuité 1*",H19:H1008,1,0))-1)="Annuité 1",SUM(Situation!B165+SUM(Situation!B162*-1))),
IFERROR(IF(VLOOKUP("*Homologation*",H19:H1008,1,0)="Homologation",SUM(Situation!B162*-1),0),
0)))</f>
        <v>19423.55</v>
      </c>
      <c r="N19" s="184">
        <f>IFERROR(IF(RIGHT(VLOOKUP("*Annuité 1*",H19:H1008,1,0),LEN(VLOOKUP("*Annuité 1*",H19:H1008,1,0))-FIND("-",VLOOKUP("*Annuité 1*",H19:H1008,1,0))-1)="Annuité 1",SUM(Situation!G165+SUM(Situation!G162*-1))),
IFERROR(IF(VLOOKUP("*homologation*",H19:H1008,1,0)="Homologation",SUM(Situation!G162*-1),0),
0))</f>
        <v>0</v>
      </c>
      <c r="O19" s="184"/>
      <c r="P19" s="426" t="s">
        <v>322</v>
      </c>
      <c r="Q19" s="8" t="s">
        <v>324</v>
      </c>
      <c r="R19" s="8" t="s">
        <v>325</v>
      </c>
      <c r="S19" s="8" t="s">
        <v>326</v>
      </c>
      <c r="T19" s="427" t="s">
        <v>323</v>
      </c>
      <c r="U19" s="8" t="s">
        <v>325</v>
      </c>
    </row>
    <row r="20" spans="1:23" x14ac:dyDescent="0.25">
      <c r="A20" s="4">
        <v>43563</v>
      </c>
      <c r="B20" t="s">
        <v>170</v>
      </c>
      <c r="C20" t="s">
        <v>65</v>
      </c>
      <c r="D20" s="184">
        <v>661.93</v>
      </c>
      <c r="F20" s="4">
        <v>44448</v>
      </c>
      <c r="G20" s="283" t="s">
        <v>170</v>
      </c>
      <c r="H20" s="283" t="s">
        <v>65</v>
      </c>
      <c r="I20" s="184">
        <v>1000</v>
      </c>
      <c r="J20" s="4"/>
      <c r="K20" t="s">
        <v>13</v>
      </c>
      <c r="L20" t="s">
        <v>265</v>
      </c>
      <c r="M20" s="184">
        <f>IF('Tableau de répartion actuel'!Q32="ok", 'Fiche comptable'!N20,SUM(IFERROR(LOOKUP(VLOOKUP(EOMONTH(Situation!B1,-1),'Tableau de répartition plan'!D3:D86,1),'Tableau de répartition plan'!D3:D86,'Tableau de répartition plan'!C3:C86),0)*Situation!B145))</f>
        <v>0</v>
      </c>
      <c r="N20" s="184">
        <f>SUM(IFERROR(LOOKUP(VLOOKUP(EOMONTH(Situation!B1,-1),'Tableau de répartion actuel'!D3:D86,1),'Tableau de répartion actuel'!D3:D86,'Tableau de répartion actuel'!C3:C86),0)*Situation!C145)</f>
        <v>0</v>
      </c>
      <c r="O20" s="184"/>
      <c r="P20" s="4">
        <v>44489</v>
      </c>
      <c r="Q20" s="431">
        <f>EOMONTH(P20,-1)</f>
        <v>44469</v>
      </c>
      <c r="R20" s="380">
        <f>EOMONTH(P20,-1)</f>
        <v>44469</v>
      </c>
      <c r="S20" s="380">
        <v>1</v>
      </c>
      <c r="T20" s="432">
        <f>VLOOKUP(EOMONTH(P20,-1),'Tableau de répartition plan'!$D$3:$D$86,1)</f>
        <v>44459</v>
      </c>
      <c r="U20" s="321">
        <f>VALUE(T20)</f>
        <v>44459</v>
      </c>
      <c r="V20" s="380">
        <f>LOOKUP(VLOOKUP(EOMONTH(P20,-1),'Tableau de répartition plan'!D3:D86,1),'Tableau de répartition plan'!D3:D86,'Tableau de répartition plan'!C3:C86)</f>
        <v>1</v>
      </c>
      <c r="W20" s="432"/>
    </row>
    <row r="21" spans="1:23" x14ac:dyDescent="0.25">
      <c r="A21" s="4">
        <v>43592</v>
      </c>
      <c r="B21" t="s">
        <v>184</v>
      </c>
      <c r="C21" t="s">
        <v>288</v>
      </c>
      <c r="D21" s="184">
        <v>3502.86</v>
      </c>
      <c r="F21" s="4">
        <v>44461</v>
      </c>
      <c r="G21" s="283" t="s">
        <v>170</v>
      </c>
      <c r="H21" s="283" t="s">
        <v>65</v>
      </c>
      <c r="I21" s="184">
        <v>400</v>
      </c>
      <c r="J21" s="4"/>
      <c r="K21" t="s">
        <v>13</v>
      </c>
      <c r="L21" t="s">
        <v>266</v>
      </c>
      <c r="M21" s="184">
        <f>IFERROR(IF('Tableau de répartion actuel'!Q32="ok",N21,SUM((DATEDIF(EOMONTH($F$19,-1)+1,EOMONTH(Situation!$B$1,-1)+1,"y"))*Situation!B152)),0)</f>
        <v>660</v>
      </c>
      <c r="N21" s="184">
        <f>IFERROR(SUM((DATEDIF(EOMONTH($F$19,-1)+1,EOMONTH(Situation!$B$1,-1)+1,"y"))*Situation!C152),0)</f>
        <v>0</v>
      </c>
      <c r="O21" s="184"/>
      <c r="P21" s="4">
        <v>44506</v>
      </c>
      <c r="Q21" s="431">
        <f>EOMONTH(P21,-1)</f>
        <v>44500</v>
      </c>
      <c r="R21" s="380">
        <f>EOMONTH(P21,-1)</f>
        <v>44500</v>
      </c>
      <c r="S21" s="380">
        <v>2</v>
      </c>
      <c r="T21" s="432">
        <f>VLOOKUP(EOMONTH(P21,-1),'Tableau de répartition plan'!$D$3:$D$86,1)</f>
        <v>44489</v>
      </c>
      <c r="U21" s="321">
        <f t="shared" ref="U21:U35" si="0">VALUE(T21)</f>
        <v>44489</v>
      </c>
      <c r="V21" s="380">
        <v>2</v>
      </c>
      <c r="W21" s="432"/>
    </row>
    <row r="22" spans="1:23" x14ac:dyDescent="0.25">
      <c r="A22" s="4">
        <v>43598</v>
      </c>
      <c r="B22" t="s">
        <v>154</v>
      </c>
      <c r="C22" t="s">
        <v>154</v>
      </c>
      <c r="D22" s="184">
        <v>-1200</v>
      </c>
      <c r="F22" s="4">
        <v>44467</v>
      </c>
      <c r="G22" s="283" t="s">
        <v>154</v>
      </c>
      <c r="H22" s="283" t="s">
        <v>154</v>
      </c>
      <c r="I22" s="184">
        <v>-1520</v>
      </c>
      <c r="J22" s="4"/>
      <c r="K22" t="s">
        <v>13</v>
      </c>
      <c r="L22" t="str" cm="1">
        <f t="array" ref="L22">IFERROR(TRIM(RIGHT(LOOKUP(2,1/(G19:G1008="Annuité"),H19:H1008),LEN(LOOKUP(2,1/(G19:G1008="Annuité"),H19:H1008))-SEARCH("-",LOOKUP(2,1/(G19:G1008="Annuité"),H19:H1008),1))),"A1")</f>
        <v>Annuité 2</v>
      </c>
      <c r="M22" s="184">
        <f>IF('Tableau de répartion actuel'!Q32="ok",N22,
IF($L$22=Situation!A171,Situation!C171,
IF($L$22=Situation!A172,SUM(Situation!C171:C172),
IF($L$22=Situation!A173,SUM(Situation!C171:C173),
IF($L$22=Situation!A174,SUM(Situation!C171:C174),
IF($L$22=Situation!A175,SUM(Situation!C171:C175),
IF($L$22=Situation!A176,SUM(Situation!C171:C176),
IF($L$22=Situation!A177,SUM(Situation!C171:C177),Situation!B165))))))))</f>
        <v>-30480</v>
      </c>
      <c r="N22" s="184">
        <f>IF($L$22=Situation!F171,Situation!H171,
IF($L$22=Situation!F172,SUM(Situation!H171:H172),
IF($L$22=Situation!F173,SUM(Situation!H171:H173),
IF($L$22=Situation!F174,SUM(Situation!H171:H174),
IF($L$22=Situation!F175,SUM(Situation!H171:H175),
IF($L$22=Situation!F176,SUM(Situation!H171:H176),
IF($L$22=Situation!F177,SUM(Situation!H171:H177),Situation!G165)))))))</f>
        <v>0</v>
      </c>
      <c r="O22" s="184"/>
      <c r="P22" s="4">
        <v>44545</v>
      </c>
      <c r="Q22" s="431">
        <f t="shared" ref="Q21:Q35" si="1">EOMONTH(P22,-1)</f>
        <v>44530</v>
      </c>
      <c r="R22" s="380">
        <f>EOMONTH(P22,-1)</f>
        <v>44530</v>
      </c>
      <c r="S22" s="380">
        <v>3</v>
      </c>
      <c r="T22" s="432">
        <f>VLOOKUP(EOMONTH(P22,-1),'Tableau de répartition plan'!$D$3:$D$86,1)</f>
        <v>44520</v>
      </c>
      <c r="U22" s="321">
        <f t="shared" si="0"/>
        <v>44520</v>
      </c>
      <c r="V22" s="380">
        <v>3</v>
      </c>
      <c r="W22" s="432"/>
    </row>
    <row r="23" spans="1:23" x14ac:dyDescent="0.25">
      <c r="A23" s="4">
        <v>43619</v>
      </c>
      <c r="B23" t="s">
        <v>170</v>
      </c>
      <c r="C23" t="s">
        <v>65</v>
      </c>
      <c r="D23" s="184">
        <v>2345.7399999999998</v>
      </c>
      <c r="F23" s="4">
        <v>44480</v>
      </c>
      <c r="G23" s="283" t="s">
        <v>170</v>
      </c>
      <c r="H23" s="283" t="s">
        <v>65</v>
      </c>
      <c r="I23" s="184">
        <v>500</v>
      </c>
      <c r="J23" s="4"/>
      <c r="K23" t="s">
        <v>13</v>
      </c>
      <c r="L23" t="s">
        <v>273</v>
      </c>
      <c r="M23" s="184">
        <f>IF('Tableau de répartion actuel'!Q32="ok",N23,SUM(IFERROR(LOOKUP(VLOOKUP(EOMONTH(Situation!B1,-1),'Tableau de répartition plan'!D3:D86,1),'Tableau de répartition plan'!D3:D86,'Tableau de répartition plan'!C3:C86),0)*-Situation!B143))</f>
        <v>0</v>
      </c>
      <c r="N23" s="184">
        <f>SUM(IFERROR(LOOKUP(VLOOKUP(EOMONTH(Situation!B1,-1),'Tableau de répartion actuel'!D3:D86,1),'Tableau de répartion actuel'!D3:D86,'Tableau de répartion actuel'!C3:C86),0)*-Situation!C143)</f>
        <v>0</v>
      </c>
      <c r="O23" s="184"/>
      <c r="P23" s="4">
        <v>44567</v>
      </c>
      <c r="Q23" s="431">
        <f t="shared" si="1"/>
        <v>44561</v>
      </c>
      <c r="R23" s="380">
        <f>EOMONTH(P23,-1)</f>
        <v>44561</v>
      </c>
      <c r="S23" s="380">
        <v>4</v>
      </c>
      <c r="T23" s="432">
        <f>VLOOKUP(EOMONTH(P23,-1),'Tableau de répartition plan'!$D$3:$D$86,1)</f>
        <v>44550</v>
      </c>
      <c r="U23" s="321">
        <f t="shared" si="0"/>
        <v>44550</v>
      </c>
      <c r="V23" s="380">
        <v>4</v>
      </c>
      <c r="W23" s="432"/>
    </row>
    <row r="24" spans="1:23" x14ac:dyDescent="0.25">
      <c r="A24" s="4">
        <v>43620</v>
      </c>
      <c r="B24" t="s">
        <v>154</v>
      </c>
      <c r="C24" t="s">
        <v>154</v>
      </c>
      <c r="D24" s="184">
        <v>-1100</v>
      </c>
      <c r="F24" s="4">
        <v>44491</v>
      </c>
      <c r="G24" s="283" t="s">
        <v>170</v>
      </c>
      <c r="H24" s="283" t="s">
        <v>65</v>
      </c>
      <c r="I24" s="184">
        <v>640.33000000000004</v>
      </c>
      <c r="J24" s="4"/>
      <c r="K24" t="s">
        <v>13</v>
      </c>
      <c r="L24" t="s">
        <v>274</v>
      </c>
      <c r="M24" s="184">
        <f>IFERROR(IF('Tableau de répartion actuel'!Q32="ok",N24,SUM((DATEDIF(EOMONTH($F$19,-1)+1,EOMONTH(Situation!$B$1,-1)+1,"y"))*-Situation!B149)),0)</f>
        <v>700</v>
      </c>
      <c r="N24" s="184">
        <f>IFERROR(SUM((DATEDIF(EOMONTH($F$19,-1)+1,EOMONTH(Situation!$B$1,-1)+1,"y"))*-Situation!C149),0)</f>
        <v>0</v>
      </c>
      <c r="O24" s="184"/>
      <c r="P24" s="4">
        <v>44594</v>
      </c>
      <c r="Q24" s="431">
        <f t="shared" si="1"/>
        <v>44592</v>
      </c>
      <c r="R24" s="380">
        <f>EOMONTH(P24,-1)</f>
        <v>44592</v>
      </c>
      <c r="S24" s="380">
        <v>5</v>
      </c>
      <c r="T24" s="432">
        <f>VLOOKUP(EOMONTH(P24,-1),'Tableau de répartition plan'!$D$3:$D$86,1)</f>
        <v>44581</v>
      </c>
      <c r="U24" s="321">
        <f t="shared" si="0"/>
        <v>44581</v>
      </c>
      <c r="V24" s="380">
        <v>5</v>
      </c>
      <c r="W24" s="432"/>
    </row>
    <row r="25" spans="1:23" x14ac:dyDescent="0.25">
      <c r="A25" s="4">
        <v>43621</v>
      </c>
      <c r="B25" t="s">
        <v>170</v>
      </c>
      <c r="C25" t="s">
        <v>289</v>
      </c>
      <c r="D25" s="184">
        <v>267.12</v>
      </c>
      <c r="F25" s="4">
        <v>44491</v>
      </c>
      <c r="G25" s="283" t="s">
        <v>170</v>
      </c>
      <c r="H25" s="283" t="s">
        <v>65</v>
      </c>
      <c r="I25" s="184">
        <v>400</v>
      </c>
      <c r="J25" s="4"/>
      <c r="K25" t="s">
        <v>13</v>
      </c>
      <c r="L25" t="s">
        <v>172</v>
      </c>
      <c r="M25" s="184">
        <f>IF('Tableau de répartion actuel'!Q32="ok",N25,
IF(SUMIF(G19:G1008,"Honoraires",I19:I1008)=0,-Situation!B162,SUMIF(G19:G1008,"Honoraires",I19:I1008)))</f>
        <v>-2804.16</v>
      </c>
      <c r="N25" s="184">
        <f>IF('Tableau de répartion actuel'!Q32="",0,IF(SUMIF(G19:G1008,"Honoraires",I19:I1008)=0,-Situation!G162,SUMIF(G19:G1008,"Honoraires",I19:I1008)))</f>
        <v>0</v>
      </c>
      <c r="O25" s="184"/>
      <c r="P25" s="4">
        <v>44647</v>
      </c>
      <c r="Q25" s="431">
        <f t="shared" si="1"/>
        <v>44620</v>
      </c>
      <c r="R25" s="380">
        <f>EOMONTH(P25,-1)</f>
        <v>44620</v>
      </c>
      <c r="S25" s="380">
        <v>6</v>
      </c>
      <c r="T25" s="432">
        <f>VLOOKUP(EOMONTH(P25,-1),'Tableau de répartition plan'!$D$3:$D$86,1)</f>
        <v>44612</v>
      </c>
      <c r="U25" s="321">
        <f t="shared" si="0"/>
        <v>44612</v>
      </c>
      <c r="V25" s="380">
        <v>6</v>
      </c>
      <c r="W25" s="432"/>
    </row>
    <row r="26" spans="1:23" x14ac:dyDescent="0.25">
      <c r="A26" s="4">
        <v>43621</v>
      </c>
      <c r="B26" t="s">
        <v>170</v>
      </c>
      <c r="C26" t="s">
        <v>289</v>
      </c>
      <c r="D26" s="184">
        <v>1736.28</v>
      </c>
      <c r="F26" s="4">
        <v>44498</v>
      </c>
      <c r="G26" s="283" t="s">
        <v>154</v>
      </c>
      <c r="H26" s="283" t="s">
        <v>154</v>
      </c>
      <c r="I26" s="184">
        <v>-1520</v>
      </c>
      <c r="J26" s="4"/>
      <c r="K26" t="s">
        <v>280</v>
      </c>
      <c r="L26" t="s">
        <v>267</v>
      </c>
      <c r="M26" s="184">
        <f>IF('Tableau de répartion actuel'!Q32="ok",N26,-Situation!B161)</f>
        <v>1520</v>
      </c>
      <c r="N26" s="184">
        <f>-Situation!G161</f>
        <v>0</v>
      </c>
      <c r="O26" s="184"/>
      <c r="P26" s="4">
        <v>44670</v>
      </c>
      <c r="Q26" s="431">
        <f t="shared" si="1"/>
        <v>44651</v>
      </c>
      <c r="R26" s="380">
        <f>EOMONTH(P26,-1)</f>
        <v>44651</v>
      </c>
      <c r="S26" s="380">
        <v>7</v>
      </c>
      <c r="T26" s="432">
        <f>VLOOKUP(EOMONTH(P26,-1),'Tableau de répartition plan'!$D$3:$D$86,1)</f>
        <v>44640</v>
      </c>
      <c r="U26" s="321">
        <f t="shared" si="0"/>
        <v>44640</v>
      </c>
      <c r="V26" s="380">
        <v>7</v>
      </c>
      <c r="W26" s="432"/>
    </row>
    <row r="27" spans="1:23" x14ac:dyDescent="0.25">
      <c r="A27" s="4">
        <v>43643</v>
      </c>
      <c r="B27" t="s">
        <v>154</v>
      </c>
      <c r="C27" t="s">
        <v>154</v>
      </c>
      <c r="D27" s="184">
        <v>-400</v>
      </c>
      <c r="F27" s="4">
        <v>44498</v>
      </c>
      <c r="G27" s="283" t="s">
        <v>170</v>
      </c>
      <c r="H27" s="283" t="s">
        <v>65</v>
      </c>
      <c r="I27" s="184">
        <v>500</v>
      </c>
      <c r="J27" s="4"/>
      <c r="K27" t="s">
        <v>280</v>
      </c>
      <c r="L27" t="s">
        <v>29</v>
      </c>
      <c r="M27" s="184">
        <f>IF('Tableau de répartion actuel'!Q32="ok",N27,SUM(IFERROR(LOOKUP(VLOOKUP(EOMONTH(Situation!B1,-1),'Tableau de répartition plan'!D3:D86,1),'Tableau de répartition plan'!D3:D86,'Tableau de répartition plan'!C3:C86),0)*-Situation!B142))</f>
        <v>0</v>
      </c>
      <c r="N27" s="184">
        <f>SUM(IFERROR(LOOKUP(VLOOKUP(EOMONTH(Situation!B1,-1),'Tableau de répartion actuel'!D3:D86,1),'Tableau de répartion actuel'!D3:D86,'Tableau de répartion actuel'!C3:C86),0)*-Situation!C142)</f>
        <v>0</v>
      </c>
      <c r="O27" s="184"/>
      <c r="P27" s="4">
        <v>44689</v>
      </c>
      <c r="Q27" s="431">
        <f t="shared" si="1"/>
        <v>44681</v>
      </c>
      <c r="R27" s="380">
        <f>EOMONTH(P27,-1)</f>
        <v>44681</v>
      </c>
      <c r="S27" s="380">
        <v>8</v>
      </c>
      <c r="T27" s="432">
        <f>VLOOKUP(EOMONTH(P27,-1),'Tableau de répartition plan'!$D$3:$D$86,1)</f>
        <v>44671</v>
      </c>
      <c r="U27" s="321">
        <f t="shared" si="0"/>
        <v>44671</v>
      </c>
      <c r="V27" s="380">
        <v>8</v>
      </c>
      <c r="W27" s="432"/>
    </row>
    <row r="28" spans="1:23" x14ac:dyDescent="0.25">
      <c r="A28" s="4">
        <v>43647</v>
      </c>
      <c r="B28" t="s">
        <v>154</v>
      </c>
      <c r="C28" t="s">
        <v>154</v>
      </c>
      <c r="D28" s="184">
        <v>-1500</v>
      </c>
      <c r="F28" s="4">
        <v>44512</v>
      </c>
      <c r="G28" s="283" t="s">
        <v>170</v>
      </c>
      <c r="H28" s="283" t="s">
        <v>65</v>
      </c>
      <c r="I28" s="184">
        <v>1000</v>
      </c>
      <c r="J28" s="4"/>
      <c r="K28" t="s">
        <v>28</v>
      </c>
      <c r="L28" t="s">
        <v>268</v>
      </c>
      <c r="M28" s="184">
        <f>IF('Tableau de répartion actuel'!Q32="ok",N28,-Situation!B164)</f>
        <v>257.84000000000015</v>
      </c>
      <c r="N28" s="184">
        <f>-Situation!G164</f>
        <v>0</v>
      </c>
      <c r="O28" s="184"/>
      <c r="P28" s="4">
        <v>44742</v>
      </c>
      <c r="Q28" s="431">
        <f t="shared" si="1"/>
        <v>44712</v>
      </c>
      <c r="R28" s="380">
        <f>EOMONTH(P28,-1)</f>
        <v>44712</v>
      </c>
      <c r="S28" s="380">
        <v>9</v>
      </c>
      <c r="T28" s="432">
        <f>VLOOKUP(EOMONTH(P28,-1),'Tableau de répartition plan'!$D$3:$D$86,1)</f>
        <v>44701</v>
      </c>
      <c r="U28" s="321">
        <f t="shared" si="0"/>
        <v>44701</v>
      </c>
      <c r="V28" s="380">
        <v>9</v>
      </c>
      <c r="W28" s="432"/>
    </row>
    <row r="29" spans="1:23" x14ac:dyDescent="0.25">
      <c r="A29" s="4">
        <v>43649</v>
      </c>
      <c r="B29" t="s">
        <v>170</v>
      </c>
      <c r="C29" t="s">
        <v>65</v>
      </c>
      <c r="D29" s="184">
        <v>2319.4899999999998</v>
      </c>
      <c r="F29" s="4">
        <v>44517</v>
      </c>
      <c r="G29" s="283" t="s">
        <v>170</v>
      </c>
      <c r="H29" s="283" t="s">
        <v>65</v>
      </c>
      <c r="I29" s="184">
        <v>708.92</v>
      </c>
      <c r="K29" t="s">
        <v>28</v>
      </c>
      <c r="L29" t="s">
        <v>209</v>
      </c>
      <c r="M29" s="184">
        <f>IF('Tableau de répartion actuel'!Q32="ok",N29,-Situation!B163)</f>
        <v>0</v>
      </c>
      <c r="N29" s="184">
        <f>-Situation!G163</f>
        <v>0</v>
      </c>
      <c r="O29" s="184"/>
      <c r="P29" s="4">
        <v>44767</v>
      </c>
      <c r="Q29" s="431">
        <f t="shared" si="1"/>
        <v>44742</v>
      </c>
      <c r="R29" s="380">
        <f>EOMONTH(P29,-1)</f>
        <v>44742</v>
      </c>
      <c r="S29" s="380">
        <v>10</v>
      </c>
      <c r="T29" s="432">
        <f>VLOOKUP(EOMONTH(P29,-1),'Tableau de répartition plan'!$D$3:$D$86,1)</f>
        <v>44732</v>
      </c>
      <c r="U29" s="321">
        <f t="shared" si="0"/>
        <v>44732</v>
      </c>
      <c r="V29" s="380">
        <v>10</v>
      </c>
      <c r="W29" s="432"/>
    </row>
    <row r="30" spans="1:23" x14ac:dyDescent="0.25">
      <c r="A30" s="4">
        <v>43671</v>
      </c>
      <c r="B30" t="s">
        <v>171</v>
      </c>
      <c r="C30" t="s">
        <v>171</v>
      </c>
      <c r="D30" s="184">
        <v>-70</v>
      </c>
      <c r="F30" s="4">
        <v>44522</v>
      </c>
      <c r="G30" t="s">
        <v>170</v>
      </c>
      <c r="H30" t="s">
        <v>65</v>
      </c>
      <c r="I30" s="184">
        <v>400</v>
      </c>
      <c r="K30" t="s">
        <v>28</v>
      </c>
      <c r="L30" t="s">
        <v>270</v>
      </c>
      <c r="M30" s="184">
        <f>IF('Tableau de répartion actuel'!Q32="ok",N30,SUM(IFERROR(LOOKUP(VLOOKUP(EOMONTH(Situation!B1,-1),'Tableau de répartition plan'!D3:D86,1),'Tableau de répartition plan'!D3:D86,'Tableau de répartition plan'!C3:C86),0)*-Situation!B144))</f>
        <v>0</v>
      </c>
      <c r="N30" s="184">
        <f>SUM(IFERROR(LOOKUP(VLOOKUP(EOMONTH(Situation!B1,-1),'Tableau de répartion actuel'!D3:D86,1),'Tableau de répartion actuel'!D3:D86,'Tableau de répartion actuel'!C3:C86),0)*-Situation!C144)</f>
        <v>0</v>
      </c>
      <c r="O30" s="184"/>
      <c r="P30" s="4">
        <v>44782</v>
      </c>
      <c r="Q30" s="431">
        <f t="shared" si="1"/>
        <v>44773</v>
      </c>
      <c r="R30" s="380">
        <f>EOMONTH(P30,-1)</f>
        <v>44773</v>
      </c>
      <c r="S30" s="380">
        <v>11</v>
      </c>
      <c r="T30" s="432">
        <f>VLOOKUP(EOMONTH(P30,-1),'Tableau de répartition plan'!$D$3:$D$86,1)</f>
        <v>44762</v>
      </c>
      <c r="U30" s="321">
        <f t="shared" si="0"/>
        <v>44762</v>
      </c>
      <c r="V30" s="380">
        <v>11</v>
      </c>
      <c r="W30" s="432"/>
    </row>
    <row r="31" spans="1:23" x14ac:dyDescent="0.25">
      <c r="A31" s="4">
        <v>43678</v>
      </c>
      <c r="B31" t="s">
        <v>154</v>
      </c>
      <c r="C31" t="s">
        <v>154</v>
      </c>
      <c r="D31" s="184">
        <v>-1500</v>
      </c>
      <c r="F31" s="4">
        <v>44529</v>
      </c>
      <c r="G31" t="s">
        <v>154</v>
      </c>
      <c r="H31" t="s">
        <v>154</v>
      </c>
      <c r="I31" s="184">
        <v>-1520</v>
      </c>
      <c r="J31" s="4"/>
      <c r="K31" t="s">
        <v>28</v>
      </c>
      <c r="L31" t="s">
        <v>271</v>
      </c>
      <c r="M31" s="184">
        <f>IFERROR(IF('Tableau de répartion actuel'!Q32="ok",N31,SUM((DATEDIF(EOMONTH($F$19,-1)+1,EOMONTH(Situation!$B$1,-1)+1,"y"))*-Situation!B150)),0)</f>
        <v>501.88000000000011</v>
      </c>
      <c r="N31" s="184">
        <f>IFERROR(SUM((DATEDIF(EOMONTH($F$19,-1)+1,EOMONTH(Situation!$B$1,-1)+1,"y"))*-Situation!C150),0)</f>
        <v>0</v>
      </c>
      <c r="O31" s="184"/>
      <c r="P31" s="4">
        <v>44827</v>
      </c>
      <c r="Q31" s="431">
        <f t="shared" si="1"/>
        <v>44804</v>
      </c>
      <c r="R31" s="380">
        <f>EOMONTH(P31,-1)</f>
        <v>44804</v>
      </c>
      <c r="S31" s="380">
        <v>12</v>
      </c>
      <c r="T31" s="432">
        <f>VLOOKUP(EOMONTH(P31,-1),'Tableau de répartition plan'!$D$3:$D$86,1)</f>
        <v>44793</v>
      </c>
      <c r="U31" s="321">
        <f t="shared" si="0"/>
        <v>44793</v>
      </c>
      <c r="V31" s="380">
        <v>12</v>
      </c>
      <c r="W31" s="432"/>
    </row>
    <row r="32" spans="1:23" x14ac:dyDescent="0.25">
      <c r="A32" s="4">
        <v>43678</v>
      </c>
      <c r="B32" t="s">
        <v>170</v>
      </c>
      <c r="C32" t="s">
        <v>65</v>
      </c>
      <c r="D32" s="184">
        <v>2408.4499999999998</v>
      </c>
      <c r="F32" s="4">
        <v>44530</v>
      </c>
      <c r="G32" t="s">
        <v>170</v>
      </c>
      <c r="H32" t="s">
        <v>65</v>
      </c>
      <c r="I32" s="184">
        <v>500</v>
      </c>
      <c r="J32" s="4"/>
      <c r="K32" t="s">
        <v>28</v>
      </c>
      <c r="L32" t="s">
        <v>152</v>
      </c>
      <c r="M32" s="184">
        <f>IF('Tableau de répartion actuel'!Q32="ok",N32,SUMIF(G19:G1008,"Supplément",I19:I1008))</f>
        <v>1240</v>
      </c>
      <c r="N32" s="184">
        <f>IF('Tableau de répartion actuel'!Q32="",0,SUMIF(G19:G1008,"Supplément",I19:I1008))</f>
        <v>0</v>
      </c>
      <c r="O32" s="184"/>
      <c r="P32" s="4">
        <v>44844</v>
      </c>
      <c r="Q32" s="431">
        <f t="shared" si="1"/>
        <v>44834</v>
      </c>
      <c r="R32" s="380">
        <f>EOMONTH(P32,-1)</f>
        <v>44834</v>
      </c>
      <c r="S32" s="380">
        <v>13</v>
      </c>
      <c r="T32" s="432">
        <f>VLOOKUP(EOMONTH(P32,-1),'Tableau de répartition plan'!$D$3:$D$86,1)</f>
        <v>0</v>
      </c>
      <c r="U32" s="321">
        <f t="shared" si="0"/>
        <v>0</v>
      </c>
      <c r="V32" s="380">
        <v>0</v>
      </c>
      <c r="W32" s="432"/>
    </row>
    <row r="33" spans="1:27" x14ac:dyDescent="0.25">
      <c r="A33" s="4">
        <v>43709</v>
      </c>
      <c r="B33" t="s">
        <v>154</v>
      </c>
      <c r="C33" t="s">
        <v>154</v>
      </c>
      <c r="D33" s="184">
        <v>-1500</v>
      </c>
      <c r="F33" s="4">
        <v>44539</v>
      </c>
      <c r="G33" t="s">
        <v>170</v>
      </c>
      <c r="H33" t="s">
        <v>65</v>
      </c>
      <c r="I33" s="184">
        <v>1000</v>
      </c>
      <c r="J33" s="4"/>
      <c r="K33" t="s">
        <v>28</v>
      </c>
      <c r="L33" t="s">
        <v>153</v>
      </c>
      <c r="M33" s="184">
        <f>IF('Tableau de répartion actuel'!Q32="ok",N32,SUMIF(G19:G1008,"Dette nouvelle",I19:I1008))</f>
        <v>0</v>
      </c>
      <c r="N33" s="184">
        <f>IF('Tableau de répartion actuel'!Q32="",0,SUMIF(G19:G1008,"Dette nouvelle",I19:I1008))</f>
        <v>0</v>
      </c>
      <c r="O33" s="184"/>
      <c r="P33" s="4">
        <v>44876</v>
      </c>
      <c r="Q33" s="431">
        <f t="shared" si="1"/>
        <v>44865</v>
      </c>
      <c r="R33" s="380">
        <f>EOMONTH(P33,-1)</f>
        <v>44865</v>
      </c>
      <c r="S33" s="380">
        <v>14</v>
      </c>
      <c r="T33" s="432">
        <f>VLOOKUP(EOMONTH(P33,-1),'Tableau de répartition plan'!$D$3:$D$86,1)</f>
        <v>0</v>
      </c>
      <c r="U33" s="321">
        <f t="shared" si="0"/>
        <v>0</v>
      </c>
      <c r="V33" s="380">
        <v>0</v>
      </c>
      <c r="W33" s="432"/>
    </row>
    <row r="34" spans="1:27" x14ac:dyDescent="0.25">
      <c r="A34" s="4">
        <v>43713</v>
      </c>
      <c r="B34" t="s">
        <v>170</v>
      </c>
      <c r="C34" t="s">
        <v>65</v>
      </c>
      <c r="D34" s="184">
        <v>1100.83</v>
      </c>
      <c r="F34" s="4">
        <v>44545</v>
      </c>
      <c r="G34" s="283" t="s">
        <v>170</v>
      </c>
      <c r="H34" s="283" t="s">
        <v>65</v>
      </c>
      <c r="I34" s="184">
        <v>762.02</v>
      </c>
      <c r="J34" s="4"/>
      <c r="K34" s="283" t="s">
        <v>269</v>
      </c>
      <c r="L34" s="283" t="s">
        <v>262</v>
      </c>
      <c r="M34" s="184">
        <f>IFERROR(IF('Tableau de répartion actuel'!Q32="ok",N34,SUM((DATEDIF(EOMONTH($F$19,-1)+1,EOMONTH(Situation!$B$1,-1)+1,"y"))*-Situation!B151)),0)</f>
        <v>0</v>
      </c>
      <c r="N34" s="184">
        <f>IFERROR(SUM((DATEDIF(EOMONTH($F$19,-1)+1,EOMONTH(Situation!$B$1,-1)+1,"y"))*-Situation!C151),0)</f>
        <v>0</v>
      </c>
      <c r="O34" s="184"/>
      <c r="P34" s="4">
        <v>44919</v>
      </c>
      <c r="Q34" s="431">
        <f t="shared" si="1"/>
        <v>44895</v>
      </c>
      <c r="R34" s="380">
        <f>EOMONTH(P34,-1)</f>
        <v>44895</v>
      </c>
      <c r="S34" s="380">
        <v>15</v>
      </c>
      <c r="T34" s="432">
        <f>VLOOKUP(EOMONTH(P34,-1),'Tableau de répartition plan'!$D$3:$D$86,1)</f>
        <v>0</v>
      </c>
      <c r="U34" s="321">
        <f t="shared" si="0"/>
        <v>0</v>
      </c>
      <c r="V34" s="380">
        <v>0</v>
      </c>
      <c r="W34" s="432"/>
    </row>
    <row r="35" spans="1:27" x14ac:dyDescent="0.25">
      <c r="A35" s="4">
        <v>43739</v>
      </c>
      <c r="B35" t="s">
        <v>154</v>
      </c>
      <c r="C35" t="s">
        <v>154</v>
      </c>
      <c r="D35" s="184">
        <v>-1500</v>
      </c>
      <c r="F35" s="4">
        <v>44552</v>
      </c>
      <c r="G35" s="283" t="s">
        <v>170</v>
      </c>
      <c r="H35" s="283" t="s">
        <v>65</v>
      </c>
      <c r="I35" s="184">
        <v>400</v>
      </c>
      <c r="J35" s="4"/>
      <c r="P35" s="4">
        <v>44932</v>
      </c>
      <c r="Q35" s="431">
        <f t="shared" si="1"/>
        <v>44926</v>
      </c>
      <c r="R35" s="380">
        <f>EOMONTH(P35,-1)</f>
        <v>44926</v>
      </c>
      <c r="S35" s="380">
        <v>16</v>
      </c>
      <c r="T35" s="432">
        <f>VLOOKUP(EOMONTH(P35,-1),'Tableau de répartition plan'!$D$3:$D$86,1)</f>
        <v>0</v>
      </c>
      <c r="U35" s="321">
        <f t="shared" si="0"/>
        <v>0</v>
      </c>
      <c r="V35" s="380">
        <v>0</v>
      </c>
      <c r="W35" s="432"/>
    </row>
    <row r="36" spans="1:27" x14ac:dyDescent="0.25">
      <c r="A36" s="4">
        <v>43763</v>
      </c>
      <c r="B36" t="s">
        <v>170</v>
      </c>
      <c r="C36" t="s">
        <v>289</v>
      </c>
      <c r="D36" s="184">
        <v>174.27</v>
      </c>
      <c r="F36" s="4">
        <v>44558</v>
      </c>
      <c r="G36" t="s">
        <v>154</v>
      </c>
      <c r="H36" t="s">
        <v>154</v>
      </c>
      <c r="I36" s="184">
        <v>-1520</v>
      </c>
      <c r="J36" s="4"/>
      <c r="Q36" s="381"/>
      <c r="R36" s="380"/>
      <c r="S36" s="380"/>
      <c r="T36" s="381"/>
      <c r="U36" s="380"/>
    </row>
    <row r="37" spans="1:27" x14ac:dyDescent="0.25">
      <c r="A37" s="4">
        <v>43763</v>
      </c>
      <c r="B37" t="s">
        <v>170</v>
      </c>
      <c r="C37" t="s">
        <v>289</v>
      </c>
      <c r="D37" s="184">
        <v>246.6</v>
      </c>
      <c r="F37" s="4">
        <v>44561</v>
      </c>
      <c r="G37" t="s">
        <v>182</v>
      </c>
      <c r="H37" t="s">
        <v>182</v>
      </c>
      <c r="I37" s="184">
        <v>-4.92</v>
      </c>
      <c r="J37" s="4"/>
      <c r="Q37" s="381"/>
      <c r="R37" s="380"/>
      <c r="S37" s="380"/>
      <c r="T37" s="381"/>
      <c r="U37" s="380"/>
    </row>
    <row r="38" spans="1:27" x14ac:dyDescent="0.25">
      <c r="A38" s="4">
        <v>43770</v>
      </c>
      <c r="B38" t="s">
        <v>154</v>
      </c>
      <c r="C38" t="s">
        <v>154</v>
      </c>
      <c r="D38" s="184">
        <v>-1500</v>
      </c>
      <c r="F38" s="4">
        <v>44572</v>
      </c>
      <c r="G38" t="s">
        <v>170</v>
      </c>
      <c r="H38" t="s">
        <v>65</v>
      </c>
      <c r="I38" s="184">
        <v>1000</v>
      </c>
      <c r="J38" s="4"/>
      <c r="Q38" s="381"/>
      <c r="R38" s="378"/>
      <c r="S38" s="380"/>
      <c r="T38" s="381"/>
      <c r="U38" s="380"/>
    </row>
    <row r="39" spans="1:27" x14ac:dyDescent="0.25">
      <c r="A39" s="4">
        <v>43774</v>
      </c>
      <c r="B39" t="s">
        <v>170</v>
      </c>
      <c r="C39" t="s">
        <v>289</v>
      </c>
      <c r="D39" s="184">
        <v>1568.43</v>
      </c>
      <c r="F39" s="4">
        <v>44578</v>
      </c>
      <c r="G39" t="s">
        <v>170</v>
      </c>
      <c r="H39" t="s">
        <v>65</v>
      </c>
      <c r="I39" s="184">
        <v>1497.32</v>
      </c>
      <c r="J39" s="2"/>
      <c r="Q39" s="381"/>
      <c r="R39" s="378"/>
      <c r="S39" s="380"/>
      <c r="T39" s="381"/>
      <c r="U39" s="380"/>
      <c r="X39" s="4"/>
      <c r="Y39" s="261"/>
      <c r="Z39" s="261"/>
      <c r="AA39" s="184"/>
    </row>
    <row r="40" spans="1:27" x14ac:dyDescent="0.25">
      <c r="A40" s="4">
        <v>43800</v>
      </c>
      <c r="B40" t="s">
        <v>154</v>
      </c>
      <c r="C40" t="s">
        <v>154</v>
      </c>
      <c r="D40" s="184">
        <v>-1100</v>
      </c>
      <c r="F40" s="4">
        <v>44582</v>
      </c>
      <c r="G40" t="s">
        <v>170</v>
      </c>
      <c r="H40" t="s">
        <v>65</v>
      </c>
      <c r="I40" s="184">
        <v>400</v>
      </c>
      <c r="Q40" s="381"/>
      <c r="R40" s="378"/>
      <c r="S40" s="380"/>
      <c r="T40" s="381"/>
      <c r="U40" s="433"/>
      <c r="Y40" s="261"/>
      <c r="Z40" s="261"/>
      <c r="AA40" s="184"/>
    </row>
    <row r="41" spans="1:27" x14ac:dyDescent="0.25">
      <c r="A41" s="4">
        <v>43802</v>
      </c>
      <c r="B41" t="s">
        <v>170</v>
      </c>
      <c r="C41" t="s">
        <v>65</v>
      </c>
      <c r="D41" s="184">
        <v>2138.7800000000002</v>
      </c>
      <c r="F41" s="4">
        <v>44588</v>
      </c>
      <c r="G41" t="s">
        <v>154</v>
      </c>
      <c r="H41" t="s">
        <v>154</v>
      </c>
      <c r="I41" s="184">
        <v>-1520</v>
      </c>
      <c r="Q41" s="381"/>
      <c r="R41" s="378"/>
      <c r="S41" s="380"/>
      <c r="T41" s="381"/>
      <c r="U41" s="433"/>
      <c r="X41" s="4"/>
      <c r="Y41" s="261"/>
      <c r="Z41" s="261"/>
      <c r="AA41" s="184"/>
    </row>
    <row r="42" spans="1:27" x14ac:dyDescent="0.25">
      <c r="A42" s="4">
        <v>43818</v>
      </c>
      <c r="B42" t="s">
        <v>171</v>
      </c>
      <c r="C42" t="s">
        <v>290</v>
      </c>
      <c r="D42" s="184">
        <v>-1500</v>
      </c>
      <c r="F42" s="4">
        <v>44592</v>
      </c>
      <c r="G42" t="s">
        <v>170</v>
      </c>
      <c r="H42" t="s">
        <v>65</v>
      </c>
      <c r="I42" s="184">
        <v>500</v>
      </c>
      <c r="Q42" s="381"/>
      <c r="R42" s="378"/>
      <c r="S42" s="380"/>
      <c r="T42" s="381"/>
      <c r="U42" s="433"/>
      <c r="X42" s="4"/>
      <c r="Y42" s="261"/>
      <c r="Z42" s="261"/>
      <c r="AA42" s="184"/>
    </row>
    <row r="43" spans="1:27" x14ac:dyDescent="0.25">
      <c r="A43" s="4">
        <v>43830</v>
      </c>
      <c r="B43" t="s">
        <v>182</v>
      </c>
      <c r="C43" t="s">
        <v>182</v>
      </c>
      <c r="D43" s="184">
        <v>-3.69</v>
      </c>
      <c r="F43" s="4">
        <v>44606</v>
      </c>
      <c r="G43" t="s">
        <v>170</v>
      </c>
      <c r="H43" t="s">
        <v>65</v>
      </c>
      <c r="I43" s="184">
        <v>1000</v>
      </c>
      <c r="M43" s="280"/>
      <c r="N43" s="261"/>
      <c r="O43" s="261"/>
      <c r="P43" s="261"/>
      <c r="Q43" s="381"/>
      <c r="R43" s="378"/>
      <c r="S43" s="380"/>
      <c r="T43" s="381"/>
      <c r="U43" s="433"/>
      <c r="X43" s="4"/>
      <c r="Y43" s="261"/>
      <c r="Z43" s="261"/>
      <c r="AA43" s="184"/>
    </row>
    <row r="44" spans="1:27" x14ac:dyDescent="0.25">
      <c r="A44" s="4">
        <v>43831</v>
      </c>
      <c r="B44" t="s">
        <v>154</v>
      </c>
      <c r="C44" t="s">
        <v>154</v>
      </c>
      <c r="D44" s="184">
        <v>-1100</v>
      </c>
      <c r="F44" s="4">
        <v>44610</v>
      </c>
      <c r="G44" t="s">
        <v>170</v>
      </c>
      <c r="H44" t="s">
        <v>65</v>
      </c>
      <c r="I44" s="184">
        <v>1125.8699999999999</v>
      </c>
      <c r="M44" s="280"/>
      <c r="N44" s="261"/>
      <c r="O44" s="261"/>
      <c r="P44" s="261"/>
      <c r="Q44" s="381"/>
      <c r="R44" s="378"/>
      <c r="S44" s="380"/>
      <c r="T44" s="381"/>
      <c r="U44" s="433"/>
      <c r="X44" s="4"/>
      <c r="Y44" s="261"/>
      <c r="Z44" s="261"/>
      <c r="AA44" s="184"/>
    </row>
    <row r="45" spans="1:27" x14ac:dyDescent="0.25">
      <c r="A45" s="4">
        <v>43833</v>
      </c>
      <c r="B45" t="s">
        <v>170</v>
      </c>
      <c r="C45" t="s">
        <v>65</v>
      </c>
      <c r="D45" s="184">
        <v>1600.67</v>
      </c>
      <c r="F45" s="4">
        <v>44620</v>
      </c>
      <c r="G45" t="s">
        <v>154</v>
      </c>
      <c r="H45" t="s">
        <v>154</v>
      </c>
      <c r="I45" s="184">
        <v>-1520</v>
      </c>
      <c r="M45" s="280"/>
      <c r="N45" s="261"/>
      <c r="O45" s="261"/>
      <c r="P45" s="261"/>
      <c r="Q45" s="381"/>
      <c r="R45" s="378"/>
      <c r="S45" s="380"/>
      <c r="T45" s="381"/>
      <c r="U45" s="433"/>
      <c r="X45" s="4"/>
      <c r="Y45" s="261"/>
      <c r="Z45" s="261"/>
      <c r="AA45" s="184"/>
    </row>
    <row r="46" spans="1:27" x14ac:dyDescent="0.25">
      <c r="A46" s="4">
        <v>43862</v>
      </c>
      <c r="B46" t="s">
        <v>154</v>
      </c>
      <c r="C46" t="s">
        <v>154</v>
      </c>
      <c r="D46" s="184">
        <v>-1100</v>
      </c>
      <c r="F46" s="4">
        <v>44637</v>
      </c>
      <c r="G46" t="s">
        <v>170</v>
      </c>
      <c r="H46" t="s">
        <v>65</v>
      </c>
      <c r="I46" s="184">
        <v>2402.4699999999998</v>
      </c>
      <c r="M46" s="280"/>
      <c r="N46" s="261"/>
      <c r="O46" s="261"/>
      <c r="P46" s="261"/>
      <c r="Q46" s="381"/>
      <c r="R46" s="378"/>
      <c r="S46" s="380"/>
      <c r="T46" s="381"/>
      <c r="U46" s="433"/>
      <c r="X46" s="4"/>
      <c r="Y46" s="261"/>
      <c r="Z46" s="261"/>
      <c r="AA46" s="184"/>
    </row>
    <row r="47" spans="1:27" x14ac:dyDescent="0.25">
      <c r="A47" s="4">
        <v>43864</v>
      </c>
      <c r="B47" t="s">
        <v>170</v>
      </c>
      <c r="C47" t="s">
        <v>65</v>
      </c>
      <c r="D47" s="184">
        <v>562.07000000000005</v>
      </c>
      <c r="F47" s="4">
        <v>44641</v>
      </c>
      <c r="G47" t="s">
        <v>170</v>
      </c>
      <c r="H47" t="s">
        <v>65</v>
      </c>
      <c r="I47" s="184">
        <v>400</v>
      </c>
      <c r="M47" s="280"/>
      <c r="N47" s="261"/>
      <c r="O47" s="261"/>
      <c r="P47" s="261"/>
      <c r="Q47" s="261"/>
      <c r="R47" s="378"/>
      <c r="S47" s="184"/>
      <c r="U47" s="433"/>
      <c r="X47" s="4"/>
      <c r="Y47" s="261"/>
      <c r="Z47" s="261"/>
      <c r="AA47" s="184"/>
    </row>
    <row r="48" spans="1:27" x14ac:dyDescent="0.25">
      <c r="A48" s="4">
        <v>43891</v>
      </c>
      <c r="B48" t="s">
        <v>154</v>
      </c>
      <c r="C48" t="s">
        <v>154</v>
      </c>
      <c r="D48" s="184">
        <v>-1100</v>
      </c>
      <c r="F48" s="4">
        <v>44650</v>
      </c>
      <c r="G48" t="s">
        <v>154</v>
      </c>
      <c r="H48" t="s">
        <v>154</v>
      </c>
      <c r="I48" s="184">
        <v>-1520</v>
      </c>
      <c r="M48" s="280"/>
      <c r="N48" s="261"/>
      <c r="O48" s="261"/>
      <c r="P48" s="261"/>
      <c r="Q48" s="261"/>
      <c r="R48" s="378"/>
      <c r="S48" s="184"/>
      <c r="U48" s="433"/>
      <c r="X48" s="4"/>
      <c r="Y48" s="261"/>
      <c r="Z48" s="261"/>
      <c r="AA48" s="184"/>
    </row>
    <row r="49" spans="1:28" x14ac:dyDescent="0.25">
      <c r="A49" s="4">
        <v>43934</v>
      </c>
      <c r="B49" t="s">
        <v>154</v>
      </c>
      <c r="C49" t="s">
        <v>154</v>
      </c>
      <c r="D49" s="184">
        <v>-500</v>
      </c>
      <c r="F49" s="4">
        <v>44677</v>
      </c>
      <c r="G49" t="s">
        <v>172</v>
      </c>
      <c r="H49" t="s">
        <v>294</v>
      </c>
      <c r="I49" s="184">
        <v>-1963.55</v>
      </c>
      <c r="M49" s="280"/>
      <c r="N49" s="261"/>
      <c r="O49" s="261"/>
      <c r="P49" s="261"/>
      <c r="Q49" s="261"/>
      <c r="R49" s="378"/>
      <c r="S49" s="184"/>
      <c r="U49" s="433"/>
      <c r="X49" s="4"/>
      <c r="Y49" s="261"/>
      <c r="Z49" s="261"/>
      <c r="AA49" s="184"/>
    </row>
    <row r="50" spans="1:28" x14ac:dyDescent="0.25">
      <c r="A50" s="4">
        <v>43945</v>
      </c>
      <c r="B50" t="s">
        <v>170</v>
      </c>
      <c r="C50" t="s">
        <v>289</v>
      </c>
      <c r="D50" s="184">
        <v>198.6</v>
      </c>
      <c r="F50" s="4">
        <v>44679</v>
      </c>
      <c r="G50" t="s">
        <v>154</v>
      </c>
      <c r="H50" t="s">
        <v>154</v>
      </c>
      <c r="I50" s="184">
        <v>-1520</v>
      </c>
      <c r="M50" s="280"/>
      <c r="N50" s="261"/>
      <c r="O50" s="261"/>
      <c r="P50" s="261"/>
      <c r="Q50" s="261"/>
      <c r="R50" s="378"/>
      <c r="S50" s="184"/>
      <c r="U50" s="433"/>
      <c r="X50" s="4"/>
      <c r="Y50" s="261"/>
      <c r="Z50" s="261"/>
      <c r="AA50" s="184"/>
    </row>
    <row r="51" spans="1:28" x14ac:dyDescent="0.25">
      <c r="A51" s="4">
        <v>43945</v>
      </c>
      <c r="B51" t="s">
        <v>170</v>
      </c>
      <c r="C51" t="s">
        <v>289</v>
      </c>
      <c r="D51" s="184">
        <v>1277.98</v>
      </c>
      <c r="F51" s="4">
        <v>44683</v>
      </c>
      <c r="G51" t="s">
        <v>173</v>
      </c>
      <c r="H51" t="s">
        <v>295</v>
      </c>
      <c r="I51" s="184">
        <v>-4630.99</v>
      </c>
      <c r="M51" s="280"/>
      <c r="N51" s="261"/>
      <c r="O51" s="261"/>
      <c r="P51" s="261"/>
      <c r="Q51" s="261"/>
      <c r="R51" s="378"/>
      <c r="S51" s="184"/>
      <c r="U51" s="433"/>
      <c r="X51" s="4"/>
      <c r="Y51" s="261"/>
      <c r="Z51" s="261"/>
      <c r="AA51" s="184"/>
    </row>
    <row r="52" spans="1:28" x14ac:dyDescent="0.25">
      <c r="A52" s="4">
        <v>43945</v>
      </c>
      <c r="B52" t="s">
        <v>170</v>
      </c>
      <c r="C52" t="s">
        <v>289</v>
      </c>
      <c r="D52" s="184">
        <v>1303.5</v>
      </c>
      <c r="F52" s="4">
        <v>44683</v>
      </c>
      <c r="G52" t="s">
        <v>173</v>
      </c>
      <c r="H52" t="s">
        <v>296</v>
      </c>
      <c r="I52" s="184">
        <v>-892.03</v>
      </c>
      <c r="M52" s="280"/>
      <c r="N52" s="261"/>
      <c r="O52" s="261"/>
      <c r="P52" s="261"/>
      <c r="Q52" s="261"/>
      <c r="R52" s="378"/>
      <c r="S52" s="184"/>
      <c r="U52" s="433"/>
      <c r="X52" s="4"/>
      <c r="Y52" s="261"/>
      <c r="Z52" s="261"/>
      <c r="AA52" s="184"/>
    </row>
    <row r="53" spans="1:28" x14ac:dyDescent="0.25">
      <c r="A53" s="4">
        <v>43948</v>
      </c>
      <c r="B53" t="s">
        <v>154</v>
      </c>
      <c r="C53" t="s">
        <v>154</v>
      </c>
      <c r="D53" s="184">
        <v>-600</v>
      </c>
      <c r="F53" s="4">
        <v>44683</v>
      </c>
      <c r="G53" t="s">
        <v>173</v>
      </c>
      <c r="H53" t="s">
        <v>297</v>
      </c>
      <c r="I53" s="184">
        <v>-1642.08</v>
      </c>
      <c r="M53" s="280"/>
      <c r="N53" s="261"/>
      <c r="O53" s="261"/>
      <c r="P53" s="261"/>
      <c r="Q53" s="261"/>
      <c r="R53" s="378"/>
      <c r="S53" s="184"/>
      <c r="U53" s="433"/>
      <c r="X53" s="4"/>
      <c r="Y53" s="261"/>
      <c r="Z53" s="261"/>
      <c r="AA53" s="184"/>
    </row>
    <row r="54" spans="1:28" x14ac:dyDescent="0.25">
      <c r="A54" s="4">
        <v>43956</v>
      </c>
      <c r="B54" t="s">
        <v>170</v>
      </c>
      <c r="C54" t="s">
        <v>289</v>
      </c>
      <c r="D54" s="184">
        <v>1290.9000000000001</v>
      </c>
      <c r="F54" s="4">
        <v>44683</v>
      </c>
      <c r="G54" t="s">
        <v>173</v>
      </c>
      <c r="H54" t="s">
        <v>298</v>
      </c>
      <c r="I54" s="184">
        <v>-566.72</v>
      </c>
      <c r="M54" s="280"/>
      <c r="N54" s="261"/>
      <c r="O54" s="261"/>
      <c r="P54" s="261"/>
      <c r="Q54" s="261"/>
      <c r="R54" s="184"/>
      <c r="S54" s="184"/>
      <c r="U54" s="433"/>
      <c r="X54" s="4"/>
      <c r="Y54" s="261"/>
      <c r="Z54" s="261"/>
      <c r="AA54" s="184"/>
    </row>
    <row r="55" spans="1:28" x14ac:dyDescent="0.25">
      <c r="A55" s="4">
        <v>43956</v>
      </c>
      <c r="B55" t="s">
        <v>154</v>
      </c>
      <c r="C55" t="s">
        <v>154</v>
      </c>
      <c r="D55" s="184">
        <v>-1100</v>
      </c>
      <c r="F55" s="4">
        <v>44683</v>
      </c>
      <c r="G55" t="s">
        <v>173</v>
      </c>
      <c r="H55" t="s">
        <v>299</v>
      </c>
      <c r="I55" s="184">
        <v>-7478.85</v>
      </c>
      <c r="M55" s="280"/>
      <c r="N55" s="261"/>
      <c r="O55" s="261"/>
      <c r="P55" s="261"/>
      <c r="Q55" s="261"/>
      <c r="R55" s="184"/>
      <c r="S55" s="184"/>
      <c r="U55" s="433"/>
      <c r="X55" s="4"/>
      <c r="Y55" s="261"/>
      <c r="Z55" s="261"/>
      <c r="AA55" s="184"/>
    </row>
    <row r="56" spans="1:28" x14ac:dyDescent="0.25">
      <c r="A56" s="4">
        <v>43963</v>
      </c>
      <c r="B56" t="s">
        <v>184</v>
      </c>
      <c r="C56" t="s">
        <v>288</v>
      </c>
      <c r="D56" s="184">
        <v>2131.34</v>
      </c>
      <c r="F56" s="4">
        <v>44686</v>
      </c>
      <c r="G56" t="s">
        <v>173</v>
      </c>
      <c r="H56" t="s">
        <v>300</v>
      </c>
      <c r="I56" s="184">
        <v>-263.25</v>
      </c>
      <c r="M56" s="280"/>
      <c r="N56" s="261"/>
      <c r="O56" s="261"/>
      <c r="P56" s="261"/>
      <c r="Q56" s="261"/>
      <c r="R56" s="184"/>
      <c r="S56" s="184"/>
      <c r="X56" s="4"/>
      <c r="Y56" s="261"/>
      <c r="Z56" s="261"/>
      <c r="AA56" s="184"/>
    </row>
    <row r="57" spans="1:28" x14ac:dyDescent="0.25">
      <c r="A57" s="4">
        <v>43976</v>
      </c>
      <c r="B57" t="s">
        <v>183</v>
      </c>
      <c r="C57" t="s">
        <v>291</v>
      </c>
      <c r="D57" s="184">
        <v>-806.71</v>
      </c>
      <c r="F57" s="4">
        <v>44686</v>
      </c>
      <c r="G57" t="s">
        <v>173</v>
      </c>
      <c r="H57" t="s">
        <v>301</v>
      </c>
      <c r="I57" s="184">
        <v>-650.38</v>
      </c>
      <c r="M57" s="280"/>
      <c r="N57" s="261"/>
      <c r="O57" s="261"/>
      <c r="P57" s="261"/>
      <c r="Q57" s="261"/>
      <c r="R57" s="184"/>
      <c r="S57" s="184"/>
      <c r="X57" s="4"/>
      <c r="Y57" s="261"/>
      <c r="Z57" s="261"/>
      <c r="AA57" s="184"/>
    </row>
    <row r="58" spans="1:28" x14ac:dyDescent="0.25">
      <c r="A58" s="4">
        <v>43980</v>
      </c>
      <c r="B58" t="s">
        <v>170</v>
      </c>
      <c r="C58" t="s">
        <v>65</v>
      </c>
      <c r="D58" s="184">
        <v>472.97</v>
      </c>
      <c r="F58" s="4">
        <v>44686</v>
      </c>
      <c r="G58" t="s">
        <v>173</v>
      </c>
      <c r="H58" t="s">
        <v>302</v>
      </c>
      <c r="I58" s="184">
        <v>-465.31</v>
      </c>
      <c r="M58" s="280"/>
      <c r="N58" s="261"/>
      <c r="O58" s="261"/>
      <c r="P58" s="261"/>
      <c r="Q58" s="261"/>
      <c r="R58" s="184"/>
      <c r="S58" s="184"/>
      <c r="X58" s="4"/>
      <c r="Y58" s="261"/>
      <c r="Z58" s="261"/>
      <c r="AA58" s="184"/>
    </row>
    <row r="59" spans="1:28" x14ac:dyDescent="0.25">
      <c r="A59" s="4">
        <v>43983</v>
      </c>
      <c r="B59" t="s">
        <v>170</v>
      </c>
      <c r="C59" t="s">
        <v>65</v>
      </c>
      <c r="D59" s="184">
        <v>89.65</v>
      </c>
      <c r="F59" s="4">
        <v>44686</v>
      </c>
      <c r="G59" t="s">
        <v>173</v>
      </c>
      <c r="H59" t="s">
        <v>303</v>
      </c>
      <c r="I59" s="184">
        <v>-870.38</v>
      </c>
      <c r="M59" s="280"/>
      <c r="N59" s="261"/>
      <c r="O59" s="261"/>
      <c r="P59" s="261"/>
      <c r="Q59" s="261"/>
      <c r="R59" s="184"/>
      <c r="S59" s="184"/>
      <c r="X59" s="4"/>
      <c r="Y59" s="261"/>
      <c r="Z59" s="261"/>
      <c r="AA59" s="184"/>
    </row>
    <row r="60" spans="1:28" x14ac:dyDescent="0.25">
      <c r="A60" s="4">
        <v>43983</v>
      </c>
      <c r="B60" t="s">
        <v>170</v>
      </c>
      <c r="C60" t="s">
        <v>65</v>
      </c>
      <c r="D60" s="184">
        <v>587.15</v>
      </c>
      <c r="F60" s="4">
        <v>44720</v>
      </c>
      <c r="G60" t="s">
        <v>184</v>
      </c>
      <c r="H60" t="s">
        <v>288</v>
      </c>
      <c r="I60" s="184">
        <v>3867.31</v>
      </c>
      <c r="M60" s="280"/>
      <c r="N60" s="261"/>
      <c r="O60" s="261"/>
      <c r="P60" s="261"/>
      <c r="Q60" s="261"/>
      <c r="R60" s="184"/>
      <c r="S60" s="184"/>
      <c r="X60" s="4"/>
      <c r="Y60" s="261"/>
      <c r="Z60" s="261"/>
      <c r="AA60" s="184"/>
    </row>
    <row r="61" spans="1:28" x14ac:dyDescent="0.25">
      <c r="A61" s="4">
        <v>43985</v>
      </c>
      <c r="B61" t="s">
        <v>154</v>
      </c>
      <c r="C61" t="s">
        <v>154</v>
      </c>
      <c r="D61" s="184">
        <v>-1000</v>
      </c>
      <c r="F61" s="4">
        <v>44742</v>
      </c>
      <c r="G61" t="s">
        <v>171</v>
      </c>
      <c r="H61" t="s">
        <v>304</v>
      </c>
      <c r="I61" s="184">
        <v>1240</v>
      </c>
      <c r="M61" s="280"/>
      <c r="N61" s="261"/>
      <c r="O61" s="261"/>
      <c r="P61" s="261"/>
      <c r="Q61" s="261"/>
      <c r="R61" s="184"/>
      <c r="S61" s="184"/>
      <c r="X61" s="4"/>
      <c r="Y61" s="261"/>
      <c r="Z61" s="261"/>
      <c r="AA61" s="184"/>
    </row>
    <row r="62" spans="1:28" x14ac:dyDescent="0.25">
      <c r="A62" s="4">
        <v>43985</v>
      </c>
      <c r="B62" t="s">
        <v>170</v>
      </c>
      <c r="C62" t="s">
        <v>289</v>
      </c>
      <c r="D62" s="184">
        <v>414.75</v>
      </c>
      <c r="F62" s="4">
        <v>44770</v>
      </c>
      <c r="G62" t="s">
        <v>170</v>
      </c>
      <c r="H62" t="s">
        <v>305</v>
      </c>
      <c r="I62" s="184">
        <v>1507.74</v>
      </c>
      <c r="M62" s="280"/>
      <c r="N62" s="261"/>
      <c r="O62" s="261"/>
      <c r="P62" s="261"/>
      <c r="Q62" s="261"/>
      <c r="R62" s="184"/>
      <c r="S62" s="184"/>
      <c r="X62" s="4"/>
      <c r="Y62" s="261"/>
      <c r="Z62" s="261"/>
      <c r="AB62" s="184"/>
    </row>
    <row r="63" spans="1:28" x14ac:dyDescent="0.25">
      <c r="A63" s="4">
        <v>43987</v>
      </c>
      <c r="B63" t="s">
        <v>170</v>
      </c>
      <c r="C63" t="s">
        <v>65</v>
      </c>
      <c r="D63" s="184">
        <v>27.63</v>
      </c>
      <c r="F63" s="4">
        <v>44770</v>
      </c>
      <c r="G63" t="s">
        <v>170</v>
      </c>
      <c r="H63" t="s">
        <v>306</v>
      </c>
      <c r="I63" s="184">
        <v>1507.74</v>
      </c>
      <c r="M63" s="280"/>
      <c r="N63" s="261"/>
      <c r="O63" s="261"/>
      <c r="P63" s="261"/>
      <c r="Q63" s="261"/>
      <c r="R63" s="184"/>
      <c r="S63" s="184"/>
      <c r="X63" s="4"/>
      <c r="Y63" s="261"/>
      <c r="Z63" s="261"/>
      <c r="AB63" s="184"/>
    </row>
    <row r="64" spans="1:28" x14ac:dyDescent="0.25">
      <c r="A64" s="4">
        <v>43987</v>
      </c>
      <c r="B64" t="s">
        <v>170</v>
      </c>
      <c r="C64" t="s">
        <v>65</v>
      </c>
      <c r="D64" s="184">
        <v>356.6</v>
      </c>
      <c r="F64" s="4">
        <v>44782</v>
      </c>
      <c r="G64" t="s">
        <v>170</v>
      </c>
      <c r="H64" t="s">
        <v>307</v>
      </c>
      <c r="I64" s="184">
        <v>1507.74</v>
      </c>
      <c r="M64" s="280"/>
      <c r="N64" s="261"/>
      <c r="O64" s="261"/>
      <c r="P64" s="261"/>
      <c r="Q64" s="261"/>
      <c r="R64" s="184"/>
      <c r="S64" s="184"/>
      <c r="X64" s="4"/>
      <c r="Y64" s="261"/>
      <c r="Z64" s="261"/>
      <c r="AA64" s="184"/>
    </row>
    <row r="65" spans="1:27" x14ac:dyDescent="0.25">
      <c r="A65" s="4">
        <v>43990</v>
      </c>
      <c r="B65" t="s">
        <v>154</v>
      </c>
      <c r="C65" t="s">
        <v>154</v>
      </c>
      <c r="D65" s="184">
        <v>-400</v>
      </c>
      <c r="F65" s="4">
        <v>44782</v>
      </c>
      <c r="G65" t="s">
        <v>154</v>
      </c>
      <c r="H65" t="s">
        <v>308</v>
      </c>
      <c r="I65" s="184">
        <v>-1115.67</v>
      </c>
      <c r="M65" s="280"/>
      <c r="N65" s="261"/>
      <c r="O65" s="261"/>
      <c r="P65" s="261"/>
      <c r="Q65" s="261"/>
      <c r="R65" s="184"/>
      <c r="S65" s="184"/>
      <c r="X65" s="4"/>
      <c r="Y65" s="261"/>
      <c r="Z65" s="261"/>
      <c r="AA65" s="184"/>
    </row>
    <row r="66" spans="1:27" x14ac:dyDescent="0.25">
      <c r="A66" s="4">
        <v>43994</v>
      </c>
      <c r="B66" t="s">
        <v>170</v>
      </c>
      <c r="C66" t="s">
        <v>65</v>
      </c>
      <c r="D66" s="184">
        <v>546.80999999999995</v>
      </c>
      <c r="F66" s="4">
        <v>44804</v>
      </c>
      <c r="G66" t="s">
        <v>170</v>
      </c>
      <c r="H66" t="s">
        <v>309</v>
      </c>
      <c r="I66" s="184">
        <v>1597.05</v>
      </c>
      <c r="M66" s="280"/>
      <c r="N66" s="261"/>
      <c r="O66" s="261"/>
      <c r="P66" s="261"/>
      <c r="Q66" s="261"/>
      <c r="R66" s="184"/>
      <c r="S66" s="184"/>
      <c r="X66" s="4"/>
      <c r="Y66" s="261"/>
      <c r="Z66" s="261"/>
      <c r="AA66" s="184"/>
    </row>
    <row r="67" spans="1:27" x14ac:dyDescent="0.25">
      <c r="A67" s="4">
        <v>44001</v>
      </c>
      <c r="B67" t="s">
        <v>170</v>
      </c>
      <c r="C67" t="s">
        <v>65</v>
      </c>
      <c r="D67" s="184">
        <v>455.52</v>
      </c>
      <c r="F67" s="4">
        <v>44804</v>
      </c>
      <c r="G67" t="s">
        <v>154</v>
      </c>
      <c r="H67" t="s">
        <v>310</v>
      </c>
      <c r="I67" s="184">
        <v>-1115.67</v>
      </c>
      <c r="M67" s="280"/>
      <c r="N67" s="261"/>
      <c r="O67" s="261"/>
      <c r="P67" s="261"/>
      <c r="Q67" s="261"/>
      <c r="R67" s="184"/>
      <c r="S67" s="184"/>
      <c r="X67" s="4"/>
      <c r="Y67" s="261"/>
      <c r="Z67" s="261"/>
      <c r="AA67" s="184"/>
    </row>
    <row r="68" spans="1:27" x14ac:dyDescent="0.25">
      <c r="A68" s="4">
        <v>44008</v>
      </c>
      <c r="B68" t="s">
        <v>170</v>
      </c>
      <c r="C68" t="s">
        <v>65</v>
      </c>
      <c r="D68" s="184">
        <v>92.89</v>
      </c>
      <c r="F68" s="4">
        <v>44812</v>
      </c>
      <c r="G68" t="s">
        <v>173</v>
      </c>
      <c r="H68" t="s">
        <v>311</v>
      </c>
      <c r="I68" s="184">
        <v>-3964.03</v>
      </c>
      <c r="M68" s="280"/>
      <c r="N68" s="261"/>
      <c r="O68" s="261"/>
      <c r="P68" s="261"/>
      <c r="Q68" s="261"/>
      <c r="R68" s="184"/>
      <c r="S68" s="184"/>
      <c r="X68" s="4"/>
      <c r="Y68" s="261"/>
      <c r="Z68" s="261"/>
      <c r="AA68" s="184"/>
    </row>
    <row r="69" spans="1:27" x14ac:dyDescent="0.25">
      <c r="A69" s="4">
        <v>44011</v>
      </c>
      <c r="B69" t="s">
        <v>170</v>
      </c>
      <c r="C69" t="s">
        <v>65</v>
      </c>
      <c r="D69" s="184">
        <v>133.28</v>
      </c>
      <c r="F69" s="4">
        <v>44812</v>
      </c>
      <c r="G69" t="s">
        <v>173</v>
      </c>
      <c r="H69" t="s">
        <v>312</v>
      </c>
      <c r="I69" s="184">
        <v>-763.56</v>
      </c>
      <c r="M69" s="280"/>
      <c r="N69" s="261"/>
      <c r="O69" s="261"/>
      <c r="P69" s="261"/>
      <c r="Q69" s="261"/>
      <c r="R69" s="184"/>
      <c r="S69" s="184"/>
      <c r="X69" s="4"/>
      <c r="Y69" s="261"/>
      <c r="Z69" s="261"/>
      <c r="AA69" s="184"/>
    </row>
    <row r="70" spans="1:27" x14ac:dyDescent="0.25">
      <c r="A70" s="4">
        <v>44011</v>
      </c>
      <c r="B70" t="s">
        <v>154</v>
      </c>
      <c r="C70" t="s">
        <v>154</v>
      </c>
      <c r="D70" s="184">
        <v>-1100</v>
      </c>
      <c r="F70" s="4">
        <v>44812</v>
      </c>
      <c r="G70" t="s">
        <v>173</v>
      </c>
      <c r="H70" t="s">
        <v>313</v>
      </c>
      <c r="I70" s="184">
        <v>-1405.59</v>
      </c>
      <c r="M70" s="280"/>
      <c r="N70" s="261"/>
      <c r="O70" s="261"/>
      <c r="P70" s="261"/>
      <c r="Q70" s="261"/>
      <c r="R70" s="184"/>
      <c r="S70" s="184"/>
      <c r="X70" s="4"/>
      <c r="Y70" s="261"/>
      <c r="Z70" s="261"/>
      <c r="AA70" s="184"/>
    </row>
    <row r="71" spans="1:27" x14ac:dyDescent="0.25">
      <c r="A71" s="4">
        <v>44014</v>
      </c>
      <c r="B71" t="s">
        <v>170</v>
      </c>
      <c r="C71" t="s">
        <v>289</v>
      </c>
      <c r="D71" s="184">
        <v>770.25</v>
      </c>
      <c r="F71" s="4">
        <v>44812</v>
      </c>
      <c r="G71" t="s">
        <v>173</v>
      </c>
      <c r="H71" t="s">
        <v>314</v>
      </c>
      <c r="I71" s="184">
        <v>-485.1</v>
      </c>
      <c r="M71" s="280"/>
      <c r="N71" s="261"/>
      <c r="O71" s="261"/>
      <c r="P71" s="261"/>
      <c r="Q71" s="261"/>
      <c r="R71" s="184"/>
      <c r="S71" s="184"/>
      <c r="X71" s="4"/>
      <c r="Y71" s="261"/>
      <c r="Z71" s="261"/>
      <c r="AA71" s="184"/>
    </row>
    <row r="72" spans="1:27" x14ac:dyDescent="0.25">
      <c r="A72" s="4">
        <v>44021</v>
      </c>
      <c r="B72" t="s">
        <v>170</v>
      </c>
      <c r="C72" t="s">
        <v>65</v>
      </c>
      <c r="D72" s="184">
        <v>4.62</v>
      </c>
      <c r="F72" s="4">
        <v>44812</v>
      </c>
      <c r="G72" t="s">
        <v>173</v>
      </c>
      <c r="H72" t="s">
        <v>315</v>
      </c>
      <c r="I72" s="184">
        <v>-6401.73</v>
      </c>
      <c r="M72" s="280"/>
      <c r="N72" s="261"/>
      <c r="O72" s="261"/>
      <c r="P72" s="261"/>
      <c r="Q72" s="261"/>
      <c r="R72" s="184"/>
      <c r="S72" s="184"/>
      <c r="X72" s="4"/>
      <c r="Y72" s="261"/>
      <c r="Z72" s="261"/>
      <c r="AA72" s="184"/>
    </row>
    <row r="73" spans="1:27" x14ac:dyDescent="0.25">
      <c r="A73" s="4">
        <v>44050</v>
      </c>
      <c r="B73" t="s">
        <v>154</v>
      </c>
      <c r="C73" t="s">
        <v>154</v>
      </c>
      <c r="D73" s="184">
        <v>-500</v>
      </c>
      <c r="F73" s="4">
        <v>44834</v>
      </c>
      <c r="G73" t="s">
        <v>170</v>
      </c>
      <c r="H73" t="s">
        <v>316</v>
      </c>
      <c r="I73" s="184">
        <v>1537.9</v>
      </c>
      <c r="K73" s="283"/>
      <c r="L73" s="283"/>
      <c r="M73" s="280"/>
      <c r="N73" s="280"/>
      <c r="O73" s="280"/>
      <c r="P73" s="280"/>
      <c r="Q73" s="261"/>
      <c r="R73" s="184"/>
      <c r="S73" s="184"/>
      <c r="X73" s="4"/>
      <c r="Y73" s="261"/>
      <c r="Z73" s="261"/>
      <c r="AA73" s="184"/>
    </row>
    <row r="74" spans="1:27" x14ac:dyDescent="0.25">
      <c r="A74" s="4">
        <v>44061</v>
      </c>
      <c r="B74" t="s">
        <v>170</v>
      </c>
      <c r="C74" t="s">
        <v>65</v>
      </c>
      <c r="D74" s="184">
        <v>774.95</v>
      </c>
      <c r="F74" s="4">
        <v>44834</v>
      </c>
      <c r="G74" t="s">
        <v>154</v>
      </c>
      <c r="H74" t="s">
        <v>317</v>
      </c>
      <c r="I74" s="184">
        <v>-1137.97</v>
      </c>
      <c r="L74" s="4"/>
      <c r="M74" s="261"/>
      <c r="N74" s="261"/>
      <c r="O74" s="261"/>
      <c r="P74" s="261"/>
      <c r="Q74" s="261"/>
      <c r="R74" s="184"/>
      <c r="S74" s="184"/>
      <c r="X74" s="4"/>
      <c r="Y74" s="261"/>
      <c r="Z74" s="261"/>
      <c r="AA74" s="184"/>
    </row>
    <row r="75" spans="1:27" x14ac:dyDescent="0.25">
      <c r="A75" s="4">
        <v>44061</v>
      </c>
      <c r="B75" t="s">
        <v>154</v>
      </c>
      <c r="C75" t="s">
        <v>154</v>
      </c>
      <c r="D75" s="184">
        <v>-600</v>
      </c>
      <c r="F75" s="4">
        <v>44851</v>
      </c>
      <c r="G75" t="s">
        <v>172</v>
      </c>
      <c r="H75" t="s">
        <v>210</v>
      </c>
      <c r="I75" s="184">
        <v>-840.61</v>
      </c>
      <c r="L75" s="4"/>
      <c r="M75" s="261"/>
      <c r="N75" s="261"/>
      <c r="O75" s="261"/>
      <c r="P75" s="261"/>
      <c r="Q75" s="261"/>
      <c r="R75" s="184"/>
      <c r="S75" s="184"/>
      <c r="X75" s="4"/>
      <c r="Y75" s="261"/>
      <c r="Z75" s="261"/>
      <c r="AA75" s="184"/>
    </row>
    <row r="76" spans="1:27" x14ac:dyDescent="0.25">
      <c r="A76" s="4">
        <v>44064</v>
      </c>
      <c r="B76" t="s">
        <v>170</v>
      </c>
      <c r="C76" t="s">
        <v>65</v>
      </c>
      <c r="D76" s="184">
        <v>400</v>
      </c>
      <c r="F76" s="4">
        <v>44865</v>
      </c>
      <c r="G76" t="s">
        <v>170</v>
      </c>
      <c r="H76" t="s">
        <v>318</v>
      </c>
      <c r="I76" s="184">
        <v>768.95</v>
      </c>
      <c r="L76" s="4"/>
      <c r="M76" s="261"/>
      <c r="N76" s="261"/>
      <c r="O76" s="261"/>
      <c r="P76" s="261"/>
      <c r="Q76" s="261"/>
      <c r="R76" s="184"/>
      <c r="S76" s="184"/>
      <c r="X76" s="4"/>
      <c r="Y76" s="261"/>
      <c r="Z76" s="261"/>
      <c r="AA76" s="184"/>
    </row>
    <row r="77" spans="1:27" x14ac:dyDescent="0.25">
      <c r="A77" s="4">
        <v>44067</v>
      </c>
      <c r="B77" t="s">
        <v>170</v>
      </c>
      <c r="C77" t="s">
        <v>289</v>
      </c>
      <c r="D77" s="184">
        <v>38.4</v>
      </c>
      <c r="F77" s="4">
        <v>44865</v>
      </c>
      <c r="G77" t="s">
        <v>154</v>
      </c>
      <c r="H77" t="s">
        <v>319</v>
      </c>
      <c r="I77" s="184">
        <v>-758.64</v>
      </c>
      <c r="L77" s="4"/>
      <c r="M77" s="261"/>
      <c r="N77" s="261"/>
      <c r="O77" s="261"/>
      <c r="P77" s="261"/>
      <c r="Q77" s="261"/>
      <c r="R77" s="184"/>
      <c r="S77" s="184"/>
      <c r="X77" s="4"/>
      <c r="Y77" s="261"/>
      <c r="Z77" s="261"/>
      <c r="AA77" s="184"/>
    </row>
    <row r="78" spans="1:27" x14ac:dyDescent="0.25">
      <c r="A78" s="4">
        <v>44067</v>
      </c>
      <c r="B78" t="s">
        <v>170</v>
      </c>
      <c r="C78" t="s">
        <v>289</v>
      </c>
      <c r="D78" s="184">
        <v>249.6</v>
      </c>
      <c r="F78" s="4">
        <v>44903</v>
      </c>
      <c r="G78" t="s">
        <v>170</v>
      </c>
      <c r="H78" t="s">
        <v>320</v>
      </c>
      <c r="I78" s="184">
        <v>117.4</v>
      </c>
      <c r="L78" s="4"/>
      <c r="M78" s="261"/>
      <c r="N78" s="261"/>
      <c r="O78" s="261"/>
      <c r="P78" s="261"/>
      <c r="Q78" s="261"/>
      <c r="R78" s="184"/>
      <c r="S78" s="184"/>
      <c r="X78" s="4"/>
      <c r="Y78" s="261"/>
      <c r="Z78" s="261"/>
      <c r="AA78" s="184"/>
    </row>
    <row r="79" spans="1:27" x14ac:dyDescent="0.25">
      <c r="A79" s="4">
        <v>44077</v>
      </c>
      <c r="B79" t="s">
        <v>154</v>
      </c>
      <c r="C79" t="s">
        <v>154</v>
      </c>
      <c r="D79" s="184">
        <v>-600</v>
      </c>
      <c r="F79" s="4">
        <v>44903</v>
      </c>
      <c r="G79" t="s">
        <v>170</v>
      </c>
      <c r="H79" t="s">
        <v>320</v>
      </c>
      <c r="I79" s="184">
        <v>118.3</v>
      </c>
      <c r="L79" s="4"/>
      <c r="M79" s="261"/>
      <c r="N79" s="261"/>
      <c r="O79" s="261"/>
      <c r="P79" s="261"/>
      <c r="Q79" s="261"/>
      <c r="R79" s="184"/>
      <c r="S79" s="184"/>
      <c r="X79" s="4"/>
      <c r="Y79" s="261"/>
      <c r="Z79" s="261"/>
      <c r="AA79" s="184"/>
    </row>
    <row r="80" spans="1:27" x14ac:dyDescent="0.25">
      <c r="A80" s="4">
        <v>44085</v>
      </c>
      <c r="B80" t="s">
        <v>170</v>
      </c>
      <c r="C80" t="s">
        <v>65</v>
      </c>
      <c r="D80" s="184">
        <v>500</v>
      </c>
      <c r="F80" s="4">
        <v>44903</v>
      </c>
      <c r="G80" t="s">
        <v>170</v>
      </c>
      <c r="H80" t="s">
        <v>320</v>
      </c>
      <c r="I80" s="184">
        <v>633.16</v>
      </c>
      <c r="L80" s="4"/>
      <c r="M80" s="261"/>
      <c r="N80" s="261"/>
      <c r="O80" s="261"/>
      <c r="P80" s="261"/>
      <c r="Q80" s="261"/>
      <c r="R80" s="184"/>
      <c r="S80" s="184"/>
      <c r="X80" s="4"/>
      <c r="Y80" s="261"/>
      <c r="Z80" s="261"/>
      <c r="AA80" s="184"/>
    </row>
    <row r="81" spans="1:27" x14ac:dyDescent="0.25">
      <c r="A81" s="4">
        <v>44085</v>
      </c>
      <c r="B81" t="s">
        <v>154</v>
      </c>
      <c r="C81" t="s">
        <v>154</v>
      </c>
      <c r="D81" s="184">
        <v>-500</v>
      </c>
      <c r="F81" s="4">
        <v>44903</v>
      </c>
      <c r="G81" t="s">
        <v>154</v>
      </c>
      <c r="H81" t="s">
        <v>321</v>
      </c>
      <c r="I81" s="184">
        <v>-758.64</v>
      </c>
      <c r="L81" s="4"/>
      <c r="M81" s="261"/>
      <c r="N81" s="261"/>
      <c r="O81" s="261"/>
      <c r="P81" s="261"/>
      <c r="Q81" s="261"/>
      <c r="R81" s="184"/>
      <c r="S81" s="184"/>
      <c r="X81" s="4"/>
      <c r="Y81" s="261"/>
      <c r="Z81" s="261"/>
      <c r="AA81" s="184"/>
    </row>
    <row r="82" spans="1:27" x14ac:dyDescent="0.25">
      <c r="A82" s="4">
        <v>44091</v>
      </c>
      <c r="B82" t="s">
        <v>170</v>
      </c>
      <c r="C82" t="s">
        <v>65</v>
      </c>
      <c r="D82" s="184">
        <v>342.43</v>
      </c>
      <c r="F82" s="4">
        <v>44925</v>
      </c>
      <c r="G82" s="4" t="s">
        <v>182</v>
      </c>
      <c r="H82" t="s">
        <v>182</v>
      </c>
      <c r="I82" s="184">
        <v>-4.92</v>
      </c>
      <c r="L82" s="4"/>
      <c r="M82" s="261"/>
      <c r="N82" s="261"/>
      <c r="O82" s="261"/>
      <c r="P82" s="261"/>
      <c r="Q82" s="261"/>
      <c r="R82" s="184"/>
      <c r="S82" s="184"/>
      <c r="X82" s="4"/>
      <c r="Y82" s="261"/>
      <c r="Z82" s="261"/>
      <c r="AA82" s="184"/>
    </row>
    <row r="83" spans="1:27" x14ac:dyDescent="0.25">
      <c r="A83" s="4">
        <v>44091</v>
      </c>
      <c r="B83" t="s">
        <v>170</v>
      </c>
      <c r="C83" t="s">
        <v>65</v>
      </c>
      <c r="D83" s="184">
        <v>978.66</v>
      </c>
      <c r="F83" s="4"/>
      <c r="I83" s="184"/>
      <c r="L83" s="4"/>
      <c r="M83" s="261"/>
      <c r="N83" s="261"/>
      <c r="O83" s="261"/>
      <c r="P83" s="261"/>
      <c r="Q83" s="261"/>
      <c r="R83" s="184"/>
      <c r="S83" s="184"/>
      <c r="X83" s="4"/>
      <c r="Y83" s="261"/>
      <c r="Z83" s="261"/>
      <c r="AA83" s="184"/>
    </row>
    <row r="84" spans="1:27" x14ac:dyDescent="0.25">
      <c r="A84" s="4">
        <v>44098</v>
      </c>
      <c r="B84" t="s">
        <v>154</v>
      </c>
      <c r="C84" t="s">
        <v>154</v>
      </c>
      <c r="D84" s="184">
        <v>-200</v>
      </c>
      <c r="F84" s="4"/>
      <c r="I84" s="184"/>
      <c r="L84" s="4"/>
      <c r="M84" s="261"/>
      <c r="N84" s="261"/>
      <c r="O84" s="261"/>
      <c r="P84" s="261"/>
      <c r="Q84" s="261"/>
      <c r="R84" s="184"/>
      <c r="S84" s="184"/>
      <c r="X84" s="4"/>
      <c r="Y84" s="261"/>
      <c r="Z84" s="261"/>
      <c r="AA84" s="184"/>
    </row>
    <row r="85" spans="1:27" x14ac:dyDescent="0.25">
      <c r="A85" s="4">
        <v>44105</v>
      </c>
      <c r="B85" t="s">
        <v>170</v>
      </c>
      <c r="C85" t="s">
        <v>65</v>
      </c>
      <c r="D85" s="184">
        <v>500</v>
      </c>
      <c r="F85" s="4"/>
      <c r="I85" s="184"/>
      <c r="L85" s="4"/>
      <c r="M85" s="261"/>
      <c r="N85" s="261"/>
      <c r="O85" s="261"/>
      <c r="P85" s="261"/>
      <c r="Q85" s="261"/>
      <c r="R85" s="184"/>
      <c r="S85" s="184"/>
      <c r="X85" s="4"/>
      <c r="Y85" s="261"/>
      <c r="Z85" s="261"/>
      <c r="AA85" s="184"/>
    </row>
    <row r="86" spans="1:27" x14ac:dyDescent="0.25">
      <c r="A86" s="4">
        <v>44105</v>
      </c>
      <c r="B86" t="s">
        <v>154</v>
      </c>
      <c r="C86" t="s">
        <v>154</v>
      </c>
      <c r="D86" s="184">
        <v>-1300</v>
      </c>
      <c r="F86" s="4"/>
      <c r="I86" s="184"/>
      <c r="L86" s="4"/>
      <c r="M86" s="261"/>
      <c r="N86" s="261"/>
      <c r="O86" s="261"/>
      <c r="P86" s="261"/>
      <c r="Q86" s="261"/>
      <c r="R86" s="184"/>
      <c r="S86" s="184"/>
      <c r="X86" s="4"/>
      <c r="Y86" s="261"/>
      <c r="Z86" s="261"/>
      <c r="AA86" s="184"/>
    </row>
    <row r="87" spans="1:27" x14ac:dyDescent="0.25">
      <c r="A87" s="4">
        <v>44111</v>
      </c>
      <c r="B87" t="s">
        <v>170</v>
      </c>
      <c r="C87" t="s">
        <v>289</v>
      </c>
      <c r="D87" s="184">
        <v>1185</v>
      </c>
      <c r="F87" s="4"/>
      <c r="I87" s="184"/>
      <c r="L87" s="4"/>
      <c r="M87" s="261"/>
      <c r="N87" s="261"/>
      <c r="O87" s="261"/>
      <c r="P87" s="261"/>
      <c r="Q87" s="261"/>
      <c r="R87" s="184"/>
      <c r="S87" s="184"/>
      <c r="X87" s="4"/>
      <c r="Y87" s="261"/>
      <c r="Z87" s="261"/>
      <c r="AA87" s="184"/>
    </row>
    <row r="88" spans="1:27" x14ac:dyDescent="0.25">
      <c r="A88" s="4">
        <v>44125</v>
      </c>
      <c r="B88" t="s">
        <v>154</v>
      </c>
      <c r="C88" t="s">
        <v>154</v>
      </c>
      <c r="D88" s="184">
        <v>-220</v>
      </c>
      <c r="F88" s="4"/>
      <c r="I88" s="184"/>
      <c r="L88" s="4"/>
      <c r="M88" s="261"/>
      <c r="N88" s="261"/>
      <c r="O88" s="261"/>
      <c r="P88" s="261"/>
      <c r="Q88" s="261"/>
      <c r="R88" s="184"/>
      <c r="S88" s="184"/>
      <c r="X88" s="4"/>
      <c r="Y88" s="261"/>
      <c r="Z88" s="261"/>
      <c r="AA88" s="184"/>
    </row>
    <row r="89" spans="1:27" x14ac:dyDescent="0.25">
      <c r="A89" s="4">
        <v>44126</v>
      </c>
      <c r="B89" t="s">
        <v>170</v>
      </c>
      <c r="C89" t="s">
        <v>65</v>
      </c>
      <c r="D89" s="184">
        <v>400</v>
      </c>
      <c r="F89" s="4"/>
      <c r="I89" s="184"/>
      <c r="L89" s="4"/>
      <c r="M89" s="261"/>
      <c r="N89" s="261"/>
      <c r="O89" s="261"/>
      <c r="P89" s="261"/>
      <c r="Q89" s="261"/>
      <c r="R89" s="184"/>
      <c r="S89" s="184"/>
      <c r="X89" s="4"/>
      <c r="Y89" s="261"/>
      <c r="Z89" s="261"/>
      <c r="AA89" s="184"/>
    </row>
    <row r="90" spans="1:27" x14ac:dyDescent="0.25">
      <c r="A90" s="4">
        <v>44133</v>
      </c>
      <c r="B90" t="s">
        <v>170</v>
      </c>
      <c r="C90" t="s">
        <v>65</v>
      </c>
      <c r="D90" s="184">
        <v>500</v>
      </c>
      <c r="F90" s="4"/>
      <c r="I90" s="184"/>
      <c r="L90" s="4"/>
      <c r="M90" s="261"/>
      <c r="N90" s="261"/>
      <c r="O90" s="261"/>
      <c r="P90" s="261"/>
      <c r="Q90" s="261"/>
      <c r="R90" s="184"/>
      <c r="S90" s="184"/>
      <c r="X90" s="4"/>
      <c r="Y90" s="261"/>
      <c r="Z90" s="261"/>
      <c r="AA90" s="184"/>
    </row>
    <row r="91" spans="1:27" x14ac:dyDescent="0.25">
      <c r="A91" s="4">
        <v>44138</v>
      </c>
      <c r="B91" t="s">
        <v>154</v>
      </c>
      <c r="C91" t="s">
        <v>154</v>
      </c>
      <c r="D91" s="184">
        <v>-500</v>
      </c>
      <c r="F91" s="312"/>
      <c r="G91" s="283"/>
      <c r="H91" s="283"/>
      <c r="I91" s="280"/>
      <c r="L91" s="4"/>
      <c r="M91" s="261"/>
      <c r="N91" s="261"/>
      <c r="O91" s="261"/>
      <c r="P91" s="261"/>
      <c r="Q91" s="261"/>
      <c r="R91" s="184"/>
      <c r="S91" s="184"/>
      <c r="X91" s="4"/>
      <c r="Y91" s="261"/>
      <c r="Z91" s="261"/>
      <c r="AA91" s="184"/>
    </row>
    <row r="92" spans="1:27" x14ac:dyDescent="0.25">
      <c r="A92" s="4">
        <v>44144</v>
      </c>
      <c r="B92" t="s">
        <v>170</v>
      </c>
      <c r="C92" t="s">
        <v>65</v>
      </c>
      <c r="D92" s="184">
        <v>1000</v>
      </c>
      <c r="F92" s="312"/>
      <c r="G92" s="283"/>
      <c r="H92" s="283"/>
      <c r="I92" s="280"/>
      <c r="L92" s="4"/>
      <c r="M92" s="261"/>
      <c r="N92" s="261"/>
      <c r="O92" s="261"/>
      <c r="P92" s="261"/>
      <c r="Q92" s="261"/>
      <c r="R92" s="184"/>
      <c r="S92" s="184"/>
      <c r="X92" s="4"/>
      <c r="Y92" s="261"/>
      <c r="Z92" s="261"/>
      <c r="AA92" s="184"/>
    </row>
    <row r="93" spans="1:27" x14ac:dyDescent="0.25">
      <c r="A93" s="4">
        <v>44144</v>
      </c>
      <c r="B93" t="s">
        <v>154</v>
      </c>
      <c r="C93" t="s">
        <v>154</v>
      </c>
      <c r="D93" s="184">
        <v>-1020</v>
      </c>
      <c r="F93" s="312"/>
      <c r="G93" s="283"/>
      <c r="H93" s="283"/>
      <c r="I93" s="280"/>
      <c r="L93" s="4"/>
      <c r="M93" s="261"/>
      <c r="N93" s="261"/>
      <c r="O93" s="261"/>
      <c r="P93" s="261"/>
      <c r="Q93" s="261"/>
      <c r="R93" s="184"/>
      <c r="S93" s="184"/>
      <c r="AA93" s="184"/>
    </row>
    <row r="94" spans="1:27" x14ac:dyDescent="0.25">
      <c r="A94" s="4">
        <v>44151</v>
      </c>
      <c r="B94" t="s">
        <v>170</v>
      </c>
      <c r="C94" t="s">
        <v>65</v>
      </c>
      <c r="D94" s="184">
        <v>1309.19</v>
      </c>
      <c r="F94" s="312"/>
      <c r="G94" s="283"/>
      <c r="H94" s="283"/>
      <c r="I94" s="280"/>
    </row>
    <row r="95" spans="1:27" x14ac:dyDescent="0.25">
      <c r="A95" s="4">
        <v>44155</v>
      </c>
      <c r="B95" t="s">
        <v>170</v>
      </c>
      <c r="C95" t="s">
        <v>65</v>
      </c>
      <c r="D95" s="184">
        <v>400</v>
      </c>
      <c r="F95" s="312"/>
      <c r="G95" s="283"/>
      <c r="H95" s="283"/>
      <c r="I95" s="280"/>
    </row>
    <row r="96" spans="1:27" x14ac:dyDescent="0.25">
      <c r="A96" s="4">
        <v>44165</v>
      </c>
      <c r="B96" t="s">
        <v>170</v>
      </c>
      <c r="C96" t="s">
        <v>65</v>
      </c>
      <c r="D96" s="184">
        <v>500</v>
      </c>
      <c r="F96" s="312"/>
      <c r="G96" s="283"/>
      <c r="H96" s="283"/>
      <c r="I96" s="280"/>
    </row>
    <row r="97" spans="1:9" x14ac:dyDescent="0.25">
      <c r="A97" s="4">
        <v>44168</v>
      </c>
      <c r="B97" t="s">
        <v>154</v>
      </c>
      <c r="C97" t="s">
        <v>154</v>
      </c>
      <c r="D97" s="184">
        <v>-1520</v>
      </c>
      <c r="F97" s="312"/>
      <c r="G97" s="283"/>
      <c r="H97" s="283"/>
      <c r="I97" s="280"/>
    </row>
    <row r="98" spans="1:9" x14ac:dyDescent="0.25">
      <c r="A98" s="4">
        <v>44181</v>
      </c>
      <c r="B98" t="s">
        <v>170</v>
      </c>
      <c r="C98" t="s">
        <v>65</v>
      </c>
      <c r="D98" s="184">
        <v>2324.36</v>
      </c>
      <c r="F98" s="312"/>
      <c r="G98" s="283"/>
      <c r="H98" s="283"/>
      <c r="I98" s="280"/>
    </row>
    <row r="99" spans="1:9" x14ac:dyDescent="0.25">
      <c r="A99" s="4">
        <v>44187</v>
      </c>
      <c r="B99" t="s">
        <v>170</v>
      </c>
      <c r="C99" t="s">
        <v>65</v>
      </c>
      <c r="D99" s="184">
        <v>400</v>
      </c>
      <c r="F99" s="312"/>
      <c r="G99" s="283"/>
      <c r="H99" s="283"/>
      <c r="I99" s="280"/>
    </row>
    <row r="100" spans="1:9" x14ac:dyDescent="0.25">
      <c r="A100" s="4">
        <v>44193</v>
      </c>
      <c r="B100" t="s">
        <v>171</v>
      </c>
      <c r="C100" t="s">
        <v>292</v>
      </c>
      <c r="D100" s="184">
        <v>-200</v>
      </c>
      <c r="F100" s="312"/>
      <c r="G100" s="283"/>
      <c r="H100" s="283"/>
      <c r="I100" s="280"/>
    </row>
    <row r="101" spans="1:9" x14ac:dyDescent="0.25">
      <c r="A101" s="4">
        <v>44195</v>
      </c>
      <c r="B101" t="s">
        <v>170</v>
      </c>
      <c r="C101" t="s">
        <v>65</v>
      </c>
      <c r="D101" s="184">
        <v>500</v>
      </c>
      <c r="F101" s="312"/>
      <c r="G101" s="283"/>
      <c r="H101" s="283"/>
      <c r="I101" s="280"/>
    </row>
    <row r="102" spans="1:9" x14ac:dyDescent="0.25">
      <c r="A102" s="4">
        <v>44196</v>
      </c>
      <c r="B102" t="s">
        <v>182</v>
      </c>
      <c r="C102" t="s">
        <v>182</v>
      </c>
      <c r="D102" s="184">
        <v>-4.92</v>
      </c>
      <c r="F102" s="312"/>
      <c r="G102" s="283"/>
      <c r="H102" s="283"/>
      <c r="I102" s="280"/>
    </row>
    <row r="103" spans="1:9" x14ac:dyDescent="0.25">
      <c r="A103" s="4">
        <v>44200</v>
      </c>
      <c r="B103" s="283" t="s">
        <v>154</v>
      </c>
      <c r="C103" s="283" t="s">
        <v>154</v>
      </c>
      <c r="D103" s="184">
        <v>-1520</v>
      </c>
      <c r="F103" s="312"/>
      <c r="G103" s="283"/>
      <c r="H103" s="283"/>
      <c r="I103" s="280"/>
    </row>
    <row r="104" spans="1:9" x14ac:dyDescent="0.25">
      <c r="A104" s="4">
        <v>44204</v>
      </c>
      <c r="B104" s="283" t="s">
        <v>170</v>
      </c>
      <c r="C104" s="283" t="s">
        <v>65</v>
      </c>
      <c r="D104" s="184">
        <v>1000</v>
      </c>
      <c r="F104" s="312"/>
      <c r="G104" s="283"/>
      <c r="H104" s="283"/>
      <c r="I104" s="280"/>
    </row>
    <row r="105" spans="1:9" x14ac:dyDescent="0.25">
      <c r="A105" s="4">
        <v>44211</v>
      </c>
      <c r="B105" s="283" t="s">
        <v>170</v>
      </c>
      <c r="C105" s="283" t="s">
        <v>65</v>
      </c>
      <c r="D105" s="184">
        <v>1377.25</v>
      </c>
      <c r="F105" s="312"/>
      <c r="G105" s="283"/>
      <c r="H105" s="283"/>
      <c r="I105" s="280"/>
    </row>
    <row r="106" spans="1:9" x14ac:dyDescent="0.25">
      <c r="A106" s="4">
        <v>44217</v>
      </c>
      <c r="B106" s="283" t="s">
        <v>170</v>
      </c>
      <c r="C106" s="283" t="s">
        <v>65</v>
      </c>
      <c r="D106" s="184">
        <v>400</v>
      </c>
      <c r="F106" s="312"/>
      <c r="G106" s="283"/>
      <c r="H106" s="283"/>
      <c r="I106" s="280"/>
    </row>
    <row r="107" spans="1:9" x14ac:dyDescent="0.25">
      <c r="A107" s="4">
        <v>44228</v>
      </c>
      <c r="B107" s="283" t="s">
        <v>154</v>
      </c>
      <c r="C107" s="283" t="s">
        <v>154</v>
      </c>
      <c r="D107" s="184">
        <v>-1520</v>
      </c>
      <c r="F107" s="312"/>
      <c r="G107" s="283"/>
      <c r="H107" s="283"/>
      <c r="I107" s="280"/>
    </row>
    <row r="108" spans="1:9" x14ac:dyDescent="0.25">
      <c r="A108" s="4">
        <v>44228</v>
      </c>
      <c r="B108" s="283" t="s">
        <v>170</v>
      </c>
      <c r="C108" s="283" t="s">
        <v>65</v>
      </c>
      <c r="D108" s="184">
        <v>500</v>
      </c>
      <c r="F108" s="312"/>
      <c r="G108" s="283"/>
      <c r="H108" s="283"/>
      <c r="I108" s="280"/>
    </row>
    <row r="109" spans="1:9" x14ac:dyDescent="0.25">
      <c r="A109" s="4">
        <v>44237</v>
      </c>
      <c r="B109" s="283" t="s">
        <v>170</v>
      </c>
      <c r="C109" s="283" t="s">
        <v>65</v>
      </c>
      <c r="D109" s="184">
        <v>1000</v>
      </c>
      <c r="F109" s="312"/>
      <c r="G109" s="283"/>
      <c r="H109" s="283"/>
      <c r="I109" s="280"/>
    </row>
    <row r="110" spans="1:9" x14ac:dyDescent="0.25">
      <c r="A110" s="4">
        <v>44242</v>
      </c>
      <c r="B110" s="283" t="s">
        <v>170</v>
      </c>
      <c r="C110" s="283" t="s">
        <v>65</v>
      </c>
      <c r="D110" s="184">
        <v>969.42</v>
      </c>
      <c r="F110" s="312"/>
      <c r="G110" s="283"/>
      <c r="H110" s="283"/>
      <c r="I110" s="280"/>
    </row>
    <row r="111" spans="1:9" x14ac:dyDescent="0.25">
      <c r="A111" s="4">
        <v>44250</v>
      </c>
      <c r="B111" s="283" t="s">
        <v>170</v>
      </c>
      <c r="C111" s="283" t="s">
        <v>65</v>
      </c>
      <c r="D111" s="184">
        <v>400</v>
      </c>
      <c r="F111" s="312"/>
      <c r="G111" s="283"/>
      <c r="H111" s="283"/>
      <c r="I111" s="280"/>
    </row>
    <row r="112" spans="1:9" x14ac:dyDescent="0.25">
      <c r="A112" s="4">
        <v>44256</v>
      </c>
      <c r="B112" s="283" t="s">
        <v>154</v>
      </c>
      <c r="C112" s="283" t="s">
        <v>154</v>
      </c>
      <c r="D112" s="184">
        <v>-1520</v>
      </c>
      <c r="F112" s="312"/>
      <c r="G112" s="283"/>
      <c r="H112" s="283"/>
      <c r="I112" s="280"/>
    </row>
    <row r="113" spans="1:9" x14ac:dyDescent="0.25">
      <c r="A113" s="4">
        <v>44257</v>
      </c>
      <c r="B113" s="283" t="s">
        <v>170</v>
      </c>
      <c r="C113" s="283" t="s">
        <v>65</v>
      </c>
      <c r="D113" s="184">
        <v>500</v>
      </c>
      <c r="F113" s="312"/>
      <c r="G113" s="283"/>
      <c r="H113" s="283"/>
      <c r="I113" s="280"/>
    </row>
    <row r="114" spans="1:9" x14ac:dyDescent="0.25">
      <c r="A114" s="4">
        <v>44272</v>
      </c>
      <c r="B114" s="283" t="s">
        <v>170</v>
      </c>
      <c r="C114" s="283" t="s">
        <v>65</v>
      </c>
      <c r="D114" s="184">
        <v>764.41</v>
      </c>
      <c r="E114" s="184"/>
      <c r="F114" s="312"/>
      <c r="G114" s="283"/>
      <c r="H114" s="283"/>
      <c r="I114" s="280"/>
    </row>
    <row r="115" spans="1:9" x14ac:dyDescent="0.25">
      <c r="A115" s="4">
        <v>44272</v>
      </c>
      <c r="B115" s="283" t="s">
        <v>170</v>
      </c>
      <c r="C115" s="283" t="s">
        <v>65</v>
      </c>
      <c r="D115" s="184">
        <v>487.57</v>
      </c>
      <c r="F115" s="312"/>
      <c r="G115" s="283"/>
      <c r="H115" s="283"/>
      <c r="I115" s="280"/>
    </row>
    <row r="116" spans="1:9" x14ac:dyDescent="0.25">
      <c r="A116" s="4">
        <v>44287</v>
      </c>
      <c r="B116" s="283" t="s">
        <v>154</v>
      </c>
      <c r="C116" s="283" t="s">
        <v>154</v>
      </c>
      <c r="D116" s="184">
        <v>-1520</v>
      </c>
      <c r="F116" s="312"/>
      <c r="G116" s="283"/>
      <c r="H116" s="283"/>
      <c r="I116" s="280"/>
    </row>
    <row r="117" spans="1:9" x14ac:dyDescent="0.25">
      <c r="A117" s="4">
        <v>44287</v>
      </c>
      <c r="B117" s="283" t="s">
        <v>170</v>
      </c>
      <c r="C117" s="283" t="s">
        <v>65</v>
      </c>
      <c r="D117" s="184">
        <v>500</v>
      </c>
      <c r="F117" s="312"/>
      <c r="G117" s="283"/>
      <c r="H117" s="283"/>
      <c r="I117" s="280"/>
    </row>
    <row r="118" spans="1:9" x14ac:dyDescent="0.25">
      <c r="A118" s="4">
        <v>44298</v>
      </c>
      <c r="B118" s="283" t="s">
        <v>170</v>
      </c>
      <c r="C118" s="283" t="s">
        <v>65</v>
      </c>
      <c r="D118" s="184">
        <v>1000</v>
      </c>
      <c r="F118" s="312"/>
      <c r="G118" s="283"/>
      <c r="H118" s="283"/>
      <c r="I118" s="280"/>
    </row>
    <row r="119" spans="1:9" x14ac:dyDescent="0.25">
      <c r="A119" s="4">
        <v>44305</v>
      </c>
      <c r="B119" s="283" t="s">
        <v>170</v>
      </c>
      <c r="C119" s="283" t="s">
        <v>65</v>
      </c>
      <c r="D119" s="184">
        <v>1304.1400000000001</v>
      </c>
      <c r="F119" s="312"/>
      <c r="G119" s="283"/>
      <c r="H119" s="283"/>
      <c r="I119" s="280"/>
    </row>
    <row r="120" spans="1:9" x14ac:dyDescent="0.25">
      <c r="A120" s="4">
        <v>44307</v>
      </c>
      <c r="B120" s="283" t="s">
        <v>170</v>
      </c>
      <c r="C120" s="283" t="s">
        <v>65</v>
      </c>
      <c r="D120" s="184">
        <v>400</v>
      </c>
      <c r="E120" s="184"/>
      <c r="F120" s="312"/>
      <c r="G120" s="283"/>
      <c r="H120" s="283"/>
      <c r="I120" s="280"/>
    </row>
    <row r="121" spans="1:9" x14ac:dyDescent="0.25">
      <c r="A121" s="4">
        <v>44315</v>
      </c>
      <c r="B121" s="283" t="s">
        <v>154</v>
      </c>
      <c r="C121" s="283" t="s">
        <v>154</v>
      </c>
      <c r="D121" s="184">
        <v>-1520</v>
      </c>
      <c r="F121" s="312"/>
      <c r="G121" s="283"/>
      <c r="H121" s="283"/>
      <c r="I121" s="280"/>
    </row>
    <row r="122" spans="1:9" x14ac:dyDescent="0.25">
      <c r="A122" s="4">
        <v>44316</v>
      </c>
      <c r="B122" s="283" t="s">
        <v>170</v>
      </c>
      <c r="C122" s="283" t="s">
        <v>65</v>
      </c>
      <c r="D122" s="184">
        <v>63.93</v>
      </c>
      <c r="F122" s="312"/>
      <c r="G122" s="283"/>
      <c r="H122" s="283"/>
      <c r="I122" s="280"/>
    </row>
    <row r="123" spans="1:9" x14ac:dyDescent="0.25">
      <c r="A123" s="4">
        <v>44319</v>
      </c>
      <c r="B123" s="283" t="s">
        <v>170</v>
      </c>
      <c r="C123" s="283" t="s">
        <v>65</v>
      </c>
      <c r="D123" s="184">
        <v>500</v>
      </c>
      <c r="F123" s="312"/>
      <c r="G123" s="283"/>
      <c r="H123" s="283"/>
      <c r="I123" s="280"/>
    </row>
    <row r="124" spans="1:9" x14ac:dyDescent="0.25">
      <c r="A124" s="4">
        <v>44327</v>
      </c>
      <c r="B124" s="283" t="s">
        <v>170</v>
      </c>
      <c r="C124" s="283" t="s">
        <v>65</v>
      </c>
      <c r="D124" s="184">
        <v>1000</v>
      </c>
      <c r="F124" s="312"/>
      <c r="G124" s="283"/>
      <c r="H124" s="283"/>
      <c r="I124" s="280"/>
    </row>
    <row r="125" spans="1:9" x14ac:dyDescent="0.25">
      <c r="A125" s="4">
        <v>44347</v>
      </c>
      <c r="B125" s="283" t="s">
        <v>154</v>
      </c>
      <c r="C125" s="283" t="s">
        <v>154</v>
      </c>
      <c r="D125" s="184">
        <v>-1520</v>
      </c>
      <c r="F125" s="312"/>
      <c r="G125" s="283"/>
      <c r="H125" s="283"/>
      <c r="I125" s="280"/>
    </row>
    <row r="126" spans="1:9" x14ac:dyDescent="0.25">
      <c r="A126" s="4">
        <v>44348</v>
      </c>
      <c r="B126" s="283" t="s">
        <v>170</v>
      </c>
      <c r="C126" s="283" t="s">
        <v>65</v>
      </c>
      <c r="D126" s="184">
        <v>500</v>
      </c>
      <c r="F126" s="312"/>
      <c r="G126" s="283"/>
      <c r="H126" s="283"/>
      <c r="I126" s="280"/>
    </row>
    <row r="127" spans="1:9" x14ac:dyDescent="0.25">
      <c r="A127" s="4">
        <v>44355</v>
      </c>
      <c r="B127" s="283" t="s">
        <v>184</v>
      </c>
      <c r="C127" s="283" t="s">
        <v>288</v>
      </c>
      <c r="D127" s="184">
        <v>1861.88</v>
      </c>
      <c r="F127" s="312"/>
      <c r="G127" s="283"/>
      <c r="H127" s="283"/>
      <c r="I127" s="280"/>
    </row>
    <row r="128" spans="1:9" x14ac:dyDescent="0.25">
      <c r="A128" s="4">
        <v>44361</v>
      </c>
      <c r="B128" s="283" t="s">
        <v>170</v>
      </c>
      <c r="C128" s="283" t="s">
        <v>65</v>
      </c>
      <c r="D128" s="184">
        <v>1000</v>
      </c>
      <c r="F128" s="312"/>
      <c r="G128" s="283"/>
      <c r="H128" s="283"/>
      <c r="I128" s="280"/>
    </row>
    <row r="129" spans="1:9" x14ac:dyDescent="0.25">
      <c r="A129" s="4">
        <v>44362</v>
      </c>
      <c r="B129" s="283" t="s">
        <v>170</v>
      </c>
      <c r="C129" s="283" t="s">
        <v>65</v>
      </c>
      <c r="D129" s="184">
        <v>1092.3</v>
      </c>
      <c r="F129" s="312"/>
      <c r="G129" s="283"/>
      <c r="H129" s="283"/>
      <c r="I129" s="280"/>
    </row>
    <row r="130" spans="1:9" x14ac:dyDescent="0.25">
      <c r="A130" s="4">
        <v>44368</v>
      </c>
      <c r="B130" s="283" t="s">
        <v>170</v>
      </c>
      <c r="C130" s="283" t="s">
        <v>65</v>
      </c>
      <c r="D130" s="184">
        <v>400</v>
      </c>
      <c r="F130" s="312"/>
      <c r="G130" s="283"/>
      <c r="H130" s="283"/>
      <c r="I130" s="280"/>
    </row>
    <row r="131" spans="1:9" x14ac:dyDescent="0.25">
      <c r="A131" s="4">
        <v>44375</v>
      </c>
      <c r="B131" s="283" t="s">
        <v>154</v>
      </c>
      <c r="C131" s="283" t="s">
        <v>154</v>
      </c>
      <c r="D131" s="184">
        <v>-1520</v>
      </c>
      <c r="F131" s="312"/>
      <c r="G131" s="283"/>
      <c r="H131" s="283"/>
      <c r="I131" s="280"/>
    </row>
    <row r="132" spans="1:9" x14ac:dyDescent="0.25">
      <c r="A132" s="4">
        <v>44378</v>
      </c>
      <c r="B132" s="283" t="s">
        <v>170</v>
      </c>
      <c r="C132" s="283" t="s">
        <v>65</v>
      </c>
      <c r="D132" s="184">
        <v>500</v>
      </c>
      <c r="F132" s="312"/>
      <c r="G132" s="283"/>
      <c r="H132" s="283"/>
      <c r="I132" s="280"/>
    </row>
    <row r="133" spans="1:9" x14ac:dyDescent="0.25">
      <c r="A133" s="4">
        <v>44386</v>
      </c>
      <c r="B133" s="283" t="s">
        <v>170</v>
      </c>
      <c r="C133" s="283" t="s">
        <v>65</v>
      </c>
      <c r="D133" s="184">
        <v>1000</v>
      </c>
      <c r="F133" s="312"/>
      <c r="G133" s="283"/>
      <c r="H133" s="283"/>
      <c r="I133" s="280"/>
    </row>
    <row r="134" spans="1:9" x14ac:dyDescent="0.25">
      <c r="A134" s="4">
        <v>44393</v>
      </c>
      <c r="B134" s="283" t="s">
        <v>170</v>
      </c>
      <c r="C134" s="283" t="s">
        <v>65</v>
      </c>
      <c r="D134" s="184">
        <v>642.47</v>
      </c>
    </row>
    <row r="135" spans="1:9" x14ac:dyDescent="0.25">
      <c r="A135" s="4">
        <v>44398</v>
      </c>
      <c r="B135" s="283" t="s">
        <v>170</v>
      </c>
      <c r="C135" s="283" t="s">
        <v>65</v>
      </c>
      <c r="D135" s="184">
        <v>400</v>
      </c>
    </row>
    <row r="136" spans="1:9" x14ac:dyDescent="0.25">
      <c r="A136" s="4">
        <v>44406</v>
      </c>
      <c r="B136" s="283" t="s">
        <v>154</v>
      </c>
      <c r="C136" s="283" t="s">
        <v>154</v>
      </c>
      <c r="D136" s="184">
        <v>-1520</v>
      </c>
    </row>
    <row r="137" spans="1:9" x14ac:dyDescent="0.25">
      <c r="A137" s="4">
        <v>44410</v>
      </c>
      <c r="B137" s="283" t="s">
        <v>170</v>
      </c>
      <c r="C137" s="283" t="s">
        <v>65</v>
      </c>
      <c r="D137" s="184">
        <v>500</v>
      </c>
    </row>
    <row r="138" spans="1:9" x14ac:dyDescent="0.25">
      <c r="A138" s="4">
        <v>44424</v>
      </c>
      <c r="B138" s="283" t="s">
        <v>170</v>
      </c>
      <c r="C138" s="283" t="s">
        <v>65</v>
      </c>
      <c r="D138" s="184">
        <v>1679.45</v>
      </c>
    </row>
    <row r="139" spans="1:9" x14ac:dyDescent="0.25">
      <c r="A139" s="4">
        <v>44428</v>
      </c>
      <c r="B139" s="283" t="s">
        <v>170</v>
      </c>
      <c r="C139" s="283" t="s">
        <v>65</v>
      </c>
      <c r="D139" s="184">
        <v>400</v>
      </c>
    </row>
    <row r="140" spans="1:9" x14ac:dyDescent="0.25">
      <c r="A140" s="4">
        <v>44435</v>
      </c>
      <c r="B140" s="283" t="s">
        <v>154</v>
      </c>
      <c r="C140" s="283" t="s">
        <v>154</v>
      </c>
      <c r="D140" s="184">
        <v>-1520</v>
      </c>
    </row>
    <row r="141" spans="1:9" x14ac:dyDescent="0.25">
      <c r="A141" s="4">
        <v>44438</v>
      </c>
      <c r="B141" s="283" t="s">
        <v>170</v>
      </c>
      <c r="C141" s="283" t="s">
        <v>65</v>
      </c>
      <c r="D141" s="184">
        <v>500</v>
      </c>
    </row>
    <row r="142" spans="1:9" x14ac:dyDescent="0.25">
      <c r="A142" s="4">
        <v>44441</v>
      </c>
      <c r="B142" s="283" t="s">
        <v>183</v>
      </c>
      <c r="C142" s="283" t="s">
        <v>293</v>
      </c>
      <c r="D142" s="184">
        <v>-644.48</v>
      </c>
    </row>
    <row r="143" spans="1:9" x14ac:dyDescent="0.25">
      <c r="A143" s="4">
        <v>44441</v>
      </c>
      <c r="B143" s="283" t="s">
        <v>183</v>
      </c>
      <c r="C143" s="283" t="s">
        <v>293</v>
      </c>
      <c r="D143" s="184">
        <v>-1362.18</v>
      </c>
    </row>
    <row r="144" spans="1:9" x14ac:dyDescent="0.25">
      <c r="A144" s="4">
        <v>44448</v>
      </c>
      <c r="B144" s="283" t="s">
        <v>170</v>
      </c>
      <c r="C144" s="283" t="s">
        <v>65</v>
      </c>
      <c r="D144" s="184">
        <v>1000</v>
      </c>
    </row>
    <row r="145" spans="1:4" x14ac:dyDescent="0.25">
      <c r="A145" s="4">
        <v>44461</v>
      </c>
      <c r="B145" s="283" t="s">
        <v>170</v>
      </c>
      <c r="C145" s="283" t="s">
        <v>65</v>
      </c>
      <c r="D145" s="184">
        <v>400</v>
      </c>
    </row>
    <row r="146" spans="1:4" x14ac:dyDescent="0.25">
      <c r="A146" s="4">
        <v>44467</v>
      </c>
      <c r="B146" s="283" t="s">
        <v>154</v>
      </c>
      <c r="C146" s="283" t="s">
        <v>154</v>
      </c>
      <c r="D146" s="184">
        <v>-1520</v>
      </c>
    </row>
    <row r="147" spans="1:4" x14ac:dyDescent="0.25">
      <c r="A147" s="4">
        <v>44480</v>
      </c>
      <c r="B147" s="283" t="s">
        <v>170</v>
      </c>
      <c r="C147" s="283" t="s">
        <v>65</v>
      </c>
      <c r="D147" s="184">
        <v>500</v>
      </c>
    </row>
    <row r="148" spans="1:4" x14ac:dyDescent="0.25">
      <c r="A148" s="4">
        <v>44491</v>
      </c>
      <c r="B148" s="283" t="s">
        <v>170</v>
      </c>
      <c r="C148" s="283" t="s">
        <v>65</v>
      </c>
      <c r="D148" s="184">
        <v>640.33000000000004</v>
      </c>
    </row>
    <row r="149" spans="1:4" x14ac:dyDescent="0.25">
      <c r="A149" s="4">
        <v>44491</v>
      </c>
      <c r="B149" s="283" t="s">
        <v>170</v>
      </c>
      <c r="C149" s="283" t="s">
        <v>65</v>
      </c>
      <c r="D149" s="184">
        <v>400</v>
      </c>
    </row>
    <row r="150" spans="1:4" x14ac:dyDescent="0.25">
      <c r="A150" s="4">
        <v>44498</v>
      </c>
      <c r="B150" s="283" t="s">
        <v>154</v>
      </c>
      <c r="C150" s="283" t="s">
        <v>154</v>
      </c>
      <c r="D150" s="184">
        <v>-1520</v>
      </c>
    </row>
    <row r="151" spans="1:4" x14ac:dyDescent="0.25">
      <c r="A151" s="4">
        <v>44498</v>
      </c>
      <c r="B151" s="283" t="s">
        <v>170</v>
      </c>
      <c r="C151" s="283" t="s">
        <v>65</v>
      </c>
      <c r="D151" s="184">
        <v>500</v>
      </c>
    </row>
    <row r="152" spans="1:4" x14ac:dyDescent="0.25">
      <c r="A152" s="4">
        <v>44512</v>
      </c>
      <c r="B152" s="283" t="s">
        <v>170</v>
      </c>
      <c r="C152" s="283" t="s">
        <v>65</v>
      </c>
      <c r="D152" s="184">
        <v>1000</v>
      </c>
    </row>
    <row r="153" spans="1:4" x14ac:dyDescent="0.25">
      <c r="A153" s="4">
        <v>44517</v>
      </c>
      <c r="B153" s="283" t="s">
        <v>170</v>
      </c>
      <c r="C153" s="283" t="s">
        <v>65</v>
      </c>
      <c r="D153" s="184">
        <v>708.92</v>
      </c>
    </row>
    <row r="154" spans="1:4" x14ac:dyDescent="0.25">
      <c r="A154" s="4">
        <v>44522</v>
      </c>
      <c r="B154" s="283" t="s">
        <v>170</v>
      </c>
      <c r="C154" s="283" t="s">
        <v>65</v>
      </c>
      <c r="D154" s="184">
        <v>400</v>
      </c>
    </row>
    <row r="155" spans="1:4" x14ac:dyDescent="0.25">
      <c r="A155" s="4">
        <v>44529</v>
      </c>
      <c r="B155" s="283" t="s">
        <v>154</v>
      </c>
      <c r="C155" s="283" t="s">
        <v>154</v>
      </c>
      <c r="D155" s="184">
        <v>-1520</v>
      </c>
    </row>
    <row r="156" spans="1:4" x14ac:dyDescent="0.25">
      <c r="A156" s="4">
        <v>44530</v>
      </c>
      <c r="B156" s="283" t="s">
        <v>170</v>
      </c>
      <c r="C156" s="283" t="s">
        <v>65</v>
      </c>
      <c r="D156" s="184">
        <v>500</v>
      </c>
    </row>
    <row r="157" spans="1:4" x14ac:dyDescent="0.25">
      <c r="A157" s="4">
        <v>44539</v>
      </c>
      <c r="B157" s="283" t="s">
        <v>170</v>
      </c>
      <c r="C157" s="283" t="s">
        <v>65</v>
      </c>
      <c r="D157" s="184">
        <v>1000</v>
      </c>
    </row>
    <row r="158" spans="1:4" x14ac:dyDescent="0.25">
      <c r="A158" s="4">
        <v>44545</v>
      </c>
      <c r="B158" s="283" t="s">
        <v>170</v>
      </c>
      <c r="C158" s="283" t="s">
        <v>65</v>
      </c>
      <c r="D158" s="184">
        <v>762.02</v>
      </c>
    </row>
    <row r="159" spans="1:4" x14ac:dyDescent="0.25">
      <c r="A159" s="4">
        <v>44552</v>
      </c>
      <c r="B159" s="283" t="s">
        <v>170</v>
      </c>
      <c r="C159" s="283" t="s">
        <v>65</v>
      </c>
      <c r="D159" s="184">
        <v>400</v>
      </c>
    </row>
    <row r="160" spans="1:4" x14ac:dyDescent="0.25">
      <c r="A160" s="4">
        <v>44558</v>
      </c>
      <c r="B160" s="283" t="s">
        <v>154</v>
      </c>
      <c r="C160" s="283" t="s">
        <v>154</v>
      </c>
      <c r="D160" s="184">
        <v>-1520</v>
      </c>
    </row>
    <row r="161" spans="1:4" x14ac:dyDescent="0.25">
      <c r="A161" s="4">
        <v>44561</v>
      </c>
      <c r="B161" s="283" t="s">
        <v>182</v>
      </c>
      <c r="C161" s="283" t="s">
        <v>182</v>
      </c>
      <c r="D161" s="184">
        <v>-4.92</v>
      </c>
    </row>
    <row r="162" spans="1:4" x14ac:dyDescent="0.25">
      <c r="A162" s="4">
        <v>44572</v>
      </c>
      <c r="B162" s="283" t="s">
        <v>170</v>
      </c>
      <c r="C162" s="283" t="s">
        <v>65</v>
      </c>
      <c r="D162" s="184">
        <v>1000</v>
      </c>
    </row>
    <row r="163" spans="1:4" x14ac:dyDescent="0.25">
      <c r="A163" s="4">
        <v>44578</v>
      </c>
      <c r="B163" s="283" t="s">
        <v>170</v>
      </c>
      <c r="C163" s="283" t="s">
        <v>65</v>
      </c>
      <c r="D163" s="184">
        <v>1497.32</v>
      </c>
    </row>
    <row r="164" spans="1:4" x14ac:dyDescent="0.25">
      <c r="A164" s="4">
        <v>44582</v>
      </c>
      <c r="B164" s="283" t="s">
        <v>170</v>
      </c>
      <c r="C164" s="283" t="s">
        <v>65</v>
      </c>
      <c r="D164" s="184">
        <v>400</v>
      </c>
    </row>
    <row r="165" spans="1:4" x14ac:dyDescent="0.25">
      <c r="A165" s="4">
        <v>44588</v>
      </c>
      <c r="B165" s="283" t="s">
        <v>154</v>
      </c>
      <c r="C165" s="283" t="s">
        <v>154</v>
      </c>
      <c r="D165" s="184">
        <v>-1520</v>
      </c>
    </row>
    <row r="166" spans="1:4" x14ac:dyDescent="0.25">
      <c r="A166" s="4">
        <v>44592</v>
      </c>
      <c r="B166" s="283" t="s">
        <v>170</v>
      </c>
      <c r="C166" s="283" t="s">
        <v>65</v>
      </c>
      <c r="D166" s="184">
        <v>500</v>
      </c>
    </row>
    <row r="167" spans="1:4" x14ac:dyDescent="0.25">
      <c r="A167" s="4">
        <v>44606</v>
      </c>
      <c r="B167" s="283" t="s">
        <v>170</v>
      </c>
      <c r="C167" s="283" t="s">
        <v>65</v>
      </c>
      <c r="D167" s="184">
        <v>1000</v>
      </c>
    </row>
    <row r="168" spans="1:4" x14ac:dyDescent="0.25">
      <c r="A168" s="4">
        <v>44610</v>
      </c>
      <c r="B168" s="283" t="s">
        <v>170</v>
      </c>
      <c r="C168" s="283" t="s">
        <v>65</v>
      </c>
      <c r="D168" s="184">
        <v>1125.8699999999999</v>
      </c>
    </row>
    <row r="169" spans="1:4" x14ac:dyDescent="0.25">
      <c r="A169" s="4">
        <v>44620</v>
      </c>
      <c r="B169" s="283" t="s">
        <v>154</v>
      </c>
      <c r="C169" s="283" t="s">
        <v>154</v>
      </c>
      <c r="D169" s="184">
        <v>-1520</v>
      </c>
    </row>
    <row r="170" spans="1:4" x14ac:dyDescent="0.25">
      <c r="A170" s="4">
        <v>44637</v>
      </c>
      <c r="B170" s="283" t="s">
        <v>170</v>
      </c>
      <c r="C170" s="283" t="s">
        <v>65</v>
      </c>
      <c r="D170" s="184">
        <v>2402.4699999999998</v>
      </c>
    </row>
    <row r="171" spans="1:4" x14ac:dyDescent="0.25">
      <c r="A171" s="4">
        <v>44641</v>
      </c>
      <c r="B171" s="283" t="s">
        <v>170</v>
      </c>
      <c r="C171" s="283" t="s">
        <v>65</v>
      </c>
      <c r="D171" s="184">
        <v>400</v>
      </c>
    </row>
    <row r="172" spans="1:4" x14ac:dyDescent="0.25">
      <c r="A172" s="4">
        <v>44650</v>
      </c>
      <c r="B172" s="283" t="s">
        <v>154</v>
      </c>
      <c r="C172" s="283" t="s">
        <v>154</v>
      </c>
      <c r="D172" s="184">
        <v>-1520</v>
      </c>
    </row>
    <row r="173" spans="1:4" x14ac:dyDescent="0.25">
      <c r="A173" s="4">
        <v>44677</v>
      </c>
      <c r="B173" s="283" t="s">
        <v>172</v>
      </c>
      <c r="C173" s="283" t="s">
        <v>294</v>
      </c>
      <c r="D173" s="184">
        <v>-1963.55</v>
      </c>
    </row>
    <row r="174" spans="1:4" x14ac:dyDescent="0.25">
      <c r="A174" s="4">
        <v>44679</v>
      </c>
      <c r="B174" s="283" t="s">
        <v>154</v>
      </c>
      <c r="C174" s="283" t="s">
        <v>154</v>
      </c>
      <c r="D174" s="184">
        <v>-1520</v>
      </c>
    </row>
    <row r="175" spans="1:4" x14ac:dyDescent="0.25">
      <c r="A175" s="4">
        <v>44683</v>
      </c>
      <c r="B175" s="283" t="s">
        <v>173</v>
      </c>
      <c r="C175" s="283" t="s">
        <v>295</v>
      </c>
      <c r="D175" s="184">
        <v>-4630.99</v>
      </c>
    </row>
    <row r="176" spans="1:4" x14ac:dyDescent="0.25">
      <c r="A176" s="4">
        <v>44683</v>
      </c>
      <c r="B176" s="283" t="s">
        <v>173</v>
      </c>
      <c r="C176" s="283" t="s">
        <v>296</v>
      </c>
      <c r="D176" s="184">
        <v>-892.03</v>
      </c>
    </row>
    <row r="177" spans="1:4" x14ac:dyDescent="0.25">
      <c r="A177" s="4">
        <v>44683</v>
      </c>
      <c r="B177" s="283" t="s">
        <v>173</v>
      </c>
      <c r="C177" s="283" t="s">
        <v>297</v>
      </c>
      <c r="D177" s="184">
        <v>-1642.08</v>
      </c>
    </row>
    <row r="178" spans="1:4" x14ac:dyDescent="0.25">
      <c r="A178" s="4">
        <v>44683</v>
      </c>
      <c r="B178" s="283" t="s">
        <v>173</v>
      </c>
      <c r="C178" s="283" t="s">
        <v>298</v>
      </c>
      <c r="D178" s="184">
        <v>-566.72</v>
      </c>
    </row>
    <row r="179" spans="1:4" x14ac:dyDescent="0.25">
      <c r="A179" s="4">
        <v>44683</v>
      </c>
      <c r="B179" s="283" t="s">
        <v>173</v>
      </c>
      <c r="C179" s="283" t="s">
        <v>299</v>
      </c>
      <c r="D179" s="184">
        <v>-7478.85</v>
      </c>
    </row>
    <row r="180" spans="1:4" x14ac:dyDescent="0.25">
      <c r="A180" s="4">
        <v>44686</v>
      </c>
      <c r="B180" s="283" t="s">
        <v>173</v>
      </c>
      <c r="C180" s="283" t="s">
        <v>300</v>
      </c>
      <c r="D180" s="184">
        <v>-263.25</v>
      </c>
    </row>
    <row r="181" spans="1:4" x14ac:dyDescent="0.25">
      <c r="A181" s="4">
        <v>44686</v>
      </c>
      <c r="B181" s="283" t="s">
        <v>173</v>
      </c>
      <c r="C181" s="283" t="s">
        <v>301</v>
      </c>
      <c r="D181" s="184">
        <v>-650.38</v>
      </c>
    </row>
    <row r="182" spans="1:4" x14ac:dyDescent="0.25">
      <c r="A182" s="4">
        <v>44686</v>
      </c>
      <c r="B182" s="283" t="s">
        <v>173</v>
      </c>
      <c r="C182" s="283" t="s">
        <v>302</v>
      </c>
      <c r="D182" s="184">
        <v>-465.31</v>
      </c>
    </row>
    <row r="183" spans="1:4" x14ac:dyDescent="0.25">
      <c r="A183" s="4">
        <v>44686</v>
      </c>
      <c r="B183" s="283" t="s">
        <v>173</v>
      </c>
      <c r="C183" s="283" t="s">
        <v>303</v>
      </c>
      <c r="D183" s="184">
        <v>-870.38</v>
      </c>
    </row>
    <row r="184" spans="1:4" x14ac:dyDescent="0.25">
      <c r="A184" s="4">
        <v>44720</v>
      </c>
      <c r="B184" s="283" t="s">
        <v>184</v>
      </c>
      <c r="C184" s="283" t="s">
        <v>288</v>
      </c>
      <c r="D184" s="184">
        <v>3867.31</v>
      </c>
    </row>
    <row r="185" spans="1:4" x14ac:dyDescent="0.25">
      <c r="A185" s="4">
        <v>44742</v>
      </c>
      <c r="B185" s="283" t="s">
        <v>171</v>
      </c>
      <c r="C185" s="283" t="s">
        <v>304</v>
      </c>
      <c r="D185" s="184">
        <v>1240</v>
      </c>
    </row>
    <row r="186" spans="1:4" x14ac:dyDescent="0.25">
      <c r="A186" s="4">
        <v>44770</v>
      </c>
      <c r="B186" s="283" t="s">
        <v>170</v>
      </c>
      <c r="C186" s="283" t="s">
        <v>305</v>
      </c>
      <c r="D186" s="184">
        <v>1507.74</v>
      </c>
    </row>
    <row r="187" spans="1:4" x14ac:dyDescent="0.25">
      <c r="A187" s="4">
        <v>44770</v>
      </c>
      <c r="B187" s="283" t="s">
        <v>170</v>
      </c>
      <c r="C187" s="283" t="s">
        <v>306</v>
      </c>
      <c r="D187" s="184">
        <v>1507.74</v>
      </c>
    </row>
    <row r="188" spans="1:4" x14ac:dyDescent="0.25">
      <c r="A188" s="4">
        <v>44782</v>
      </c>
      <c r="B188" s="283" t="s">
        <v>170</v>
      </c>
      <c r="C188" s="283" t="s">
        <v>307</v>
      </c>
      <c r="D188" s="184">
        <v>1507.74</v>
      </c>
    </row>
    <row r="189" spans="1:4" x14ac:dyDescent="0.25">
      <c r="A189" s="4">
        <v>44782</v>
      </c>
      <c r="B189" s="283" t="s">
        <v>154</v>
      </c>
      <c r="C189" s="283" t="s">
        <v>308</v>
      </c>
      <c r="D189" s="184">
        <v>-1115.67</v>
      </c>
    </row>
    <row r="190" spans="1:4" x14ac:dyDescent="0.25">
      <c r="A190" s="4">
        <v>44804</v>
      </c>
      <c r="B190" s="283" t="s">
        <v>170</v>
      </c>
      <c r="C190" s="283" t="s">
        <v>309</v>
      </c>
      <c r="D190" s="184">
        <v>1597.05</v>
      </c>
    </row>
    <row r="191" spans="1:4" x14ac:dyDescent="0.25">
      <c r="A191" s="4">
        <v>44804</v>
      </c>
      <c r="B191" s="283" t="s">
        <v>154</v>
      </c>
      <c r="C191" s="283" t="s">
        <v>310</v>
      </c>
      <c r="D191" s="184">
        <v>-1115.67</v>
      </c>
    </row>
    <row r="192" spans="1:4" x14ac:dyDescent="0.25">
      <c r="A192" s="4">
        <v>44812</v>
      </c>
      <c r="B192" s="283" t="s">
        <v>173</v>
      </c>
      <c r="C192" s="283" t="s">
        <v>311</v>
      </c>
      <c r="D192" s="184">
        <v>-3964.03</v>
      </c>
    </row>
    <row r="193" spans="1:4" x14ac:dyDescent="0.25">
      <c r="A193" s="4">
        <v>44812</v>
      </c>
      <c r="B193" s="283" t="s">
        <v>173</v>
      </c>
      <c r="C193" s="283" t="s">
        <v>312</v>
      </c>
      <c r="D193" s="184">
        <v>-763.56</v>
      </c>
    </row>
    <row r="194" spans="1:4" x14ac:dyDescent="0.25">
      <c r="A194" s="4">
        <v>44812</v>
      </c>
      <c r="B194" s="283" t="s">
        <v>173</v>
      </c>
      <c r="C194" s="283" t="s">
        <v>313</v>
      </c>
      <c r="D194" s="184">
        <v>-1405.59</v>
      </c>
    </row>
    <row r="195" spans="1:4" x14ac:dyDescent="0.25">
      <c r="A195" s="4">
        <v>44812</v>
      </c>
      <c r="B195" s="283" t="s">
        <v>173</v>
      </c>
      <c r="C195" s="283" t="s">
        <v>314</v>
      </c>
      <c r="D195" s="184">
        <v>-485.1</v>
      </c>
    </row>
    <row r="196" spans="1:4" x14ac:dyDescent="0.25">
      <c r="A196" s="4">
        <v>44812</v>
      </c>
      <c r="B196" s="283" t="s">
        <v>173</v>
      </c>
      <c r="C196" s="283" t="s">
        <v>315</v>
      </c>
      <c r="D196" s="184">
        <v>-6401.73</v>
      </c>
    </row>
    <row r="197" spans="1:4" x14ac:dyDescent="0.25">
      <c r="A197" s="4">
        <v>44834</v>
      </c>
      <c r="B197" s="283" t="s">
        <v>170</v>
      </c>
      <c r="C197" s="283" t="s">
        <v>316</v>
      </c>
      <c r="D197" s="184">
        <v>1537.9</v>
      </c>
    </row>
    <row r="198" spans="1:4" x14ac:dyDescent="0.25">
      <c r="A198" s="4">
        <v>44834</v>
      </c>
      <c r="B198" s="283" t="s">
        <v>154</v>
      </c>
      <c r="C198" s="283" t="s">
        <v>317</v>
      </c>
      <c r="D198" s="184">
        <v>-1137.97</v>
      </c>
    </row>
    <row r="199" spans="1:4" x14ac:dyDescent="0.25">
      <c r="A199" s="4">
        <v>44851</v>
      </c>
      <c r="B199" s="283" t="s">
        <v>172</v>
      </c>
      <c r="C199" s="283" t="s">
        <v>210</v>
      </c>
      <c r="D199" s="184">
        <v>-840.61</v>
      </c>
    </row>
    <row r="200" spans="1:4" x14ac:dyDescent="0.25">
      <c r="A200" s="4">
        <v>44865</v>
      </c>
      <c r="B200" s="283" t="s">
        <v>170</v>
      </c>
      <c r="C200" s="283" t="s">
        <v>318</v>
      </c>
      <c r="D200" s="184">
        <v>768.95</v>
      </c>
    </row>
    <row r="201" spans="1:4" x14ac:dyDescent="0.25">
      <c r="A201" s="4">
        <v>44865</v>
      </c>
      <c r="B201" s="283" t="s">
        <v>154</v>
      </c>
      <c r="C201" s="283" t="s">
        <v>319</v>
      </c>
      <c r="D201" s="184">
        <v>-758.64</v>
      </c>
    </row>
    <row r="202" spans="1:4" x14ac:dyDescent="0.25">
      <c r="A202" s="4">
        <v>44903</v>
      </c>
      <c r="B202" s="283" t="s">
        <v>170</v>
      </c>
      <c r="C202" s="283" t="s">
        <v>320</v>
      </c>
      <c r="D202" s="184">
        <v>117.4</v>
      </c>
    </row>
    <row r="203" spans="1:4" x14ac:dyDescent="0.25">
      <c r="A203" s="4">
        <v>44903</v>
      </c>
      <c r="B203" s="283" t="s">
        <v>170</v>
      </c>
      <c r="C203" s="283" t="s">
        <v>320</v>
      </c>
      <c r="D203" s="184">
        <v>118.3</v>
      </c>
    </row>
    <row r="204" spans="1:4" x14ac:dyDescent="0.25">
      <c r="A204" s="4">
        <v>44903</v>
      </c>
      <c r="B204" s="283" t="s">
        <v>170</v>
      </c>
      <c r="C204" s="283" t="s">
        <v>320</v>
      </c>
      <c r="D204" s="184">
        <v>633.16</v>
      </c>
    </row>
    <row r="205" spans="1:4" x14ac:dyDescent="0.25">
      <c r="A205" s="4">
        <v>44903</v>
      </c>
      <c r="B205" s="283" t="s">
        <v>154</v>
      </c>
      <c r="C205" s="283" t="s">
        <v>321</v>
      </c>
      <c r="D205" s="184">
        <v>-758.64</v>
      </c>
    </row>
    <row r="206" spans="1:4" x14ac:dyDescent="0.25">
      <c r="A206" s="4">
        <v>44925</v>
      </c>
      <c r="B206" s="283" t="s">
        <v>182</v>
      </c>
      <c r="C206" s="283" t="s">
        <v>182</v>
      </c>
      <c r="D206" s="184">
        <v>-4.92</v>
      </c>
    </row>
    <row r="207" spans="1:4" x14ac:dyDescent="0.25">
      <c r="A207" s="4"/>
      <c r="B207" s="283"/>
      <c r="C207" s="283"/>
      <c r="D207" s="184"/>
    </row>
    <row r="208" spans="1:4" x14ac:dyDescent="0.25">
      <c r="A208" s="4"/>
      <c r="B208" s="283"/>
      <c r="C208" s="283"/>
      <c r="D208" s="184"/>
    </row>
    <row r="209" spans="1:4" x14ac:dyDescent="0.25">
      <c r="A209" s="4"/>
      <c r="B209" s="283"/>
      <c r="C209" s="283"/>
      <c r="D209" s="280"/>
    </row>
    <row r="210" spans="1:4" x14ac:dyDescent="0.25">
      <c r="A210" s="4"/>
      <c r="B210" s="283"/>
      <c r="C210" s="283"/>
      <c r="D210" s="280"/>
    </row>
    <row r="211" spans="1:4" x14ac:dyDescent="0.25">
      <c r="A211" s="312"/>
      <c r="B211" s="283"/>
      <c r="C211" s="283"/>
      <c r="D211" s="280"/>
    </row>
    <row r="212" spans="1:4" x14ac:dyDescent="0.25">
      <c r="A212" s="4"/>
      <c r="B212" s="283"/>
      <c r="C212" s="283"/>
      <c r="D212" s="184"/>
    </row>
    <row r="213" spans="1:4" x14ac:dyDescent="0.25">
      <c r="A213" s="4"/>
      <c r="B213" s="283"/>
      <c r="C213" s="283"/>
      <c r="D213" s="280"/>
    </row>
    <row r="214" spans="1:4" x14ac:dyDescent="0.25">
      <c r="A214" s="4"/>
      <c r="B214" s="283"/>
      <c r="C214" s="283"/>
      <c r="D214" s="280"/>
    </row>
    <row r="215" spans="1:4" x14ac:dyDescent="0.25">
      <c r="A215" s="4"/>
      <c r="B215" s="283"/>
      <c r="C215" s="283"/>
      <c r="D215" s="280"/>
    </row>
    <row r="216" spans="1:4" x14ac:dyDescent="0.25">
      <c r="A216" s="4"/>
      <c r="B216" s="283"/>
      <c r="C216" s="283"/>
      <c r="D216" s="280"/>
    </row>
    <row r="217" spans="1:4" x14ac:dyDescent="0.25">
      <c r="A217" s="4"/>
      <c r="B217" s="283"/>
      <c r="C217" s="283"/>
      <c r="D217" s="280"/>
    </row>
    <row r="218" spans="1:4" x14ac:dyDescent="0.25">
      <c r="A218" s="4"/>
      <c r="B218" s="283"/>
      <c r="C218" s="283"/>
      <c r="D218" s="280"/>
    </row>
    <row r="219" spans="1:4" x14ac:dyDescent="0.25">
      <c r="A219" s="4"/>
      <c r="B219" s="283"/>
      <c r="C219" s="283"/>
      <c r="D219" s="280"/>
    </row>
    <row r="220" spans="1:4" x14ac:dyDescent="0.25">
      <c r="A220" s="4"/>
      <c r="B220" s="283"/>
      <c r="C220" s="283"/>
      <c r="D220" s="280"/>
    </row>
    <row r="221" spans="1:4" x14ac:dyDescent="0.25">
      <c r="A221" s="4"/>
      <c r="B221" s="283"/>
      <c r="C221" s="283"/>
      <c r="D221" s="280"/>
    </row>
    <row r="222" spans="1:4" x14ac:dyDescent="0.25">
      <c r="A222" s="4"/>
      <c r="B222" s="283"/>
      <c r="C222" s="283"/>
      <c r="D222" s="280"/>
    </row>
    <row r="223" spans="1:4" x14ac:dyDescent="0.25">
      <c r="A223" s="4"/>
      <c r="B223" s="283"/>
      <c r="C223" s="283"/>
      <c r="D223" s="280"/>
    </row>
    <row r="224" spans="1:4" x14ac:dyDescent="0.25">
      <c r="A224" s="4"/>
      <c r="B224" s="283"/>
      <c r="C224" s="283"/>
      <c r="D224" s="280"/>
    </row>
    <row r="225" spans="1:4" x14ac:dyDescent="0.25">
      <c r="A225" s="4"/>
      <c r="B225" s="283"/>
      <c r="C225" s="283"/>
      <c r="D225" s="280"/>
    </row>
    <row r="226" spans="1:4" x14ac:dyDescent="0.25">
      <c r="D226" s="184"/>
    </row>
  </sheetData>
  <autoFilter ref="A18:D226" xr:uid="{E17606A6-B448-46F5-9D4B-C30D228C2E6A}"/>
  <mergeCells count="3">
    <mergeCell ref="F17:I17"/>
    <mergeCell ref="A17:D17"/>
    <mergeCell ref="K17:M17"/>
  </mergeCells>
  <phoneticPr fontId="4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1AE39-EE03-4775-A8E1-6CFAE8BE1CA7}">
  <dimension ref="A1:J25"/>
  <sheetViews>
    <sheetView workbookViewId="0">
      <selection activeCell="B2" sqref="B2"/>
    </sheetView>
  </sheetViews>
  <sheetFormatPr baseColWidth="10" defaultRowHeight="15" x14ac:dyDescent="0.25"/>
  <sheetData>
    <row r="1" spans="1:10" x14ac:dyDescent="0.25">
      <c r="A1" t="s">
        <v>250</v>
      </c>
      <c r="C1" t="s">
        <v>251</v>
      </c>
      <c r="D1" t="s">
        <v>252</v>
      </c>
      <c r="E1" t="s">
        <v>253</v>
      </c>
      <c r="F1" t="s">
        <v>254</v>
      </c>
      <c r="G1" t="s">
        <v>255</v>
      </c>
    </row>
    <row r="2" spans="1:10" x14ac:dyDescent="0.25">
      <c r="A2" s="4">
        <v>44562</v>
      </c>
      <c r="B2" s="4">
        <f>EOMONTH(A2,0)</f>
        <v>44592</v>
      </c>
      <c r="C2" s="279"/>
      <c r="D2" cm="1">
        <f t="array" aca="1" ref="D2" ca="1">SUMPRODUCT((WEEKDAY(ROW(INDIRECT(A2&amp;":"&amp;B2)),2)&lt;&gt;7)*1)</f>
        <v>26</v>
      </c>
      <c r="E2">
        <f ca="1">SUM(C2/D2)</f>
        <v>0</v>
      </c>
      <c r="J2" s="4"/>
    </row>
    <row r="3" spans="1:10" x14ac:dyDescent="0.25">
      <c r="A3" s="4">
        <f>EDATE(A2,1)</f>
        <v>44593</v>
      </c>
      <c r="B3" s="4">
        <f t="shared" ref="B3:B25" si="0">EOMONTH(A3,0)</f>
        <v>44620</v>
      </c>
      <c r="C3" s="279"/>
      <c r="D3" cm="1">
        <f t="array" aca="1" ref="D3" ca="1">SUMPRODUCT((WEEKDAY(ROW(INDIRECT(A3&amp;":"&amp;B3)),2)&lt;&gt;7)*1)</f>
        <v>24</v>
      </c>
      <c r="E3">
        <f t="shared" ref="E3:E25" ca="1" si="1">SUM(C3/D3)</f>
        <v>0</v>
      </c>
    </row>
    <row r="4" spans="1:10" x14ac:dyDescent="0.25">
      <c r="A4" s="4">
        <f t="shared" ref="A4:A25" si="2">EDATE(A3,1)</f>
        <v>44621</v>
      </c>
      <c r="B4" s="4">
        <f t="shared" si="0"/>
        <v>44651</v>
      </c>
      <c r="C4" s="279"/>
      <c r="D4" cm="1">
        <f t="array" aca="1" ref="D4" ca="1">SUMPRODUCT((WEEKDAY(ROW(INDIRECT(A4&amp;":"&amp;B4)),2)&lt;&gt;7)*1)</f>
        <v>27</v>
      </c>
      <c r="E4">
        <f t="shared" ca="1" si="1"/>
        <v>0</v>
      </c>
    </row>
    <row r="5" spans="1:10" x14ac:dyDescent="0.25">
      <c r="A5" s="4">
        <f t="shared" si="2"/>
        <v>44652</v>
      </c>
      <c r="B5" s="4">
        <f t="shared" si="0"/>
        <v>44681</v>
      </c>
      <c r="C5" s="279"/>
      <c r="D5" cm="1">
        <f t="array" aca="1" ref="D5" ca="1">SUMPRODUCT((WEEKDAY(ROW(INDIRECT(A5&amp;":"&amp;B5)),2)&lt;&gt;7)*1)</f>
        <v>26</v>
      </c>
      <c r="E5">
        <f t="shared" ca="1" si="1"/>
        <v>0</v>
      </c>
    </row>
    <row r="6" spans="1:10" x14ac:dyDescent="0.25">
      <c r="A6" s="274">
        <f t="shared" si="2"/>
        <v>44682</v>
      </c>
      <c r="B6" s="274">
        <f t="shared" si="0"/>
        <v>44712</v>
      </c>
      <c r="C6" s="331"/>
      <c r="D6" s="311" cm="1">
        <f t="array" aca="1" ref="D6" ca="1">SUMPRODUCT((WEEKDAY(ROW(INDIRECT(A6&amp;":"&amp;B6)),2)&lt;&gt;7)*1)</f>
        <v>26</v>
      </c>
      <c r="E6" s="311">
        <f t="shared" ca="1" si="1"/>
        <v>0</v>
      </c>
      <c r="F6" s="331">
        <f ca="1">SUM(E5*D6)</f>
        <v>0</v>
      </c>
      <c r="G6" s="331">
        <f ca="1">SUM(C6-F6)</f>
        <v>0</v>
      </c>
    </row>
    <row r="7" spans="1:10" x14ac:dyDescent="0.25">
      <c r="A7" s="4">
        <f t="shared" si="2"/>
        <v>44713</v>
      </c>
      <c r="B7" s="4">
        <f t="shared" si="0"/>
        <v>44742</v>
      </c>
      <c r="C7" s="279"/>
      <c r="D7" cm="1">
        <f t="array" aca="1" ref="D7" ca="1">SUMPRODUCT((WEEKDAY(ROW(INDIRECT(A7&amp;":"&amp;B7)),2)&lt;&gt;7)*1)</f>
        <v>26</v>
      </c>
      <c r="E7">
        <f t="shared" ca="1" si="1"/>
        <v>0</v>
      </c>
    </row>
    <row r="8" spans="1:10" x14ac:dyDescent="0.25">
      <c r="A8" s="4">
        <f t="shared" si="2"/>
        <v>44743</v>
      </c>
      <c r="B8" s="4">
        <f t="shared" si="0"/>
        <v>44773</v>
      </c>
      <c r="C8" s="279"/>
      <c r="D8" cm="1">
        <f t="array" aca="1" ref="D8" ca="1">SUMPRODUCT((WEEKDAY(ROW(INDIRECT(A8&amp;":"&amp;B8)),2)&lt;&gt;7)*1)</f>
        <v>26</v>
      </c>
      <c r="E8">
        <f t="shared" ca="1" si="1"/>
        <v>0</v>
      </c>
    </row>
    <row r="9" spans="1:10" x14ac:dyDescent="0.25">
      <c r="A9" s="4">
        <f t="shared" si="2"/>
        <v>44774</v>
      </c>
      <c r="B9" s="4">
        <f t="shared" si="0"/>
        <v>44804</v>
      </c>
      <c r="C9" s="279"/>
      <c r="D9" cm="1">
        <f t="array" aca="1" ref="D9" ca="1">SUMPRODUCT((WEEKDAY(ROW(INDIRECT(A9&amp;":"&amp;B9)),2)&lt;&gt;7)*1)</f>
        <v>27</v>
      </c>
      <c r="E9">
        <f t="shared" ca="1" si="1"/>
        <v>0</v>
      </c>
    </row>
    <row r="10" spans="1:10" x14ac:dyDescent="0.25">
      <c r="A10" s="4">
        <f t="shared" si="2"/>
        <v>44805</v>
      </c>
      <c r="B10" s="4">
        <f t="shared" si="0"/>
        <v>44834</v>
      </c>
      <c r="C10" s="279"/>
      <c r="D10" cm="1">
        <f t="array" aca="1" ref="D10" ca="1">SUMPRODUCT((WEEKDAY(ROW(INDIRECT(A10&amp;":"&amp;B10)),2)&lt;&gt;7)*1)</f>
        <v>26</v>
      </c>
      <c r="E10">
        <f t="shared" ca="1" si="1"/>
        <v>0</v>
      </c>
    </row>
    <row r="11" spans="1:10" x14ac:dyDescent="0.25">
      <c r="A11" s="4">
        <f t="shared" si="2"/>
        <v>44835</v>
      </c>
      <c r="B11" s="4">
        <f t="shared" si="0"/>
        <v>44865</v>
      </c>
      <c r="C11" s="279"/>
      <c r="D11" cm="1">
        <f t="array" aca="1" ref="D11" ca="1">SUMPRODUCT((WEEKDAY(ROW(INDIRECT(A11&amp;":"&amp;B11)),2)&lt;&gt;7)*1)</f>
        <v>26</v>
      </c>
      <c r="E11">
        <f t="shared" ca="1" si="1"/>
        <v>0</v>
      </c>
    </row>
    <row r="12" spans="1:10" x14ac:dyDescent="0.25">
      <c r="A12" s="4">
        <f t="shared" si="2"/>
        <v>44866</v>
      </c>
      <c r="B12" s="4">
        <f t="shared" si="0"/>
        <v>44895</v>
      </c>
      <c r="C12" s="279"/>
      <c r="D12" cm="1">
        <f t="array" aca="1" ref="D12" ca="1">SUMPRODUCT((WEEKDAY(ROW(INDIRECT(A12&amp;":"&amp;B12)),2)&lt;&gt;7)*1)</f>
        <v>26</v>
      </c>
      <c r="E12">
        <f t="shared" ca="1" si="1"/>
        <v>0</v>
      </c>
    </row>
    <row r="13" spans="1:10" x14ac:dyDescent="0.25">
      <c r="A13" s="4">
        <f t="shared" si="2"/>
        <v>44896</v>
      </c>
      <c r="B13" s="4">
        <f t="shared" si="0"/>
        <v>44926</v>
      </c>
      <c r="C13" s="279"/>
      <c r="D13" cm="1">
        <f t="array" aca="1" ref="D13" ca="1">SUMPRODUCT((WEEKDAY(ROW(INDIRECT(A13&amp;":"&amp;B13)),2)&lt;&gt;7)*1)</f>
        <v>27</v>
      </c>
      <c r="E13">
        <f t="shared" ca="1" si="1"/>
        <v>0</v>
      </c>
    </row>
    <row r="14" spans="1:10" x14ac:dyDescent="0.25">
      <c r="A14" s="4">
        <f t="shared" si="2"/>
        <v>44927</v>
      </c>
      <c r="B14" s="4">
        <f t="shared" si="0"/>
        <v>44957</v>
      </c>
      <c r="C14" s="279"/>
      <c r="D14" cm="1">
        <f t="array" aca="1" ref="D14" ca="1">SUMPRODUCT((WEEKDAY(ROW(INDIRECT(A14&amp;":"&amp;B14)),2)&lt;&gt;7)*1)</f>
        <v>26</v>
      </c>
      <c r="E14">
        <f t="shared" ca="1" si="1"/>
        <v>0</v>
      </c>
    </row>
    <row r="15" spans="1:10" x14ac:dyDescent="0.25">
      <c r="A15" s="4">
        <f t="shared" si="2"/>
        <v>44958</v>
      </c>
      <c r="B15" s="4">
        <f t="shared" si="0"/>
        <v>44985</v>
      </c>
      <c r="C15" s="279"/>
      <c r="D15" cm="1">
        <f t="array" aca="1" ref="D15" ca="1">SUMPRODUCT((WEEKDAY(ROW(INDIRECT(A15&amp;":"&amp;B15)),2)&lt;&gt;7)*1)</f>
        <v>24</v>
      </c>
      <c r="E15">
        <f t="shared" ca="1" si="1"/>
        <v>0</v>
      </c>
    </row>
    <row r="16" spans="1:10" x14ac:dyDescent="0.25">
      <c r="A16" s="4">
        <f t="shared" si="2"/>
        <v>44986</v>
      </c>
      <c r="B16" s="4">
        <f t="shared" si="0"/>
        <v>45016</v>
      </c>
      <c r="C16" s="279"/>
      <c r="D16" cm="1">
        <f t="array" aca="1" ref="D16" ca="1">SUMPRODUCT((WEEKDAY(ROW(INDIRECT(A16&amp;":"&amp;B16)),2)&lt;&gt;7)*1)</f>
        <v>27</v>
      </c>
      <c r="E16">
        <f t="shared" ca="1" si="1"/>
        <v>0</v>
      </c>
    </row>
    <row r="17" spans="1:7" x14ac:dyDescent="0.25">
      <c r="A17" s="4">
        <f t="shared" si="2"/>
        <v>45017</v>
      </c>
      <c r="B17" s="4">
        <f t="shared" si="0"/>
        <v>45046</v>
      </c>
      <c r="C17" s="279"/>
      <c r="D17" cm="1">
        <f t="array" aca="1" ref="D17" ca="1">SUMPRODUCT((WEEKDAY(ROW(INDIRECT(A17&amp;":"&amp;B17)),2)&lt;&gt;7)*1)</f>
        <v>25</v>
      </c>
      <c r="E17">
        <f t="shared" ca="1" si="1"/>
        <v>0</v>
      </c>
    </row>
    <row r="18" spans="1:7" x14ac:dyDescent="0.25">
      <c r="A18" s="274">
        <f t="shared" si="2"/>
        <v>45047</v>
      </c>
      <c r="B18" s="274">
        <f t="shared" si="0"/>
        <v>45077</v>
      </c>
      <c r="C18" s="279"/>
      <c r="D18" s="311" cm="1">
        <f t="array" aca="1" ref="D18" ca="1">SUMPRODUCT((WEEKDAY(ROW(INDIRECT(A18&amp;":"&amp;B18)),2)&lt;&gt;7)*1)</f>
        <v>27</v>
      </c>
      <c r="E18" s="311">
        <f t="shared" ca="1" si="1"/>
        <v>0</v>
      </c>
      <c r="F18" s="331">
        <f ca="1">SUM(E17*D18)</f>
        <v>0</v>
      </c>
      <c r="G18" s="331">
        <f ca="1">SUM(C18-F18)</f>
        <v>0</v>
      </c>
    </row>
    <row r="19" spans="1:7" x14ac:dyDescent="0.25">
      <c r="A19" s="4">
        <f t="shared" si="2"/>
        <v>45078</v>
      </c>
      <c r="B19" s="4">
        <f t="shared" si="0"/>
        <v>45107</v>
      </c>
      <c r="C19" s="279"/>
      <c r="D19" cm="1">
        <f t="array" aca="1" ref="D19" ca="1">SUMPRODUCT((WEEKDAY(ROW(INDIRECT(A19&amp;":"&amp;B19)),2)&lt;&gt;7)*1)</f>
        <v>26</v>
      </c>
      <c r="E19">
        <f t="shared" ca="1" si="1"/>
        <v>0</v>
      </c>
    </row>
    <row r="20" spans="1:7" x14ac:dyDescent="0.25">
      <c r="A20" s="4">
        <f t="shared" si="2"/>
        <v>45108</v>
      </c>
      <c r="B20" s="4">
        <f t="shared" si="0"/>
        <v>45138</v>
      </c>
      <c r="C20" s="279"/>
      <c r="D20" cm="1">
        <f t="array" aca="1" ref="D20" ca="1">SUMPRODUCT((WEEKDAY(ROW(INDIRECT(A20&amp;":"&amp;B20)),2)&lt;&gt;7)*1)</f>
        <v>26</v>
      </c>
      <c r="E20">
        <f t="shared" ca="1" si="1"/>
        <v>0</v>
      </c>
    </row>
    <row r="21" spans="1:7" x14ac:dyDescent="0.25">
      <c r="A21" s="4">
        <f t="shared" si="2"/>
        <v>45139</v>
      </c>
      <c r="B21" s="4">
        <f t="shared" si="0"/>
        <v>45169</v>
      </c>
      <c r="C21" s="279"/>
      <c r="D21" cm="1">
        <f t="array" aca="1" ref="D21" ca="1">SUMPRODUCT((WEEKDAY(ROW(INDIRECT(A21&amp;":"&amp;B21)),2)&lt;&gt;7)*1)</f>
        <v>27</v>
      </c>
      <c r="E21">
        <f t="shared" ca="1" si="1"/>
        <v>0</v>
      </c>
    </row>
    <row r="22" spans="1:7" x14ac:dyDescent="0.25">
      <c r="A22" s="4">
        <f t="shared" si="2"/>
        <v>45170</v>
      </c>
      <c r="B22" s="4">
        <f t="shared" si="0"/>
        <v>45199</v>
      </c>
      <c r="C22" s="279"/>
      <c r="D22" cm="1">
        <f t="array" aca="1" ref="D22" ca="1">SUMPRODUCT((WEEKDAY(ROW(INDIRECT(A22&amp;":"&amp;B22)),2)&lt;&gt;7)*1)</f>
        <v>26</v>
      </c>
      <c r="E22">
        <f t="shared" ca="1" si="1"/>
        <v>0</v>
      </c>
    </row>
    <row r="23" spans="1:7" x14ac:dyDescent="0.25">
      <c r="A23" s="4">
        <f t="shared" si="2"/>
        <v>45200</v>
      </c>
      <c r="B23" s="4">
        <f t="shared" si="0"/>
        <v>45230</v>
      </c>
      <c r="C23" s="279"/>
      <c r="D23" cm="1">
        <f t="array" aca="1" ref="D23" ca="1">SUMPRODUCT((WEEKDAY(ROW(INDIRECT(A23&amp;":"&amp;B23)),2)&lt;&gt;7)*1)</f>
        <v>26</v>
      </c>
      <c r="E23">
        <f t="shared" ca="1" si="1"/>
        <v>0</v>
      </c>
    </row>
    <row r="24" spans="1:7" x14ac:dyDescent="0.25">
      <c r="A24" s="4">
        <f t="shared" si="2"/>
        <v>45231</v>
      </c>
      <c r="B24" s="4">
        <f t="shared" si="0"/>
        <v>45260</v>
      </c>
      <c r="C24" s="279"/>
      <c r="D24" cm="1">
        <f t="array" aca="1" ref="D24" ca="1">SUMPRODUCT((WEEKDAY(ROW(INDIRECT(A24&amp;":"&amp;B24)),2)&lt;&gt;7)*1)</f>
        <v>26</v>
      </c>
      <c r="E24">
        <f t="shared" ca="1" si="1"/>
        <v>0</v>
      </c>
    </row>
    <row r="25" spans="1:7" x14ac:dyDescent="0.25">
      <c r="A25" s="4">
        <f t="shared" si="2"/>
        <v>45261</v>
      </c>
      <c r="B25" s="4">
        <f t="shared" si="0"/>
        <v>45291</v>
      </c>
      <c r="C25" s="279"/>
      <c r="D25" cm="1">
        <f t="array" aca="1" ref="D25" ca="1">SUMPRODUCT((WEEKDAY(ROW(INDIRECT(A25&amp;":"&amp;B25)),2)&lt;&gt;7)*1)</f>
        <v>26</v>
      </c>
      <c r="E25">
        <f t="shared" ca="1" si="1"/>
        <v>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068D7-3C46-4683-AA83-3E9B2649E8C9}">
  <sheetPr codeName="Feuil6"/>
  <dimension ref="A1:O43"/>
  <sheetViews>
    <sheetView workbookViewId="0">
      <selection activeCell="A19" sqref="A19"/>
    </sheetView>
  </sheetViews>
  <sheetFormatPr baseColWidth="10" defaultRowHeight="15" x14ac:dyDescent="0.25"/>
  <cols>
    <col min="1" max="1" width="29.5703125" customWidth="1"/>
    <col min="5" max="5" width="12.140625" customWidth="1"/>
    <col min="6" max="6" width="15" customWidth="1"/>
    <col min="7" max="7" width="19.28515625" customWidth="1"/>
    <col min="9" max="9" width="28.7109375" customWidth="1"/>
    <col min="13" max="13" width="13.85546875" customWidth="1"/>
    <col min="15" max="15" width="18.140625" customWidth="1"/>
  </cols>
  <sheetData>
    <row r="1" spans="1:15" x14ac:dyDescent="0.25">
      <c r="A1" s="164" t="s">
        <v>142</v>
      </c>
      <c r="B1" s="164"/>
      <c r="C1" s="164"/>
      <c r="D1" s="164"/>
      <c r="E1" s="164"/>
      <c r="F1" s="164"/>
      <c r="G1" s="164"/>
      <c r="I1" s="164" t="s">
        <v>143</v>
      </c>
      <c r="J1" s="164"/>
      <c r="K1" s="164"/>
      <c r="L1" s="164"/>
      <c r="M1" s="164"/>
      <c r="N1" s="164"/>
      <c r="O1" s="164"/>
    </row>
    <row r="2" spans="1:15" ht="15.75" thickBot="1" x14ac:dyDescent="0.3"/>
    <row r="3" spans="1:15" ht="15" customHeight="1" x14ac:dyDescent="0.25">
      <c r="A3" s="413" t="s">
        <v>89</v>
      </c>
      <c r="B3" s="414"/>
      <c r="C3" s="414"/>
      <c r="D3" s="414"/>
      <c r="E3" s="414"/>
      <c r="F3" s="414"/>
      <c r="G3" s="415"/>
      <c r="I3" s="406" t="s">
        <v>89</v>
      </c>
      <c r="J3" s="407"/>
      <c r="K3" s="407"/>
      <c r="L3" s="407"/>
      <c r="M3" s="407"/>
      <c r="N3" s="407"/>
      <c r="O3" s="408"/>
    </row>
    <row r="4" spans="1:15" ht="15" customHeight="1" x14ac:dyDescent="0.25">
      <c r="A4" s="416"/>
      <c r="B4" s="417"/>
      <c r="C4" s="417"/>
      <c r="D4" s="418"/>
      <c r="E4" s="417"/>
      <c r="F4" s="417"/>
      <c r="G4" s="419"/>
      <c r="I4" s="409"/>
      <c r="J4" s="410"/>
      <c r="K4" s="410"/>
      <c r="L4" s="411"/>
      <c r="M4" s="410"/>
      <c r="N4" s="410"/>
      <c r="O4" s="412"/>
    </row>
    <row r="5" spans="1:15" x14ac:dyDescent="0.25">
      <c r="A5" s="157" t="s">
        <v>83</v>
      </c>
      <c r="B5" s="158"/>
      <c r="C5" s="341">
        <f>SUM(Situation!C67-Situation!C39-Situation!C47-Situation!C59-Situation!C66)</f>
        <v>2609</v>
      </c>
      <c r="D5" s="338" t="s">
        <v>82</v>
      </c>
      <c r="E5" s="165" t="s">
        <v>81</v>
      </c>
      <c r="F5" s="166"/>
      <c r="G5" s="96">
        <f>Situation!$B$5</f>
        <v>0</v>
      </c>
      <c r="I5" s="202" t="s">
        <v>83</v>
      </c>
      <c r="J5" s="203"/>
      <c r="K5" s="341">
        <f>SUM(Situation!E67-Situation!E39-Situation!E47-Situation!E59-Situation!E66)</f>
        <v>0</v>
      </c>
      <c r="L5" s="338" t="s">
        <v>82</v>
      </c>
      <c r="M5" s="344" t="s">
        <v>81</v>
      </c>
      <c r="N5" s="345"/>
      <c r="O5" s="96">
        <f>Situation!E5</f>
        <v>0</v>
      </c>
    </row>
    <row r="6" spans="1:15" x14ac:dyDescent="0.25">
      <c r="A6" s="336"/>
      <c r="B6" s="97"/>
      <c r="C6" s="337"/>
      <c r="D6" s="342"/>
      <c r="E6" s="339" t="s">
        <v>260</v>
      </c>
      <c r="F6" s="158"/>
      <c r="G6" s="340">
        <v>81</v>
      </c>
      <c r="I6" s="210"/>
      <c r="J6" s="200"/>
      <c r="K6" s="337"/>
      <c r="L6" s="343"/>
      <c r="M6" s="205" t="s">
        <v>260</v>
      </c>
      <c r="N6" s="206"/>
      <c r="O6" s="340">
        <v>81</v>
      </c>
    </row>
    <row r="7" spans="1:15" ht="38.25" x14ac:dyDescent="0.25">
      <c r="A7" s="157" t="s">
        <v>80</v>
      </c>
      <c r="B7" s="158"/>
      <c r="C7" s="158"/>
      <c r="D7" s="159"/>
      <c r="E7" s="160" t="s">
        <v>144</v>
      </c>
      <c r="F7" s="101"/>
      <c r="G7" s="161" t="s">
        <v>78</v>
      </c>
      <c r="I7" s="202" t="s">
        <v>80</v>
      </c>
      <c r="J7" s="201"/>
      <c r="K7" s="201"/>
      <c r="L7" s="203"/>
      <c r="M7" s="204" t="s">
        <v>144</v>
      </c>
      <c r="N7" s="101"/>
      <c r="O7" s="207" t="s">
        <v>78</v>
      </c>
    </row>
    <row r="8" spans="1:15" ht="38.25" x14ac:dyDescent="0.25">
      <c r="A8" s="76" t="s">
        <v>77</v>
      </c>
      <c r="B8" s="300">
        <v>1149</v>
      </c>
      <c r="C8" s="81"/>
      <c r="D8" s="73"/>
      <c r="E8" s="84" t="s">
        <v>76</v>
      </c>
      <c r="F8" s="83">
        <v>0</v>
      </c>
      <c r="G8" s="82">
        <v>0</v>
      </c>
      <c r="I8" s="76" t="s">
        <v>77</v>
      </c>
      <c r="J8" s="300">
        <v>1316</v>
      </c>
      <c r="K8" s="81"/>
      <c r="L8" s="73"/>
      <c r="M8" s="84" t="s">
        <v>76</v>
      </c>
      <c r="N8" s="83">
        <v>0</v>
      </c>
      <c r="O8" s="82">
        <v>0</v>
      </c>
    </row>
    <row r="9" spans="1:15" ht="25.5" x14ac:dyDescent="0.25">
      <c r="A9" s="80" t="s">
        <v>75</v>
      </c>
      <c r="B9" s="300">
        <v>1149.01</v>
      </c>
      <c r="C9" s="81" t="s">
        <v>73</v>
      </c>
      <c r="D9" s="300">
        <v>1235</v>
      </c>
      <c r="E9" s="78">
        <v>0.2</v>
      </c>
      <c r="F9" s="73">
        <f>IF($C$5&lt;D9,((($C$5-B9)/100)*20),(((D9-B9)/100)*20))</f>
        <v>17.198</v>
      </c>
      <c r="G9" s="77">
        <f>IF(F9&lt;=0,"quotité inférieure",F9)</f>
        <v>17.198</v>
      </c>
      <c r="I9" s="80" t="s">
        <v>75</v>
      </c>
      <c r="J9" s="300">
        <v>1316</v>
      </c>
      <c r="K9" s="81" t="s">
        <v>73</v>
      </c>
      <c r="L9" s="300">
        <v>1414</v>
      </c>
      <c r="M9" s="78">
        <v>0.2</v>
      </c>
      <c r="N9" s="73">
        <f>IF($K$5&lt;L9,((($K$5-J9)/100)*20),(((L9-J9)/100)*20))</f>
        <v>-263.2</v>
      </c>
      <c r="O9" s="77" t="str">
        <f>IF(N9&lt;=0,"quotité inférieure",N9)</f>
        <v>quotité inférieure</v>
      </c>
    </row>
    <row r="10" spans="1:15" ht="25.5" x14ac:dyDescent="0.25">
      <c r="A10" s="80" t="s">
        <v>74</v>
      </c>
      <c r="B10" s="300">
        <v>1235.01</v>
      </c>
      <c r="C10" s="81" t="s">
        <v>73</v>
      </c>
      <c r="D10" s="300">
        <v>1362</v>
      </c>
      <c r="E10" s="78">
        <v>0.3</v>
      </c>
      <c r="F10" s="73">
        <f>IF($C$5&lt;D10,((($C$5-B10)/100)*30),(((D10-B10)/100)*30))</f>
        <v>38.097000000000001</v>
      </c>
      <c r="G10" s="77">
        <f>IF(F10&lt;=0,"quotité inférieure",F10)</f>
        <v>38.097000000000001</v>
      </c>
      <c r="I10" s="80" t="s">
        <v>74</v>
      </c>
      <c r="J10" s="300">
        <v>1414</v>
      </c>
      <c r="K10" s="81" t="s">
        <v>73</v>
      </c>
      <c r="L10" s="300">
        <v>1560</v>
      </c>
      <c r="M10" s="78">
        <v>0.3</v>
      </c>
      <c r="N10" s="73">
        <f>IF($K$5&lt;L10,((($K$5-J10)/100)*30),(((L10-J10)/100)*30))</f>
        <v>-424.20000000000005</v>
      </c>
      <c r="O10" s="77" t="str">
        <f>IF(N10&lt;=0,"quotité inférieure",N10)</f>
        <v>quotité inférieure</v>
      </c>
    </row>
    <row r="11" spans="1:15" ht="25.5" x14ac:dyDescent="0.25">
      <c r="A11" s="80" t="s">
        <v>75</v>
      </c>
      <c r="B11" s="300">
        <v>1362.01</v>
      </c>
      <c r="C11" s="79" t="s">
        <v>73</v>
      </c>
      <c r="D11" s="300">
        <v>1490</v>
      </c>
      <c r="E11" s="78">
        <v>0.4</v>
      </c>
      <c r="F11" s="73">
        <f>IF($C$5&lt;D11,((($C$5-B11)/100)*40),(((D11-B11)/100)*40))</f>
        <v>51.195999999999998</v>
      </c>
      <c r="G11" s="77">
        <f>IF(F11&lt;=0,"quotité inférieure",F11)</f>
        <v>51.195999999999998</v>
      </c>
      <c r="I11" s="80" t="s">
        <v>75</v>
      </c>
      <c r="J11" s="300">
        <v>1560</v>
      </c>
      <c r="K11" s="79" t="s">
        <v>73</v>
      </c>
      <c r="L11" s="300">
        <v>1706</v>
      </c>
      <c r="M11" s="78">
        <v>0.4</v>
      </c>
      <c r="N11" s="73">
        <f>IF($K$5&lt;L11,((($K$5-J11)/100)*40),(((L11-J11)/100)*40))</f>
        <v>-624</v>
      </c>
      <c r="O11" s="77" t="str">
        <f>IF(N11&lt;=0,"quotité inférieure",N11)</f>
        <v>quotité inférieure</v>
      </c>
    </row>
    <row r="12" spans="1:15" ht="25.5" x14ac:dyDescent="0.25">
      <c r="A12" s="76" t="s">
        <v>72</v>
      </c>
      <c r="B12" s="300">
        <v>1490.01</v>
      </c>
      <c r="C12" s="81"/>
      <c r="D12" s="73"/>
      <c r="E12" s="74" t="s">
        <v>71</v>
      </c>
      <c r="F12" s="73">
        <f>IF($C$5&lt;B12,"quotité inférieure",(C5-B12))</f>
        <v>1118.99</v>
      </c>
      <c r="G12" s="72">
        <f>F12</f>
        <v>1118.99</v>
      </c>
      <c r="I12" s="76" t="s">
        <v>72</v>
      </c>
      <c r="J12" s="300">
        <v>1706</v>
      </c>
      <c r="K12" s="81"/>
      <c r="L12" s="73"/>
      <c r="M12" s="74" t="s">
        <v>71</v>
      </c>
      <c r="N12" s="73" t="str">
        <f>IF($K$5&lt;J12,"quotité inférieure",(K5-J12))</f>
        <v>quotité inférieure</v>
      </c>
      <c r="O12" s="72" t="str">
        <f>N12</f>
        <v>quotité inférieure</v>
      </c>
    </row>
    <row r="13" spans="1:15" ht="15.75" thickBot="1" x14ac:dyDescent="0.3">
      <c r="A13" s="94"/>
      <c r="B13" s="92"/>
      <c r="C13" s="93"/>
      <c r="D13" s="92"/>
      <c r="E13" s="91" t="s">
        <v>70</v>
      </c>
      <c r="F13" s="91"/>
      <c r="G13" s="90">
        <f>IF(SUM(G8:G12)-(G6*G5)&lt;=0,0,SUM(G8:G12)-(G6*G5))</f>
        <v>1225.481</v>
      </c>
      <c r="I13" s="94"/>
      <c r="J13" s="92"/>
      <c r="K13" s="93"/>
      <c r="L13" s="92"/>
      <c r="M13" s="208" t="s">
        <v>70</v>
      </c>
      <c r="N13" s="208"/>
      <c r="O13" s="209">
        <f>IF(SUM(O8:O12)-(O6*O5)&lt;=0,0,SUM(O8:O12)-(O6*O5))</f>
        <v>0</v>
      </c>
    </row>
    <row r="14" spans="1:15" ht="15.75" thickBot="1" x14ac:dyDescent="0.3"/>
    <row r="15" spans="1:15" ht="15" customHeight="1" x14ac:dyDescent="0.25">
      <c r="A15" s="413" t="s">
        <v>88</v>
      </c>
      <c r="B15" s="414"/>
      <c r="C15" s="414"/>
      <c r="D15" s="414"/>
      <c r="E15" s="414"/>
      <c r="F15" s="414"/>
      <c r="G15" s="415"/>
      <c r="I15" s="406" t="s">
        <v>88</v>
      </c>
      <c r="J15" s="407"/>
      <c r="K15" s="407"/>
      <c r="L15" s="407"/>
      <c r="M15" s="407"/>
      <c r="N15" s="407"/>
      <c r="O15" s="408"/>
    </row>
    <row r="16" spans="1:15" ht="15" customHeight="1" x14ac:dyDescent="0.25">
      <c r="A16" s="416"/>
      <c r="B16" s="417"/>
      <c r="C16" s="417"/>
      <c r="D16" s="418"/>
      <c r="E16" s="417"/>
      <c r="F16" s="417"/>
      <c r="G16" s="419"/>
      <c r="I16" s="409"/>
      <c r="J16" s="410"/>
      <c r="K16" s="410"/>
      <c r="L16" s="411"/>
      <c r="M16" s="410"/>
      <c r="N16" s="410"/>
      <c r="O16" s="412"/>
    </row>
    <row r="17" spans="1:15" x14ac:dyDescent="0.25">
      <c r="A17" s="100" t="s">
        <v>83</v>
      </c>
      <c r="B17" s="99"/>
      <c r="C17" s="301">
        <f>C5</f>
        <v>2609</v>
      </c>
      <c r="D17" s="98" t="s">
        <v>82</v>
      </c>
      <c r="E17" s="97" t="s">
        <v>81</v>
      </c>
      <c r="F17" s="97"/>
      <c r="G17" s="96">
        <f>Situation!$B$5</f>
        <v>0</v>
      </c>
      <c r="I17" s="199" t="s">
        <v>83</v>
      </c>
      <c r="J17" s="200"/>
      <c r="K17" s="301">
        <f>K5</f>
        <v>0</v>
      </c>
      <c r="L17" s="98" t="s">
        <v>82</v>
      </c>
      <c r="M17" s="206" t="s">
        <v>81</v>
      </c>
      <c r="N17" s="206"/>
      <c r="O17" s="96">
        <f>Situation!E5</f>
        <v>0</v>
      </c>
    </row>
    <row r="18" spans="1:15" ht="38.25" x14ac:dyDescent="0.25">
      <c r="A18" s="157" t="s">
        <v>80</v>
      </c>
      <c r="B18" s="158"/>
      <c r="C18" s="158"/>
      <c r="D18" s="169"/>
      <c r="E18" s="160" t="s">
        <v>144</v>
      </c>
      <c r="F18" s="95"/>
      <c r="G18" s="161" t="s">
        <v>78</v>
      </c>
      <c r="I18" s="202" t="s">
        <v>80</v>
      </c>
      <c r="J18" s="201"/>
      <c r="K18" s="201"/>
      <c r="L18" s="203"/>
      <c r="M18" s="204" t="s">
        <v>144</v>
      </c>
      <c r="N18" s="95"/>
      <c r="O18" s="207" t="s">
        <v>78</v>
      </c>
    </row>
    <row r="19" spans="1:15" ht="38.25" x14ac:dyDescent="0.25">
      <c r="A19" s="76" t="s">
        <v>77</v>
      </c>
      <c r="B19" s="73">
        <f>B8</f>
        <v>1149</v>
      </c>
      <c r="C19" s="81"/>
      <c r="D19" s="73"/>
      <c r="E19" s="84" t="s">
        <v>76</v>
      </c>
      <c r="F19" s="130">
        <v>0</v>
      </c>
      <c r="G19" s="131">
        <v>0</v>
      </c>
      <c r="I19" s="76" t="s">
        <v>77</v>
      </c>
      <c r="J19" s="73">
        <f>J8</f>
        <v>1316</v>
      </c>
      <c r="K19" s="81"/>
      <c r="L19" s="73"/>
      <c r="M19" s="84" t="s">
        <v>76</v>
      </c>
      <c r="N19" s="130">
        <v>0</v>
      </c>
      <c r="O19" s="131">
        <v>0</v>
      </c>
    </row>
    <row r="20" spans="1:15" ht="25.5" x14ac:dyDescent="0.25">
      <c r="A20" s="80" t="s">
        <v>74</v>
      </c>
      <c r="B20" s="73">
        <f>B9</f>
        <v>1149.01</v>
      </c>
      <c r="C20" s="81" t="s">
        <v>87</v>
      </c>
      <c r="D20" s="73">
        <f>D9</f>
        <v>1235</v>
      </c>
      <c r="E20" s="78">
        <v>0.2</v>
      </c>
      <c r="F20" s="129">
        <f>IF($C$17&lt;D20,((($C$17-B20)/100)*20),(((D20-B20)/100)*20))</f>
        <v>17.198</v>
      </c>
      <c r="G20" s="132">
        <f>IF(F20&lt;=0,"quotité inférieure",F20)</f>
        <v>17.198</v>
      </c>
      <c r="I20" s="80" t="s">
        <v>74</v>
      </c>
      <c r="J20" s="73">
        <f>J9</f>
        <v>1316</v>
      </c>
      <c r="K20" s="81" t="s">
        <v>87</v>
      </c>
      <c r="L20" s="73">
        <f>L9</f>
        <v>1414</v>
      </c>
      <c r="M20" s="78">
        <v>0.2</v>
      </c>
      <c r="N20" s="129">
        <f>IF($K$17&lt;L20,((($K$17-J20)/100)*20),(((L20-J20)/100)*20))</f>
        <v>-263.2</v>
      </c>
      <c r="O20" s="132" t="str">
        <f>IF(N20&lt;=0,"quotité inférieure",N20)</f>
        <v>quotité inférieure</v>
      </c>
    </row>
    <row r="21" spans="1:15" ht="25.5" x14ac:dyDescent="0.25">
      <c r="A21" s="80" t="s">
        <v>74</v>
      </c>
      <c r="B21" s="73">
        <f>B10</f>
        <v>1235.01</v>
      </c>
      <c r="C21" s="81" t="s">
        <v>87</v>
      </c>
      <c r="D21" s="73">
        <f>D11</f>
        <v>1490</v>
      </c>
      <c r="E21" s="78">
        <v>0.4</v>
      </c>
      <c r="F21" s="129">
        <f>IF($C$17&lt;D21,((($C$17-B21)/100)*40),(((D21-B21)/100)*40))</f>
        <v>101.99600000000001</v>
      </c>
      <c r="G21" s="132">
        <f>IF(F21&lt;=0,"quotité inférieure",F21)</f>
        <v>101.99600000000001</v>
      </c>
      <c r="I21" s="80" t="s">
        <v>74</v>
      </c>
      <c r="J21" s="73">
        <f>J10</f>
        <v>1414</v>
      </c>
      <c r="K21" s="81" t="s">
        <v>87</v>
      </c>
      <c r="L21" s="73">
        <f>L11</f>
        <v>1706</v>
      </c>
      <c r="M21" s="78">
        <v>0.4</v>
      </c>
      <c r="N21" s="129">
        <f>IF($K$17&lt;L21,((($K$17-J21)/100)*40),(((L21-J21)/100)*40))</f>
        <v>-565.6</v>
      </c>
      <c r="O21" s="132" t="str">
        <f>IF(N21&lt;=0,"quotité inférieure",N21)</f>
        <v>quotité inférieure</v>
      </c>
    </row>
    <row r="22" spans="1:15" ht="25.5" x14ac:dyDescent="0.25">
      <c r="A22" s="76" t="s">
        <v>86</v>
      </c>
      <c r="B22" s="73">
        <f>B12</f>
        <v>1490.01</v>
      </c>
      <c r="C22" s="75"/>
      <c r="D22" s="73"/>
      <c r="E22" s="74" t="s">
        <v>71</v>
      </c>
      <c r="F22" s="129">
        <f>IF($C$17&lt;B22,"quotité inférieure",(C17-B22))</f>
        <v>1118.99</v>
      </c>
      <c r="G22" s="132">
        <f>F22</f>
        <v>1118.99</v>
      </c>
      <c r="I22" s="76" t="s">
        <v>86</v>
      </c>
      <c r="J22" s="73">
        <f>J12</f>
        <v>1706</v>
      </c>
      <c r="K22" s="75"/>
      <c r="L22" s="73"/>
      <c r="M22" s="74" t="s">
        <v>71</v>
      </c>
      <c r="N22" s="129" t="str">
        <f>IF($K$17&lt;J22,"quotité inférieure",(K17-J22))</f>
        <v>quotité inférieure</v>
      </c>
      <c r="O22" s="132" t="str">
        <f>N22</f>
        <v>quotité inférieure</v>
      </c>
    </row>
    <row r="23" spans="1:15" ht="15.75" thickBot="1" x14ac:dyDescent="0.3">
      <c r="A23" s="94"/>
      <c r="B23" s="92"/>
      <c r="C23" s="93"/>
      <c r="D23" s="92"/>
      <c r="E23" s="91" t="s">
        <v>70</v>
      </c>
      <c r="F23" s="91"/>
      <c r="G23" s="90">
        <f>IF(SUM(G19:G22)-(G6*G17)&lt;=0,0,SUM(G19:G22)-(G6*G17))</f>
        <v>1238.184</v>
      </c>
      <c r="I23" s="94"/>
      <c r="J23" s="92"/>
      <c r="K23" s="93"/>
      <c r="L23" s="92"/>
      <c r="M23" s="208" t="s">
        <v>70</v>
      </c>
      <c r="N23" s="208"/>
      <c r="O23" s="209">
        <f>IF(SUM(O19:O22)-(O6*O17)&lt;=0,0,SUM(O19:O22)-(O6*O17))</f>
        <v>0</v>
      </c>
    </row>
    <row r="24" spans="1:15" ht="15.75" thickBot="1" x14ac:dyDescent="0.3"/>
    <row r="25" spans="1:15" ht="15" customHeight="1" x14ac:dyDescent="0.25">
      <c r="A25" s="397" t="s">
        <v>85</v>
      </c>
      <c r="B25" s="398"/>
      <c r="C25" s="398"/>
      <c r="D25" s="398"/>
      <c r="E25" s="398"/>
      <c r="F25" s="398"/>
      <c r="G25" s="399"/>
      <c r="I25" s="397" t="s">
        <v>85</v>
      </c>
      <c r="J25" s="398"/>
      <c r="K25" s="398"/>
      <c r="L25" s="398"/>
      <c r="M25" s="398"/>
      <c r="N25" s="398"/>
      <c r="O25" s="399"/>
    </row>
    <row r="26" spans="1:15" x14ac:dyDescent="0.25">
      <c r="A26" s="400"/>
      <c r="B26" s="401"/>
      <c r="C26" s="401"/>
      <c r="D26" s="401"/>
      <c r="E26" s="401"/>
      <c r="F26" s="401"/>
      <c r="G26" s="402"/>
      <c r="I26" s="400"/>
      <c r="J26" s="401"/>
      <c r="K26" s="401"/>
      <c r="L26" s="401"/>
      <c r="M26" s="401"/>
      <c r="N26" s="401"/>
      <c r="O26" s="402"/>
    </row>
    <row r="27" spans="1:15" x14ac:dyDescent="0.25">
      <c r="A27" s="400"/>
      <c r="B27" s="401"/>
      <c r="C27" s="401"/>
      <c r="D27" s="401"/>
      <c r="E27" s="401"/>
      <c r="F27" s="401"/>
      <c r="G27" s="402"/>
      <c r="I27" s="400"/>
      <c r="J27" s="401"/>
      <c r="K27" s="401"/>
      <c r="L27" s="401"/>
      <c r="M27" s="401"/>
      <c r="N27" s="401"/>
      <c r="O27" s="402"/>
    </row>
    <row r="28" spans="1:15" x14ac:dyDescent="0.25">
      <c r="A28" s="400"/>
      <c r="B28" s="401"/>
      <c r="C28" s="401"/>
      <c r="D28" s="401"/>
      <c r="E28" s="401"/>
      <c r="F28" s="401"/>
      <c r="G28" s="402"/>
      <c r="I28" s="400"/>
      <c r="J28" s="401"/>
      <c r="K28" s="401"/>
      <c r="L28" s="401"/>
      <c r="M28" s="401"/>
      <c r="N28" s="401"/>
      <c r="O28" s="402"/>
    </row>
    <row r="29" spans="1:15" x14ac:dyDescent="0.25">
      <c r="A29" s="400"/>
      <c r="B29" s="401"/>
      <c r="C29" s="401"/>
      <c r="D29" s="401"/>
      <c r="E29" s="401"/>
      <c r="F29" s="401"/>
      <c r="G29" s="402"/>
      <c r="I29" s="400"/>
      <c r="J29" s="401"/>
      <c r="K29" s="401"/>
      <c r="L29" s="401"/>
      <c r="M29" s="401"/>
      <c r="N29" s="401"/>
      <c r="O29" s="402"/>
    </row>
    <row r="30" spans="1:15" ht="15.75" thickBot="1" x14ac:dyDescent="0.3">
      <c r="A30" s="403"/>
      <c r="B30" s="404"/>
      <c r="C30" s="404"/>
      <c r="D30" s="404"/>
      <c r="E30" s="404"/>
      <c r="F30" s="404"/>
      <c r="G30" s="405"/>
      <c r="I30" s="403"/>
      <c r="J30" s="404"/>
      <c r="K30" s="404"/>
      <c r="L30" s="404"/>
      <c r="M30" s="404"/>
      <c r="N30" s="404"/>
      <c r="O30" s="405"/>
    </row>
    <row r="31" spans="1:15" ht="15.75" thickBot="1" x14ac:dyDescent="0.3"/>
    <row r="32" spans="1:15" x14ac:dyDescent="0.25">
      <c r="A32" s="420" t="s">
        <v>84</v>
      </c>
      <c r="B32" s="421"/>
      <c r="C32" s="421"/>
      <c r="D32" s="421"/>
      <c r="E32" s="422"/>
      <c r="F32" s="422"/>
      <c r="G32" s="422"/>
      <c r="I32" s="406" t="s">
        <v>84</v>
      </c>
      <c r="J32" s="407"/>
      <c r="K32" s="407"/>
      <c r="L32" s="407"/>
      <c r="M32" s="407"/>
      <c r="N32" s="407"/>
      <c r="O32" s="408"/>
    </row>
    <row r="33" spans="1:15" ht="15.75" thickBot="1" x14ac:dyDescent="0.3">
      <c r="A33" s="423"/>
      <c r="B33" s="424"/>
      <c r="C33" s="424"/>
      <c r="D33" s="424"/>
      <c r="E33" s="424"/>
      <c r="F33" s="424"/>
      <c r="G33" s="424"/>
      <c r="I33" s="409"/>
      <c r="J33" s="410"/>
      <c r="K33" s="410"/>
      <c r="L33" s="411"/>
      <c r="M33" s="410"/>
      <c r="N33" s="410"/>
      <c r="O33" s="412"/>
    </row>
    <row r="34" spans="1:15" ht="15.75" thickBot="1" x14ac:dyDescent="0.3">
      <c r="A34" s="88" t="s">
        <v>83</v>
      </c>
      <c r="B34" s="87"/>
      <c r="C34" s="301">
        <f>C5</f>
        <v>2609</v>
      </c>
      <c r="D34" s="89" t="s">
        <v>82</v>
      </c>
      <c r="E34" s="88" t="s">
        <v>81</v>
      </c>
      <c r="F34" s="87"/>
      <c r="G34" s="86">
        <f>Situation!$B$5</f>
        <v>0</v>
      </c>
      <c r="I34" s="210" t="s">
        <v>83</v>
      </c>
      <c r="J34" s="211"/>
      <c r="K34" s="301">
        <f>K5</f>
        <v>0</v>
      </c>
      <c r="L34" s="170" t="s">
        <v>82</v>
      </c>
      <c r="M34" s="206" t="s">
        <v>81</v>
      </c>
      <c r="N34" s="214"/>
      <c r="O34" s="86">
        <f>Situation!E5</f>
        <v>0</v>
      </c>
    </row>
    <row r="35" spans="1:15" ht="38.25" x14ac:dyDescent="0.25">
      <c r="A35" s="167" t="s">
        <v>80</v>
      </c>
      <c r="B35" s="168"/>
      <c r="C35" s="168"/>
      <c r="D35" s="168"/>
      <c r="E35" s="162" t="s">
        <v>79</v>
      </c>
      <c r="F35" s="85"/>
      <c r="G35" s="163" t="s">
        <v>78</v>
      </c>
      <c r="I35" s="212" t="s">
        <v>80</v>
      </c>
      <c r="J35" s="201"/>
      <c r="K35" s="201"/>
      <c r="L35" s="201"/>
      <c r="M35" s="213" t="s">
        <v>79</v>
      </c>
      <c r="N35" s="85"/>
      <c r="O35" s="207" t="s">
        <v>78</v>
      </c>
    </row>
    <row r="36" spans="1:15" ht="38.25" x14ac:dyDescent="0.25">
      <c r="A36" s="76" t="s">
        <v>77</v>
      </c>
      <c r="B36" s="73">
        <f>B8</f>
        <v>1149</v>
      </c>
      <c r="C36" s="81"/>
      <c r="D36" s="73"/>
      <c r="E36" s="84" t="s">
        <v>76</v>
      </c>
      <c r="F36" s="83">
        <v>0</v>
      </c>
      <c r="G36" s="82">
        <v>0</v>
      </c>
      <c r="I36" s="171" t="s">
        <v>77</v>
      </c>
      <c r="J36" s="172">
        <f>J8</f>
        <v>1316</v>
      </c>
      <c r="K36" s="173"/>
      <c r="L36" s="172"/>
      <c r="M36" s="174" t="s">
        <v>76</v>
      </c>
      <c r="N36" s="175">
        <v>0</v>
      </c>
      <c r="O36" s="82">
        <v>0</v>
      </c>
    </row>
    <row r="37" spans="1:15" ht="25.5" x14ac:dyDescent="0.25">
      <c r="A37" s="80" t="s">
        <v>75</v>
      </c>
      <c r="B37" s="73">
        <f>B9</f>
        <v>1149.01</v>
      </c>
      <c r="C37" s="81" t="s">
        <v>73</v>
      </c>
      <c r="D37" s="73">
        <f>D9</f>
        <v>1235</v>
      </c>
      <c r="E37" s="78">
        <v>0.2</v>
      </c>
      <c r="F37" s="73">
        <f>IF($C$34&lt;D37,((($C$34-B37)/100)*20),(((D37-B37)/100)*20))</f>
        <v>17.198</v>
      </c>
      <c r="G37" s="77">
        <f>IF(F37&lt;=0,"quotité inférieure",F37)</f>
        <v>17.198</v>
      </c>
      <c r="I37" s="80" t="s">
        <v>75</v>
      </c>
      <c r="J37" s="172">
        <f>J9</f>
        <v>1316</v>
      </c>
      <c r="K37" s="81" t="s">
        <v>73</v>
      </c>
      <c r="L37" s="73">
        <f>L9</f>
        <v>1414</v>
      </c>
      <c r="M37" s="78">
        <v>0.2</v>
      </c>
      <c r="N37" s="73">
        <f>IF($K$34&lt;L37,((($K$34-J37)/100)*20),(((L37-J37)/100)*20))</f>
        <v>-263.2</v>
      </c>
      <c r="O37" s="77" t="str">
        <f>IF(N37&lt;=0,"quotité inférieure",N37)</f>
        <v>quotité inférieure</v>
      </c>
    </row>
    <row r="38" spans="1:15" ht="25.5" x14ac:dyDescent="0.25">
      <c r="A38" s="80" t="s">
        <v>74</v>
      </c>
      <c r="B38" s="73">
        <f>B10</f>
        <v>1235.01</v>
      </c>
      <c r="C38" s="81" t="s">
        <v>73</v>
      </c>
      <c r="D38" s="73">
        <f>D10</f>
        <v>1362</v>
      </c>
      <c r="E38" s="78">
        <v>0.3</v>
      </c>
      <c r="F38" s="73">
        <f>IF($C$34&lt;D38,((($C$34-B38)/100)*30),(((D38-B38)/100)*30))</f>
        <v>38.097000000000001</v>
      </c>
      <c r="G38" s="77">
        <f>IF(F38&lt;=0,"quotité inférieure",F38)</f>
        <v>38.097000000000001</v>
      </c>
      <c r="I38" s="80" t="s">
        <v>74</v>
      </c>
      <c r="J38" s="172">
        <f>J10</f>
        <v>1414</v>
      </c>
      <c r="K38" s="81" t="s">
        <v>73</v>
      </c>
      <c r="L38" s="73">
        <f>L10</f>
        <v>1560</v>
      </c>
      <c r="M38" s="78">
        <v>0.3</v>
      </c>
      <c r="N38" s="73">
        <f>IF($K$34&lt;L38,((($K$34-J38)/100)*30),(((L38-J38)/100)*30))</f>
        <v>-424.20000000000005</v>
      </c>
      <c r="O38" s="77" t="str">
        <f>IF(N38&lt;=0,"quotité inférieure",N38)</f>
        <v>quotité inférieure</v>
      </c>
    </row>
    <row r="39" spans="1:15" ht="25.5" x14ac:dyDescent="0.25">
      <c r="A39" s="80" t="s">
        <v>74</v>
      </c>
      <c r="B39" s="73">
        <f>B11</f>
        <v>1362.01</v>
      </c>
      <c r="C39" s="79" t="s">
        <v>73</v>
      </c>
      <c r="D39" s="73">
        <f>D11</f>
        <v>1490</v>
      </c>
      <c r="E39" s="78">
        <v>0.4</v>
      </c>
      <c r="F39" s="73">
        <f>IF($C$34&lt;D39,((($C$34-B39)/100)*40),(((D39-B39)/100)*40))</f>
        <v>51.195999999999998</v>
      </c>
      <c r="G39" s="77">
        <f>IF(F39&lt;=0,"quotité inférieure",F39)</f>
        <v>51.195999999999998</v>
      </c>
      <c r="I39" s="80" t="s">
        <v>74</v>
      </c>
      <c r="J39" s="172">
        <f>J11</f>
        <v>1560</v>
      </c>
      <c r="K39" s="79" t="s">
        <v>73</v>
      </c>
      <c r="L39" s="73">
        <f>L11</f>
        <v>1706</v>
      </c>
      <c r="M39" s="78">
        <v>0.4</v>
      </c>
      <c r="N39" s="73">
        <f>IF($K$34&lt;L39,((($K$34-J39)/100)*40),(((L39-J39)/100)*40))</f>
        <v>-624</v>
      </c>
      <c r="O39" s="77" t="str">
        <f>IF(N39&lt;=0,"quotité inférieure",N39)</f>
        <v>quotité inférieure</v>
      </c>
    </row>
    <row r="40" spans="1:15" ht="25.5" x14ac:dyDescent="0.25">
      <c r="A40" s="76" t="s">
        <v>72</v>
      </c>
      <c r="B40" s="129">
        <f>B12</f>
        <v>1490.01</v>
      </c>
      <c r="C40" s="75"/>
      <c r="D40" s="73"/>
      <c r="E40" s="74" t="s">
        <v>71</v>
      </c>
      <c r="F40" s="73">
        <f>IF($C$34&lt;B40,"quotité inférieure",(C34-B40))</f>
        <v>1118.99</v>
      </c>
      <c r="G40" s="72">
        <f>F40</f>
        <v>1118.99</v>
      </c>
      <c r="I40" s="76" t="s">
        <v>72</v>
      </c>
      <c r="J40" s="172">
        <f>J12</f>
        <v>1706</v>
      </c>
      <c r="K40" s="75"/>
      <c r="L40" s="73"/>
      <c r="M40" s="74" t="s">
        <v>71</v>
      </c>
      <c r="N40" s="73" t="str">
        <f>IF($K$34&lt;J40,"quotité inférieure",(K34-J40))</f>
        <v>quotité inférieure</v>
      </c>
      <c r="O40" s="72" t="str">
        <f>N40</f>
        <v>quotité inférieure</v>
      </c>
    </row>
    <row r="41" spans="1:15" ht="15.75" thickBot="1" x14ac:dyDescent="0.3">
      <c r="A41" s="71"/>
      <c r="B41" s="69"/>
      <c r="C41" s="70"/>
      <c r="D41" s="69"/>
      <c r="E41" s="68" t="s">
        <v>70</v>
      </c>
      <c r="F41" s="68"/>
      <c r="G41" s="67">
        <f>IF(SUM(G36:G40)-(71*G34)&lt;=0,0,SUM(G36:G40)-(71*G34))</f>
        <v>1225.481</v>
      </c>
      <c r="I41" s="71"/>
      <c r="J41" s="69"/>
      <c r="K41" s="70"/>
      <c r="L41" s="69"/>
      <c r="M41" s="215" t="s">
        <v>70</v>
      </c>
      <c r="N41" s="215"/>
      <c r="O41" s="216">
        <f>IF(SUM(O36:O40)-(O6*O34)&lt;=0,0,SUM(O36:O40)-(O6*O34))</f>
        <v>0</v>
      </c>
    </row>
    <row r="42" spans="1:15" ht="15.75" thickBot="1" x14ac:dyDescent="0.3"/>
    <row r="43" spans="1:15" ht="30" customHeight="1" thickBot="1" x14ac:dyDescent="0.3">
      <c r="A43" s="394" t="s">
        <v>69</v>
      </c>
      <c r="B43" s="395"/>
      <c r="C43" s="395"/>
      <c r="D43" s="395"/>
      <c r="E43" s="395"/>
      <c r="F43" s="395"/>
      <c r="G43" s="396"/>
      <c r="I43" s="394" t="s">
        <v>69</v>
      </c>
      <c r="J43" s="395"/>
      <c r="K43" s="395"/>
      <c r="L43" s="395"/>
      <c r="M43" s="395"/>
      <c r="N43" s="395"/>
      <c r="O43" s="396"/>
    </row>
  </sheetData>
  <mergeCells count="10">
    <mergeCell ref="A25:G30"/>
    <mergeCell ref="A3:G4"/>
    <mergeCell ref="A15:G16"/>
    <mergeCell ref="A32:G33"/>
    <mergeCell ref="A43:G43"/>
    <mergeCell ref="I43:O43"/>
    <mergeCell ref="I25:O30"/>
    <mergeCell ref="I32:O33"/>
    <mergeCell ref="I3:O4"/>
    <mergeCell ref="I15:O1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2D387-25C2-4D6C-915A-A53A68E134FE}">
  <sheetPr codeName="Feuil3"/>
  <dimension ref="A1:K35"/>
  <sheetViews>
    <sheetView workbookViewId="0">
      <selection activeCell="F33" sqref="F33:F34"/>
    </sheetView>
  </sheetViews>
  <sheetFormatPr baseColWidth="10" defaultRowHeight="15" x14ac:dyDescent="0.25"/>
  <cols>
    <col min="1" max="1" width="24.42578125" customWidth="1"/>
    <col min="5" max="5" width="24.140625" customWidth="1"/>
  </cols>
  <sheetData>
    <row r="1" spans="1:8" x14ac:dyDescent="0.25">
      <c r="A1" s="28" t="s">
        <v>200</v>
      </c>
      <c r="B1" s="193"/>
      <c r="E1" s="28" t="s">
        <v>201</v>
      </c>
      <c r="F1" s="193"/>
    </row>
    <row r="3" spans="1:8" x14ac:dyDescent="0.25">
      <c r="A3" s="135"/>
      <c r="B3" s="136" t="s">
        <v>107</v>
      </c>
      <c r="C3" s="136" t="s">
        <v>108</v>
      </c>
      <c r="E3" s="135"/>
      <c r="F3" s="136" t="s">
        <v>107</v>
      </c>
      <c r="G3" s="136" t="s">
        <v>108</v>
      </c>
    </row>
    <row r="4" spans="1:8" x14ac:dyDescent="0.25">
      <c r="A4" s="137" t="s">
        <v>109</v>
      </c>
      <c r="B4" s="262"/>
      <c r="C4" s="262"/>
      <c r="E4" s="137" t="s">
        <v>109</v>
      </c>
      <c r="F4" s="262"/>
      <c r="G4" s="262"/>
    </row>
    <row r="5" spans="1:8" x14ac:dyDescent="0.25">
      <c r="A5" s="137" t="s">
        <v>110</v>
      </c>
      <c r="B5" s="262"/>
      <c r="C5" s="262"/>
      <c r="E5" s="137" t="s">
        <v>110</v>
      </c>
      <c r="F5" s="262"/>
      <c r="G5" s="262"/>
      <c r="H5" s="195"/>
    </row>
    <row r="6" spans="1:8" x14ac:dyDescent="0.25">
      <c r="A6" s="137" t="s">
        <v>131</v>
      </c>
      <c r="B6" s="262"/>
      <c r="C6" s="262"/>
      <c r="E6" s="137" t="s">
        <v>131</v>
      </c>
      <c r="F6" s="262"/>
      <c r="G6" s="262"/>
      <c r="H6" s="195"/>
    </row>
    <row r="7" spans="1:8" ht="15" customHeight="1" x14ac:dyDescent="0.25">
      <c r="A7" s="137" t="s">
        <v>111</v>
      </c>
      <c r="B7" s="262">
        <f>SUM(C7/3)</f>
        <v>0</v>
      </c>
      <c r="C7" s="262"/>
      <c r="E7" s="137" t="s">
        <v>111</v>
      </c>
      <c r="F7" s="262">
        <f>SUM(G7/3)</f>
        <v>0</v>
      </c>
      <c r="G7" s="262"/>
      <c r="H7" s="194"/>
    </row>
    <row r="8" spans="1:8" x14ac:dyDescent="0.25">
      <c r="A8" s="137" t="s">
        <v>112</v>
      </c>
      <c r="B8" s="262"/>
      <c r="C8" s="262"/>
      <c r="E8" s="137" t="s">
        <v>112</v>
      </c>
      <c r="F8" s="262"/>
      <c r="G8" s="262"/>
      <c r="H8" s="194"/>
    </row>
    <row r="9" spans="1:8" x14ac:dyDescent="0.25">
      <c r="A9" s="137" t="s">
        <v>113</v>
      </c>
      <c r="B9" s="262">
        <f>SUM(C9/12)</f>
        <v>0</v>
      </c>
      <c r="C9" s="262"/>
      <c r="E9" s="137" t="s">
        <v>113</v>
      </c>
      <c r="F9" s="262">
        <f>SUM(G9/12)</f>
        <v>0</v>
      </c>
      <c r="G9" s="262"/>
      <c r="H9" s="194"/>
    </row>
    <row r="10" spans="1:8" x14ac:dyDescent="0.25">
      <c r="A10" s="137" t="s">
        <v>114</v>
      </c>
      <c r="B10" s="262"/>
      <c r="C10" s="262"/>
      <c r="E10" s="137" t="s">
        <v>114</v>
      </c>
      <c r="F10" s="262"/>
      <c r="G10" s="262"/>
      <c r="H10" s="194"/>
    </row>
    <row r="11" spans="1:8" x14ac:dyDescent="0.25">
      <c r="A11" s="137" t="s">
        <v>115</v>
      </c>
      <c r="B11" s="262"/>
      <c r="C11" s="262"/>
      <c r="E11" s="137" t="s">
        <v>115</v>
      </c>
      <c r="F11" s="262"/>
      <c r="G11" s="262"/>
      <c r="H11" s="194"/>
    </row>
    <row r="12" spans="1:8" x14ac:dyDescent="0.25">
      <c r="A12" s="137" t="s">
        <v>116</v>
      </c>
      <c r="B12" s="262"/>
      <c r="C12" s="262"/>
      <c r="E12" s="137" t="s">
        <v>116</v>
      </c>
      <c r="F12" s="262"/>
      <c r="G12" s="262"/>
      <c r="H12" s="194"/>
    </row>
    <row r="13" spans="1:8" x14ac:dyDescent="0.25">
      <c r="A13" s="137" t="s">
        <v>117</v>
      </c>
      <c r="B13" s="262"/>
      <c r="C13" s="262"/>
      <c r="E13" s="137" t="s">
        <v>117</v>
      </c>
      <c r="F13" s="262"/>
      <c r="G13" s="262"/>
      <c r="H13" s="194"/>
    </row>
    <row r="14" spans="1:8" x14ac:dyDescent="0.25">
      <c r="A14" s="137" t="s">
        <v>119</v>
      </c>
      <c r="B14" s="262"/>
      <c r="C14" s="262"/>
      <c r="E14" s="137" t="s">
        <v>119</v>
      </c>
      <c r="F14" s="262"/>
      <c r="G14" s="262"/>
      <c r="H14" s="194"/>
    </row>
    <row r="15" spans="1:8" x14ac:dyDescent="0.25">
      <c r="A15" s="137" t="s">
        <v>163</v>
      </c>
      <c r="B15" s="262"/>
      <c r="C15" s="262"/>
      <c r="E15" s="137" t="s">
        <v>163</v>
      </c>
      <c r="F15" s="262"/>
      <c r="G15" s="262"/>
      <c r="H15" s="194"/>
    </row>
    <row r="16" spans="1:8" x14ac:dyDescent="0.25">
      <c r="A16" s="137" t="s">
        <v>243</v>
      </c>
      <c r="B16" s="262"/>
      <c r="C16" s="262"/>
      <c r="E16" s="137" t="s">
        <v>243</v>
      </c>
      <c r="F16" s="262"/>
      <c r="G16" s="262"/>
      <c r="H16" s="194"/>
    </row>
    <row r="17" spans="1:11" x14ac:dyDescent="0.25">
      <c r="A17" s="137" t="s">
        <v>122</v>
      </c>
      <c r="B17" s="262"/>
      <c r="C17" s="262"/>
      <c r="E17" s="137" t="s">
        <v>122</v>
      </c>
      <c r="F17" s="262"/>
      <c r="G17" s="262"/>
      <c r="H17" s="194"/>
    </row>
    <row r="18" spans="1:11" x14ac:dyDescent="0.25">
      <c r="A18" s="137" t="s">
        <v>120</v>
      </c>
      <c r="B18" s="262"/>
      <c r="C18" s="262"/>
      <c r="E18" s="137" t="s">
        <v>120</v>
      </c>
      <c r="F18" s="262"/>
      <c r="G18" s="262"/>
      <c r="H18" s="194"/>
    </row>
    <row r="19" spans="1:11" x14ac:dyDescent="0.25">
      <c r="A19" s="137" t="s">
        <v>121</v>
      </c>
      <c r="B19" s="262"/>
      <c r="C19" s="262"/>
      <c r="E19" s="137" t="s">
        <v>121</v>
      </c>
      <c r="F19" s="262"/>
      <c r="G19" s="262"/>
      <c r="H19" s="194"/>
    </row>
    <row r="20" spans="1:11" x14ac:dyDescent="0.25">
      <c r="A20" s="137" t="s">
        <v>123</v>
      </c>
      <c r="B20" s="262"/>
      <c r="C20" s="262"/>
      <c r="E20" s="137" t="s">
        <v>123</v>
      </c>
      <c r="F20" s="262"/>
      <c r="G20" s="262"/>
      <c r="H20" s="194"/>
    </row>
    <row r="21" spans="1:11" x14ac:dyDescent="0.25">
      <c r="A21" s="137" t="s">
        <v>124</v>
      </c>
      <c r="B21" s="262"/>
      <c r="C21" s="262"/>
      <c r="E21" s="137" t="s">
        <v>124</v>
      </c>
      <c r="F21" s="262"/>
      <c r="G21" s="262"/>
      <c r="H21" s="194"/>
    </row>
    <row r="22" spans="1:11" x14ac:dyDescent="0.25">
      <c r="A22" s="137" t="s">
        <v>125</v>
      </c>
      <c r="B22" s="262">
        <f>SUM(C22/12)</f>
        <v>0</v>
      </c>
      <c r="C22" s="262"/>
      <c r="E22" s="137" t="s">
        <v>125</v>
      </c>
      <c r="F22" s="262">
        <f>SUM(G22/12)</f>
        <v>0</v>
      </c>
      <c r="G22" s="262"/>
      <c r="H22" s="194"/>
    </row>
    <row r="23" spans="1:11" x14ac:dyDescent="0.25">
      <c r="A23" s="137" t="s">
        <v>127</v>
      </c>
      <c r="B23" s="262">
        <f>SUM(C23/12)</f>
        <v>0</v>
      </c>
      <c r="C23" s="262"/>
      <c r="E23" s="137" t="s">
        <v>127</v>
      </c>
      <c r="F23" s="262">
        <f t="shared" ref="F23:F32" si="0">SUM(G23/12)</f>
        <v>0</v>
      </c>
      <c r="G23" s="262"/>
      <c r="H23" s="193"/>
    </row>
    <row r="24" spans="1:11" x14ac:dyDescent="0.25">
      <c r="A24" s="137" t="s">
        <v>128</v>
      </c>
      <c r="B24" s="262">
        <f>SUM(C24/12)</f>
        <v>0</v>
      </c>
      <c r="C24" s="262"/>
      <c r="E24" s="137" t="s">
        <v>128</v>
      </c>
      <c r="F24" s="262">
        <f t="shared" si="0"/>
        <v>0</v>
      </c>
      <c r="G24" s="262"/>
      <c r="H24" s="193"/>
      <c r="K24" s="256"/>
    </row>
    <row r="25" spans="1:11" x14ac:dyDescent="0.25">
      <c r="A25" s="137" t="s">
        <v>132</v>
      </c>
      <c r="B25" s="262"/>
      <c r="C25" s="262"/>
      <c r="E25" s="137" t="s">
        <v>132</v>
      </c>
      <c r="F25" s="262"/>
      <c r="G25" s="262"/>
      <c r="H25" s="193"/>
      <c r="K25" s="256"/>
    </row>
    <row r="26" spans="1:11" x14ac:dyDescent="0.25">
      <c r="A26" s="137" t="s">
        <v>126</v>
      </c>
      <c r="B26" s="262">
        <v>0</v>
      </c>
      <c r="C26" s="262"/>
      <c r="E26" s="137" t="s">
        <v>126</v>
      </c>
      <c r="F26" s="262">
        <f>SUM(G26/12)</f>
        <v>0</v>
      </c>
      <c r="G26" s="262"/>
      <c r="H26" s="193"/>
      <c r="K26" s="256"/>
    </row>
    <row r="27" spans="1:11" x14ac:dyDescent="0.25">
      <c r="A27" s="137" t="s">
        <v>129</v>
      </c>
      <c r="B27" s="262">
        <f>SUM(C27/12)</f>
        <v>0</v>
      </c>
      <c r="C27" s="262"/>
      <c r="E27" s="137" t="s">
        <v>129</v>
      </c>
      <c r="F27" s="262">
        <f t="shared" si="0"/>
        <v>0</v>
      </c>
      <c r="G27" s="262"/>
      <c r="H27" s="193"/>
      <c r="K27" s="256"/>
    </row>
    <row r="28" spans="1:11" x14ac:dyDescent="0.25">
      <c r="A28" s="137" t="s">
        <v>135</v>
      </c>
      <c r="B28" s="262">
        <f>SUM(C28/12)</f>
        <v>0</v>
      </c>
      <c r="C28" s="262"/>
      <c r="E28" s="137" t="s">
        <v>135</v>
      </c>
      <c r="F28" s="262">
        <f t="shared" si="0"/>
        <v>0</v>
      </c>
      <c r="G28" s="262"/>
      <c r="H28" s="193"/>
      <c r="K28" s="256"/>
    </row>
    <row r="29" spans="1:11" x14ac:dyDescent="0.25">
      <c r="A29" s="137" t="s">
        <v>118</v>
      </c>
      <c r="B29" s="262"/>
      <c r="C29" s="262"/>
      <c r="E29" s="137" t="s">
        <v>118</v>
      </c>
      <c r="F29" s="262"/>
      <c r="G29" s="262"/>
      <c r="H29" s="194"/>
    </row>
    <row r="30" spans="1:11" x14ac:dyDescent="0.25">
      <c r="A30" s="137" t="s">
        <v>246</v>
      </c>
      <c r="B30" s="262"/>
      <c r="C30" s="262"/>
      <c r="E30" s="137" t="s">
        <v>246</v>
      </c>
      <c r="F30" s="262"/>
      <c r="G30" s="262"/>
      <c r="H30" s="194"/>
    </row>
    <row r="31" spans="1:11" x14ac:dyDescent="0.25">
      <c r="A31" s="137" t="s">
        <v>130</v>
      </c>
      <c r="B31" s="262">
        <f>SUM(C31/12)</f>
        <v>0</v>
      </c>
      <c r="C31" s="262"/>
      <c r="E31" s="137" t="s">
        <v>130</v>
      </c>
      <c r="F31" s="262">
        <f t="shared" si="0"/>
        <v>0</v>
      </c>
      <c r="G31" s="262"/>
      <c r="H31" s="194"/>
    </row>
    <row r="32" spans="1:11" x14ac:dyDescent="0.25">
      <c r="A32" s="137" t="s">
        <v>29</v>
      </c>
      <c r="B32" s="262">
        <f>SUM(C32/12)</f>
        <v>0</v>
      </c>
      <c r="C32" s="262"/>
      <c r="E32" s="137" t="s">
        <v>29</v>
      </c>
      <c r="F32" s="262">
        <f t="shared" si="0"/>
        <v>0</v>
      </c>
      <c r="G32" s="262"/>
      <c r="H32" s="194"/>
    </row>
    <row r="33" spans="1:7" x14ac:dyDescent="0.25">
      <c r="A33" s="137" t="s">
        <v>182</v>
      </c>
      <c r="B33" s="262"/>
      <c r="C33" s="262"/>
      <c r="E33" s="137" t="s">
        <v>182</v>
      </c>
      <c r="F33" s="262"/>
      <c r="G33" s="262"/>
    </row>
    <row r="34" spans="1:7" x14ac:dyDescent="0.25">
      <c r="A34" s="137" t="s">
        <v>133</v>
      </c>
      <c r="B34" s="262"/>
      <c r="C34" s="262"/>
      <c r="E34" s="137" t="s">
        <v>133</v>
      </c>
      <c r="F34" s="262"/>
      <c r="G34" s="262"/>
    </row>
    <row r="35" spans="1:7" x14ac:dyDescent="0.25">
      <c r="A35" s="138" t="s">
        <v>134</v>
      </c>
      <c r="B35" s="262">
        <f>SUM(B4:B34)</f>
        <v>0</v>
      </c>
      <c r="C35" s="262">
        <f>SUM(C4:C34)</f>
        <v>0</v>
      </c>
      <c r="E35" s="138" t="s">
        <v>134</v>
      </c>
      <c r="F35" s="262">
        <f>SUM(F4:F34)</f>
        <v>0</v>
      </c>
      <c r="G35" s="262">
        <f>SUM(G4:G34)</f>
        <v>0</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731C0-8C5D-4934-BC18-063E96819C45}">
  <sheetPr codeName="Feuil5"/>
  <dimension ref="A1:O51"/>
  <sheetViews>
    <sheetView topLeftCell="A7" workbookViewId="0">
      <selection activeCell="B13" sqref="B13"/>
    </sheetView>
  </sheetViews>
  <sheetFormatPr baseColWidth="10" defaultRowHeight="15" x14ac:dyDescent="0.25"/>
  <cols>
    <col min="1" max="1" width="26.85546875" customWidth="1"/>
    <col min="4" max="4" width="24.42578125" customWidth="1"/>
    <col min="7" max="7" width="24.140625" customWidth="1"/>
  </cols>
  <sheetData>
    <row r="1" spans="1:15" x14ac:dyDescent="0.25">
      <c r="A1" s="13" t="s">
        <v>163</v>
      </c>
      <c r="B1" s="36" t="s">
        <v>164</v>
      </c>
    </row>
    <row r="2" spans="1:15" x14ac:dyDescent="0.25">
      <c r="A2" t="s">
        <v>229</v>
      </c>
      <c r="B2" s="36" t="s">
        <v>165</v>
      </c>
      <c r="C2" s="32"/>
    </row>
    <row r="3" spans="1:15" x14ac:dyDescent="0.25">
      <c r="A3" t="s">
        <v>230</v>
      </c>
      <c r="B3" s="36" t="s">
        <v>166</v>
      </c>
    </row>
    <row r="4" spans="1:15" ht="30" customHeight="1" x14ac:dyDescent="0.25">
      <c r="A4" s="56" t="s">
        <v>228</v>
      </c>
      <c r="B4" s="425" t="s">
        <v>167</v>
      </c>
      <c r="C4" s="425"/>
      <c r="D4" s="425"/>
      <c r="E4" s="425"/>
    </row>
    <row r="6" spans="1:15" x14ac:dyDescent="0.25">
      <c r="A6" t="s">
        <v>147</v>
      </c>
      <c r="D6" t="s">
        <v>33</v>
      </c>
    </row>
    <row r="7" spans="1:15" x14ac:dyDescent="0.25">
      <c r="A7" s="32" t="s">
        <v>93</v>
      </c>
      <c r="B7" s="32"/>
      <c r="C7" s="32"/>
      <c r="D7" s="32" t="s">
        <v>93</v>
      </c>
      <c r="E7" s="32"/>
      <c r="F7" s="32"/>
      <c r="K7" s="32" t="s">
        <v>258</v>
      </c>
      <c r="N7" s="32" t="s">
        <v>259</v>
      </c>
    </row>
    <row r="8" spans="1:15" x14ac:dyDescent="0.25">
      <c r="A8" s="13" t="s">
        <v>92</v>
      </c>
      <c r="B8" s="13" t="s">
        <v>47</v>
      </c>
      <c r="D8" s="13" t="s">
        <v>92</v>
      </c>
      <c r="E8" s="13" t="s">
        <v>47</v>
      </c>
      <c r="G8" s="32" t="s">
        <v>145</v>
      </c>
      <c r="K8" s="333">
        <f>IF(Situation!B171=0,"",1)</f>
        <v>1</v>
      </c>
      <c r="L8" s="42" t="str">
        <f t="shared" ref="L8:L14" si="0">IF(K8&lt;&gt;"",CONCATENATE("Annuité ",K8),"")</f>
        <v>Annuité 1</v>
      </c>
      <c r="N8" t="str">
        <f>IFERROR(INDEX(K8:K14,MATCH(O8,L8:L14)),"")</f>
        <v/>
      </c>
      <c r="O8" t="str">
        <f>IF(Situation!B192&lt;&gt;"",Situation!A192,"")</f>
        <v/>
      </c>
    </row>
    <row r="9" spans="1:15" x14ac:dyDescent="0.25">
      <c r="A9" t="s">
        <v>193</v>
      </c>
      <c r="B9" s="3">
        <f>LOOKUP(9^9,B21:B40)</f>
        <v>682.99</v>
      </c>
      <c r="D9" t="s">
        <v>193</v>
      </c>
      <c r="E9" s="3">
        <f>LOOKUP(9^9,B:B)</f>
        <v>809.42</v>
      </c>
      <c r="G9" t="s">
        <v>196</v>
      </c>
      <c r="H9">
        <f>Quotités!$G$13</f>
        <v>1225.481</v>
      </c>
      <c r="K9" s="333">
        <f>IF(Situation!B172=0,"",2)</f>
        <v>2</v>
      </c>
      <c r="L9" s="42" t="str">
        <f t="shared" si="0"/>
        <v>Annuité 2</v>
      </c>
      <c r="N9" s="333" t="str">
        <f>IF(Situation!G171=0,"",
IF(N8&lt;&gt;"",SUM(N8+1),
1))</f>
        <v/>
      </c>
      <c r="O9" s="42" t="str">
        <f>IF(N9&lt;&gt;"",CONCATENATE("Annuité ",N9),"")</f>
        <v/>
      </c>
    </row>
    <row r="10" spans="1:15" x14ac:dyDescent="0.25">
      <c r="A10" t="s">
        <v>194</v>
      </c>
      <c r="B10" s="3">
        <f>SUM(B9*2)</f>
        <v>1365.98</v>
      </c>
      <c r="D10" t="s">
        <v>194</v>
      </c>
      <c r="E10" s="3">
        <f>SUM(E9*2)</f>
        <v>1618.84</v>
      </c>
      <c r="G10" t="s">
        <v>197</v>
      </c>
      <c r="H10">
        <f>Quotités!$G$23</f>
        <v>1238.184</v>
      </c>
      <c r="K10" s="333">
        <f>IF(Situation!B173=0,"",3)</f>
        <v>3</v>
      </c>
      <c r="L10" s="42" t="str">
        <f t="shared" si="0"/>
        <v>Annuité 3</v>
      </c>
      <c r="N10" s="333" t="str">
        <f>IF(Situation!G172=0,"",
IF(N9&lt;&gt;"",SUM(N9+1),
2))</f>
        <v/>
      </c>
      <c r="O10" s="42" t="str">
        <f t="shared" ref="O10:O15" si="1">IF(N10&lt;&gt;"",CONCATENATE("Annuité ",N10),"")</f>
        <v/>
      </c>
    </row>
    <row r="11" spans="1:15" x14ac:dyDescent="0.25">
      <c r="A11" t="s">
        <v>195</v>
      </c>
      <c r="B11" s="3">
        <f>LOOKUP(9^9,C21:C40)</f>
        <v>1024.49</v>
      </c>
      <c r="D11" t="s">
        <v>195</v>
      </c>
      <c r="E11" s="3">
        <f>LOOKUP(9^9,C:C)</f>
        <v>1214.1300000000001</v>
      </c>
      <c r="G11" t="s">
        <v>90</v>
      </c>
      <c r="H11">
        <f>Quotités!$G$41</f>
        <v>1225.481</v>
      </c>
      <c r="K11" s="333" t="str">
        <f>IF(Situation!B174=0,"",4)</f>
        <v/>
      </c>
      <c r="L11" s="42" t="str">
        <f t="shared" si="0"/>
        <v/>
      </c>
      <c r="N11" s="333" t="str">
        <f>IF(Situation!G173=0,"",
IF(N10&lt;&gt;"",SUM(N10+1),
3))</f>
        <v/>
      </c>
      <c r="O11" s="42" t="str">
        <f t="shared" si="1"/>
        <v/>
      </c>
    </row>
    <row r="12" spans="1:15" x14ac:dyDescent="0.25">
      <c r="A12" t="s">
        <v>164</v>
      </c>
      <c r="B12" s="3">
        <f>LOOKUP(9^9,D21:D40)</f>
        <v>1384.54</v>
      </c>
      <c r="D12" t="s">
        <v>164</v>
      </c>
      <c r="E12" s="102">
        <f>LOOKUP(9^9,D:D)</f>
        <v>1640.83</v>
      </c>
      <c r="K12" s="333" t="str">
        <f>IF(Situation!B175=0,"",5)</f>
        <v/>
      </c>
      <c r="L12" s="42" t="str">
        <f t="shared" si="0"/>
        <v/>
      </c>
      <c r="N12" s="333" t="str">
        <f>IF(Situation!G174=0,"",
IF(N11&lt;&gt;"",SUM(N11+1),
4))</f>
        <v/>
      </c>
      <c r="O12" s="42" t="str">
        <f t="shared" si="1"/>
        <v/>
      </c>
    </row>
    <row r="13" spans="1:15" x14ac:dyDescent="0.25">
      <c r="A13" t="s">
        <v>224</v>
      </c>
      <c r="B13" s="3">
        <f>IF(((Situation!B4*50)/100)&gt;91.66,SUM(B9+91.66),SUM(B9+((Situation!B4*50)/100)))</f>
        <v>682.99</v>
      </c>
      <c r="D13" t="s">
        <v>224</v>
      </c>
      <c r="E13" s="3">
        <f>IF(((Situation!E4*50)/100)&gt;91.66,SUM(E9+91.66),SUM(E9+((Situation!E4*50)/100)))</f>
        <v>809.42</v>
      </c>
      <c r="G13" s="32" t="s">
        <v>146</v>
      </c>
      <c r="K13" s="333" t="str">
        <f>IF(Situation!B176=0,"",6)</f>
        <v/>
      </c>
      <c r="L13" s="42" t="str">
        <f t="shared" si="0"/>
        <v/>
      </c>
      <c r="N13" s="333" t="str">
        <f>IF(Situation!G175=0,"",
IF(N12&lt;&gt;"",SUM(N12+1),
5))</f>
        <v/>
      </c>
      <c r="O13" s="42" t="str">
        <f t="shared" si="1"/>
        <v/>
      </c>
    </row>
    <row r="14" spans="1:15" x14ac:dyDescent="0.25">
      <c r="A14" t="s">
        <v>225</v>
      </c>
      <c r="B14" s="3">
        <f>IF(((Situation!B4*50)/100)&gt;91.66,SUM(B10+91.66),SUM(B10+((Situation!B4*50)/100)))</f>
        <v>1365.98</v>
      </c>
      <c r="D14" t="s">
        <v>225</v>
      </c>
      <c r="E14" s="3">
        <f>IF(((Situation!E4*50)/100)&gt;91.66,SUM(E10+91.66),SUM(E10+((Situation!E4*50)/100)))</f>
        <v>1618.84</v>
      </c>
      <c r="G14" t="s">
        <v>196</v>
      </c>
      <c r="H14">
        <f>Quotités!$O$13</f>
        <v>0</v>
      </c>
      <c r="K14" s="333" t="str">
        <f>IF(Situation!B177=0,"",7)</f>
        <v/>
      </c>
      <c r="L14" s="42" t="str">
        <f t="shared" si="0"/>
        <v/>
      </c>
      <c r="N14" s="333" t="str">
        <f>IF(Situation!G176=0,"",
IF(N13&lt;&gt;"",SUM(N13+1),
6))</f>
        <v/>
      </c>
      <c r="O14" s="42" t="str">
        <f t="shared" si="1"/>
        <v/>
      </c>
    </row>
    <row r="15" spans="1:15" x14ac:dyDescent="0.25">
      <c r="A15" t="s">
        <v>226</v>
      </c>
      <c r="B15" s="3">
        <f>IF(((Situation!B4*50)/100)&gt;91.66,SUM(B11+91.66),SUM(B11+((Situation!B4*50)/100)))</f>
        <v>1024.49</v>
      </c>
      <c r="D15" t="s">
        <v>226</v>
      </c>
      <c r="E15" s="3">
        <f>IF(((Situation!E4*50)/100)&gt;91.66,SUM(E11+91.66),SUM(E11+((Situation!E4*50)/100)))</f>
        <v>1214.1300000000001</v>
      </c>
      <c r="G15" t="s">
        <v>197</v>
      </c>
      <c r="H15">
        <f>Quotités!$O$23</f>
        <v>0</v>
      </c>
      <c r="N15" s="333" t="str">
        <f>IF(Situation!G177=0,"",
IF(N14&lt;&gt;"",SUM(N14+1),
7))</f>
        <v/>
      </c>
      <c r="O15" s="42" t="str">
        <f t="shared" si="1"/>
        <v/>
      </c>
    </row>
    <row r="16" spans="1:15" x14ac:dyDescent="0.25">
      <c r="A16" s="8" t="s">
        <v>227</v>
      </c>
      <c r="B16" s="102">
        <f>IF(((Situation!B4*50)/100)&gt;91.66,SUM(B12+91.66),SUM(B12+((Situation!B4*50)/100)))</f>
        <v>1384.54</v>
      </c>
      <c r="C16" t="s">
        <v>91</v>
      </c>
      <c r="D16" s="8" t="s">
        <v>227</v>
      </c>
      <c r="E16" s="102">
        <f>IF(((Situation!E4*50)/100)&gt;91.66,SUM(E12+91.66),SUM(E12+((Situation!E4*50)/100)))</f>
        <v>1640.83</v>
      </c>
      <c r="G16" t="s">
        <v>90</v>
      </c>
      <c r="H16">
        <f>Quotités!$O$41</f>
        <v>0</v>
      </c>
    </row>
    <row r="17" spans="1:11" x14ac:dyDescent="0.25">
      <c r="B17" s="102"/>
      <c r="E17" s="102"/>
    </row>
    <row r="18" spans="1:11" x14ac:dyDescent="0.25">
      <c r="A18" t="s">
        <v>220</v>
      </c>
      <c r="E18" s="125"/>
    </row>
    <row r="19" spans="1:11" x14ac:dyDescent="0.25">
      <c r="E19" s="36"/>
    </row>
    <row r="20" spans="1:11" x14ac:dyDescent="0.25">
      <c r="A20" t="s">
        <v>150</v>
      </c>
      <c r="B20" t="s">
        <v>221</v>
      </c>
      <c r="C20" t="s">
        <v>222</v>
      </c>
      <c r="D20" t="s">
        <v>223</v>
      </c>
      <c r="E20" s="36"/>
      <c r="F20" s="28"/>
      <c r="H20" s="28"/>
      <c r="I20" s="28"/>
      <c r="J20" s="47"/>
      <c r="K20" s="126"/>
    </row>
    <row r="21" spans="1:11" x14ac:dyDescent="0.25">
      <c r="A21" s="4">
        <v>39965</v>
      </c>
      <c r="B21" s="279">
        <v>483.85</v>
      </c>
      <c r="C21" s="279">
        <v>725.79</v>
      </c>
      <c r="D21" s="279">
        <v>967.72</v>
      </c>
      <c r="E21" s="36"/>
      <c r="F21" s="3"/>
      <c r="J21" s="3"/>
      <c r="K21" s="36"/>
    </row>
    <row r="22" spans="1:11" x14ac:dyDescent="0.25">
      <c r="A22" s="4">
        <v>40422</v>
      </c>
      <c r="B22" s="279">
        <v>493.54</v>
      </c>
      <c r="C22" s="279">
        <v>740.32</v>
      </c>
      <c r="D22" s="279">
        <v>987.09</v>
      </c>
      <c r="E22" s="6"/>
      <c r="F22" s="3"/>
      <c r="J22" s="3"/>
      <c r="K22" s="36"/>
    </row>
    <row r="23" spans="1:11" x14ac:dyDescent="0.25">
      <c r="A23" s="4">
        <v>40664</v>
      </c>
      <c r="B23" s="279">
        <v>503.39</v>
      </c>
      <c r="C23" s="279">
        <v>755.08</v>
      </c>
      <c r="D23" s="279">
        <v>1006.78</v>
      </c>
      <c r="E23" s="6"/>
      <c r="F23" s="3"/>
      <c r="J23" s="3"/>
      <c r="K23" s="36"/>
    </row>
    <row r="24" spans="1:11" x14ac:dyDescent="0.25">
      <c r="A24" s="4">
        <v>40787</v>
      </c>
      <c r="B24" s="279">
        <v>513.46</v>
      </c>
      <c r="C24" s="279">
        <v>770.18</v>
      </c>
      <c r="D24" s="279">
        <v>1026.9100000000001</v>
      </c>
      <c r="E24" s="36"/>
      <c r="F24" s="3"/>
      <c r="J24" s="36"/>
      <c r="K24" s="6"/>
    </row>
    <row r="25" spans="1:11" x14ac:dyDescent="0.25">
      <c r="A25" s="4">
        <v>40940</v>
      </c>
      <c r="B25" s="279">
        <v>523.74</v>
      </c>
      <c r="C25" s="279">
        <v>785.61</v>
      </c>
      <c r="D25" s="279">
        <v>1047.48</v>
      </c>
      <c r="E25" s="36"/>
      <c r="F25" s="3"/>
      <c r="J25" s="36"/>
      <c r="K25" s="6"/>
    </row>
    <row r="26" spans="1:11" x14ac:dyDescent="0.25">
      <c r="A26" s="4">
        <v>41244</v>
      </c>
      <c r="B26" s="279">
        <v>534.23</v>
      </c>
      <c r="C26" s="279">
        <v>801.34</v>
      </c>
      <c r="D26" s="279">
        <v>1068.45</v>
      </c>
      <c r="E26" s="36"/>
      <c r="F26" s="3"/>
      <c r="J26" s="36"/>
      <c r="K26" s="36"/>
    </row>
    <row r="27" spans="1:11" x14ac:dyDescent="0.25">
      <c r="A27" s="4">
        <v>41518</v>
      </c>
      <c r="B27" s="279">
        <v>544.91</v>
      </c>
      <c r="C27" s="279">
        <v>817.36</v>
      </c>
      <c r="D27" s="279">
        <v>1089.82</v>
      </c>
      <c r="E27" s="36"/>
      <c r="F27" s="3"/>
      <c r="J27" s="36"/>
      <c r="K27" s="36"/>
    </row>
    <row r="28" spans="1:11" x14ac:dyDescent="0.25">
      <c r="A28" s="4">
        <v>42248</v>
      </c>
      <c r="B28" s="279">
        <v>555.80999999999995</v>
      </c>
      <c r="C28" s="279">
        <v>833.71</v>
      </c>
      <c r="D28" s="279">
        <v>1111.6199999999999</v>
      </c>
      <c r="E28" s="36"/>
      <c r="F28" s="3"/>
      <c r="J28" s="36"/>
      <c r="K28" s="36"/>
    </row>
    <row r="29" spans="1:11" x14ac:dyDescent="0.25">
      <c r="A29" s="4">
        <v>42461</v>
      </c>
      <c r="B29" s="279">
        <v>566.91999999999996</v>
      </c>
      <c r="C29" s="279">
        <v>850.39</v>
      </c>
      <c r="D29" s="279">
        <v>1133.8499999999999</v>
      </c>
      <c r="E29" s="127"/>
      <c r="F29" s="3"/>
      <c r="J29" s="36"/>
      <c r="K29" s="36"/>
    </row>
    <row r="30" spans="1:11" x14ac:dyDescent="0.25">
      <c r="A30" s="4">
        <v>42522</v>
      </c>
      <c r="B30" s="279">
        <v>578.27</v>
      </c>
      <c r="C30" s="279">
        <v>867.4</v>
      </c>
      <c r="D30" s="279">
        <v>1156.53</v>
      </c>
      <c r="E30" s="36"/>
      <c r="F30" s="3"/>
      <c r="J30" s="36"/>
      <c r="K30" s="36"/>
    </row>
    <row r="31" spans="1:11" x14ac:dyDescent="0.25">
      <c r="A31" s="4">
        <v>42887</v>
      </c>
      <c r="B31" s="279">
        <v>589.82000000000005</v>
      </c>
      <c r="C31" s="279">
        <v>884.74</v>
      </c>
      <c r="D31" s="279">
        <v>1179.6500000000001</v>
      </c>
      <c r="E31" s="124"/>
      <c r="F31" s="3"/>
      <c r="H31" s="8"/>
      <c r="I31" s="8"/>
      <c r="J31" s="36"/>
      <c r="K31" s="127"/>
    </row>
    <row r="32" spans="1:11" x14ac:dyDescent="0.25">
      <c r="A32" s="4">
        <v>42979</v>
      </c>
      <c r="B32" s="279">
        <v>595.13</v>
      </c>
      <c r="C32" s="279">
        <v>892.7</v>
      </c>
      <c r="D32" s="279">
        <v>1190.27</v>
      </c>
      <c r="E32" s="36"/>
      <c r="F32" s="3"/>
      <c r="K32" s="36"/>
    </row>
    <row r="33" spans="1:11" x14ac:dyDescent="0.25">
      <c r="A33" s="4">
        <v>43282</v>
      </c>
      <c r="B33" s="279">
        <v>595.13</v>
      </c>
      <c r="C33" s="279">
        <v>892.7</v>
      </c>
      <c r="D33" s="279">
        <v>1230.27</v>
      </c>
      <c r="E33" s="36"/>
      <c r="F33" s="124"/>
      <c r="H33" s="128"/>
      <c r="I33" s="128"/>
      <c r="J33" s="128"/>
      <c r="K33" s="124"/>
    </row>
    <row r="34" spans="1:11" x14ac:dyDescent="0.25">
      <c r="A34" s="4">
        <v>43344</v>
      </c>
      <c r="B34" s="279">
        <v>607.01</v>
      </c>
      <c r="C34" s="279">
        <v>910.52</v>
      </c>
      <c r="D34" s="279">
        <v>1254.82</v>
      </c>
      <c r="E34" s="36"/>
      <c r="F34" s="3"/>
      <c r="J34" s="7"/>
      <c r="K34" s="36"/>
    </row>
    <row r="35" spans="1:11" x14ac:dyDescent="0.25">
      <c r="A35" s="4">
        <v>43647</v>
      </c>
      <c r="B35" s="279">
        <v>619.15</v>
      </c>
      <c r="C35" s="279">
        <v>928.73</v>
      </c>
      <c r="D35" s="279">
        <v>1254.82</v>
      </c>
      <c r="E35" s="36"/>
      <c r="F35" s="3"/>
      <c r="H35" s="8"/>
      <c r="I35" s="8"/>
      <c r="J35" s="110"/>
      <c r="K35" s="127"/>
    </row>
    <row r="36" spans="1:11" x14ac:dyDescent="0.25">
      <c r="A36" s="4">
        <v>43831</v>
      </c>
      <c r="B36" s="279">
        <v>626.74</v>
      </c>
      <c r="C36" s="279">
        <v>940.11</v>
      </c>
      <c r="D36" s="279">
        <v>1270.51</v>
      </c>
      <c r="E36" s="36"/>
      <c r="F36" s="3"/>
      <c r="J36" s="7"/>
      <c r="K36" s="36"/>
    </row>
    <row r="37" spans="1:11" x14ac:dyDescent="0.25">
      <c r="A37" s="4">
        <v>43891</v>
      </c>
      <c r="B37" s="279">
        <v>639.27</v>
      </c>
      <c r="C37" s="279">
        <v>958.91</v>
      </c>
      <c r="D37" s="279">
        <v>1295.9100000000001</v>
      </c>
      <c r="E37" s="36"/>
      <c r="F37" s="3"/>
      <c r="H37" s="8"/>
      <c r="I37" s="8"/>
      <c r="J37" s="110"/>
      <c r="K37" s="127"/>
    </row>
    <row r="38" spans="1:11" x14ac:dyDescent="0.25">
      <c r="A38" s="4">
        <v>44197</v>
      </c>
      <c r="B38" s="279">
        <v>656.45</v>
      </c>
      <c r="C38" s="279">
        <v>984.68</v>
      </c>
      <c r="D38" s="279">
        <v>1330.74</v>
      </c>
      <c r="E38" s="124"/>
      <c r="F38" s="3"/>
      <c r="H38" s="8"/>
      <c r="I38" s="8"/>
      <c r="J38" s="7"/>
      <c r="K38" s="127"/>
    </row>
    <row r="39" spans="1:11" x14ac:dyDescent="0.25">
      <c r="A39" s="4">
        <v>44378</v>
      </c>
      <c r="B39" s="279">
        <v>669.58</v>
      </c>
      <c r="C39" s="279">
        <v>1004.37</v>
      </c>
      <c r="D39" s="279">
        <v>1357.36</v>
      </c>
      <c r="F39" s="3"/>
      <c r="H39" s="8"/>
      <c r="I39" s="8"/>
      <c r="J39" s="7"/>
      <c r="K39" s="127"/>
    </row>
    <row r="40" spans="1:11" x14ac:dyDescent="0.25">
      <c r="A40" s="4">
        <v>44440</v>
      </c>
      <c r="B40" s="279">
        <v>682.99</v>
      </c>
      <c r="C40" s="279">
        <v>1024.49</v>
      </c>
      <c r="D40" s="279">
        <v>1384.54</v>
      </c>
      <c r="F40" s="124"/>
      <c r="H40" s="128"/>
      <c r="I40" s="128"/>
      <c r="J40" s="4"/>
      <c r="K40" s="124"/>
    </row>
    <row r="41" spans="1:11" x14ac:dyDescent="0.25">
      <c r="A41" s="4">
        <v>44562</v>
      </c>
      <c r="B41" s="279">
        <v>714.86</v>
      </c>
      <c r="C41" s="279">
        <v>1072.3</v>
      </c>
      <c r="D41" s="279">
        <v>1449.15</v>
      </c>
      <c r="F41" s="3"/>
    </row>
    <row r="42" spans="1:11" x14ac:dyDescent="0.25">
      <c r="A42" s="4">
        <v>44621</v>
      </c>
      <c r="B42" s="279">
        <v>729.2</v>
      </c>
      <c r="C42" s="279">
        <v>1093.8</v>
      </c>
      <c r="D42" s="279">
        <v>1478.22</v>
      </c>
    </row>
    <row r="43" spans="1:11" x14ac:dyDescent="0.25">
      <c r="A43" s="4">
        <v>44682</v>
      </c>
      <c r="B43" s="279">
        <v>743.78</v>
      </c>
      <c r="C43" s="279">
        <v>1115.67</v>
      </c>
      <c r="D43" s="279">
        <v>1507.77</v>
      </c>
    </row>
    <row r="44" spans="1:11" x14ac:dyDescent="0.25">
      <c r="A44" s="4">
        <v>44774</v>
      </c>
      <c r="B44" s="279">
        <v>758.64</v>
      </c>
      <c r="C44" s="279">
        <v>1137.97</v>
      </c>
      <c r="D44" s="279">
        <v>1537.9</v>
      </c>
    </row>
    <row r="45" spans="1:11" x14ac:dyDescent="0.25">
      <c r="A45" s="4">
        <v>44866</v>
      </c>
      <c r="B45" s="279">
        <v>773.8</v>
      </c>
      <c r="C45" s="279">
        <v>1160.7</v>
      </c>
      <c r="D45" s="279">
        <v>1568.62</v>
      </c>
    </row>
    <row r="46" spans="1:11" x14ac:dyDescent="0.25">
      <c r="A46" s="4">
        <v>44896</v>
      </c>
      <c r="B46" s="279">
        <v>789.29</v>
      </c>
      <c r="C46" s="279">
        <v>1183.94</v>
      </c>
      <c r="D46" s="279">
        <v>1600.03</v>
      </c>
    </row>
    <row r="47" spans="1:11" x14ac:dyDescent="0.25">
      <c r="A47" s="4">
        <v>44927</v>
      </c>
      <c r="B47" s="279">
        <v>809.42</v>
      </c>
      <c r="C47" s="279">
        <v>1214.1300000000001</v>
      </c>
      <c r="D47" s="279">
        <v>1640.83</v>
      </c>
    </row>
    <row r="48" spans="1:11" x14ac:dyDescent="0.25">
      <c r="A48" s="4"/>
      <c r="B48" s="279"/>
      <c r="C48" s="279"/>
      <c r="D48" s="279"/>
    </row>
    <row r="49" spans="1:4" x14ac:dyDescent="0.25">
      <c r="A49" s="4"/>
      <c r="B49" s="279"/>
      <c r="C49" s="279"/>
      <c r="D49" s="279"/>
    </row>
    <row r="50" spans="1:4" x14ac:dyDescent="0.25">
      <c r="A50" s="4"/>
      <c r="B50" s="279"/>
    </row>
    <row r="51" spans="1:4" x14ac:dyDescent="0.25">
      <c r="B51" s="279"/>
    </row>
  </sheetData>
  <mergeCells count="1">
    <mergeCell ref="B4:E4"/>
  </mergeCells>
  <conditionalFormatting sqref="K20">
    <cfRule type="expression" dxfId="5" priority="3">
      <formula>$G$35="Revenus saisissables"</formula>
    </cfRule>
    <cfRule type="expression" dxfId="4" priority="4">
      <formula>$G$35="Revenus insaisissables"</formula>
    </cfRule>
  </conditionalFormatting>
  <conditionalFormatting sqref="E18">
    <cfRule type="expression" dxfId="3" priority="5">
      <formula>#REF!="Revenus saisissables"</formula>
    </cfRule>
    <cfRule type="expression" dxfId="2" priority="6">
      <formula>#REF!="Revenus insaisissables"</formula>
    </cfRule>
  </conditionalFormatting>
  <conditionalFormatting sqref="K8:K14">
    <cfRule type="cellIs" dxfId="1" priority="2" operator="equal">
      <formula>0</formula>
    </cfRule>
  </conditionalFormatting>
  <conditionalFormatting sqref="N9:N15">
    <cfRule type="cellIs" dxfId="0" priority="1" operator="equal">
      <formula>0</formula>
    </cfRule>
  </conditionalFormatting>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Situation</vt:lpstr>
      <vt:lpstr>Tableau de répartition plan</vt:lpstr>
      <vt:lpstr>Tableau de répartion actuel</vt:lpstr>
      <vt:lpstr>Fiche comptable</vt:lpstr>
      <vt:lpstr>TX-J</vt:lpstr>
      <vt:lpstr>Quotités</vt:lpstr>
      <vt:lpstr>Budget</vt:lpstr>
      <vt:lpstr>Tableaux</vt:lpstr>
      <vt:lpstr>quotite_saisissable</vt:lpstr>
      <vt:lpstr>tab_quotites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Vdb</dc:creator>
  <cp:lastModifiedBy>Vdb</cp:lastModifiedBy>
  <cp:lastPrinted>2021-09-01T13:05:56Z</cp:lastPrinted>
  <dcterms:created xsi:type="dcterms:W3CDTF">2021-03-28T06:02:03Z</dcterms:created>
  <dcterms:modified xsi:type="dcterms:W3CDTF">2023-01-23T16:42:23Z</dcterms:modified>
</cp:coreProperties>
</file>