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13_ncr:1_{E3AF0EDD-71FF-4265-AA9B-D3250683F26D}" xr6:coauthVersionLast="47" xr6:coauthVersionMax="47" xr10:uidLastSave="{00000000-0000-0000-0000-000000000000}"/>
  <bookViews>
    <workbookView xWindow="-120" yWindow="-120" windowWidth="51840" windowHeight="21120" tabRatio="208" firstSheet="1" activeTab="1" xr2:uid="{00000000-000D-0000-FFFF-FFFF00000000}"/>
  </bookViews>
  <sheets>
    <sheet name="Version" sheetId="4" state="hidden" r:id="rId1"/>
    <sheet name="suivi CTx" sheetId="1" r:id="rId2"/>
    <sheet name="Statistique" sheetId="6" r:id="rId3"/>
    <sheet name="paramètre" sheetId="2" r:id="rId4"/>
    <sheet name="Doc  orga" sheetId="5" state="hidden" r:id="rId5"/>
  </sheets>
  <definedNames>
    <definedName name="_xlnm._FilterDatabase" localSheetId="4" hidden="1">'Doc  orga'!$A$8:$AX$9</definedName>
    <definedName name="_xlnm._FilterDatabase" localSheetId="1" hidden="1">'suivi CTx'!$A$8:$BF$132</definedName>
    <definedName name="_semISO" comment="Transforme une date en un texte comportant l’année ISO suivie d’un séparateur à indiquer suivi du n° de semaine ISO.">_xlfn.LAMBDA(_xlpm.date,_xlpm.separateur,_xlfn.LET(_xlpm.jeudi,_xlpm.date-WEEKDAY(_xlpm.date,2)+4,_xlpm.myYear,YEAR(_xlpm.jeudi),_xlpm.myYear &amp; _xlpm.separateur &amp; TEXT(_xlfn.ISOWEEKNUM(_xlpm.jeudi),"00")))</definedName>
    <definedName name="Tolérances_1">paramètre!$D$1</definedName>
    <definedName name="Tolérances_2">paramètre!$D$2</definedName>
    <definedName name="Tolérances_3">paramètre!$D$3</definedName>
    <definedName name="Tolérances_4">paramètre!$D$4</definedName>
    <definedName name="Tolérances_5">paramètre!$D$5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9" i="1" l="1"/>
  <c r="G90" i="1"/>
  <c r="G91" i="1"/>
  <c r="G92" i="1"/>
  <c r="G93" i="1"/>
  <c r="G94" i="1"/>
  <c r="G95" i="1"/>
  <c r="G96" i="1"/>
  <c r="G97" i="1"/>
  <c r="G112" i="1"/>
  <c r="G113" i="1"/>
  <c r="G114" i="1"/>
  <c r="S1" i="2"/>
  <c r="D132" i="1" l="1"/>
  <c r="G132" i="1" s="1"/>
  <c r="M132" i="1"/>
  <c r="O132" i="1"/>
  <c r="S132" i="1"/>
  <c r="U132" i="1"/>
  <c r="V132" i="1"/>
  <c r="AB132" i="1"/>
  <c r="X132" i="1" s="1"/>
  <c r="AE132" i="1"/>
  <c r="AF132" i="1" s="1"/>
  <c r="AZ132" i="1" s="1"/>
  <c r="AH132" i="1"/>
  <c r="AK132" i="1" s="1"/>
  <c r="BA132" i="1" s="1"/>
  <c r="AI132" i="1"/>
  <c r="AM132" i="1"/>
  <c r="AO132" i="1" s="1"/>
  <c r="BB132" i="1" s="1"/>
  <c r="AN132" i="1"/>
  <c r="AQ132" i="1"/>
  <c r="AS132" i="1" s="1"/>
  <c r="BC132" i="1" s="1"/>
  <c r="AR132" i="1"/>
  <c r="AU132" i="1"/>
  <c r="AW132" i="1" s="1"/>
  <c r="BD132" i="1" s="1"/>
  <c r="AV132" i="1"/>
  <c r="AY132" i="1"/>
  <c r="D129" i="1"/>
  <c r="G129" i="1" s="1"/>
  <c r="D130" i="1"/>
  <c r="G130" i="1" s="1"/>
  <c r="D131" i="1"/>
  <c r="G131" i="1" s="1"/>
  <c r="M129" i="1"/>
  <c r="M130" i="1"/>
  <c r="M131" i="1"/>
  <c r="O129" i="1"/>
  <c r="O130" i="1"/>
  <c r="O131" i="1"/>
  <c r="S129" i="1"/>
  <c r="S130" i="1"/>
  <c r="S131" i="1"/>
  <c r="U129" i="1"/>
  <c r="U130" i="1"/>
  <c r="U131" i="1"/>
  <c r="V129" i="1"/>
  <c r="V130" i="1"/>
  <c r="V131" i="1"/>
  <c r="AB129" i="1"/>
  <c r="W129" i="1" s="1"/>
  <c r="AB130" i="1"/>
  <c r="W130" i="1" s="1"/>
  <c r="AB131" i="1"/>
  <c r="W131" i="1" s="1"/>
  <c r="AE129" i="1"/>
  <c r="AF129" i="1" s="1"/>
  <c r="AZ129" i="1" s="1"/>
  <c r="AE130" i="1"/>
  <c r="AF130" i="1" s="1"/>
  <c r="AZ130" i="1" s="1"/>
  <c r="AE131" i="1"/>
  <c r="AF131" i="1" s="1"/>
  <c r="AZ131" i="1" s="1"/>
  <c r="AH129" i="1"/>
  <c r="AK129" i="1" s="1"/>
  <c r="BA129" i="1" s="1"/>
  <c r="AH130" i="1"/>
  <c r="AK130" i="1" s="1"/>
  <c r="BA130" i="1" s="1"/>
  <c r="AH131" i="1"/>
  <c r="AK131" i="1" s="1"/>
  <c r="BA131" i="1" s="1"/>
  <c r="AI129" i="1"/>
  <c r="AI130" i="1"/>
  <c r="AI131" i="1"/>
  <c r="AM129" i="1"/>
  <c r="AO129" i="1" s="1"/>
  <c r="BB129" i="1" s="1"/>
  <c r="AM130" i="1"/>
  <c r="AM131" i="1"/>
  <c r="AO131" i="1" s="1"/>
  <c r="BB131" i="1" s="1"/>
  <c r="AN129" i="1"/>
  <c r="AN130" i="1"/>
  <c r="AN131" i="1"/>
  <c r="AO130" i="1"/>
  <c r="BB130" i="1" s="1"/>
  <c r="AQ129" i="1"/>
  <c r="AS129" i="1" s="1"/>
  <c r="BC129" i="1" s="1"/>
  <c r="AQ130" i="1"/>
  <c r="AS130" i="1" s="1"/>
  <c r="BC130" i="1" s="1"/>
  <c r="AQ131" i="1"/>
  <c r="AS131" i="1" s="1"/>
  <c r="BC131" i="1" s="1"/>
  <c r="AR129" i="1"/>
  <c r="AR130" i="1"/>
  <c r="AR131" i="1"/>
  <c r="AU129" i="1"/>
  <c r="AW129" i="1" s="1"/>
  <c r="BD129" i="1" s="1"/>
  <c r="AU130" i="1"/>
  <c r="AW130" i="1" s="1"/>
  <c r="BD130" i="1" s="1"/>
  <c r="AU131" i="1"/>
  <c r="AW131" i="1" s="1"/>
  <c r="BD131" i="1" s="1"/>
  <c r="AV129" i="1"/>
  <c r="AV130" i="1"/>
  <c r="AV131" i="1"/>
  <c r="AY129" i="1"/>
  <c r="AY130" i="1"/>
  <c r="AY131" i="1"/>
  <c r="D128" i="1"/>
  <c r="G128" i="1" s="1"/>
  <c r="O128" i="1"/>
  <c r="S128" i="1"/>
  <c r="U128" i="1"/>
  <c r="V128" i="1"/>
  <c r="AB128" i="1"/>
  <c r="W128" i="1" s="1"/>
  <c r="AE128" i="1"/>
  <c r="AF128" i="1" s="1"/>
  <c r="AZ128" i="1" s="1"/>
  <c r="AH128" i="1"/>
  <c r="AK128" i="1" s="1"/>
  <c r="BA128" i="1" s="1"/>
  <c r="AI128" i="1"/>
  <c r="AM128" i="1"/>
  <c r="AO128" i="1" s="1"/>
  <c r="BB128" i="1" s="1"/>
  <c r="AN128" i="1"/>
  <c r="AQ128" i="1"/>
  <c r="AS128" i="1" s="1"/>
  <c r="BC128" i="1" s="1"/>
  <c r="AR128" i="1"/>
  <c r="AU128" i="1"/>
  <c r="AW128" i="1" s="1"/>
  <c r="BD128" i="1" s="1"/>
  <c r="AV128" i="1"/>
  <c r="AY128" i="1"/>
  <c r="D127" i="1"/>
  <c r="G127" i="1" s="1"/>
  <c r="O127" i="1"/>
  <c r="S127" i="1"/>
  <c r="U127" i="1"/>
  <c r="V127" i="1"/>
  <c r="AB127" i="1"/>
  <c r="X127" i="1" s="1"/>
  <c r="AE127" i="1"/>
  <c r="AF127" i="1" s="1"/>
  <c r="AZ127" i="1" s="1"/>
  <c r="AH127" i="1"/>
  <c r="AK127" i="1" s="1"/>
  <c r="BA127" i="1" s="1"/>
  <c r="AI127" i="1"/>
  <c r="AM127" i="1"/>
  <c r="AO127" i="1" s="1"/>
  <c r="BB127" i="1" s="1"/>
  <c r="AN127" i="1"/>
  <c r="AQ127" i="1"/>
  <c r="AS127" i="1" s="1"/>
  <c r="BC127" i="1" s="1"/>
  <c r="AR127" i="1"/>
  <c r="AU127" i="1"/>
  <c r="AV127" i="1"/>
  <c r="AW127" i="1"/>
  <c r="BD127" i="1" s="1"/>
  <c r="AY127" i="1"/>
  <c r="D126" i="1"/>
  <c r="G126" i="1" s="1"/>
  <c r="O126" i="1"/>
  <c r="S126" i="1"/>
  <c r="U126" i="1"/>
  <c r="V126" i="1"/>
  <c r="AB126" i="1"/>
  <c r="W126" i="1" s="1"/>
  <c r="AE126" i="1"/>
  <c r="AF126" i="1" s="1"/>
  <c r="AZ126" i="1" s="1"/>
  <c r="AH126" i="1"/>
  <c r="AK126" i="1" s="1"/>
  <c r="BA126" i="1" s="1"/>
  <c r="AI126" i="1"/>
  <c r="AM126" i="1"/>
  <c r="AO126" i="1" s="1"/>
  <c r="BB126" i="1" s="1"/>
  <c r="AN126" i="1"/>
  <c r="AQ126" i="1"/>
  <c r="AS126" i="1" s="1"/>
  <c r="BC126" i="1" s="1"/>
  <c r="AR126" i="1"/>
  <c r="AU126" i="1"/>
  <c r="AW126" i="1" s="1"/>
  <c r="BD126" i="1" s="1"/>
  <c r="AV126" i="1"/>
  <c r="AY126" i="1"/>
  <c r="D125" i="1"/>
  <c r="G125" i="1" s="1"/>
  <c r="O125" i="1"/>
  <c r="S125" i="1"/>
  <c r="U125" i="1"/>
  <c r="V125" i="1"/>
  <c r="AB125" i="1"/>
  <c r="W125" i="1" s="1"/>
  <c r="AE125" i="1"/>
  <c r="AF125" i="1" s="1"/>
  <c r="AZ125" i="1" s="1"/>
  <c r="AH125" i="1"/>
  <c r="AK125" i="1" s="1"/>
  <c r="BA125" i="1" s="1"/>
  <c r="AI125" i="1"/>
  <c r="AM125" i="1"/>
  <c r="AO125" i="1" s="1"/>
  <c r="BB125" i="1" s="1"/>
  <c r="AN125" i="1"/>
  <c r="AQ125" i="1"/>
  <c r="AS125" i="1" s="1"/>
  <c r="BC125" i="1" s="1"/>
  <c r="AR125" i="1"/>
  <c r="AU125" i="1"/>
  <c r="AW125" i="1" s="1"/>
  <c r="BD125" i="1" s="1"/>
  <c r="AV125" i="1"/>
  <c r="AY125" i="1"/>
  <c r="D124" i="1"/>
  <c r="G124" i="1" s="1"/>
  <c r="O124" i="1"/>
  <c r="S124" i="1"/>
  <c r="U124" i="1"/>
  <c r="V124" i="1"/>
  <c r="AB124" i="1"/>
  <c r="W124" i="1" s="1"/>
  <c r="AE124" i="1"/>
  <c r="AF124" i="1" s="1"/>
  <c r="AZ124" i="1" s="1"/>
  <c r="AH124" i="1"/>
  <c r="AK124" i="1" s="1"/>
  <c r="BA124" i="1" s="1"/>
  <c r="AI124" i="1"/>
  <c r="AM124" i="1"/>
  <c r="AO124" i="1" s="1"/>
  <c r="BB124" i="1" s="1"/>
  <c r="AN124" i="1"/>
  <c r="AQ124" i="1"/>
  <c r="AS124" i="1" s="1"/>
  <c r="BC124" i="1" s="1"/>
  <c r="AR124" i="1"/>
  <c r="AU124" i="1"/>
  <c r="AW124" i="1" s="1"/>
  <c r="BD124" i="1" s="1"/>
  <c r="AV124" i="1"/>
  <c r="AY124" i="1"/>
  <c r="D123" i="1"/>
  <c r="G123" i="1" s="1"/>
  <c r="O123" i="1"/>
  <c r="S123" i="1"/>
  <c r="U123" i="1"/>
  <c r="V123" i="1"/>
  <c r="AB123" i="1"/>
  <c r="W123" i="1" s="1"/>
  <c r="AE123" i="1"/>
  <c r="AF123" i="1" s="1"/>
  <c r="AZ123" i="1" s="1"/>
  <c r="AH123" i="1"/>
  <c r="AK123" i="1" s="1"/>
  <c r="BA123" i="1" s="1"/>
  <c r="AI123" i="1"/>
  <c r="AM123" i="1"/>
  <c r="AO123" i="1" s="1"/>
  <c r="BB123" i="1" s="1"/>
  <c r="AN123" i="1"/>
  <c r="AQ123" i="1"/>
  <c r="AS123" i="1" s="1"/>
  <c r="BC123" i="1" s="1"/>
  <c r="AR123" i="1"/>
  <c r="AU123" i="1"/>
  <c r="AW123" i="1" s="1"/>
  <c r="BD123" i="1" s="1"/>
  <c r="AV123" i="1"/>
  <c r="AY123" i="1"/>
  <c r="D122" i="1"/>
  <c r="G122" i="1" s="1"/>
  <c r="O122" i="1"/>
  <c r="S122" i="1"/>
  <c r="U122" i="1"/>
  <c r="V122" i="1"/>
  <c r="AB122" i="1"/>
  <c r="W122" i="1" s="1"/>
  <c r="AE122" i="1"/>
  <c r="AF122" i="1" s="1"/>
  <c r="AZ122" i="1" s="1"/>
  <c r="AH122" i="1"/>
  <c r="AK122" i="1" s="1"/>
  <c r="BA122" i="1" s="1"/>
  <c r="AI122" i="1"/>
  <c r="AM122" i="1"/>
  <c r="AO122" i="1" s="1"/>
  <c r="BB122" i="1" s="1"/>
  <c r="AN122" i="1"/>
  <c r="AQ122" i="1"/>
  <c r="AS122" i="1" s="1"/>
  <c r="BC122" i="1" s="1"/>
  <c r="AR122" i="1"/>
  <c r="AU122" i="1"/>
  <c r="AW122" i="1" s="1"/>
  <c r="BD122" i="1" s="1"/>
  <c r="AV122" i="1"/>
  <c r="AY122" i="1"/>
  <c r="D121" i="1"/>
  <c r="G121" i="1" s="1"/>
  <c r="O121" i="1"/>
  <c r="S121" i="1"/>
  <c r="U121" i="1"/>
  <c r="V121" i="1"/>
  <c r="AB121" i="1"/>
  <c r="W121" i="1" s="1"/>
  <c r="AE121" i="1"/>
  <c r="AF121" i="1" s="1"/>
  <c r="AZ121" i="1" s="1"/>
  <c r="AH121" i="1"/>
  <c r="AK121" i="1" s="1"/>
  <c r="BA121" i="1" s="1"/>
  <c r="AI121" i="1"/>
  <c r="AM121" i="1"/>
  <c r="AO121" i="1" s="1"/>
  <c r="BB121" i="1" s="1"/>
  <c r="AN121" i="1"/>
  <c r="AQ121" i="1"/>
  <c r="AS121" i="1" s="1"/>
  <c r="BC121" i="1" s="1"/>
  <c r="AR121" i="1"/>
  <c r="AU121" i="1"/>
  <c r="AW121" i="1" s="1"/>
  <c r="BD121" i="1" s="1"/>
  <c r="AV121" i="1"/>
  <c r="AY121" i="1"/>
  <c r="D120" i="1"/>
  <c r="G120" i="1" s="1"/>
  <c r="O120" i="1"/>
  <c r="S120" i="1"/>
  <c r="U120" i="1"/>
  <c r="V120" i="1"/>
  <c r="AB120" i="1"/>
  <c r="W120" i="1" s="1"/>
  <c r="AE120" i="1"/>
  <c r="AF120" i="1" s="1"/>
  <c r="AZ120" i="1" s="1"/>
  <c r="AH120" i="1"/>
  <c r="AK120" i="1" s="1"/>
  <c r="BA120" i="1" s="1"/>
  <c r="AI120" i="1"/>
  <c r="AM120" i="1"/>
  <c r="AO120" i="1" s="1"/>
  <c r="BB120" i="1" s="1"/>
  <c r="AN120" i="1"/>
  <c r="AQ120" i="1"/>
  <c r="AS120" i="1" s="1"/>
  <c r="BC120" i="1" s="1"/>
  <c r="AR120" i="1"/>
  <c r="AU120" i="1"/>
  <c r="AW120" i="1" s="1"/>
  <c r="BD120" i="1" s="1"/>
  <c r="AV120" i="1"/>
  <c r="AY120" i="1"/>
  <c r="D119" i="1"/>
  <c r="G119" i="1" s="1"/>
  <c r="O119" i="1"/>
  <c r="S119" i="1"/>
  <c r="U119" i="1"/>
  <c r="V119" i="1"/>
  <c r="AB119" i="1"/>
  <c r="W119" i="1" s="1"/>
  <c r="AE119" i="1"/>
  <c r="AF119" i="1" s="1"/>
  <c r="AZ119" i="1" s="1"/>
  <c r="AH119" i="1"/>
  <c r="AK119" i="1" s="1"/>
  <c r="BA119" i="1" s="1"/>
  <c r="AI119" i="1"/>
  <c r="AM119" i="1"/>
  <c r="AO119" i="1" s="1"/>
  <c r="BB119" i="1" s="1"/>
  <c r="AN119" i="1"/>
  <c r="AQ119" i="1"/>
  <c r="AS119" i="1" s="1"/>
  <c r="BC119" i="1" s="1"/>
  <c r="AR119" i="1"/>
  <c r="AU119" i="1"/>
  <c r="AW119" i="1" s="1"/>
  <c r="BD119" i="1" s="1"/>
  <c r="AV119" i="1"/>
  <c r="AY119" i="1"/>
  <c r="D118" i="1"/>
  <c r="G118" i="1" s="1"/>
  <c r="U118" i="1"/>
  <c r="V118" i="1"/>
  <c r="AB118" i="1"/>
  <c r="Z118" i="1" s="1"/>
  <c r="AE118" i="1"/>
  <c r="AF118" i="1" s="1"/>
  <c r="AZ118" i="1" s="1"/>
  <c r="AH118" i="1"/>
  <c r="AK118" i="1" s="1"/>
  <c r="BA118" i="1" s="1"/>
  <c r="AI118" i="1"/>
  <c r="AM118" i="1"/>
  <c r="AO118" i="1" s="1"/>
  <c r="BB118" i="1" s="1"/>
  <c r="AN118" i="1"/>
  <c r="AQ118" i="1"/>
  <c r="AS118" i="1" s="1"/>
  <c r="BC118" i="1" s="1"/>
  <c r="AR118" i="1"/>
  <c r="AU118" i="1"/>
  <c r="AW118" i="1" s="1"/>
  <c r="BD118" i="1" s="1"/>
  <c r="AV118" i="1"/>
  <c r="AY118" i="1"/>
  <c r="AA132" i="1" l="1"/>
  <c r="Z132" i="1"/>
  <c r="Y132" i="1"/>
  <c r="W132" i="1"/>
  <c r="AC132" i="1" s="1"/>
  <c r="H132" i="1" s="1"/>
  <c r="Z131" i="1"/>
  <c r="Y131" i="1"/>
  <c r="Z130" i="1"/>
  <c r="Y130" i="1"/>
  <c r="Z129" i="1"/>
  <c r="Y129" i="1"/>
  <c r="X131" i="1"/>
  <c r="X130" i="1"/>
  <c r="AA131" i="1"/>
  <c r="AA130" i="1"/>
  <c r="X129" i="1"/>
  <c r="AA129" i="1"/>
  <c r="AA127" i="1"/>
  <c r="Z127" i="1"/>
  <c r="Y127" i="1"/>
  <c r="W127" i="1"/>
  <c r="AA128" i="1"/>
  <c r="Z128" i="1"/>
  <c r="Y128" i="1"/>
  <c r="X128" i="1"/>
  <c r="AA126" i="1"/>
  <c r="Z126" i="1"/>
  <c r="Y126" i="1"/>
  <c r="X126" i="1"/>
  <c r="Z125" i="1"/>
  <c r="Y125" i="1"/>
  <c r="X125" i="1"/>
  <c r="AA125" i="1"/>
  <c r="AA124" i="1"/>
  <c r="Z124" i="1"/>
  <c r="Y124" i="1"/>
  <c r="X124" i="1"/>
  <c r="AA123" i="1"/>
  <c r="Z123" i="1"/>
  <c r="Y123" i="1"/>
  <c r="X123" i="1"/>
  <c r="AA122" i="1"/>
  <c r="Z122" i="1"/>
  <c r="Y122" i="1"/>
  <c r="X122" i="1"/>
  <c r="AA121" i="1"/>
  <c r="Y121" i="1"/>
  <c r="Z121" i="1"/>
  <c r="X121" i="1"/>
  <c r="AA120" i="1"/>
  <c r="Y120" i="1"/>
  <c r="Z120" i="1"/>
  <c r="X120" i="1"/>
  <c r="Z119" i="1"/>
  <c r="AA119" i="1"/>
  <c r="Y119" i="1"/>
  <c r="X119" i="1"/>
  <c r="Y118" i="1"/>
  <c r="X118" i="1"/>
  <c r="W118" i="1"/>
  <c r="AA118" i="1"/>
  <c r="AC128" i="1" l="1"/>
  <c r="H128" i="1" s="1"/>
  <c r="AC129" i="1"/>
  <c r="H129" i="1" s="1"/>
  <c r="AC130" i="1"/>
  <c r="H130" i="1" s="1"/>
  <c r="AC131" i="1"/>
  <c r="H131" i="1" s="1"/>
  <c r="AC127" i="1"/>
  <c r="H127" i="1" s="1"/>
  <c r="AC125" i="1"/>
  <c r="H125" i="1" s="1"/>
  <c r="AC126" i="1"/>
  <c r="H126" i="1" s="1"/>
  <c r="AC124" i="1"/>
  <c r="H124" i="1" s="1"/>
  <c r="AC123" i="1"/>
  <c r="H123" i="1" s="1"/>
  <c r="AC122" i="1"/>
  <c r="H122" i="1" s="1"/>
  <c r="AC120" i="1"/>
  <c r="H120" i="1" s="1"/>
  <c r="AC121" i="1"/>
  <c r="H121" i="1" s="1"/>
  <c r="AC119" i="1"/>
  <c r="H119" i="1" s="1"/>
  <c r="AC118" i="1"/>
  <c r="H118" i="1" s="1"/>
  <c r="AY117" i="1" l="1"/>
  <c r="AV117" i="1"/>
  <c r="AU117" i="1"/>
  <c r="AW117" i="1" s="1"/>
  <c r="BD117" i="1" s="1"/>
  <c r="AR117" i="1"/>
  <c r="AQ117" i="1"/>
  <c r="AS117" i="1" s="1"/>
  <c r="BC117" i="1" s="1"/>
  <c r="AN117" i="1"/>
  <c r="AM117" i="1"/>
  <c r="AO117" i="1" s="1"/>
  <c r="BB117" i="1" s="1"/>
  <c r="AI117" i="1"/>
  <c r="AH117" i="1"/>
  <c r="AK117" i="1" s="1"/>
  <c r="BA117" i="1" s="1"/>
  <c r="AE117" i="1"/>
  <c r="AF117" i="1" s="1"/>
  <c r="AZ117" i="1" s="1"/>
  <c r="AB117" i="1"/>
  <c r="Y117" i="1" s="1"/>
  <c r="V117" i="1"/>
  <c r="U117" i="1"/>
  <c r="S117" i="1"/>
  <c r="O117" i="1"/>
  <c r="M117" i="1"/>
  <c r="D117" i="1"/>
  <c r="G117" i="1" s="1"/>
  <c r="AY116" i="1"/>
  <c r="AV116" i="1"/>
  <c r="AU116" i="1"/>
  <c r="AW116" i="1" s="1"/>
  <c r="BD116" i="1" s="1"/>
  <c r="AR116" i="1"/>
  <c r="AQ116" i="1"/>
  <c r="AS116" i="1" s="1"/>
  <c r="BC116" i="1" s="1"/>
  <c r="AN116" i="1"/>
  <c r="AM116" i="1"/>
  <c r="AO116" i="1" s="1"/>
  <c r="BB116" i="1" s="1"/>
  <c r="AI116" i="1"/>
  <c r="AH116" i="1"/>
  <c r="AK116" i="1" s="1"/>
  <c r="BA116" i="1" s="1"/>
  <c r="AE116" i="1"/>
  <c r="AF116" i="1" s="1"/>
  <c r="AZ116" i="1" s="1"/>
  <c r="AB116" i="1"/>
  <c r="AA116" i="1" s="1"/>
  <c r="V116" i="1"/>
  <c r="U116" i="1"/>
  <c r="S116" i="1"/>
  <c r="O116" i="1"/>
  <c r="M116" i="1"/>
  <c r="D116" i="1"/>
  <c r="G116" i="1" s="1"/>
  <c r="D115" i="1"/>
  <c r="G115" i="1" s="1"/>
  <c r="M115" i="1"/>
  <c r="O115" i="1"/>
  <c r="S115" i="1"/>
  <c r="U115" i="1"/>
  <c r="V115" i="1"/>
  <c r="AB115" i="1"/>
  <c r="AE115" i="1"/>
  <c r="AF115" i="1" s="1"/>
  <c r="AZ115" i="1" s="1"/>
  <c r="AH115" i="1"/>
  <c r="AK115" i="1" s="1"/>
  <c r="BA115" i="1" s="1"/>
  <c r="AI115" i="1"/>
  <c r="AM115" i="1"/>
  <c r="AO115" i="1" s="1"/>
  <c r="BB115" i="1" s="1"/>
  <c r="AN115" i="1"/>
  <c r="AQ115" i="1"/>
  <c r="AS115" i="1" s="1"/>
  <c r="BC115" i="1" s="1"/>
  <c r="AR115" i="1"/>
  <c r="AU115" i="1"/>
  <c r="AW115" i="1" s="1"/>
  <c r="BD115" i="1" s="1"/>
  <c r="AV115" i="1"/>
  <c r="AY115" i="1"/>
  <c r="M114" i="1"/>
  <c r="O114" i="1"/>
  <c r="S114" i="1"/>
  <c r="U114" i="1"/>
  <c r="V114" i="1"/>
  <c r="AB114" i="1"/>
  <c r="X114" i="1" s="1"/>
  <c r="AE114" i="1"/>
  <c r="AF114" i="1" s="1"/>
  <c r="AZ114" i="1" s="1"/>
  <c r="AH114" i="1"/>
  <c r="AK114" i="1" s="1"/>
  <c r="BA114" i="1" s="1"/>
  <c r="AI114" i="1"/>
  <c r="AM114" i="1"/>
  <c r="AO114" i="1" s="1"/>
  <c r="BB114" i="1" s="1"/>
  <c r="AN114" i="1"/>
  <c r="AQ114" i="1"/>
  <c r="AS114" i="1" s="1"/>
  <c r="BC114" i="1" s="1"/>
  <c r="AR114" i="1"/>
  <c r="AU114" i="1"/>
  <c r="AW114" i="1" s="1"/>
  <c r="BD114" i="1" s="1"/>
  <c r="AV114" i="1"/>
  <c r="AY114" i="1"/>
  <c r="M113" i="1"/>
  <c r="O113" i="1"/>
  <c r="S113" i="1"/>
  <c r="U113" i="1"/>
  <c r="V113" i="1"/>
  <c r="AB113" i="1"/>
  <c r="X113" i="1" s="1"/>
  <c r="AE113" i="1"/>
  <c r="AF113" i="1" s="1"/>
  <c r="AZ113" i="1" s="1"/>
  <c r="AH113" i="1"/>
  <c r="AK113" i="1" s="1"/>
  <c r="BA113" i="1" s="1"/>
  <c r="AI113" i="1"/>
  <c r="AM113" i="1"/>
  <c r="AO113" i="1" s="1"/>
  <c r="BB113" i="1" s="1"/>
  <c r="AN113" i="1"/>
  <c r="AQ113" i="1"/>
  <c r="AS113" i="1" s="1"/>
  <c r="BC113" i="1" s="1"/>
  <c r="AR113" i="1"/>
  <c r="AU113" i="1"/>
  <c r="AW113" i="1" s="1"/>
  <c r="BD113" i="1" s="1"/>
  <c r="AV113" i="1"/>
  <c r="AY113" i="1"/>
  <c r="W116" i="1" l="1"/>
  <c r="X116" i="1"/>
  <c r="Y116" i="1"/>
  <c r="Z116" i="1"/>
  <c r="Z117" i="1"/>
  <c r="AA117" i="1"/>
  <c r="W117" i="1"/>
  <c r="X117" i="1"/>
  <c r="W115" i="1"/>
  <c r="X115" i="1"/>
  <c r="Y115" i="1"/>
  <c r="Z115" i="1"/>
  <c r="AA115" i="1"/>
  <c r="W114" i="1"/>
  <c r="AA114" i="1"/>
  <c r="Y114" i="1"/>
  <c r="Z114" i="1"/>
  <c r="W113" i="1"/>
  <c r="AA113" i="1"/>
  <c r="Z113" i="1"/>
  <c r="Y113" i="1"/>
  <c r="M112" i="1"/>
  <c r="O112" i="1"/>
  <c r="S112" i="1"/>
  <c r="U112" i="1"/>
  <c r="V112" i="1"/>
  <c r="AB112" i="1"/>
  <c r="W112" i="1" s="1"/>
  <c r="AE112" i="1"/>
  <c r="AF112" i="1" s="1"/>
  <c r="AZ112" i="1" s="1"/>
  <c r="AH112" i="1"/>
  <c r="AK112" i="1" s="1"/>
  <c r="BA112" i="1" s="1"/>
  <c r="AI112" i="1"/>
  <c r="AM112" i="1"/>
  <c r="AO112" i="1" s="1"/>
  <c r="BB112" i="1" s="1"/>
  <c r="AN112" i="1"/>
  <c r="AQ112" i="1"/>
  <c r="AS112" i="1" s="1"/>
  <c r="BC112" i="1" s="1"/>
  <c r="AR112" i="1"/>
  <c r="AU112" i="1"/>
  <c r="AW112" i="1" s="1"/>
  <c r="BD112" i="1" s="1"/>
  <c r="AV112" i="1"/>
  <c r="AY112" i="1"/>
  <c r="D111" i="1"/>
  <c r="G111" i="1" s="1"/>
  <c r="M111" i="1"/>
  <c r="O111" i="1"/>
  <c r="S111" i="1"/>
  <c r="U111" i="1"/>
  <c r="V111" i="1"/>
  <c r="AB111" i="1"/>
  <c r="AE111" i="1"/>
  <c r="AF111" i="1" s="1"/>
  <c r="AZ111" i="1" s="1"/>
  <c r="AH111" i="1"/>
  <c r="AK111" i="1" s="1"/>
  <c r="BA111" i="1" s="1"/>
  <c r="AI111" i="1"/>
  <c r="AM111" i="1"/>
  <c r="AO111" i="1" s="1"/>
  <c r="BB111" i="1" s="1"/>
  <c r="AN111" i="1"/>
  <c r="AQ111" i="1"/>
  <c r="AS111" i="1" s="1"/>
  <c r="BC111" i="1" s="1"/>
  <c r="AR111" i="1"/>
  <c r="AU111" i="1"/>
  <c r="AW111" i="1" s="1"/>
  <c r="BD111" i="1" s="1"/>
  <c r="AV111" i="1"/>
  <c r="AY111" i="1"/>
  <c r="D110" i="1"/>
  <c r="G110" i="1" s="1"/>
  <c r="M110" i="1"/>
  <c r="O110" i="1"/>
  <c r="S110" i="1"/>
  <c r="U110" i="1"/>
  <c r="V110" i="1"/>
  <c r="AB110" i="1"/>
  <c r="AA110" i="1" s="1"/>
  <c r="AE110" i="1"/>
  <c r="AF110" i="1" s="1"/>
  <c r="AZ110" i="1" s="1"/>
  <c r="AH110" i="1"/>
  <c r="AK110" i="1" s="1"/>
  <c r="BA110" i="1" s="1"/>
  <c r="AI110" i="1"/>
  <c r="AM110" i="1"/>
  <c r="AO110" i="1" s="1"/>
  <c r="BB110" i="1" s="1"/>
  <c r="AN110" i="1"/>
  <c r="AQ110" i="1"/>
  <c r="AS110" i="1" s="1"/>
  <c r="BC110" i="1" s="1"/>
  <c r="AR110" i="1"/>
  <c r="AU110" i="1"/>
  <c r="AW110" i="1" s="1"/>
  <c r="BD110" i="1" s="1"/>
  <c r="AV110" i="1"/>
  <c r="AY110" i="1"/>
  <c r="AC117" i="1" l="1"/>
  <c r="H117" i="1" s="1"/>
  <c r="AC116" i="1"/>
  <c r="H116" i="1" s="1"/>
  <c r="AC113" i="1"/>
  <c r="H113" i="1" s="1"/>
  <c r="AC115" i="1"/>
  <c r="H115" i="1" s="1"/>
  <c r="AC114" i="1"/>
  <c r="H114" i="1" s="1"/>
  <c r="AA112" i="1"/>
  <c r="Z112" i="1"/>
  <c r="Y112" i="1"/>
  <c r="X112" i="1"/>
  <c r="W111" i="1"/>
  <c r="X111" i="1"/>
  <c r="Y111" i="1"/>
  <c r="Z111" i="1"/>
  <c r="AA111" i="1"/>
  <c r="Z110" i="1"/>
  <c r="W110" i="1"/>
  <c r="Y110" i="1"/>
  <c r="X110" i="1"/>
  <c r="AC112" i="1" l="1"/>
  <c r="H112" i="1" s="1"/>
  <c r="AC110" i="1"/>
  <c r="H110" i="1" s="1"/>
  <c r="AC111" i="1"/>
  <c r="H111" i="1" s="1"/>
  <c r="D109" i="1"/>
  <c r="G109" i="1" s="1"/>
  <c r="M109" i="1"/>
  <c r="O109" i="1"/>
  <c r="S109" i="1"/>
  <c r="U109" i="1"/>
  <c r="V109" i="1"/>
  <c r="AB109" i="1"/>
  <c r="AE109" i="1"/>
  <c r="AF109" i="1" s="1"/>
  <c r="AZ109" i="1" s="1"/>
  <c r="AH109" i="1"/>
  <c r="AK109" i="1" s="1"/>
  <c r="BA109" i="1" s="1"/>
  <c r="AI109" i="1"/>
  <c r="AM109" i="1"/>
  <c r="AO109" i="1" s="1"/>
  <c r="BB109" i="1" s="1"/>
  <c r="AN109" i="1"/>
  <c r="AQ109" i="1"/>
  <c r="AS109" i="1" s="1"/>
  <c r="BC109" i="1" s="1"/>
  <c r="AR109" i="1"/>
  <c r="AU109" i="1"/>
  <c r="AW109" i="1" s="1"/>
  <c r="BD109" i="1" s="1"/>
  <c r="AV109" i="1"/>
  <c r="AY109" i="1"/>
  <c r="V44" i="1"/>
  <c r="AY108" i="1"/>
  <c r="AV108" i="1"/>
  <c r="AU108" i="1"/>
  <c r="AW108" i="1" s="1"/>
  <c r="BD108" i="1" s="1"/>
  <c r="AR108" i="1"/>
  <c r="AQ108" i="1"/>
  <c r="AS108" i="1" s="1"/>
  <c r="BC108" i="1" s="1"/>
  <c r="AN108" i="1"/>
  <c r="AM108" i="1"/>
  <c r="AO108" i="1" s="1"/>
  <c r="BB108" i="1" s="1"/>
  <c r="AI108" i="1"/>
  <c r="AH108" i="1"/>
  <c r="AK108" i="1" s="1"/>
  <c r="BA108" i="1" s="1"/>
  <c r="AE108" i="1"/>
  <c r="AF108" i="1" s="1"/>
  <c r="AZ108" i="1" s="1"/>
  <c r="AB108" i="1"/>
  <c r="Y108" i="1" s="1"/>
  <c r="V108" i="1"/>
  <c r="U108" i="1"/>
  <c r="S108" i="1"/>
  <c r="O108" i="1"/>
  <c r="M108" i="1"/>
  <c r="D108" i="1"/>
  <c r="G108" i="1" s="1"/>
  <c r="D107" i="1"/>
  <c r="G107" i="1" s="1"/>
  <c r="M107" i="1"/>
  <c r="O107" i="1"/>
  <c r="S107" i="1"/>
  <c r="U107" i="1"/>
  <c r="V107" i="1"/>
  <c r="AB107" i="1"/>
  <c r="W107" i="1" s="1"/>
  <c r="AE107" i="1"/>
  <c r="AF107" i="1" s="1"/>
  <c r="AZ107" i="1" s="1"/>
  <c r="AH107" i="1"/>
  <c r="AK107" i="1" s="1"/>
  <c r="BA107" i="1" s="1"/>
  <c r="AI107" i="1"/>
  <c r="AM107" i="1"/>
  <c r="AO107" i="1" s="1"/>
  <c r="BB107" i="1" s="1"/>
  <c r="AN107" i="1"/>
  <c r="AQ107" i="1"/>
  <c r="AS107" i="1" s="1"/>
  <c r="BC107" i="1" s="1"/>
  <c r="AR107" i="1"/>
  <c r="AU107" i="1"/>
  <c r="AW107" i="1" s="1"/>
  <c r="BD107" i="1" s="1"/>
  <c r="AV107" i="1"/>
  <c r="AY107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A59" i="1" s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Y82" i="1" s="1"/>
  <c r="AB83" i="1"/>
  <c r="Y83" i="1" s="1"/>
  <c r="AB84" i="1"/>
  <c r="AA84" i="1" s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D106" i="1"/>
  <c r="G106" i="1" s="1"/>
  <c r="O106" i="1"/>
  <c r="U106" i="1"/>
  <c r="AE106" i="1"/>
  <c r="AF106" i="1" s="1"/>
  <c r="AZ106" i="1" s="1"/>
  <c r="AH106" i="1"/>
  <c r="AK106" i="1" s="1"/>
  <c r="BA106" i="1" s="1"/>
  <c r="AI106" i="1"/>
  <c r="AM106" i="1"/>
  <c r="AO106" i="1" s="1"/>
  <c r="BB106" i="1" s="1"/>
  <c r="AN106" i="1"/>
  <c r="AQ106" i="1"/>
  <c r="AS106" i="1" s="1"/>
  <c r="BC106" i="1" s="1"/>
  <c r="AR106" i="1"/>
  <c r="AU106" i="1"/>
  <c r="AW106" i="1" s="1"/>
  <c r="BD106" i="1" s="1"/>
  <c r="AV106" i="1"/>
  <c r="D105" i="1"/>
  <c r="G105" i="1" s="1"/>
  <c r="O105" i="1"/>
  <c r="U105" i="1"/>
  <c r="AE105" i="1"/>
  <c r="AF105" i="1" s="1"/>
  <c r="AZ105" i="1" s="1"/>
  <c r="AH105" i="1"/>
  <c r="AK105" i="1" s="1"/>
  <c r="BA105" i="1" s="1"/>
  <c r="AI105" i="1"/>
  <c r="AM105" i="1"/>
  <c r="AO105" i="1" s="1"/>
  <c r="BB105" i="1" s="1"/>
  <c r="AN105" i="1"/>
  <c r="AQ105" i="1"/>
  <c r="AS105" i="1" s="1"/>
  <c r="BC105" i="1" s="1"/>
  <c r="AR105" i="1"/>
  <c r="AU105" i="1"/>
  <c r="AW105" i="1" s="1"/>
  <c r="BD105" i="1" s="1"/>
  <c r="AV105" i="1"/>
  <c r="D103" i="1"/>
  <c r="G103" i="1" s="1"/>
  <c r="D104" i="1"/>
  <c r="G104" i="1" s="1"/>
  <c r="O103" i="1"/>
  <c r="O104" i="1"/>
  <c r="U103" i="1"/>
  <c r="U104" i="1"/>
  <c r="AE103" i="1"/>
  <c r="AF103" i="1" s="1"/>
  <c r="AZ103" i="1" s="1"/>
  <c r="AE104" i="1"/>
  <c r="AF104" i="1" s="1"/>
  <c r="AZ104" i="1" s="1"/>
  <c r="AH103" i="1"/>
  <c r="AK103" i="1" s="1"/>
  <c r="BA103" i="1" s="1"/>
  <c r="AH104" i="1"/>
  <c r="AK104" i="1" s="1"/>
  <c r="BA104" i="1" s="1"/>
  <c r="AI103" i="1"/>
  <c r="AI104" i="1"/>
  <c r="AM103" i="1"/>
  <c r="AO103" i="1" s="1"/>
  <c r="BB103" i="1" s="1"/>
  <c r="AM104" i="1"/>
  <c r="AO104" i="1" s="1"/>
  <c r="BB104" i="1" s="1"/>
  <c r="AN103" i="1"/>
  <c r="AN104" i="1"/>
  <c r="AQ103" i="1"/>
  <c r="AS103" i="1" s="1"/>
  <c r="BC103" i="1" s="1"/>
  <c r="AQ104" i="1"/>
  <c r="AS104" i="1" s="1"/>
  <c r="BC104" i="1" s="1"/>
  <c r="AR103" i="1"/>
  <c r="AR104" i="1"/>
  <c r="AU103" i="1"/>
  <c r="AW103" i="1" s="1"/>
  <c r="BD103" i="1" s="1"/>
  <c r="AU104" i="1"/>
  <c r="AW104" i="1" s="1"/>
  <c r="BD104" i="1" s="1"/>
  <c r="AV103" i="1"/>
  <c r="AV104" i="1"/>
  <c r="D102" i="1"/>
  <c r="G102" i="1" s="1"/>
  <c r="O102" i="1"/>
  <c r="U102" i="1"/>
  <c r="AE102" i="1"/>
  <c r="AF102" i="1" s="1"/>
  <c r="AZ102" i="1" s="1"/>
  <c r="AH102" i="1"/>
  <c r="AK102" i="1" s="1"/>
  <c r="BA102" i="1" s="1"/>
  <c r="AI102" i="1"/>
  <c r="AM102" i="1"/>
  <c r="AO102" i="1" s="1"/>
  <c r="BB102" i="1" s="1"/>
  <c r="AN102" i="1"/>
  <c r="AQ102" i="1"/>
  <c r="AS102" i="1" s="1"/>
  <c r="BC102" i="1" s="1"/>
  <c r="AR102" i="1"/>
  <c r="AU102" i="1"/>
  <c r="AW102" i="1" s="1"/>
  <c r="BD102" i="1" s="1"/>
  <c r="AV102" i="1"/>
  <c r="D101" i="1"/>
  <c r="G101" i="1" s="1"/>
  <c r="O101" i="1"/>
  <c r="U101" i="1"/>
  <c r="AE101" i="1"/>
  <c r="AF101" i="1" s="1"/>
  <c r="AZ101" i="1" s="1"/>
  <c r="AH101" i="1"/>
  <c r="AK101" i="1" s="1"/>
  <c r="BA101" i="1" s="1"/>
  <c r="AI101" i="1"/>
  <c r="AM101" i="1"/>
  <c r="AO101" i="1" s="1"/>
  <c r="BB101" i="1" s="1"/>
  <c r="AN101" i="1"/>
  <c r="AQ101" i="1"/>
  <c r="AS101" i="1" s="1"/>
  <c r="BC101" i="1" s="1"/>
  <c r="AR101" i="1"/>
  <c r="AU101" i="1"/>
  <c r="AW101" i="1" s="1"/>
  <c r="BD101" i="1" s="1"/>
  <c r="AV101" i="1"/>
  <c r="D100" i="1"/>
  <c r="G100" i="1" s="1"/>
  <c r="O100" i="1"/>
  <c r="U100" i="1"/>
  <c r="AE100" i="1"/>
  <c r="AF100" i="1" s="1"/>
  <c r="AZ100" i="1" s="1"/>
  <c r="AH100" i="1"/>
  <c r="AK100" i="1" s="1"/>
  <c r="BA100" i="1" s="1"/>
  <c r="AI100" i="1"/>
  <c r="AM100" i="1"/>
  <c r="AO100" i="1" s="1"/>
  <c r="BB100" i="1" s="1"/>
  <c r="AN100" i="1"/>
  <c r="AQ100" i="1"/>
  <c r="AS100" i="1" s="1"/>
  <c r="BC100" i="1" s="1"/>
  <c r="AR100" i="1"/>
  <c r="AU100" i="1"/>
  <c r="AW100" i="1" s="1"/>
  <c r="BD100" i="1" s="1"/>
  <c r="AV100" i="1"/>
  <c r="D99" i="1"/>
  <c r="G99" i="1" s="1"/>
  <c r="O99" i="1"/>
  <c r="U99" i="1"/>
  <c r="AE99" i="1"/>
  <c r="AF99" i="1" s="1"/>
  <c r="AZ99" i="1" s="1"/>
  <c r="AH99" i="1"/>
  <c r="AK99" i="1" s="1"/>
  <c r="BA99" i="1" s="1"/>
  <c r="AI99" i="1"/>
  <c r="AM99" i="1"/>
  <c r="AO99" i="1" s="1"/>
  <c r="BB99" i="1" s="1"/>
  <c r="AN99" i="1"/>
  <c r="AQ99" i="1"/>
  <c r="AS99" i="1" s="1"/>
  <c r="BC99" i="1" s="1"/>
  <c r="AR99" i="1"/>
  <c r="AU99" i="1"/>
  <c r="AW99" i="1" s="1"/>
  <c r="BD99" i="1" s="1"/>
  <c r="AV99" i="1"/>
  <c r="D98" i="1"/>
  <c r="G98" i="1" s="1"/>
  <c r="O98" i="1"/>
  <c r="U98" i="1"/>
  <c r="AE98" i="1"/>
  <c r="AF98" i="1" s="1"/>
  <c r="AZ98" i="1" s="1"/>
  <c r="AH98" i="1"/>
  <c r="AK98" i="1" s="1"/>
  <c r="BA98" i="1" s="1"/>
  <c r="AI98" i="1"/>
  <c r="AM98" i="1"/>
  <c r="AO98" i="1" s="1"/>
  <c r="BB98" i="1" s="1"/>
  <c r="AN98" i="1"/>
  <c r="AQ98" i="1"/>
  <c r="AS98" i="1" s="1"/>
  <c r="BC98" i="1" s="1"/>
  <c r="AR98" i="1"/>
  <c r="AU98" i="1"/>
  <c r="AW98" i="1" s="1"/>
  <c r="BD98" i="1" s="1"/>
  <c r="AV98" i="1"/>
  <c r="O97" i="1"/>
  <c r="U97" i="1"/>
  <c r="AE97" i="1"/>
  <c r="AF97" i="1" s="1"/>
  <c r="AZ97" i="1" s="1"/>
  <c r="AH97" i="1"/>
  <c r="AK97" i="1" s="1"/>
  <c r="BA97" i="1" s="1"/>
  <c r="AI97" i="1"/>
  <c r="AM97" i="1"/>
  <c r="AO97" i="1" s="1"/>
  <c r="BB97" i="1" s="1"/>
  <c r="AN97" i="1"/>
  <c r="AQ97" i="1"/>
  <c r="AS97" i="1" s="1"/>
  <c r="BC97" i="1" s="1"/>
  <c r="AR97" i="1"/>
  <c r="AU97" i="1"/>
  <c r="AW97" i="1" s="1"/>
  <c r="BD97" i="1" s="1"/>
  <c r="AV97" i="1"/>
  <c r="O96" i="1"/>
  <c r="U96" i="1"/>
  <c r="AE96" i="1"/>
  <c r="AF96" i="1" s="1"/>
  <c r="AZ96" i="1" s="1"/>
  <c r="AH96" i="1"/>
  <c r="AK96" i="1" s="1"/>
  <c r="BA96" i="1" s="1"/>
  <c r="AI96" i="1"/>
  <c r="AM96" i="1"/>
  <c r="AO96" i="1" s="1"/>
  <c r="BB96" i="1" s="1"/>
  <c r="AN96" i="1"/>
  <c r="AQ96" i="1"/>
  <c r="AS96" i="1" s="1"/>
  <c r="BC96" i="1" s="1"/>
  <c r="AR96" i="1"/>
  <c r="AU96" i="1"/>
  <c r="AW96" i="1" s="1"/>
  <c r="BD96" i="1" s="1"/>
  <c r="AV96" i="1"/>
  <c r="O95" i="1"/>
  <c r="U95" i="1"/>
  <c r="AE95" i="1"/>
  <c r="AF95" i="1" s="1"/>
  <c r="AZ95" i="1" s="1"/>
  <c r="AH95" i="1"/>
  <c r="AK95" i="1" s="1"/>
  <c r="BA95" i="1" s="1"/>
  <c r="AI95" i="1"/>
  <c r="AM95" i="1"/>
  <c r="AO95" i="1" s="1"/>
  <c r="BB95" i="1" s="1"/>
  <c r="AN95" i="1"/>
  <c r="AQ95" i="1"/>
  <c r="AS95" i="1" s="1"/>
  <c r="BC95" i="1" s="1"/>
  <c r="AR95" i="1"/>
  <c r="AU95" i="1"/>
  <c r="AW95" i="1" s="1"/>
  <c r="BD95" i="1" s="1"/>
  <c r="AV95" i="1"/>
  <c r="O94" i="1"/>
  <c r="U94" i="1"/>
  <c r="AE94" i="1"/>
  <c r="AF94" i="1" s="1"/>
  <c r="AZ94" i="1" s="1"/>
  <c r="AH94" i="1"/>
  <c r="AK94" i="1" s="1"/>
  <c r="BA94" i="1" s="1"/>
  <c r="AI94" i="1"/>
  <c r="AM94" i="1"/>
  <c r="AO94" i="1" s="1"/>
  <c r="BB94" i="1" s="1"/>
  <c r="AN94" i="1"/>
  <c r="AQ94" i="1"/>
  <c r="AS94" i="1" s="1"/>
  <c r="BC94" i="1" s="1"/>
  <c r="AR94" i="1"/>
  <c r="AU94" i="1"/>
  <c r="AW94" i="1" s="1"/>
  <c r="BD94" i="1" s="1"/>
  <c r="AV94" i="1"/>
  <c r="O93" i="1"/>
  <c r="U93" i="1"/>
  <c r="AE93" i="1"/>
  <c r="AF93" i="1" s="1"/>
  <c r="AZ93" i="1" s="1"/>
  <c r="AH93" i="1"/>
  <c r="AK93" i="1" s="1"/>
  <c r="BA93" i="1" s="1"/>
  <c r="AI93" i="1"/>
  <c r="AM93" i="1"/>
  <c r="AO93" i="1" s="1"/>
  <c r="BB93" i="1" s="1"/>
  <c r="AN93" i="1"/>
  <c r="AQ93" i="1"/>
  <c r="AS93" i="1" s="1"/>
  <c r="BC93" i="1" s="1"/>
  <c r="AR93" i="1"/>
  <c r="AU93" i="1"/>
  <c r="AW93" i="1" s="1"/>
  <c r="BD93" i="1" s="1"/>
  <c r="AV93" i="1"/>
  <c r="O92" i="1"/>
  <c r="U92" i="1"/>
  <c r="AE92" i="1"/>
  <c r="AF92" i="1" s="1"/>
  <c r="AZ92" i="1" s="1"/>
  <c r="AH92" i="1"/>
  <c r="AK92" i="1" s="1"/>
  <c r="BA92" i="1" s="1"/>
  <c r="AI92" i="1"/>
  <c r="AM92" i="1"/>
  <c r="AO92" i="1" s="1"/>
  <c r="BB92" i="1" s="1"/>
  <c r="AN92" i="1"/>
  <c r="AQ92" i="1"/>
  <c r="AS92" i="1" s="1"/>
  <c r="BC92" i="1" s="1"/>
  <c r="AR92" i="1"/>
  <c r="AU92" i="1"/>
  <c r="AW92" i="1" s="1"/>
  <c r="BD92" i="1" s="1"/>
  <c r="AV92" i="1"/>
  <c r="O91" i="1"/>
  <c r="U91" i="1"/>
  <c r="AE91" i="1"/>
  <c r="AF91" i="1" s="1"/>
  <c r="AZ91" i="1" s="1"/>
  <c r="AH91" i="1"/>
  <c r="AK91" i="1" s="1"/>
  <c r="BA91" i="1" s="1"/>
  <c r="AI91" i="1"/>
  <c r="AM91" i="1"/>
  <c r="AO91" i="1" s="1"/>
  <c r="BB91" i="1" s="1"/>
  <c r="AN91" i="1"/>
  <c r="AQ91" i="1"/>
  <c r="AS91" i="1" s="1"/>
  <c r="BC91" i="1" s="1"/>
  <c r="AR91" i="1"/>
  <c r="AU91" i="1"/>
  <c r="AW91" i="1" s="1"/>
  <c r="BD91" i="1" s="1"/>
  <c r="AV91" i="1"/>
  <c r="O90" i="1"/>
  <c r="U90" i="1"/>
  <c r="AE90" i="1"/>
  <c r="AF90" i="1" s="1"/>
  <c r="AZ90" i="1" s="1"/>
  <c r="AH90" i="1"/>
  <c r="AK90" i="1" s="1"/>
  <c r="BA90" i="1" s="1"/>
  <c r="AI90" i="1"/>
  <c r="AM90" i="1"/>
  <c r="AO90" i="1" s="1"/>
  <c r="BB90" i="1" s="1"/>
  <c r="AN90" i="1"/>
  <c r="AQ90" i="1"/>
  <c r="AS90" i="1" s="1"/>
  <c r="BC90" i="1" s="1"/>
  <c r="AR90" i="1"/>
  <c r="AU90" i="1"/>
  <c r="AW90" i="1" s="1"/>
  <c r="BD90" i="1" s="1"/>
  <c r="AV90" i="1"/>
  <c r="O89" i="1"/>
  <c r="U89" i="1"/>
  <c r="AE89" i="1"/>
  <c r="AF89" i="1" s="1"/>
  <c r="AZ89" i="1" s="1"/>
  <c r="AH89" i="1"/>
  <c r="AK89" i="1" s="1"/>
  <c r="BA89" i="1" s="1"/>
  <c r="AI89" i="1"/>
  <c r="AM89" i="1"/>
  <c r="AO89" i="1" s="1"/>
  <c r="BB89" i="1" s="1"/>
  <c r="AN89" i="1"/>
  <c r="AQ89" i="1"/>
  <c r="AS89" i="1" s="1"/>
  <c r="BC89" i="1" s="1"/>
  <c r="AR89" i="1"/>
  <c r="AU89" i="1"/>
  <c r="AW89" i="1" s="1"/>
  <c r="BD89" i="1" s="1"/>
  <c r="AV89" i="1"/>
  <c r="O85" i="1"/>
  <c r="O86" i="1"/>
  <c r="O87" i="1"/>
  <c r="O88" i="1"/>
  <c r="U85" i="1"/>
  <c r="U86" i="1"/>
  <c r="U87" i="1"/>
  <c r="U88" i="1"/>
  <c r="AE85" i="1"/>
  <c r="AF85" i="1" s="1"/>
  <c r="AZ85" i="1" s="1"/>
  <c r="AE86" i="1"/>
  <c r="AF86" i="1" s="1"/>
  <c r="AZ86" i="1" s="1"/>
  <c r="AE87" i="1"/>
  <c r="AF87" i="1" s="1"/>
  <c r="AZ87" i="1" s="1"/>
  <c r="AE88" i="1"/>
  <c r="AF88" i="1" s="1"/>
  <c r="AZ88" i="1" s="1"/>
  <c r="AH85" i="1"/>
  <c r="AK85" i="1" s="1"/>
  <c r="BA85" i="1" s="1"/>
  <c r="AH86" i="1"/>
  <c r="AK86" i="1" s="1"/>
  <c r="BA86" i="1" s="1"/>
  <c r="AH87" i="1"/>
  <c r="AK87" i="1" s="1"/>
  <c r="BA87" i="1" s="1"/>
  <c r="AH88" i="1"/>
  <c r="AK88" i="1" s="1"/>
  <c r="BA88" i="1" s="1"/>
  <c r="AI85" i="1"/>
  <c r="AI86" i="1"/>
  <c r="AI87" i="1"/>
  <c r="AI88" i="1"/>
  <c r="AM85" i="1"/>
  <c r="AO85" i="1" s="1"/>
  <c r="BB85" i="1" s="1"/>
  <c r="AM86" i="1"/>
  <c r="AO86" i="1" s="1"/>
  <c r="BB86" i="1" s="1"/>
  <c r="AM87" i="1"/>
  <c r="AO87" i="1" s="1"/>
  <c r="BB87" i="1" s="1"/>
  <c r="AM88" i="1"/>
  <c r="AO88" i="1" s="1"/>
  <c r="BB88" i="1" s="1"/>
  <c r="AN85" i="1"/>
  <c r="AN86" i="1"/>
  <c r="AN87" i="1"/>
  <c r="AN88" i="1"/>
  <c r="AQ85" i="1"/>
  <c r="AS85" i="1" s="1"/>
  <c r="BC85" i="1" s="1"/>
  <c r="AQ86" i="1"/>
  <c r="AS86" i="1" s="1"/>
  <c r="BC86" i="1" s="1"/>
  <c r="AQ87" i="1"/>
  <c r="AS87" i="1" s="1"/>
  <c r="BC87" i="1" s="1"/>
  <c r="AQ88" i="1"/>
  <c r="AS88" i="1" s="1"/>
  <c r="BC88" i="1" s="1"/>
  <c r="AR85" i="1"/>
  <c r="AR86" i="1"/>
  <c r="AR87" i="1"/>
  <c r="AR88" i="1"/>
  <c r="AU85" i="1"/>
  <c r="AW85" i="1" s="1"/>
  <c r="BD85" i="1" s="1"/>
  <c r="AU86" i="1"/>
  <c r="AW86" i="1" s="1"/>
  <c r="BD86" i="1" s="1"/>
  <c r="AU87" i="1"/>
  <c r="AW87" i="1" s="1"/>
  <c r="BD87" i="1" s="1"/>
  <c r="AU88" i="1"/>
  <c r="AW88" i="1" s="1"/>
  <c r="BD88" i="1" s="1"/>
  <c r="AV85" i="1"/>
  <c r="AV86" i="1"/>
  <c r="AV87" i="1"/>
  <c r="AV8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R9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11" i="1"/>
  <c r="AU84" i="1"/>
  <c r="AW84" i="1" s="1"/>
  <c r="AQ84" i="1"/>
  <c r="AS84" i="1" s="1"/>
  <c r="BC84" i="1" s="1"/>
  <c r="AM84" i="1"/>
  <c r="AO84" i="1" s="1"/>
  <c r="BB84" i="1" s="1"/>
  <c r="AH84" i="1"/>
  <c r="AK84" i="1" s="1"/>
  <c r="AE84" i="1"/>
  <c r="AF84" i="1" s="1"/>
  <c r="AZ84" i="1" s="1"/>
  <c r="O84" i="1"/>
  <c r="D84" i="1"/>
  <c r="AU81" i="1"/>
  <c r="AW81" i="1" s="1"/>
  <c r="AU82" i="1"/>
  <c r="AW82" i="1" s="1"/>
  <c r="AU83" i="1"/>
  <c r="AW83" i="1" s="1"/>
  <c r="AQ81" i="1"/>
  <c r="AS81" i="1" s="1"/>
  <c r="BC81" i="1" s="1"/>
  <c r="AQ82" i="1"/>
  <c r="AS82" i="1" s="1"/>
  <c r="BC82" i="1" s="1"/>
  <c r="AQ83" i="1"/>
  <c r="AS83" i="1" s="1"/>
  <c r="BC83" i="1" s="1"/>
  <c r="AM81" i="1"/>
  <c r="AO81" i="1" s="1"/>
  <c r="BB81" i="1" s="1"/>
  <c r="AM82" i="1"/>
  <c r="AO82" i="1" s="1"/>
  <c r="BB82" i="1" s="1"/>
  <c r="AM83" i="1"/>
  <c r="AO83" i="1" s="1"/>
  <c r="BB83" i="1" s="1"/>
  <c r="AH81" i="1"/>
  <c r="AK81" i="1" s="1"/>
  <c r="AH82" i="1"/>
  <c r="AK82" i="1" s="1"/>
  <c r="AH83" i="1"/>
  <c r="AK83" i="1" s="1"/>
  <c r="AE81" i="1"/>
  <c r="AF81" i="1" s="1"/>
  <c r="AZ81" i="1" s="1"/>
  <c r="AE82" i="1"/>
  <c r="AF82" i="1" s="1"/>
  <c r="AZ82" i="1" s="1"/>
  <c r="AE83" i="1"/>
  <c r="AF83" i="1" s="1"/>
  <c r="AZ83" i="1" s="1"/>
  <c r="O81" i="1"/>
  <c r="O82" i="1"/>
  <c r="O83" i="1"/>
  <c r="D81" i="1"/>
  <c r="D82" i="1"/>
  <c r="D83" i="1"/>
  <c r="O77" i="1"/>
  <c r="O78" i="1"/>
  <c r="O79" i="1"/>
  <c r="O80" i="1"/>
  <c r="AE77" i="1"/>
  <c r="AF77" i="1" s="1"/>
  <c r="AZ77" i="1" s="1"/>
  <c r="AE78" i="1"/>
  <c r="AF78" i="1" s="1"/>
  <c r="AZ78" i="1" s="1"/>
  <c r="AE79" i="1"/>
  <c r="AF79" i="1" s="1"/>
  <c r="AZ79" i="1" s="1"/>
  <c r="AE80" i="1"/>
  <c r="AF80" i="1" s="1"/>
  <c r="AZ80" i="1" s="1"/>
  <c r="AH77" i="1"/>
  <c r="AK77" i="1" s="1"/>
  <c r="AH78" i="1"/>
  <c r="AK78" i="1" s="1"/>
  <c r="AH79" i="1"/>
  <c r="AK79" i="1" s="1"/>
  <c r="AH80" i="1"/>
  <c r="AK80" i="1" s="1"/>
  <c r="AM77" i="1"/>
  <c r="AO77" i="1" s="1"/>
  <c r="BB77" i="1" s="1"/>
  <c r="AM78" i="1"/>
  <c r="AO78" i="1" s="1"/>
  <c r="BB78" i="1" s="1"/>
  <c r="AM79" i="1"/>
  <c r="AO79" i="1" s="1"/>
  <c r="BB79" i="1" s="1"/>
  <c r="AM80" i="1"/>
  <c r="AO80" i="1" s="1"/>
  <c r="BB80" i="1" s="1"/>
  <c r="AQ77" i="1"/>
  <c r="AS77" i="1" s="1"/>
  <c r="BC77" i="1" s="1"/>
  <c r="AQ78" i="1"/>
  <c r="AS78" i="1" s="1"/>
  <c r="BC78" i="1" s="1"/>
  <c r="AQ79" i="1"/>
  <c r="AS79" i="1" s="1"/>
  <c r="BC79" i="1" s="1"/>
  <c r="AQ80" i="1"/>
  <c r="AS80" i="1" s="1"/>
  <c r="BC80" i="1" s="1"/>
  <c r="AU77" i="1"/>
  <c r="AW77" i="1" s="1"/>
  <c r="AU78" i="1"/>
  <c r="AW78" i="1" s="1"/>
  <c r="AU79" i="1"/>
  <c r="AW79" i="1" s="1"/>
  <c r="AU80" i="1"/>
  <c r="AW80" i="1" s="1"/>
  <c r="O75" i="1"/>
  <c r="O76" i="1"/>
  <c r="AE75" i="1"/>
  <c r="AF75" i="1" s="1"/>
  <c r="AZ75" i="1" s="1"/>
  <c r="AE76" i="1"/>
  <c r="AF76" i="1" s="1"/>
  <c r="AZ76" i="1" s="1"/>
  <c r="AH75" i="1"/>
  <c r="AK75" i="1" s="1"/>
  <c r="AH76" i="1"/>
  <c r="AK76" i="1" s="1"/>
  <c r="AM75" i="1"/>
  <c r="AO75" i="1" s="1"/>
  <c r="BB75" i="1" s="1"/>
  <c r="AM76" i="1"/>
  <c r="AO76" i="1" s="1"/>
  <c r="BB76" i="1" s="1"/>
  <c r="AQ75" i="1"/>
  <c r="AS75" i="1" s="1"/>
  <c r="BC75" i="1" s="1"/>
  <c r="AQ76" i="1"/>
  <c r="AS76" i="1" s="1"/>
  <c r="BC76" i="1" s="1"/>
  <c r="AU75" i="1"/>
  <c r="AW75" i="1" s="1"/>
  <c r="AU76" i="1"/>
  <c r="AW76" i="1" s="1"/>
  <c r="O73" i="1"/>
  <c r="O74" i="1"/>
  <c r="AE73" i="1"/>
  <c r="AF73" i="1" s="1"/>
  <c r="AZ73" i="1" s="1"/>
  <c r="AE74" i="1"/>
  <c r="AF74" i="1" s="1"/>
  <c r="AZ74" i="1" s="1"/>
  <c r="AH73" i="1"/>
  <c r="AK73" i="1" s="1"/>
  <c r="AH74" i="1"/>
  <c r="AK74" i="1" s="1"/>
  <c r="AM73" i="1"/>
  <c r="AO73" i="1" s="1"/>
  <c r="BB73" i="1" s="1"/>
  <c r="AM74" i="1"/>
  <c r="AO74" i="1" s="1"/>
  <c r="BB74" i="1" s="1"/>
  <c r="AQ73" i="1"/>
  <c r="AS73" i="1" s="1"/>
  <c r="BC73" i="1" s="1"/>
  <c r="AQ74" i="1"/>
  <c r="AS74" i="1" s="1"/>
  <c r="BC74" i="1" s="1"/>
  <c r="AU73" i="1"/>
  <c r="AW73" i="1" s="1"/>
  <c r="AU74" i="1"/>
  <c r="AW74" i="1" s="1"/>
  <c r="O72" i="1"/>
  <c r="AE72" i="1"/>
  <c r="AF72" i="1" s="1"/>
  <c r="AZ72" i="1" s="1"/>
  <c r="AH72" i="1"/>
  <c r="AK72" i="1" s="1"/>
  <c r="AM72" i="1"/>
  <c r="AO72" i="1" s="1"/>
  <c r="BB72" i="1" s="1"/>
  <c r="AQ72" i="1"/>
  <c r="AS72" i="1" s="1"/>
  <c r="BC72" i="1" s="1"/>
  <c r="AU72" i="1"/>
  <c r="AW72" i="1" s="1"/>
  <c r="O71" i="1"/>
  <c r="AE71" i="1"/>
  <c r="AF71" i="1" s="1"/>
  <c r="AZ71" i="1" s="1"/>
  <c r="AH71" i="1"/>
  <c r="AK71" i="1" s="1"/>
  <c r="AM71" i="1"/>
  <c r="AO71" i="1" s="1"/>
  <c r="BB71" i="1" s="1"/>
  <c r="AQ71" i="1"/>
  <c r="AS71" i="1" s="1"/>
  <c r="BC71" i="1" s="1"/>
  <c r="AU71" i="1"/>
  <c r="AW71" i="1" s="1"/>
  <c r="O70" i="1"/>
  <c r="AE70" i="1"/>
  <c r="AF70" i="1" s="1"/>
  <c r="AZ70" i="1" s="1"/>
  <c r="AH70" i="1"/>
  <c r="AK70" i="1" s="1"/>
  <c r="AM70" i="1"/>
  <c r="AO70" i="1" s="1"/>
  <c r="BB70" i="1" s="1"/>
  <c r="AQ70" i="1"/>
  <c r="AS70" i="1" s="1"/>
  <c r="BC70" i="1" s="1"/>
  <c r="AU70" i="1"/>
  <c r="AW70" i="1" s="1"/>
  <c r="O69" i="1"/>
  <c r="AE69" i="1"/>
  <c r="AF69" i="1" s="1"/>
  <c r="AZ69" i="1" s="1"/>
  <c r="AH69" i="1"/>
  <c r="AK69" i="1" s="1"/>
  <c r="AM69" i="1"/>
  <c r="AO69" i="1" s="1"/>
  <c r="BB69" i="1" s="1"/>
  <c r="AQ69" i="1"/>
  <c r="AS69" i="1" s="1"/>
  <c r="BC69" i="1" s="1"/>
  <c r="AU69" i="1"/>
  <c r="AW69" i="1" s="1"/>
  <c r="D54" i="1"/>
  <c r="O54" i="1"/>
  <c r="AE54" i="1"/>
  <c r="AF54" i="1" s="1"/>
  <c r="AZ54" i="1" s="1"/>
  <c r="AH54" i="1"/>
  <c r="AK54" i="1" s="1"/>
  <c r="AM54" i="1"/>
  <c r="AO54" i="1" s="1"/>
  <c r="BB54" i="1" s="1"/>
  <c r="AQ54" i="1"/>
  <c r="AS54" i="1" s="1"/>
  <c r="BC54" i="1" s="1"/>
  <c r="AU54" i="1"/>
  <c r="AW54" i="1" s="1"/>
  <c r="O48" i="1"/>
  <c r="AE48" i="1"/>
  <c r="AF48" i="1" s="1"/>
  <c r="AZ48" i="1" s="1"/>
  <c r="AH48" i="1"/>
  <c r="AK48" i="1" s="1"/>
  <c r="AM48" i="1"/>
  <c r="AO48" i="1" s="1"/>
  <c r="BB48" i="1" s="1"/>
  <c r="AQ48" i="1"/>
  <c r="AS48" i="1" s="1"/>
  <c r="BC48" i="1" s="1"/>
  <c r="AU48" i="1"/>
  <c r="AW48" i="1" s="1"/>
  <c r="O63" i="1"/>
  <c r="O44" i="1"/>
  <c r="O45" i="1"/>
  <c r="O49" i="1"/>
  <c r="O50" i="1"/>
  <c r="O58" i="1"/>
  <c r="O46" i="1"/>
  <c r="O47" i="1"/>
  <c r="O51" i="1"/>
  <c r="D63" i="1"/>
  <c r="D68" i="1"/>
  <c r="O68" i="1"/>
  <c r="AE68" i="1"/>
  <c r="AF68" i="1" s="1"/>
  <c r="AZ68" i="1" s="1"/>
  <c r="AH68" i="1"/>
  <c r="AK68" i="1" s="1"/>
  <c r="AM68" i="1"/>
  <c r="AO68" i="1" s="1"/>
  <c r="BB68" i="1" s="1"/>
  <c r="AQ68" i="1"/>
  <c r="AS68" i="1" s="1"/>
  <c r="BC68" i="1" s="1"/>
  <c r="AU68" i="1"/>
  <c r="AW68" i="1" s="1"/>
  <c r="D67" i="1"/>
  <c r="O67" i="1"/>
  <c r="AE67" i="1"/>
  <c r="AF67" i="1" s="1"/>
  <c r="AZ67" i="1" s="1"/>
  <c r="AH67" i="1"/>
  <c r="AK67" i="1" s="1"/>
  <c r="AM67" i="1"/>
  <c r="AO67" i="1" s="1"/>
  <c r="BB67" i="1" s="1"/>
  <c r="AQ67" i="1"/>
  <c r="AS67" i="1" s="1"/>
  <c r="BC67" i="1" s="1"/>
  <c r="AU67" i="1"/>
  <c r="AW67" i="1" s="1"/>
  <c r="D65" i="1"/>
  <c r="O65" i="1"/>
  <c r="AE65" i="1"/>
  <c r="AF65" i="1" s="1"/>
  <c r="AZ65" i="1" s="1"/>
  <c r="AH65" i="1"/>
  <c r="AK65" i="1" s="1"/>
  <c r="AM65" i="1"/>
  <c r="AO65" i="1" s="1"/>
  <c r="BB65" i="1" s="1"/>
  <c r="AQ65" i="1"/>
  <c r="AS65" i="1" s="1"/>
  <c r="AU65" i="1"/>
  <c r="AW65" i="1" s="1"/>
  <c r="D66" i="1"/>
  <c r="O66" i="1"/>
  <c r="AE66" i="1"/>
  <c r="AF66" i="1" s="1"/>
  <c r="AZ66" i="1" s="1"/>
  <c r="AH66" i="1"/>
  <c r="AK66" i="1" s="1"/>
  <c r="AM66" i="1"/>
  <c r="AO66" i="1" s="1"/>
  <c r="BB66" i="1" s="1"/>
  <c r="AQ66" i="1"/>
  <c r="AS66" i="1" s="1"/>
  <c r="BC66" i="1" s="1"/>
  <c r="AU66" i="1"/>
  <c r="AW66" i="1" s="1"/>
  <c r="D64" i="1"/>
  <c r="O64" i="1"/>
  <c r="AE64" i="1"/>
  <c r="AF64" i="1" s="1"/>
  <c r="AZ64" i="1" s="1"/>
  <c r="AH64" i="1"/>
  <c r="AK64" i="1" s="1"/>
  <c r="AM64" i="1"/>
  <c r="AO64" i="1" s="1"/>
  <c r="BB64" i="1" s="1"/>
  <c r="AQ64" i="1"/>
  <c r="AS64" i="1" s="1"/>
  <c r="BC64" i="1" s="1"/>
  <c r="AU64" i="1"/>
  <c r="AW64" i="1" s="1"/>
  <c r="AE63" i="1"/>
  <c r="AF63" i="1" s="1"/>
  <c r="AZ63" i="1" s="1"/>
  <c r="AH63" i="1"/>
  <c r="AK63" i="1" s="1"/>
  <c r="AM63" i="1"/>
  <c r="AO63" i="1" s="1"/>
  <c r="BB63" i="1" s="1"/>
  <c r="AQ63" i="1"/>
  <c r="AS63" i="1" s="1"/>
  <c r="BC63" i="1" s="1"/>
  <c r="AU63" i="1"/>
  <c r="AW63" i="1" s="1"/>
  <c r="O60" i="1"/>
  <c r="AU60" i="1"/>
  <c r="AW60" i="1" s="1"/>
  <c r="AQ60" i="1"/>
  <c r="AS60" i="1" s="1"/>
  <c r="BC60" i="1" s="1"/>
  <c r="AM60" i="1"/>
  <c r="AO60" i="1" s="1"/>
  <c r="BB60" i="1" s="1"/>
  <c r="AH60" i="1"/>
  <c r="AK60" i="1" s="1"/>
  <c r="AE60" i="1"/>
  <c r="AF60" i="1" s="1"/>
  <c r="AZ60" i="1" s="1"/>
  <c r="D60" i="1"/>
  <c r="AU59" i="1"/>
  <c r="AW59" i="1" s="1"/>
  <c r="AQ59" i="1"/>
  <c r="AS59" i="1" s="1"/>
  <c r="BC59" i="1" s="1"/>
  <c r="AM59" i="1"/>
  <c r="AO59" i="1" s="1"/>
  <c r="BB59" i="1" s="1"/>
  <c r="AH59" i="1"/>
  <c r="AK59" i="1" s="1"/>
  <c r="AE59" i="1"/>
  <c r="AF59" i="1" s="1"/>
  <c r="AZ59" i="1" s="1"/>
  <c r="O59" i="1"/>
  <c r="D59" i="1"/>
  <c r="D61" i="1"/>
  <c r="D55" i="1"/>
  <c r="D53" i="1"/>
  <c r="D52" i="1"/>
  <c r="D45" i="1"/>
  <c r="D49" i="1"/>
  <c r="D50" i="1"/>
  <c r="D58" i="1"/>
  <c r="D46" i="1"/>
  <c r="D47" i="1"/>
  <c r="D51" i="1"/>
  <c r="A12" i="1" l="1"/>
  <c r="AA108" i="1"/>
  <c r="W109" i="1"/>
  <c r="X109" i="1"/>
  <c r="Y109" i="1"/>
  <c r="Z109" i="1"/>
  <c r="AA109" i="1"/>
  <c r="Z108" i="1"/>
  <c r="W108" i="1"/>
  <c r="X108" i="1"/>
  <c r="AA107" i="1"/>
  <c r="Z107" i="1"/>
  <c r="Y107" i="1"/>
  <c r="X107" i="1"/>
  <c r="Z106" i="1"/>
  <c r="X106" i="1"/>
  <c r="Z105" i="1"/>
  <c r="X105" i="1"/>
  <c r="Z104" i="1"/>
  <c r="X104" i="1"/>
  <c r="Z103" i="1"/>
  <c r="X103" i="1"/>
  <c r="Z102" i="1"/>
  <c r="X102" i="1"/>
  <c r="Z101" i="1"/>
  <c r="X101" i="1"/>
  <c r="Z100" i="1"/>
  <c r="X100" i="1"/>
  <c r="Z99" i="1"/>
  <c r="X99" i="1"/>
  <c r="Z98" i="1"/>
  <c r="X98" i="1"/>
  <c r="Z97" i="1"/>
  <c r="X97" i="1"/>
  <c r="Z96" i="1"/>
  <c r="X96" i="1"/>
  <c r="Z95" i="1"/>
  <c r="X95" i="1"/>
  <c r="Z94" i="1"/>
  <c r="X94" i="1"/>
  <c r="Z93" i="1"/>
  <c r="X93" i="1"/>
  <c r="Z92" i="1"/>
  <c r="X92" i="1"/>
  <c r="Z91" i="1"/>
  <c r="X91" i="1"/>
  <c r="Z90" i="1"/>
  <c r="X90" i="1"/>
  <c r="Z89" i="1"/>
  <c r="X89" i="1"/>
  <c r="Z88" i="1"/>
  <c r="X88" i="1"/>
  <c r="Z87" i="1"/>
  <c r="X87" i="1"/>
  <c r="Z86" i="1"/>
  <c r="X86" i="1"/>
  <c r="Z85" i="1"/>
  <c r="X85" i="1"/>
  <c r="Z84" i="1"/>
  <c r="X84" i="1"/>
  <c r="Z83" i="1"/>
  <c r="X83" i="1"/>
  <c r="Z82" i="1"/>
  <c r="X82" i="1"/>
  <c r="Z81" i="1"/>
  <c r="X81" i="1"/>
  <c r="Z80" i="1"/>
  <c r="X80" i="1"/>
  <c r="Z79" i="1"/>
  <c r="X79" i="1"/>
  <c r="Z78" i="1"/>
  <c r="X78" i="1"/>
  <c r="Z77" i="1"/>
  <c r="X77" i="1"/>
  <c r="Z76" i="1"/>
  <c r="X76" i="1"/>
  <c r="Z75" i="1"/>
  <c r="X75" i="1"/>
  <c r="Z74" i="1"/>
  <c r="X74" i="1"/>
  <c r="Z73" i="1"/>
  <c r="X73" i="1"/>
  <c r="Z72" i="1"/>
  <c r="X72" i="1"/>
  <c r="Z71" i="1"/>
  <c r="X71" i="1"/>
  <c r="Z70" i="1"/>
  <c r="X70" i="1"/>
  <c r="Z69" i="1"/>
  <c r="X69" i="1"/>
  <c r="Z68" i="1"/>
  <c r="X68" i="1"/>
  <c r="Z67" i="1"/>
  <c r="X67" i="1"/>
  <c r="Z66" i="1"/>
  <c r="X66" i="1"/>
  <c r="Z65" i="1"/>
  <c r="X65" i="1"/>
  <c r="Z64" i="1"/>
  <c r="X64" i="1"/>
  <c r="Z63" i="1"/>
  <c r="X63" i="1"/>
  <c r="Z62" i="1"/>
  <c r="X62" i="1"/>
  <c r="Z61" i="1"/>
  <c r="X61" i="1"/>
  <c r="Z60" i="1"/>
  <c r="X60" i="1"/>
  <c r="Z59" i="1"/>
  <c r="X59" i="1"/>
  <c r="Z58" i="1"/>
  <c r="X58" i="1"/>
  <c r="Z57" i="1"/>
  <c r="X57" i="1"/>
  <c r="Z56" i="1"/>
  <c r="X56" i="1"/>
  <c r="Z55" i="1"/>
  <c r="X55" i="1"/>
  <c r="Z54" i="1"/>
  <c r="X54" i="1"/>
  <c r="Z53" i="1"/>
  <c r="X53" i="1"/>
  <c r="Z52" i="1"/>
  <c r="X52" i="1"/>
  <c r="Z51" i="1"/>
  <c r="X51" i="1"/>
  <c r="Z50" i="1"/>
  <c r="X50" i="1"/>
  <c r="Z49" i="1"/>
  <c r="X49" i="1"/>
  <c r="Z48" i="1"/>
  <c r="X48" i="1"/>
  <c r="Z47" i="1"/>
  <c r="X47" i="1"/>
  <c r="Z46" i="1"/>
  <c r="X46" i="1"/>
  <c r="Z45" i="1"/>
  <c r="X45" i="1"/>
  <c r="Z44" i="1"/>
  <c r="X44" i="1"/>
  <c r="Z43" i="1"/>
  <c r="X43" i="1"/>
  <c r="Z42" i="1"/>
  <c r="X42" i="1"/>
  <c r="Z41" i="1"/>
  <c r="X41" i="1"/>
  <c r="Z40" i="1"/>
  <c r="X40" i="1"/>
  <c r="Z39" i="1"/>
  <c r="X39" i="1"/>
  <c r="Z38" i="1"/>
  <c r="X38" i="1"/>
  <c r="Z37" i="1"/>
  <c r="X37" i="1"/>
  <c r="Z36" i="1"/>
  <c r="X36" i="1"/>
  <c r="Z35" i="1"/>
  <c r="X35" i="1"/>
  <c r="Z34" i="1"/>
  <c r="X34" i="1"/>
  <c r="Z33" i="1"/>
  <c r="X33" i="1"/>
  <c r="Z32" i="1"/>
  <c r="X32" i="1"/>
  <c r="Z31" i="1"/>
  <c r="X31" i="1"/>
  <c r="Z30" i="1"/>
  <c r="X30" i="1"/>
  <c r="Z29" i="1"/>
  <c r="X29" i="1"/>
  <c r="Z28" i="1"/>
  <c r="X28" i="1"/>
  <c r="Z27" i="1"/>
  <c r="X27" i="1"/>
  <c r="Z26" i="1"/>
  <c r="X26" i="1"/>
  <c r="Z25" i="1"/>
  <c r="X25" i="1"/>
  <c r="Z24" i="1"/>
  <c r="X24" i="1"/>
  <c r="Z23" i="1"/>
  <c r="X23" i="1"/>
  <c r="Z22" i="1"/>
  <c r="X22" i="1"/>
  <c r="Z21" i="1"/>
  <c r="X21" i="1"/>
  <c r="Z20" i="1"/>
  <c r="X20" i="1"/>
  <c r="Z19" i="1"/>
  <c r="X19" i="1"/>
  <c r="Z18" i="1"/>
  <c r="X18" i="1"/>
  <c r="Z17" i="1"/>
  <c r="X17" i="1"/>
  <c r="Z16" i="1"/>
  <c r="X16" i="1"/>
  <c r="Z15" i="1"/>
  <c r="X15" i="1"/>
  <c r="Z14" i="1"/>
  <c r="X14" i="1"/>
  <c r="Z13" i="1"/>
  <c r="X13" i="1"/>
  <c r="Z12" i="1"/>
  <c r="X12" i="1"/>
  <c r="Z11" i="1"/>
  <c r="X11" i="1"/>
  <c r="Z10" i="1"/>
  <c r="X10" i="1"/>
  <c r="Z9" i="1"/>
  <c r="X9" i="1"/>
  <c r="W106" i="1"/>
  <c r="Y106" i="1"/>
  <c r="AA106" i="1"/>
  <c r="BC65" i="1"/>
  <c r="W105" i="1"/>
  <c r="Y105" i="1"/>
  <c r="AA105" i="1"/>
  <c r="W104" i="1"/>
  <c r="Y104" i="1"/>
  <c r="AA104" i="1"/>
  <c r="W103" i="1"/>
  <c r="Y103" i="1"/>
  <c r="AA103" i="1"/>
  <c r="W102" i="1"/>
  <c r="Y102" i="1"/>
  <c r="AA102" i="1"/>
  <c r="W101" i="1"/>
  <c r="Y101" i="1"/>
  <c r="AA101" i="1"/>
  <c r="W100" i="1"/>
  <c r="Y100" i="1"/>
  <c r="AA100" i="1"/>
  <c r="W99" i="1"/>
  <c r="Y99" i="1"/>
  <c r="AA99" i="1"/>
  <c r="W98" i="1"/>
  <c r="Y98" i="1"/>
  <c r="AA98" i="1"/>
  <c r="W97" i="1"/>
  <c r="Y97" i="1"/>
  <c r="AA97" i="1"/>
  <c r="W96" i="1"/>
  <c r="Y96" i="1"/>
  <c r="AA96" i="1"/>
  <c r="W95" i="1"/>
  <c r="Y95" i="1"/>
  <c r="AA95" i="1"/>
  <c r="W94" i="1"/>
  <c r="Y94" i="1"/>
  <c r="AA94" i="1"/>
  <c r="W93" i="1"/>
  <c r="Y93" i="1"/>
  <c r="AA93" i="1"/>
  <c r="W92" i="1"/>
  <c r="Y92" i="1"/>
  <c r="AA92" i="1"/>
  <c r="W91" i="1"/>
  <c r="Y91" i="1"/>
  <c r="AA91" i="1"/>
  <c r="W90" i="1"/>
  <c r="Y90" i="1"/>
  <c r="AA90" i="1"/>
  <c r="W89" i="1"/>
  <c r="Y89" i="1"/>
  <c r="AA89" i="1"/>
  <c r="W88" i="1"/>
  <c r="Y88" i="1"/>
  <c r="AA88" i="1"/>
  <c r="W87" i="1"/>
  <c r="Y87" i="1"/>
  <c r="AA87" i="1"/>
  <c r="W86" i="1"/>
  <c r="Y86" i="1"/>
  <c r="AA86" i="1"/>
  <c r="W85" i="1"/>
  <c r="Y85" i="1"/>
  <c r="AA85" i="1"/>
  <c r="BA59" i="1"/>
  <c r="BA60" i="1"/>
  <c r="BA63" i="1"/>
  <c r="BA64" i="1"/>
  <c r="BA66" i="1"/>
  <c r="BA65" i="1"/>
  <c r="BA67" i="1"/>
  <c r="BA68" i="1"/>
  <c r="BA48" i="1"/>
  <c r="BA54" i="1"/>
  <c r="BA69" i="1"/>
  <c r="BA70" i="1"/>
  <c r="BA71" i="1"/>
  <c r="BA72" i="1"/>
  <c r="BA74" i="1"/>
  <c r="BA73" i="1"/>
  <c r="BA76" i="1"/>
  <c r="BA75" i="1"/>
  <c r="BA80" i="1"/>
  <c r="BA79" i="1"/>
  <c r="BA78" i="1"/>
  <c r="BA77" i="1"/>
  <c r="BA83" i="1"/>
  <c r="BA82" i="1"/>
  <c r="BA81" i="1"/>
  <c r="BA84" i="1"/>
  <c r="BD59" i="1"/>
  <c r="BD60" i="1"/>
  <c r="BD63" i="1"/>
  <c r="BD64" i="1"/>
  <c r="BD66" i="1"/>
  <c r="BD65" i="1"/>
  <c r="BD67" i="1"/>
  <c r="BD68" i="1"/>
  <c r="BD48" i="1"/>
  <c r="BD54" i="1"/>
  <c r="BD69" i="1"/>
  <c r="BD70" i="1"/>
  <c r="BD71" i="1"/>
  <c r="BD72" i="1"/>
  <c r="BD74" i="1"/>
  <c r="BD73" i="1"/>
  <c r="BD76" i="1"/>
  <c r="BD75" i="1"/>
  <c r="BD80" i="1"/>
  <c r="BD79" i="1"/>
  <c r="BD78" i="1"/>
  <c r="BD77" i="1"/>
  <c r="BD83" i="1"/>
  <c r="BD82" i="1"/>
  <c r="BD81" i="1"/>
  <c r="BD84" i="1"/>
  <c r="W84" i="1"/>
  <c r="Y84" i="1"/>
  <c r="AA83" i="1"/>
  <c r="AA82" i="1"/>
  <c r="W83" i="1"/>
  <c r="W82" i="1"/>
  <c r="W81" i="1"/>
  <c r="AA81" i="1"/>
  <c r="Y81" i="1"/>
  <c r="W80" i="1"/>
  <c r="Y80" i="1"/>
  <c r="AA80" i="1"/>
  <c r="W79" i="1"/>
  <c r="Y79" i="1"/>
  <c r="AA79" i="1"/>
  <c r="W78" i="1"/>
  <c r="Y78" i="1"/>
  <c r="AA78" i="1"/>
  <c r="W77" i="1"/>
  <c r="Y77" i="1"/>
  <c r="AA77" i="1"/>
  <c r="W76" i="1"/>
  <c r="Y76" i="1"/>
  <c r="AA76" i="1"/>
  <c r="W75" i="1"/>
  <c r="Y75" i="1"/>
  <c r="AA75" i="1"/>
  <c r="W74" i="1"/>
  <c r="Y74" i="1"/>
  <c r="AA74" i="1"/>
  <c r="W73" i="1"/>
  <c r="Y73" i="1"/>
  <c r="AA73" i="1"/>
  <c r="W72" i="1"/>
  <c r="Y72" i="1"/>
  <c r="AA72" i="1"/>
  <c r="W71" i="1"/>
  <c r="Y71" i="1"/>
  <c r="AA71" i="1"/>
  <c r="W70" i="1"/>
  <c r="Y70" i="1"/>
  <c r="AA70" i="1"/>
  <c r="W69" i="1"/>
  <c r="Y69" i="1"/>
  <c r="AA69" i="1"/>
  <c r="W54" i="1"/>
  <c r="Y54" i="1"/>
  <c r="AA54" i="1"/>
  <c r="W48" i="1"/>
  <c r="Y48" i="1"/>
  <c r="AA48" i="1"/>
  <c r="AA60" i="1"/>
  <c r="W59" i="1"/>
  <c r="Y59" i="1"/>
  <c r="W60" i="1"/>
  <c r="Y60" i="1"/>
  <c r="W63" i="1"/>
  <c r="Y63" i="1"/>
  <c r="W64" i="1"/>
  <c r="Y64" i="1"/>
  <c r="W66" i="1"/>
  <c r="Y66" i="1"/>
  <c r="W65" i="1"/>
  <c r="Y65" i="1"/>
  <c r="W67" i="1"/>
  <c r="Y67" i="1"/>
  <c r="W68" i="1"/>
  <c r="Y68" i="1"/>
  <c r="AA68" i="1"/>
  <c r="AA67" i="1"/>
  <c r="AA65" i="1"/>
  <c r="AA66" i="1"/>
  <c r="AA64" i="1"/>
  <c r="AA63" i="1"/>
  <c r="AE9" i="1"/>
  <c r="AF9" i="1" s="1"/>
  <c r="AE10" i="1"/>
  <c r="AF10" i="1" s="1"/>
  <c r="AZ10" i="1" s="1"/>
  <c r="AE11" i="1"/>
  <c r="AF11" i="1" s="1"/>
  <c r="AZ11" i="1" s="1"/>
  <c r="AE12" i="1"/>
  <c r="AF12" i="1" s="1"/>
  <c r="AZ12" i="1" s="1"/>
  <c r="AE13" i="1"/>
  <c r="AF13" i="1" s="1"/>
  <c r="AZ13" i="1" s="1"/>
  <c r="AE14" i="1"/>
  <c r="AF14" i="1" s="1"/>
  <c r="AZ14" i="1" s="1"/>
  <c r="AE15" i="1"/>
  <c r="AF15" i="1" s="1"/>
  <c r="AZ15" i="1" s="1"/>
  <c r="AE16" i="1"/>
  <c r="AF16" i="1" s="1"/>
  <c r="AZ16" i="1" s="1"/>
  <c r="AE17" i="1"/>
  <c r="AF17" i="1" s="1"/>
  <c r="AZ17" i="1" s="1"/>
  <c r="AE18" i="1"/>
  <c r="AF18" i="1" s="1"/>
  <c r="AZ18" i="1" s="1"/>
  <c r="AE19" i="1"/>
  <c r="AF19" i="1" s="1"/>
  <c r="AZ19" i="1" s="1"/>
  <c r="AE20" i="1"/>
  <c r="AF20" i="1" s="1"/>
  <c r="AZ20" i="1" s="1"/>
  <c r="AE21" i="1"/>
  <c r="AF21" i="1" s="1"/>
  <c r="AZ21" i="1" s="1"/>
  <c r="AE22" i="1"/>
  <c r="AF22" i="1" s="1"/>
  <c r="AZ22" i="1" s="1"/>
  <c r="AE23" i="1"/>
  <c r="AF23" i="1" s="1"/>
  <c r="AZ23" i="1" s="1"/>
  <c r="AE24" i="1"/>
  <c r="AF24" i="1" s="1"/>
  <c r="AZ24" i="1" s="1"/>
  <c r="AE25" i="1"/>
  <c r="AF25" i="1" s="1"/>
  <c r="AZ25" i="1" s="1"/>
  <c r="AE26" i="1"/>
  <c r="AF26" i="1" s="1"/>
  <c r="AZ26" i="1" s="1"/>
  <c r="AE27" i="1"/>
  <c r="AF27" i="1" s="1"/>
  <c r="AZ27" i="1" s="1"/>
  <c r="AE28" i="1"/>
  <c r="AF28" i="1" s="1"/>
  <c r="AZ28" i="1" s="1"/>
  <c r="AE29" i="1"/>
  <c r="AF29" i="1" s="1"/>
  <c r="AZ29" i="1" s="1"/>
  <c r="AE30" i="1"/>
  <c r="AF30" i="1" s="1"/>
  <c r="AZ30" i="1" s="1"/>
  <c r="AE31" i="1"/>
  <c r="AF31" i="1" s="1"/>
  <c r="AZ31" i="1" s="1"/>
  <c r="AE32" i="1"/>
  <c r="AF32" i="1" s="1"/>
  <c r="AZ32" i="1" s="1"/>
  <c r="AE33" i="1"/>
  <c r="AF33" i="1" s="1"/>
  <c r="AZ33" i="1" s="1"/>
  <c r="AE34" i="1"/>
  <c r="AF34" i="1" s="1"/>
  <c r="AZ34" i="1" s="1"/>
  <c r="AE35" i="1"/>
  <c r="AF35" i="1" s="1"/>
  <c r="AZ35" i="1" s="1"/>
  <c r="AE36" i="1"/>
  <c r="AF36" i="1" s="1"/>
  <c r="AZ36" i="1" s="1"/>
  <c r="AE37" i="1"/>
  <c r="AF37" i="1" s="1"/>
  <c r="AZ37" i="1" s="1"/>
  <c r="AE38" i="1"/>
  <c r="AF38" i="1" s="1"/>
  <c r="AZ38" i="1" s="1"/>
  <c r="AE39" i="1"/>
  <c r="AF39" i="1" s="1"/>
  <c r="AZ39" i="1" s="1"/>
  <c r="AE40" i="1"/>
  <c r="AF40" i="1" s="1"/>
  <c r="AZ40" i="1" s="1"/>
  <c r="AE41" i="1"/>
  <c r="AF41" i="1" s="1"/>
  <c r="AZ41" i="1" s="1"/>
  <c r="AE42" i="1"/>
  <c r="AF42" i="1" s="1"/>
  <c r="AZ42" i="1" s="1"/>
  <c r="AE43" i="1"/>
  <c r="AF43" i="1" s="1"/>
  <c r="AZ43" i="1" s="1"/>
  <c r="AE44" i="1"/>
  <c r="AF44" i="1" s="1"/>
  <c r="AZ44" i="1" s="1"/>
  <c r="AE45" i="1"/>
  <c r="AF45" i="1" s="1"/>
  <c r="AZ45" i="1" s="1"/>
  <c r="AE49" i="1"/>
  <c r="AF49" i="1" s="1"/>
  <c r="AZ49" i="1" s="1"/>
  <c r="AE50" i="1"/>
  <c r="AF50" i="1" s="1"/>
  <c r="AZ50" i="1" s="1"/>
  <c r="AE58" i="1"/>
  <c r="AF58" i="1" s="1"/>
  <c r="AZ58" i="1" s="1"/>
  <c r="AE46" i="1"/>
  <c r="AF46" i="1" s="1"/>
  <c r="AZ46" i="1" s="1"/>
  <c r="AE47" i="1"/>
  <c r="AF47" i="1" s="1"/>
  <c r="AZ47" i="1" s="1"/>
  <c r="AE51" i="1"/>
  <c r="AF51" i="1" s="1"/>
  <c r="AZ51" i="1" s="1"/>
  <c r="AE52" i="1"/>
  <c r="AF52" i="1" s="1"/>
  <c r="AZ52" i="1" s="1"/>
  <c r="AE53" i="1"/>
  <c r="AF53" i="1" s="1"/>
  <c r="AZ53" i="1" s="1"/>
  <c r="AE55" i="1"/>
  <c r="AF55" i="1" s="1"/>
  <c r="AZ55" i="1" s="1"/>
  <c r="AE61" i="1"/>
  <c r="AF61" i="1" s="1"/>
  <c r="AZ61" i="1" s="1"/>
  <c r="AE57" i="1"/>
  <c r="AF57" i="1" s="1"/>
  <c r="AZ57" i="1" s="1"/>
  <c r="AE62" i="1"/>
  <c r="AF62" i="1" s="1"/>
  <c r="AZ62" i="1" s="1"/>
  <c r="AE56" i="1"/>
  <c r="AF56" i="1" s="1"/>
  <c r="AZ56" i="1" s="1"/>
  <c r="O57" i="1"/>
  <c r="O62" i="1"/>
  <c r="O56" i="1"/>
  <c r="D56" i="1"/>
  <c r="AH56" i="1"/>
  <c r="AK56" i="1" s="1"/>
  <c r="AM56" i="1"/>
  <c r="AO56" i="1" s="1"/>
  <c r="BB56" i="1" s="1"/>
  <c r="AQ56" i="1"/>
  <c r="AS56" i="1" s="1"/>
  <c r="BC56" i="1" s="1"/>
  <c r="AU56" i="1"/>
  <c r="AW56" i="1" s="1"/>
  <c r="D62" i="1"/>
  <c r="AH62" i="1"/>
  <c r="AK62" i="1" s="1"/>
  <c r="AM62" i="1"/>
  <c r="AO62" i="1" s="1"/>
  <c r="BB62" i="1" s="1"/>
  <c r="AQ62" i="1"/>
  <c r="AS62" i="1" s="1"/>
  <c r="BC62" i="1" s="1"/>
  <c r="AU62" i="1"/>
  <c r="AW62" i="1" s="1"/>
  <c r="D57" i="1"/>
  <c r="AH57" i="1"/>
  <c r="AK57" i="1" s="1"/>
  <c r="AM57" i="1"/>
  <c r="AO57" i="1" s="1"/>
  <c r="BB57" i="1" s="1"/>
  <c r="AQ57" i="1"/>
  <c r="AS57" i="1" s="1"/>
  <c r="BC57" i="1" s="1"/>
  <c r="AU57" i="1"/>
  <c r="AW57" i="1" s="1"/>
  <c r="AU61" i="1"/>
  <c r="AW61" i="1" s="1"/>
  <c r="AQ61" i="1"/>
  <c r="AS61" i="1" s="1"/>
  <c r="BC61" i="1" s="1"/>
  <c r="AM61" i="1"/>
  <c r="AO61" i="1" s="1"/>
  <c r="BB61" i="1" s="1"/>
  <c r="AH61" i="1"/>
  <c r="AK61" i="1" s="1"/>
  <c r="O61" i="1"/>
  <c r="O55" i="1"/>
  <c r="AH55" i="1"/>
  <c r="AK55" i="1" s="1"/>
  <c r="AM55" i="1"/>
  <c r="AO55" i="1" s="1"/>
  <c r="BB55" i="1" s="1"/>
  <c r="AQ55" i="1"/>
  <c r="AS55" i="1" s="1"/>
  <c r="BC55" i="1" s="1"/>
  <c r="AU55" i="1"/>
  <c r="AW55" i="1" s="1"/>
  <c r="AB9" i="5"/>
  <c r="AC9" i="5" s="1"/>
  <c r="AI9" i="5"/>
  <c r="AJ9" i="5" s="1"/>
  <c r="AT9" i="5" s="1"/>
  <c r="AY9" i="5"/>
  <c r="AO9" i="5"/>
  <c r="AP9" i="5" s="1"/>
  <c r="AV9" i="5" s="1"/>
  <c r="AL9" i="5"/>
  <c r="AM9" i="5" s="1"/>
  <c r="AU9" i="5" s="1"/>
  <c r="AE9" i="5"/>
  <c r="AG9" i="5" s="1"/>
  <c r="AS9" i="5" s="1"/>
  <c r="Y9" i="5"/>
  <c r="X9" i="5" s="1"/>
  <c r="S9" i="5"/>
  <c r="N9" i="5"/>
  <c r="L9" i="5"/>
  <c r="D9" i="5"/>
  <c r="F9" i="5" s="1"/>
  <c r="A5" i="5"/>
  <c r="A4" i="5"/>
  <c r="A3" i="5"/>
  <c r="A2" i="5"/>
  <c r="O53" i="1"/>
  <c r="AH53" i="1"/>
  <c r="AK53" i="1" s="1"/>
  <c r="AM53" i="1"/>
  <c r="AO53" i="1" s="1"/>
  <c r="BB53" i="1" s="1"/>
  <c r="AQ53" i="1"/>
  <c r="AS53" i="1" s="1"/>
  <c r="BC53" i="1" s="1"/>
  <c r="AU53" i="1"/>
  <c r="AW53" i="1" s="1"/>
  <c r="AH52" i="1"/>
  <c r="AK52" i="1" s="1"/>
  <c r="AM52" i="1"/>
  <c r="AO52" i="1" s="1"/>
  <c r="BB52" i="1" s="1"/>
  <c r="AQ52" i="1"/>
  <c r="AS52" i="1" s="1"/>
  <c r="BC52" i="1" s="1"/>
  <c r="AU52" i="1"/>
  <c r="AW52" i="1" s="1"/>
  <c r="AH51" i="1"/>
  <c r="AK51" i="1" s="1"/>
  <c r="AM51" i="1"/>
  <c r="AO51" i="1" s="1"/>
  <c r="BB51" i="1" s="1"/>
  <c r="AQ51" i="1"/>
  <c r="AS51" i="1" s="1"/>
  <c r="BC51" i="1" s="1"/>
  <c r="AU51" i="1"/>
  <c r="AW51" i="1" s="1"/>
  <c r="AH47" i="1"/>
  <c r="AK47" i="1" s="1"/>
  <c r="AM47" i="1"/>
  <c r="AO47" i="1" s="1"/>
  <c r="BB47" i="1" s="1"/>
  <c r="AQ47" i="1"/>
  <c r="AS47" i="1" s="1"/>
  <c r="BC47" i="1" s="1"/>
  <c r="AU47" i="1"/>
  <c r="AW47" i="1" s="1"/>
  <c r="AH46" i="1"/>
  <c r="AK46" i="1" s="1"/>
  <c r="AM46" i="1"/>
  <c r="AO46" i="1" s="1"/>
  <c r="BB46" i="1" s="1"/>
  <c r="AQ46" i="1"/>
  <c r="AS46" i="1" s="1"/>
  <c r="BC46" i="1" s="1"/>
  <c r="AU46" i="1"/>
  <c r="AW46" i="1" s="1"/>
  <c r="AH58" i="1"/>
  <c r="AK58" i="1" s="1"/>
  <c r="AM58" i="1"/>
  <c r="AO58" i="1" s="1"/>
  <c r="BB58" i="1" s="1"/>
  <c r="AQ58" i="1"/>
  <c r="AS58" i="1" s="1"/>
  <c r="BC58" i="1" s="1"/>
  <c r="AU58" i="1"/>
  <c r="AW58" i="1" s="1"/>
  <c r="D9" i="1"/>
  <c r="G9" i="1" s="1"/>
  <c r="D10" i="1"/>
  <c r="G10" i="1" s="1"/>
  <c r="D11" i="1"/>
  <c r="G11" i="1" s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H9" i="1"/>
  <c r="AK9" i="1" s="1"/>
  <c r="AH10" i="1"/>
  <c r="AK10" i="1" s="1"/>
  <c r="AH11" i="1"/>
  <c r="AK11" i="1" s="1"/>
  <c r="AH12" i="1"/>
  <c r="AK12" i="1" s="1"/>
  <c r="AH13" i="1"/>
  <c r="AK13" i="1" s="1"/>
  <c r="AH14" i="1"/>
  <c r="AK14" i="1" s="1"/>
  <c r="AH15" i="1"/>
  <c r="AK15" i="1" s="1"/>
  <c r="AH16" i="1"/>
  <c r="AK16" i="1" s="1"/>
  <c r="AH17" i="1"/>
  <c r="AK17" i="1" s="1"/>
  <c r="AH18" i="1"/>
  <c r="AK18" i="1" s="1"/>
  <c r="AH19" i="1"/>
  <c r="AK19" i="1" s="1"/>
  <c r="AH20" i="1"/>
  <c r="AK20" i="1" s="1"/>
  <c r="AH21" i="1"/>
  <c r="AK21" i="1" s="1"/>
  <c r="AH22" i="1"/>
  <c r="AK22" i="1" s="1"/>
  <c r="AH23" i="1"/>
  <c r="AK23" i="1" s="1"/>
  <c r="AH24" i="1"/>
  <c r="AK24" i="1" s="1"/>
  <c r="AH25" i="1"/>
  <c r="AK25" i="1" s="1"/>
  <c r="AH26" i="1"/>
  <c r="AK26" i="1" s="1"/>
  <c r="AH27" i="1"/>
  <c r="AK27" i="1" s="1"/>
  <c r="AH28" i="1"/>
  <c r="AK28" i="1" s="1"/>
  <c r="AH29" i="1"/>
  <c r="AK29" i="1" s="1"/>
  <c r="AH30" i="1"/>
  <c r="AK30" i="1" s="1"/>
  <c r="AH31" i="1"/>
  <c r="AK31" i="1" s="1"/>
  <c r="AH32" i="1"/>
  <c r="AK32" i="1" s="1"/>
  <c r="AH33" i="1"/>
  <c r="AK33" i="1" s="1"/>
  <c r="AH34" i="1"/>
  <c r="AK34" i="1" s="1"/>
  <c r="AH35" i="1"/>
  <c r="AK35" i="1" s="1"/>
  <c r="AH36" i="1"/>
  <c r="AK36" i="1" s="1"/>
  <c r="AH37" i="1"/>
  <c r="AK37" i="1" s="1"/>
  <c r="AH38" i="1"/>
  <c r="AK38" i="1" s="1"/>
  <c r="AH39" i="1"/>
  <c r="AK39" i="1" s="1"/>
  <c r="AH40" i="1"/>
  <c r="AK40" i="1" s="1"/>
  <c r="AH41" i="1"/>
  <c r="AK41" i="1" s="1"/>
  <c r="AH42" i="1"/>
  <c r="AK42" i="1" s="1"/>
  <c r="AH43" i="1"/>
  <c r="AK43" i="1" s="1"/>
  <c r="AH44" i="1"/>
  <c r="AK44" i="1" s="1"/>
  <c r="AH45" i="1"/>
  <c r="AK45" i="1" s="1"/>
  <c r="AH49" i="1"/>
  <c r="AK49" i="1" s="1"/>
  <c r="AH50" i="1"/>
  <c r="AK50" i="1" s="1"/>
  <c r="AM9" i="1"/>
  <c r="AO9" i="1" s="1"/>
  <c r="BB9" i="1" s="1"/>
  <c r="AM10" i="1"/>
  <c r="AO10" i="1" s="1"/>
  <c r="BB10" i="1" s="1"/>
  <c r="AM11" i="1"/>
  <c r="AO11" i="1" s="1"/>
  <c r="BB11" i="1" s="1"/>
  <c r="AM12" i="1"/>
  <c r="AO12" i="1" s="1"/>
  <c r="BB12" i="1" s="1"/>
  <c r="AM13" i="1"/>
  <c r="AO13" i="1" s="1"/>
  <c r="BB13" i="1" s="1"/>
  <c r="AM14" i="1"/>
  <c r="AO14" i="1" s="1"/>
  <c r="BB14" i="1" s="1"/>
  <c r="AM15" i="1"/>
  <c r="AO15" i="1" s="1"/>
  <c r="BB15" i="1" s="1"/>
  <c r="AM16" i="1"/>
  <c r="AO16" i="1" s="1"/>
  <c r="BB16" i="1" s="1"/>
  <c r="AM17" i="1"/>
  <c r="AO17" i="1" s="1"/>
  <c r="BB17" i="1" s="1"/>
  <c r="AM18" i="1"/>
  <c r="AO18" i="1" s="1"/>
  <c r="BB18" i="1" s="1"/>
  <c r="AM19" i="1"/>
  <c r="AO19" i="1" s="1"/>
  <c r="BB19" i="1" s="1"/>
  <c r="AM20" i="1"/>
  <c r="AO20" i="1" s="1"/>
  <c r="BB20" i="1" s="1"/>
  <c r="AM21" i="1"/>
  <c r="AO21" i="1" s="1"/>
  <c r="BB21" i="1" s="1"/>
  <c r="AM22" i="1"/>
  <c r="AO22" i="1" s="1"/>
  <c r="BB22" i="1" s="1"/>
  <c r="AM23" i="1"/>
  <c r="AO23" i="1" s="1"/>
  <c r="BB23" i="1" s="1"/>
  <c r="AM24" i="1"/>
  <c r="AO24" i="1" s="1"/>
  <c r="BB24" i="1" s="1"/>
  <c r="AM25" i="1"/>
  <c r="AO25" i="1" s="1"/>
  <c r="BB25" i="1" s="1"/>
  <c r="AM26" i="1"/>
  <c r="AO26" i="1" s="1"/>
  <c r="BB26" i="1" s="1"/>
  <c r="AM27" i="1"/>
  <c r="AO27" i="1" s="1"/>
  <c r="BB27" i="1" s="1"/>
  <c r="AM28" i="1"/>
  <c r="AO28" i="1" s="1"/>
  <c r="BB28" i="1" s="1"/>
  <c r="AM29" i="1"/>
  <c r="AO29" i="1" s="1"/>
  <c r="BB29" i="1" s="1"/>
  <c r="AM30" i="1"/>
  <c r="AO30" i="1" s="1"/>
  <c r="BB30" i="1" s="1"/>
  <c r="AM31" i="1"/>
  <c r="AO31" i="1" s="1"/>
  <c r="BB31" i="1" s="1"/>
  <c r="AM32" i="1"/>
  <c r="AO32" i="1" s="1"/>
  <c r="BB32" i="1" s="1"/>
  <c r="AM33" i="1"/>
  <c r="AO33" i="1" s="1"/>
  <c r="BB33" i="1" s="1"/>
  <c r="AM34" i="1"/>
  <c r="AO34" i="1" s="1"/>
  <c r="BB34" i="1" s="1"/>
  <c r="AM35" i="1"/>
  <c r="AO35" i="1" s="1"/>
  <c r="BB35" i="1" s="1"/>
  <c r="AM36" i="1"/>
  <c r="AO36" i="1" s="1"/>
  <c r="BB36" i="1" s="1"/>
  <c r="AM37" i="1"/>
  <c r="AO37" i="1" s="1"/>
  <c r="BB37" i="1" s="1"/>
  <c r="AM38" i="1"/>
  <c r="AO38" i="1" s="1"/>
  <c r="BB38" i="1" s="1"/>
  <c r="AM39" i="1"/>
  <c r="AO39" i="1" s="1"/>
  <c r="BB39" i="1" s="1"/>
  <c r="AM40" i="1"/>
  <c r="AO40" i="1" s="1"/>
  <c r="BB40" i="1" s="1"/>
  <c r="AM41" i="1"/>
  <c r="AO41" i="1" s="1"/>
  <c r="BB41" i="1" s="1"/>
  <c r="AM42" i="1"/>
  <c r="AO42" i="1" s="1"/>
  <c r="BB42" i="1" s="1"/>
  <c r="AM43" i="1"/>
  <c r="AO43" i="1" s="1"/>
  <c r="BB43" i="1" s="1"/>
  <c r="AM44" i="1"/>
  <c r="AO44" i="1" s="1"/>
  <c r="BB44" i="1" s="1"/>
  <c r="AM45" i="1"/>
  <c r="AO45" i="1" s="1"/>
  <c r="BB45" i="1" s="1"/>
  <c r="AM49" i="1"/>
  <c r="AO49" i="1" s="1"/>
  <c r="BB49" i="1" s="1"/>
  <c r="AM50" i="1"/>
  <c r="AO50" i="1" s="1"/>
  <c r="BB50" i="1" s="1"/>
  <c r="AQ9" i="1"/>
  <c r="AS9" i="1" s="1"/>
  <c r="BC9" i="1" s="1"/>
  <c r="AQ10" i="1"/>
  <c r="AS10" i="1" s="1"/>
  <c r="BC10" i="1" s="1"/>
  <c r="AQ11" i="1"/>
  <c r="AS11" i="1" s="1"/>
  <c r="BC11" i="1" s="1"/>
  <c r="AQ12" i="1"/>
  <c r="AS12" i="1" s="1"/>
  <c r="BC12" i="1" s="1"/>
  <c r="AQ13" i="1"/>
  <c r="AS13" i="1" s="1"/>
  <c r="BC13" i="1" s="1"/>
  <c r="AQ14" i="1"/>
  <c r="AS14" i="1" s="1"/>
  <c r="BC14" i="1" s="1"/>
  <c r="AQ15" i="1"/>
  <c r="AS15" i="1" s="1"/>
  <c r="BC15" i="1" s="1"/>
  <c r="AQ16" i="1"/>
  <c r="AS16" i="1" s="1"/>
  <c r="BC16" i="1" s="1"/>
  <c r="AQ17" i="1"/>
  <c r="AS17" i="1" s="1"/>
  <c r="BC17" i="1" s="1"/>
  <c r="AQ18" i="1"/>
  <c r="AS18" i="1" s="1"/>
  <c r="BC18" i="1" s="1"/>
  <c r="AQ19" i="1"/>
  <c r="AS19" i="1" s="1"/>
  <c r="BC19" i="1" s="1"/>
  <c r="AQ20" i="1"/>
  <c r="AS20" i="1" s="1"/>
  <c r="BC20" i="1" s="1"/>
  <c r="AQ21" i="1"/>
  <c r="AS21" i="1" s="1"/>
  <c r="BC21" i="1" s="1"/>
  <c r="AQ22" i="1"/>
  <c r="AS22" i="1" s="1"/>
  <c r="BC22" i="1" s="1"/>
  <c r="AQ23" i="1"/>
  <c r="AS23" i="1" s="1"/>
  <c r="BC23" i="1" s="1"/>
  <c r="AQ24" i="1"/>
  <c r="AS24" i="1" s="1"/>
  <c r="BC24" i="1" s="1"/>
  <c r="AQ25" i="1"/>
  <c r="AS25" i="1" s="1"/>
  <c r="BC25" i="1" s="1"/>
  <c r="AQ26" i="1"/>
  <c r="AS26" i="1" s="1"/>
  <c r="BC26" i="1" s="1"/>
  <c r="AQ27" i="1"/>
  <c r="AS27" i="1" s="1"/>
  <c r="BC27" i="1" s="1"/>
  <c r="AQ28" i="1"/>
  <c r="AS28" i="1" s="1"/>
  <c r="BC28" i="1" s="1"/>
  <c r="AQ29" i="1"/>
  <c r="AS29" i="1" s="1"/>
  <c r="BC29" i="1" s="1"/>
  <c r="AQ30" i="1"/>
  <c r="AS30" i="1" s="1"/>
  <c r="BC30" i="1" s="1"/>
  <c r="AQ31" i="1"/>
  <c r="AS31" i="1" s="1"/>
  <c r="BC31" i="1" s="1"/>
  <c r="AQ32" i="1"/>
  <c r="AS32" i="1" s="1"/>
  <c r="BC32" i="1" s="1"/>
  <c r="AQ33" i="1"/>
  <c r="AS33" i="1" s="1"/>
  <c r="BC33" i="1" s="1"/>
  <c r="AQ34" i="1"/>
  <c r="AS34" i="1" s="1"/>
  <c r="BC34" i="1" s="1"/>
  <c r="AQ35" i="1"/>
  <c r="AS35" i="1" s="1"/>
  <c r="BC35" i="1" s="1"/>
  <c r="AQ36" i="1"/>
  <c r="AS36" i="1" s="1"/>
  <c r="BC36" i="1" s="1"/>
  <c r="AQ37" i="1"/>
  <c r="AS37" i="1" s="1"/>
  <c r="BC37" i="1" s="1"/>
  <c r="AQ38" i="1"/>
  <c r="AS38" i="1" s="1"/>
  <c r="BC38" i="1" s="1"/>
  <c r="AQ39" i="1"/>
  <c r="AS39" i="1" s="1"/>
  <c r="BC39" i="1" s="1"/>
  <c r="AQ40" i="1"/>
  <c r="AS40" i="1" s="1"/>
  <c r="BC40" i="1" s="1"/>
  <c r="AQ41" i="1"/>
  <c r="AS41" i="1" s="1"/>
  <c r="BC41" i="1" s="1"/>
  <c r="AQ42" i="1"/>
  <c r="AS42" i="1" s="1"/>
  <c r="BC42" i="1" s="1"/>
  <c r="AQ43" i="1"/>
  <c r="AS43" i="1" s="1"/>
  <c r="BC43" i="1" s="1"/>
  <c r="AQ44" i="1"/>
  <c r="AS44" i="1" s="1"/>
  <c r="BC44" i="1" s="1"/>
  <c r="AQ45" i="1"/>
  <c r="AS45" i="1" s="1"/>
  <c r="BC45" i="1" s="1"/>
  <c r="AQ49" i="1"/>
  <c r="AS49" i="1" s="1"/>
  <c r="BC49" i="1" s="1"/>
  <c r="AQ50" i="1"/>
  <c r="AS50" i="1" s="1"/>
  <c r="BC50" i="1" s="1"/>
  <c r="AU9" i="1"/>
  <c r="AW9" i="1" s="1"/>
  <c r="AU10" i="1"/>
  <c r="AW10" i="1" s="1"/>
  <c r="AU11" i="1"/>
  <c r="AW11" i="1" s="1"/>
  <c r="AU12" i="1"/>
  <c r="AW12" i="1" s="1"/>
  <c r="AU13" i="1"/>
  <c r="AW13" i="1" s="1"/>
  <c r="AU14" i="1"/>
  <c r="AW14" i="1" s="1"/>
  <c r="AU15" i="1"/>
  <c r="AW15" i="1" s="1"/>
  <c r="AU16" i="1"/>
  <c r="AW16" i="1" s="1"/>
  <c r="AU17" i="1"/>
  <c r="AW17" i="1" s="1"/>
  <c r="AU18" i="1"/>
  <c r="AW18" i="1" s="1"/>
  <c r="AU19" i="1"/>
  <c r="AW19" i="1" s="1"/>
  <c r="AU20" i="1"/>
  <c r="AW20" i="1" s="1"/>
  <c r="AU21" i="1"/>
  <c r="AW21" i="1" s="1"/>
  <c r="AU22" i="1"/>
  <c r="AW22" i="1" s="1"/>
  <c r="AU23" i="1"/>
  <c r="AW23" i="1" s="1"/>
  <c r="AU24" i="1"/>
  <c r="AW24" i="1" s="1"/>
  <c r="AU25" i="1"/>
  <c r="AW25" i="1" s="1"/>
  <c r="AU26" i="1"/>
  <c r="AW26" i="1" s="1"/>
  <c r="AU27" i="1"/>
  <c r="AW27" i="1" s="1"/>
  <c r="AU28" i="1"/>
  <c r="AW28" i="1" s="1"/>
  <c r="AU29" i="1"/>
  <c r="AW29" i="1" s="1"/>
  <c r="AU30" i="1"/>
  <c r="AW30" i="1" s="1"/>
  <c r="AU31" i="1"/>
  <c r="AW31" i="1" s="1"/>
  <c r="AU32" i="1"/>
  <c r="AW32" i="1" s="1"/>
  <c r="AU33" i="1"/>
  <c r="AW33" i="1" s="1"/>
  <c r="AU34" i="1"/>
  <c r="AW34" i="1" s="1"/>
  <c r="AU35" i="1"/>
  <c r="AW35" i="1" s="1"/>
  <c r="AU36" i="1"/>
  <c r="AW36" i="1" s="1"/>
  <c r="AU37" i="1"/>
  <c r="AW37" i="1" s="1"/>
  <c r="AU38" i="1"/>
  <c r="AW38" i="1" s="1"/>
  <c r="AU39" i="1"/>
  <c r="AW39" i="1" s="1"/>
  <c r="AU40" i="1"/>
  <c r="AW40" i="1" s="1"/>
  <c r="AU41" i="1"/>
  <c r="AW41" i="1" s="1"/>
  <c r="AU42" i="1"/>
  <c r="AW42" i="1" s="1"/>
  <c r="AU43" i="1"/>
  <c r="AW43" i="1" s="1"/>
  <c r="AU44" i="1"/>
  <c r="AW44" i="1" s="1"/>
  <c r="AU45" i="1"/>
  <c r="AW45" i="1" s="1"/>
  <c r="AU49" i="1"/>
  <c r="AW49" i="1" s="1"/>
  <c r="AU50" i="1"/>
  <c r="AW50" i="1" s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9" i="1"/>
  <c r="A13" i="1" l="1"/>
  <c r="G12" i="1"/>
  <c r="AC109" i="1"/>
  <c r="H109" i="1" s="1"/>
  <c r="AC108" i="1"/>
  <c r="H108" i="1" s="1"/>
  <c r="AC107" i="1"/>
  <c r="H107" i="1" s="1"/>
  <c r="AZ9" i="1"/>
  <c r="I4" i="1" a="1"/>
  <c r="I4" i="1" s="1"/>
  <c r="AC106" i="1"/>
  <c r="AC105" i="1"/>
  <c r="AC103" i="1"/>
  <c r="AC104" i="1"/>
  <c r="AC102" i="1"/>
  <c r="AC101" i="1"/>
  <c r="AC100" i="1"/>
  <c r="AC99" i="1"/>
  <c r="AC98" i="1"/>
  <c r="AC97" i="1"/>
  <c r="AC96" i="1"/>
  <c r="AC95" i="1"/>
  <c r="AC94" i="1"/>
  <c r="AC93" i="1"/>
  <c r="AC92" i="1"/>
  <c r="AC91" i="1"/>
  <c r="AC90" i="1"/>
  <c r="H90" i="1" s="1"/>
  <c r="AC89" i="1"/>
  <c r="AC85" i="1"/>
  <c r="AC86" i="1"/>
  <c r="AC87" i="1"/>
  <c r="AC88" i="1"/>
  <c r="BA50" i="1"/>
  <c r="BA49" i="1"/>
  <c r="BA45" i="1"/>
  <c r="BA44" i="1"/>
  <c r="BA43" i="1"/>
  <c r="BA42" i="1"/>
  <c r="BA41" i="1"/>
  <c r="BA40" i="1"/>
  <c r="BA39" i="1"/>
  <c r="BA38" i="1"/>
  <c r="BA37" i="1"/>
  <c r="BA36" i="1"/>
  <c r="BA35" i="1"/>
  <c r="BA34" i="1"/>
  <c r="BA33" i="1"/>
  <c r="BA32" i="1"/>
  <c r="BA31" i="1"/>
  <c r="BA30" i="1"/>
  <c r="BA29" i="1"/>
  <c r="BA28" i="1"/>
  <c r="BA27" i="1"/>
  <c r="BA26" i="1"/>
  <c r="BA25" i="1"/>
  <c r="BA24" i="1"/>
  <c r="BA23" i="1"/>
  <c r="BA22" i="1"/>
  <c r="BA21" i="1"/>
  <c r="BA20" i="1"/>
  <c r="BA19" i="1"/>
  <c r="BA18" i="1"/>
  <c r="BA17" i="1"/>
  <c r="BA16" i="1"/>
  <c r="BA15" i="1"/>
  <c r="BA14" i="1"/>
  <c r="BA13" i="1"/>
  <c r="BA12" i="1"/>
  <c r="BA11" i="1"/>
  <c r="BA10" i="1"/>
  <c r="BA9" i="1"/>
  <c r="BA58" i="1"/>
  <c r="BA46" i="1"/>
  <c r="BA47" i="1"/>
  <c r="BA51" i="1"/>
  <c r="BA52" i="1"/>
  <c r="BA53" i="1"/>
  <c r="BA55" i="1"/>
  <c r="BA61" i="1"/>
  <c r="BA57" i="1"/>
  <c r="BA62" i="1"/>
  <c r="BA56" i="1"/>
  <c r="BD50" i="1"/>
  <c r="BD49" i="1"/>
  <c r="BD45" i="1"/>
  <c r="BD44" i="1"/>
  <c r="BD43" i="1"/>
  <c r="BD42" i="1"/>
  <c r="BD41" i="1"/>
  <c r="BD40" i="1"/>
  <c r="BD39" i="1"/>
  <c r="BD38" i="1"/>
  <c r="BD37" i="1"/>
  <c r="BD36" i="1"/>
  <c r="BD35" i="1"/>
  <c r="BD34" i="1"/>
  <c r="BD33" i="1"/>
  <c r="BD32" i="1"/>
  <c r="BD31" i="1"/>
  <c r="BD30" i="1"/>
  <c r="BD29" i="1"/>
  <c r="BD28" i="1"/>
  <c r="BD27" i="1"/>
  <c r="BD26" i="1"/>
  <c r="BD25" i="1"/>
  <c r="BD24" i="1"/>
  <c r="BD23" i="1"/>
  <c r="BD22" i="1"/>
  <c r="BD21" i="1"/>
  <c r="BD20" i="1"/>
  <c r="BD19" i="1"/>
  <c r="BD18" i="1"/>
  <c r="BD17" i="1"/>
  <c r="BD16" i="1"/>
  <c r="BD15" i="1"/>
  <c r="BD14" i="1"/>
  <c r="BD13" i="1"/>
  <c r="BD12" i="1"/>
  <c r="BD11" i="1"/>
  <c r="BD10" i="1"/>
  <c r="BD9" i="1"/>
  <c r="BD58" i="1"/>
  <c r="BD46" i="1"/>
  <c r="BD47" i="1"/>
  <c r="BD51" i="1"/>
  <c r="BD52" i="1"/>
  <c r="BD53" i="1"/>
  <c r="BD55" i="1"/>
  <c r="BD61" i="1"/>
  <c r="BD57" i="1"/>
  <c r="BD62" i="1"/>
  <c r="BD56" i="1"/>
  <c r="AC83" i="1"/>
  <c r="AC84" i="1"/>
  <c r="AC82" i="1"/>
  <c r="AC81" i="1"/>
  <c r="AC77" i="1"/>
  <c r="AC78" i="1"/>
  <c r="AC79" i="1"/>
  <c r="AC80" i="1"/>
  <c r="AC75" i="1"/>
  <c r="AC76" i="1"/>
  <c r="AC73" i="1"/>
  <c r="AC74" i="1"/>
  <c r="AC72" i="1"/>
  <c r="AC71" i="1"/>
  <c r="AC70" i="1"/>
  <c r="AC69" i="1"/>
  <c r="AC54" i="1"/>
  <c r="AC48" i="1"/>
  <c r="AC68" i="1"/>
  <c r="AC67" i="1"/>
  <c r="AC65" i="1"/>
  <c r="AC66" i="1"/>
  <c r="AC64" i="1"/>
  <c r="AC63" i="1"/>
  <c r="AC60" i="1"/>
  <c r="AC59" i="1"/>
  <c r="W47" i="1"/>
  <c r="Y47" i="1"/>
  <c r="W51" i="1"/>
  <c r="Y51" i="1"/>
  <c r="W52" i="1"/>
  <c r="Y52" i="1"/>
  <c r="W53" i="1"/>
  <c r="Y53" i="1"/>
  <c r="W55" i="1"/>
  <c r="Y55" i="1"/>
  <c r="W61" i="1"/>
  <c r="Y61" i="1"/>
  <c r="W57" i="1"/>
  <c r="Y57" i="1"/>
  <c r="W62" i="1"/>
  <c r="Y62" i="1"/>
  <c r="W56" i="1"/>
  <c r="Y56" i="1"/>
  <c r="AA50" i="1"/>
  <c r="AA49" i="1"/>
  <c r="AA45" i="1"/>
  <c r="AA44" i="1"/>
  <c r="AA43" i="1"/>
  <c r="AA42" i="1"/>
  <c r="AA41" i="1"/>
  <c r="AA40" i="1"/>
  <c r="AA58" i="1"/>
  <c r="AA46" i="1"/>
  <c r="AA47" i="1"/>
  <c r="AA51" i="1"/>
  <c r="AA52" i="1"/>
  <c r="AA53" i="1"/>
  <c r="AA55" i="1"/>
  <c r="AA57" i="1"/>
  <c r="AA62" i="1"/>
  <c r="AA56" i="1"/>
  <c r="AA61" i="1"/>
  <c r="Y50" i="1"/>
  <c r="Y49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58" i="1"/>
  <c r="Y46" i="1"/>
  <c r="T9" i="5"/>
  <c r="U9" i="5"/>
  <c r="W9" i="5"/>
  <c r="AR9" i="5"/>
  <c r="D3" i="5" a="1"/>
  <c r="D3" i="5" s="1"/>
  <c r="G2" i="5" a="1"/>
  <c r="G2" i="5" s="1"/>
  <c r="G5" i="5" a="1"/>
  <c r="G5" i="5" s="1"/>
  <c r="V9" i="5"/>
  <c r="D4" i="5" a="1"/>
  <c r="D4" i="5" s="1"/>
  <c r="G4" i="5" a="1"/>
  <c r="G4" i="5" s="1"/>
  <c r="H4" i="5" a="1"/>
  <c r="H4" i="5" s="1"/>
  <c r="D2" i="5" a="1"/>
  <c r="D2" i="5" s="1"/>
  <c r="D5" i="5" a="1"/>
  <c r="D5" i="5" s="1"/>
  <c r="H2" i="5" a="1"/>
  <c r="H2" i="5" s="1"/>
  <c r="H5" i="5" a="1"/>
  <c r="H5" i="5" s="1"/>
  <c r="G3" i="5" a="1"/>
  <c r="G3" i="5" s="1"/>
  <c r="H3" i="5" a="1"/>
  <c r="H3" i="5" s="1"/>
  <c r="W46" i="1"/>
  <c r="W50" i="1"/>
  <c r="W49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58" i="1"/>
  <c r="A14" i="1" l="1"/>
  <c r="G13" i="1"/>
  <c r="AC5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9" i="1"/>
  <c r="AC50" i="1"/>
  <c r="AC46" i="1"/>
  <c r="AC56" i="1"/>
  <c r="AC62" i="1"/>
  <c r="AC57" i="1"/>
  <c r="AC61" i="1"/>
  <c r="AC55" i="1"/>
  <c r="AC53" i="1"/>
  <c r="AC52" i="1"/>
  <c r="AC51" i="1"/>
  <c r="AC47" i="1"/>
  <c r="Z9" i="5" a="1"/>
  <c r="Z9" i="5" s="1"/>
  <c r="G9" i="5" s="1"/>
  <c r="A15" i="1" l="1"/>
  <c r="G14" i="1"/>
  <c r="I5" i="1" a="1"/>
  <c r="I5" i="1" s="1"/>
  <c r="H2" i="1" a="1"/>
  <c r="H2" i="1" s="1"/>
  <c r="D2" i="1" a="1"/>
  <c r="D2" i="1" s="1"/>
  <c r="H3" i="1" a="1"/>
  <c r="H3" i="1" s="1"/>
  <c r="D3" i="1" a="1"/>
  <c r="D3" i="1" s="1"/>
  <c r="D4" i="1" a="1"/>
  <c r="D4" i="1" s="1"/>
  <c r="H4" i="1" a="1"/>
  <c r="H4" i="1" s="1"/>
  <c r="H5" i="1" a="1"/>
  <c r="H5" i="1" s="1"/>
  <c r="D5" i="1" a="1"/>
  <c r="D5" i="1" s="1"/>
  <c r="I2" i="1" a="1"/>
  <c r="I2" i="1" s="1"/>
  <c r="I3" i="1" a="1"/>
  <c r="I3" i="1" s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89" i="1"/>
  <c r="H14" i="1"/>
  <c r="H13" i="1"/>
  <c r="H12" i="1"/>
  <c r="H11" i="1"/>
  <c r="H9" i="1"/>
  <c r="H10" i="1"/>
  <c r="A16" i="1" l="1"/>
  <c r="G15" i="1"/>
  <c r="H15" i="1" s="1"/>
  <c r="A17" i="1" l="1"/>
  <c r="G16" i="1"/>
  <c r="H16" i="1" s="1"/>
  <c r="A18" i="1" l="1"/>
  <c r="G17" i="1"/>
  <c r="H17" i="1" s="1"/>
  <c r="A19" i="1" l="1"/>
  <c r="G18" i="1"/>
  <c r="H18" i="1" s="1"/>
  <c r="A20" i="1" l="1"/>
  <c r="G19" i="1"/>
  <c r="H19" i="1" s="1"/>
  <c r="A21" i="1" l="1"/>
  <c r="G20" i="1"/>
  <c r="H20" i="1" s="1"/>
  <c r="A22" i="1" l="1"/>
  <c r="G21" i="1"/>
  <c r="H21" i="1" s="1"/>
  <c r="A23" i="1" l="1"/>
  <c r="G22" i="1"/>
  <c r="H22" i="1" s="1"/>
  <c r="A24" i="1" l="1"/>
  <c r="G23" i="1"/>
  <c r="H23" i="1" s="1"/>
  <c r="A25" i="1" l="1"/>
  <c r="G24" i="1"/>
  <c r="H24" i="1" s="1"/>
  <c r="A26" i="1" l="1"/>
  <c r="G25" i="1"/>
  <c r="H25" i="1" s="1"/>
  <c r="A27" i="1" l="1"/>
  <c r="G26" i="1"/>
  <c r="H26" i="1" s="1"/>
  <c r="A28" i="1" l="1"/>
  <c r="G27" i="1"/>
  <c r="H27" i="1" s="1"/>
  <c r="A29" i="1" l="1"/>
  <c r="G28" i="1"/>
  <c r="H28" i="1" s="1"/>
  <c r="A30" i="1" l="1"/>
  <c r="G29" i="1"/>
  <c r="H29" i="1" s="1"/>
  <c r="A31" i="1" l="1"/>
  <c r="G30" i="1"/>
  <c r="H30" i="1" s="1"/>
  <c r="A32" i="1" l="1"/>
  <c r="G31" i="1"/>
  <c r="H31" i="1" s="1"/>
  <c r="A33" i="1" l="1"/>
  <c r="G32" i="1"/>
  <c r="H32" i="1" s="1"/>
  <c r="A34" i="1" l="1"/>
  <c r="G33" i="1"/>
  <c r="H33" i="1" s="1"/>
  <c r="A35" i="1" l="1"/>
  <c r="G34" i="1"/>
  <c r="H34" i="1" s="1"/>
  <c r="A36" i="1" l="1"/>
  <c r="G35" i="1"/>
  <c r="H35" i="1" s="1"/>
  <c r="A37" i="1" l="1"/>
  <c r="G36" i="1"/>
  <c r="H36" i="1" s="1"/>
  <c r="A38" i="1" l="1"/>
  <c r="G37" i="1"/>
  <c r="H37" i="1" s="1"/>
  <c r="A39" i="1" l="1"/>
  <c r="G38" i="1"/>
  <c r="H38" i="1" s="1"/>
  <c r="A40" i="1" l="1"/>
  <c r="G39" i="1"/>
  <c r="H39" i="1" s="1"/>
  <c r="A41" i="1" l="1"/>
  <c r="G40" i="1"/>
  <c r="H40" i="1" s="1"/>
  <c r="A42" i="1" l="1"/>
  <c r="G41" i="1"/>
  <c r="H41" i="1" s="1"/>
  <c r="A43" i="1" l="1"/>
  <c r="G42" i="1"/>
  <c r="H42" i="1" s="1"/>
  <c r="A44" i="1" l="1"/>
  <c r="G43" i="1"/>
  <c r="H43" i="1" s="1"/>
  <c r="A45" i="1" l="1"/>
  <c r="G44" i="1"/>
  <c r="H44" i="1" s="1"/>
  <c r="A46" i="1" l="1"/>
  <c r="G45" i="1"/>
  <c r="H45" i="1" s="1"/>
  <c r="A47" i="1" l="1"/>
  <c r="G46" i="1"/>
  <c r="H46" i="1" s="1"/>
  <c r="A48" i="1" l="1"/>
  <c r="G47" i="1"/>
  <c r="H47" i="1" s="1"/>
  <c r="G48" i="1" l="1"/>
  <c r="H48" i="1" s="1"/>
  <c r="A49" i="1"/>
  <c r="G49" i="1" l="1"/>
  <c r="H49" i="1" s="1"/>
  <c r="A50" i="1"/>
  <c r="G50" i="1" l="1"/>
  <c r="H50" i="1" s="1"/>
  <c r="A51" i="1"/>
  <c r="G51" i="1" l="1"/>
  <c r="H51" i="1" s="1"/>
  <c r="A52" i="1"/>
  <c r="G52" i="1" l="1"/>
  <c r="H52" i="1" s="1"/>
  <c r="A53" i="1"/>
  <c r="G53" i="1" l="1"/>
  <c r="H53" i="1" s="1"/>
  <c r="A54" i="1"/>
  <c r="G54" i="1" l="1"/>
  <c r="H54" i="1" s="1"/>
  <c r="A55" i="1"/>
  <c r="G55" i="1" l="1"/>
  <c r="H55" i="1" s="1"/>
  <c r="A56" i="1"/>
  <c r="G56" i="1" l="1"/>
  <c r="H56" i="1" s="1"/>
  <c r="A57" i="1"/>
  <c r="G57" i="1" l="1"/>
  <c r="H57" i="1" s="1"/>
  <c r="A58" i="1"/>
  <c r="G58" i="1" l="1"/>
  <c r="H58" i="1" s="1"/>
  <c r="A59" i="1"/>
  <c r="G59" i="1" l="1"/>
  <c r="H59" i="1" s="1"/>
  <c r="A60" i="1"/>
  <c r="G60" i="1" l="1"/>
  <c r="H60" i="1" s="1"/>
  <c r="A61" i="1"/>
  <c r="G61" i="1" l="1"/>
  <c r="H61" i="1" s="1"/>
  <c r="A62" i="1"/>
  <c r="G62" i="1" l="1"/>
  <c r="H62" i="1" s="1"/>
  <c r="A63" i="1"/>
  <c r="G63" i="1" l="1"/>
  <c r="H63" i="1" s="1"/>
  <c r="A64" i="1"/>
  <c r="G64" i="1" l="1"/>
  <c r="H64" i="1" s="1"/>
  <c r="A65" i="1"/>
  <c r="G65" i="1" l="1"/>
  <c r="H65" i="1" s="1"/>
  <c r="A66" i="1"/>
  <c r="G66" i="1" l="1"/>
  <c r="H66" i="1" s="1"/>
  <c r="A67" i="1"/>
  <c r="G67" i="1" l="1"/>
  <c r="H67" i="1" s="1"/>
  <c r="A68" i="1"/>
  <c r="G68" i="1" l="1"/>
  <c r="H68" i="1" s="1"/>
  <c r="A69" i="1"/>
  <c r="G69" i="1" l="1"/>
  <c r="H69" i="1" s="1"/>
  <c r="A70" i="1"/>
  <c r="G70" i="1" l="1"/>
  <c r="H70" i="1" s="1"/>
  <c r="A71" i="1"/>
  <c r="G71" i="1" l="1"/>
  <c r="H71" i="1" s="1"/>
  <c r="A72" i="1"/>
  <c r="G72" i="1" l="1"/>
  <c r="H72" i="1" s="1"/>
  <c r="A73" i="1"/>
  <c r="G73" i="1" l="1"/>
  <c r="H73" i="1" s="1"/>
  <c r="A74" i="1"/>
  <c r="G74" i="1" l="1"/>
  <c r="H74" i="1" s="1"/>
  <c r="A75" i="1"/>
  <c r="G75" i="1" l="1"/>
  <c r="H75" i="1" s="1"/>
  <c r="A76" i="1"/>
  <c r="G76" i="1" l="1"/>
  <c r="H76" i="1" s="1"/>
  <c r="A77" i="1"/>
  <c r="G77" i="1" l="1"/>
  <c r="H77" i="1" s="1"/>
  <c r="A78" i="1"/>
  <c r="G78" i="1" l="1"/>
  <c r="H78" i="1" s="1"/>
  <c r="A79" i="1"/>
  <c r="G79" i="1" l="1"/>
  <c r="H79" i="1" s="1"/>
  <c r="A80" i="1"/>
  <c r="G80" i="1" l="1"/>
  <c r="H80" i="1" s="1"/>
  <c r="A81" i="1"/>
  <c r="G81" i="1" l="1"/>
  <c r="H81" i="1" s="1"/>
  <c r="A82" i="1"/>
  <c r="G82" i="1" l="1"/>
  <c r="H82" i="1" s="1"/>
  <c r="A83" i="1"/>
  <c r="G83" i="1" l="1"/>
  <c r="H83" i="1" s="1"/>
  <c r="A84" i="1"/>
  <c r="G84" i="1" l="1"/>
  <c r="H84" i="1" s="1"/>
  <c r="A85" i="1"/>
  <c r="G85" i="1" l="1"/>
  <c r="H85" i="1" s="1"/>
  <c r="A86" i="1"/>
  <c r="G86" i="1" l="1"/>
  <c r="H86" i="1" s="1"/>
  <c r="A87" i="1"/>
  <c r="G87" i="1" l="1"/>
  <c r="H87" i="1" s="1"/>
  <c r="A88" i="1"/>
  <c r="G88" i="1" l="1"/>
  <c r="H8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<sst xmlns="http://schemas.openxmlformats.org/spreadsheetml/2006/main" count="1078" uniqueCount="295">
  <si>
    <t>Date</t>
  </si>
  <si>
    <t>Version</t>
  </si>
  <si>
    <t>Modification</t>
  </si>
  <si>
    <t>0.0</t>
  </si>
  <si>
    <t>Création du document</t>
  </si>
  <si>
    <t>Nb dates &lt; Limite - 7 j</t>
  </si>
  <si>
    <t>Limite - 7 j ≤ Nb dates &lt; Limite</t>
  </si>
  <si>
    <t>Nb dates ≥ Limite</t>
  </si>
  <si>
    <t>CONTRAT TRAVAUX</t>
  </si>
  <si>
    <t>A compléter par le demandeur</t>
  </si>
  <si>
    <t>A compléter par le rédacteur</t>
  </si>
  <si>
    <t>A compléter par le vérificateur</t>
  </si>
  <si>
    <t>A compléter par le conducteur travaux</t>
  </si>
  <si>
    <t>Ne pas modifier</t>
  </si>
  <si>
    <t>N° de 
Ctx</t>
  </si>
  <si>
    <t>Demandeur</t>
  </si>
  <si>
    <t>N° demande OPT</t>
  </si>
  <si>
    <t>N° semaine</t>
  </si>
  <si>
    <t>Nature des travaux</t>
  </si>
  <si>
    <t>Partitularité du contrat</t>
  </si>
  <si>
    <t>Colonne1</t>
  </si>
  <si>
    <t>Nom du contrat</t>
  </si>
  <si>
    <t>CATENAIRE</t>
  </si>
  <si>
    <t>EALE</t>
  </si>
  <si>
    <t>SIG /TEL</t>
  </si>
  <si>
    <t xml:space="preserve">VOIE </t>
  </si>
  <si>
    <t>Vérification Secteur</t>
  </si>
  <si>
    <t>Type de contrat</t>
  </si>
  <si>
    <t>Renouvelable</t>
  </si>
  <si>
    <t>Fiche de travail</t>
  </si>
  <si>
    <t>Fiche de VT / VK</t>
  </si>
  <si>
    <t>Date de Début</t>
  </si>
  <si>
    <t>dateDebut</t>
  </si>
  <si>
    <t>Date de Fin</t>
  </si>
  <si>
    <t>dateFin</t>
  </si>
  <si>
    <t>Nuit 1</t>
  </si>
  <si>
    <t>Nuit 2</t>
  </si>
  <si>
    <t>Nuit 3</t>
  </si>
  <si>
    <t>Nuit 4</t>
  </si>
  <si>
    <t>Nuit 5</t>
  </si>
  <si>
    <t>Nuit 6</t>
  </si>
  <si>
    <t>Nb jours</t>
  </si>
  <si>
    <t>Jour</t>
  </si>
  <si>
    <t>Rédacteur</t>
  </si>
  <si>
    <t>Tolérance</t>
  </si>
  <si>
    <t>Date limite de fin de rédaction</t>
  </si>
  <si>
    <t>Date de fin de rédaction</t>
  </si>
  <si>
    <t>Tolérance2</t>
  </si>
  <si>
    <t>dateFinRedaction</t>
  </si>
  <si>
    <t>Vérificateur</t>
  </si>
  <si>
    <t>Date limite de fin de vérification</t>
  </si>
  <si>
    <t>Date de fin de vérification</t>
  </si>
  <si>
    <t>Tolérance3</t>
  </si>
  <si>
    <t>dateFinVerification</t>
  </si>
  <si>
    <t>Date limite d'envoi a  l'exploitation</t>
  </si>
  <si>
    <r>
      <rPr>
        <b/>
        <sz val="10"/>
        <color rgb="FF000000"/>
        <rFont val="Arial"/>
        <family val="2"/>
      </rPr>
      <t xml:space="preserve">Date d'envoi à  l'exploitation
</t>
    </r>
    <r>
      <rPr>
        <b/>
        <i/>
        <sz val="8"/>
        <color rgb="FFFF0000"/>
        <rFont val="Arial"/>
        <family val="2"/>
      </rPr>
      <t>(Mettre en copier le demandeur et le rédacteur)</t>
    </r>
  </si>
  <si>
    <t>Tolérance4</t>
  </si>
  <si>
    <t>dateEnvoi</t>
  </si>
  <si>
    <t>Date limite de réception</t>
  </si>
  <si>
    <t>Date de réception</t>
  </si>
  <si>
    <t>Tolérance5</t>
  </si>
  <si>
    <t>dateReception</t>
  </si>
  <si>
    <t>Date limite limite de dépose sur la GED</t>
  </si>
  <si>
    <t>Date de dépose sur la GED</t>
  </si>
  <si>
    <t>dateDeposeGED</t>
  </si>
  <si>
    <t>RETARD rédaction</t>
  </si>
  <si>
    <t>retard vérification</t>
  </si>
  <si>
    <t>retard envoi</t>
  </si>
  <si>
    <t>retard reception</t>
  </si>
  <si>
    <t>retard GED</t>
  </si>
  <si>
    <t>Commenté aux différents agents le</t>
  </si>
  <si>
    <r>
      <t>Commentaires/</t>
    </r>
    <r>
      <rPr>
        <sz val="10"/>
        <color rgb="FF000000"/>
        <rFont val="Arial"/>
        <family val="2"/>
      </rPr>
      <t xml:space="preserve"> </t>
    </r>
    <r>
      <rPr>
        <b/>
        <sz val="10"/>
        <color rgb="FF000000"/>
        <rFont val="Arial"/>
        <family val="2"/>
      </rPr>
      <t>Justification contrat URGENT</t>
    </r>
  </si>
  <si>
    <t>Récupérer par le Conducteur  Travaux</t>
  </si>
  <si>
    <t>Déposé au QSE</t>
  </si>
  <si>
    <t>Audité par le QSE</t>
  </si>
  <si>
    <t>Archivage définive</t>
  </si>
  <si>
    <t>Observation sur le retour</t>
  </si>
  <si>
    <t>xxxx</t>
  </si>
  <si>
    <t>TEST</t>
  </si>
  <si>
    <t>x</t>
  </si>
  <si>
    <t>S9</t>
  </si>
  <si>
    <t>S6</t>
  </si>
  <si>
    <t>Rajout du test AU</t>
  </si>
  <si>
    <t>27/01/2024 Demande de modification afin d'avoir la possibilité de faire un ECP</t>
  </si>
  <si>
    <t>S8</t>
  </si>
  <si>
    <t>X</t>
  </si>
  <si>
    <t>14990, 15207, 15206</t>
  </si>
  <si>
    <t>15207, 14993</t>
  </si>
  <si>
    <t>Pas d'interv. 77 - 78</t>
  </si>
  <si>
    <t>Annulé</t>
  </si>
  <si>
    <t>annulé</t>
  </si>
  <si>
    <t>Doc orga - Annulé à la demande de Eiffage Rail</t>
  </si>
  <si>
    <t>S6/S9</t>
  </si>
  <si>
    <t>Pas d'interv. 76 - 77</t>
  </si>
  <si>
    <t>15224,15 377</t>
  </si>
  <si>
    <t xml:space="preserve">	15332</t>
  </si>
  <si>
    <t>Zone a définir, en attente retour coordo</t>
  </si>
  <si>
    <t>Pas d'int. 7134 - 7203
Pas d'int. 7132 - 7201</t>
  </si>
  <si>
    <t>Modification suite a annulation chantier voie</t>
  </si>
  <si>
    <t>Pas d'int. 7632 - 7701</t>
  </si>
  <si>
    <t xml:space="preserve">PK du 22+000 au 25+019
PK du 27+214 au 30+575
R1M + R2M </t>
  </si>
  <si>
    <t>Annulée suite reprise GEO</t>
  </si>
  <si>
    <t>S12</t>
  </si>
  <si>
    <t>-</t>
  </si>
  <si>
    <t>S13</t>
  </si>
  <si>
    <t>version 2 rédigée suite LAI AD 26 V1</t>
  </si>
  <si>
    <t>S14</t>
  </si>
  <si>
    <t>S16</t>
  </si>
  <si>
    <t>S17</t>
  </si>
  <si>
    <t>S18</t>
  </si>
  <si>
    <t>S19</t>
  </si>
  <si>
    <t>15371 + 15313</t>
  </si>
  <si>
    <t>PK du 4+182 au 27+214
PK du 30+375 au 36+000
RFM</t>
  </si>
  <si>
    <t>PK du 4+182 au 27+214 RFM</t>
  </si>
  <si>
    <t>PK du 27+214 au 30+575 V1/V2</t>
  </si>
  <si>
    <t>S20</t>
  </si>
  <si>
    <t>15660-15661</t>
  </si>
  <si>
    <t xml:space="preserve"> </t>
  </si>
  <si>
    <t xml:space="preserve">	15 627</t>
  </si>
  <si>
    <t>Date limite de rédaction</t>
  </si>
  <si>
    <t>Intervenant</t>
  </si>
  <si>
    <t>Mail</t>
  </si>
  <si>
    <t>Mail du demandeur</t>
  </si>
  <si>
    <t>Audit</t>
  </si>
  <si>
    <t>Date limite de vérification</t>
  </si>
  <si>
    <t>Oui</t>
  </si>
  <si>
    <t>Date limite d'envoie</t>
  </si>
  <si>
    <t>Non</t>
  </si>
  <si>
    <t xml:space="preserve">Date limite réception </t>
  </si>
  <si>
    <t>Tolérances limite dépose GED</t>
  </si>
  <si>
    <t>CONTRAT TRAVAUX 2025</t>
  </si>
  <si>
    <t>Nb demande OPT</t>
  </si>
  <si>
    <t>Nom du document</t>
  </si>
  <si>
    <t>Colonne3</t>
  </si>
  <si>
    <t>Colonne4</t>
  </si>
  <si>
    <t>Colonne5</t>
  </si>
  <si>
    <t>Colonne6</t>
  </si>
  <si>
    <t>Colonne7</t>
  </si>
  <si>
    <t>Colonne8</t>
  </si>
  <si>
    <t>retard envoie</t>
  </si>
  <si>
    <t>Commenté au RPTx le</t>
  </si>
  <si>
    <r>
      <t>Commentaires/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Justification contrat URGENT</t>
    </r>
  </si>
  <si>
    <t>Statut</t>
  </si>
  <si>
    <t>Intervenant 1</t>
  </si>
  <si>
    <t>Demandeur 1</t>
  </si>
  <si>
    <t>Demandeur 2</t>
  </si>
  <si>
    <t>Demandeur 3</t>
  </si>
  <si>
    <t>Demandeur 4</t>
  </si>
  <si>
    <t>Demandeur 5</t>
  </si>
  <si>
    <t>Demandeur 6</t>
  </si>
  <si>
    <t>Demandeur 7</t>
  </si>
  <si>
    <t>Demandeur 8</t>
  </si>
  <si>
    <t>Demandeur 9</t>
  </si>
  <si>
    <t>Demandeur 10</t>
  </si>
  <si>
    <t>Demandeur 11</t>
  </si>
  <si>
    <t>Intervenant 2</t>
  </si>
  <si>
    <t>Intervenant 3</t>
  </si>
  <si>
    <t>Intervenant 4</t>
  </si>
  <si>
    <t>Intervenant 5</t>
  </si>
  <si>
    <t>Intervenant 6</t>
  </si>
  <si>
    <t>Intervenant 7</t>
  </si>
  <si>
    <t>Intervenant 8</t>
  </si>
  <si>
    <t>Intervenant 9</t>
  </si>
  <si>
    <t>Intervenant 10</t>
  </si>
  <si>
    <t>Intervenant 11</t>
  </si>
  <si>
    <t>Intervenant 12</t>
  </si>
  <si>
    <t>Intervenant 13</t>
  </si>
  <si>
    <t>Contrat 1</t>
  </si>
  <si>
    <t>Contrat 2</t>
  </si>
  <si>
    <t>Contrat 3</t>
  </si>
  <si>
    <t>Contrat 4</t>
  </si>
  <si>
    <t>Contrat 5</t>
  </si>
  <si>
    <t>Contrat 6</t>
  </si>
  <si>
    <t>Contrat 7</t>
  </si>
  <si>
    <t>Contrat 8</t>
  </si>
  <si>
    <t>Contrat 9</t>
  </si>
  <si>
    <t>Contrat 10</t>
  </si>
  <si>
    <t>Contrat 11</t>
  </si>
  <si>
    <t>Contrat 12</t>
  </si>
  <si>
    <t>Contrat 13</t>
  </si>
  <si>
    <t>Contrat 14</t>
  </si>
  <si>
    <t>Contrat 15</t>
  </si>
  <si>
    <t>Contrat 16</t>
  </si>
  <si>
    <t>Contrat 17</t>
  </si>
  <si>
    <t>Contrat 18</t>
  </si>
  <si>
    <t>Contrat 19</t>
  </si>
  <si>
    <t>Contrat 20</t>
  </si>
  <si>
    <t>Contrat 21</t>
  </si>
  <si>
    <t>Contrat 22</t>
  </si>
  <si>
    <t>Contrat 23</t>
  </si>
  <si>
    <t>Contrat 24</t>
  </si>
  <si>
    <t>Contrat 25</t>
  </si>
  <si>
    <t>Contrat 26</t>
  </si>
  <si>
    <t>Contrat 27</t>
  </si>
  <si>
    <t>Contrat 28</t>
  </si>
  <si>
    <t>Contrat 29</t>
  </si>
  <si>
    <t>Contrat 30</t>
  </si>
  <si>
    <t>Contrat 31</t>
  </si>
  <si>
    <t>Contrat 32</t>
  </si>
  <si>
    <t>Contrat 33</t>
  </si>
  <si>
    <t>Contrat 34</t>
  </si>
  <si>
    <t>Contrat 35</t>
  </si>
  <si>
    <t>Contrat 36</t>
  </si>
  <si>
    <t>Contrat 37</t>
  </si>
  <si>
    <t>Contrat 38</t>
  </si>
  <si>
    <t>Contrat 39</t>
  </si>
  <si>
    <t>Contrat 40</t>
  </si>
  <si>
    <t>Contrat 41</t>
  </si>
  <si>
    <t>Contrat 42</t>
  </si>
  <si>
    <t>Contrat 43</t>
  </si>
  <si>
    <t>Contrat 44</t>
  </si>
  <si>
    <t>Contrat 45</t>
  </si>
  <si>
    <t>Contrat 46</t>
  </si>
  <si>
    <t>Contrat 47</t>
  </si>
  <si>
    <t>Contrat 48</t>
  </si>
  <si>
    <t>Contrat 49</t>
  </si>
  <si>
    <t>Contrat 50</t>
  </si>
  <si>
    <t>Contrat 51</t>
  </si>
  <si>
    <t>Contrat 52</t>
  </si>
  <si>
    <t>Contrat 53</t>
  </si>
  <si>
    <t>Contrat 54</t>
  </si>
  <si>
    <t>Contrat 55</t>
  </si>
  <si>
    <t>Contrat 56</t>
  </si>
  <si>
    <t>Contrat 57</t>
  </si>
  <si>
    <t>Contrat 58</t>
  </si>
  <si>
    <t>Contrat 59</t>
  </si>
  <si>
    <t>Contrat 60</t>
  </si>
  <si>
    <t>Contrat 61</t>
  </si>
  <si>
    <t>Contrat 62</t>
  </si>
  <si>
    <t>Contrat 63</t>
  </si>
  <si>
    <t>Contrat 64</t>
  </si>
  <si>
    <t>Contrat 65</t>
  </si>
  <si>
    <t>Contrat 66</t>
  </si>
  <si>
    <t>Contrat 67</t>
  </si>
  <si>
    <t>Contrat 68</t>
  </si>
  <si>
    <t>Contrat 69</t>
  </si>
  <si>
    <t>Contrat 70</t>
  </si>
  <si>
    <t>Contrat 71</t>
  </si>
  <si>
    <t>Contrat 72</t>
  </si>
  <si>
    <t>Contrat 73</t>
  </si>
  <si>
    <t>Contrat 74</t>
  </si>
  <si>
    <t>Contrat 75</t>
  </si>
  <si>
    <t>Contrat 76</t>
  </si>
  <si>
    <t>Contrat 77</t>
  </si>
  <si>
    <t>Contrat 78</t>
  </si>
  <si>
    <t>Contrat 79</t>
  </si>
  <si>
    <t>Contrat 80</t>
  </si>
  <si>
    <t>Contrat 81</t>
  </si>
  <si>
    <t>Contrat 82</t>
  </si>
  <si>
    <t>Contrat 83</t>
  </si>
  <si>
    <t>Contrat 84</t>
  </si>
  <si>
    <t>Contrat 85</t>
  </si>
  <si>
    <t>Contrat 86</t>
  </si>
  <si>
    <t>Contrat 87</t>
  </si>
  <si>
    <t>Contrat 88</t>
  </si>
  <si>
    <t>Contrat 89</t>
  </si>
  <si>
    <t>Contrat 90</t>
  </si>
  <si>
    <t>Contrat 91</t>
  </si>
  <si>
    <t>Contrat 92</t>
  </si>
  <si>
    <t>Contrat 93</t>
  </si>
  <si>
    <t>Contrat 94</t>
  </si>
  <si>
    <t>Contrat 95</t>
  </si>
  <si>
    <t>Contrat 96</t>
  </si>
  <si>
    <t>Contrat 97</t>
  </si>
  <si>
    <t>Contrat 98</t>
  </si>
  <si>
    <t>Contrat 99</t>
  </si>
  <si>
    <t>Contrat 100</t>
  </si>
  <si>
    <t>Contrat 101</t>
  </si>
  <si>
    <t>Contrat 102</t>
  </si>
  <si>
    <t>Contrat 103</t>
  </si>
  <si>
    <t>Contrat 104</t>
  </si>
  <si>
    <t>Contrat 105</t>
  </si>
  <si>
    <t>Contrat 106</t>
  </si>
  <si>
    <t>Contrat 107</t>
  </si>
  <si>
    <t>Contrat 108</t>
  </si>
  <si>
    <t>Contrat 109</t>
  </si>
  <si>
    <t>Contrat 110</t>
  </si>
  <si>
    <t>Contrat 111</t>
  </si>
  <si>
    <t>Contrat 112</t>
  </si>
  <si>
    <t>Contrat 113</t>
  </si>
  <si>
    <t>Contrat 114</t>
  </si>
  <si>
    <t>Contrat 115</t>
  </si>
  <si>
    <t>Contrat 116</t>
  </si>
  <si>
    <t>Contrat 117</t>
  </si>
  <si>
    <t>Contrat 118</t>
  </si>
  <si>
    <t>Contrat 119</t>
  </si>
  <si>
    <t>Contrat 120</t>
  </si>
  <si>
    <t>Contrat 121</t>
  </si>
  <si>
    <t>Contrat 122</t>
  </si>
  <si>
    <t>Contrat 123</t>
  </si>
  <si>
    <t>Contrat 0</t>
  </si>
  <si>
    <t>Secteur 1</t>
  </si>
  <si>
    <t>Secteur 2</t>
  </si>
  <si>
    <t>Secteur 3</t>
  </si>
  <si>
    <t>Secteur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</si>
</sst>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6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F400]h:mm:ss\ AM/PM"/>
    <numFmt numFmtId="165" formatCode="#,##0&quot; m/s²&quot;"/>
    <numFmt numFmtId="166" formatCode="#,##0&quot; daN·m&quot;"/>
    <numFmt numFmtId="167" formatCode="#,##0&quot; N·m&quot;"/>
    <numFmt numFmtId="168" formatCode="#,##0&quot; ℓ/min&quot;"/>
    <numFmt numFmtId="169" formatCode="#,##0&quot; ℓ/s&quot;"/>
    <numFmt numFmtId="170" formatCode="#,##0&quot; m³/h&quot;"/>
    <numFmt numFmtId="171" formatCode="#,##0&quot; cm&quot;"/>
    <numFmt numFmtId="172" formatCode="#,##0&quot; m&quot;"/>
    <numFmt numFmtId="173" formatCode="#,##0&quot; mm&quot;"/>
    <numFmt numFmtId="174" formatCode="#,##0&quot; km&quot;"/>
    <numFmt numFmtId="175" formatCode="#,##0&quot; µm&quot;"/>
    <numFmt numFmtId="176" formatCode="#,##0&quot; V&quot;"/>
    <numFmt numFmtId="177" formatCode="#,##0&quot; daN&quot;"/>
    <numFmt numFmtId="178" formatCode="#,##0&quot; N&quot;"/>
    <numFmt numFmtId="179" formatCode="#,##0&quot; kN&quot;"/>
    <numFmt numFmtId="180" formatCode="#,##0&quot; rpm&quot;"/>
    <numFmt numFmtId="181" formatCode="#,##0&quot; tr/min&quot;"/>
    <numFmt numFmtId="182" formatCode="#,##0&quot; kg&quot;"/>
    <numFmt numFmtId="183" formatCode="#,##0&quot; t&quot;"/>
    <numFmt numFmtId="184" formatCode="#,##0&quot; kg/m³&quot;"/>
    <numFmt numFmtId="185" formatCode="#,##0&quot; k€&quot;"/>
    <numFmt numFmtId="186" formatCode="#,##0&quot; M€&quot;"/>
    <numFmt numFmtId="187" formatCode="#,##0&quot; Pa&quot;"/>
    <numFmt numFmtId="188" formatCode="#,##0&quot; kW&quot;"/>
    <numFmt numFmtId="189" formatCode="#,##0&quot; m²&quot;"/>
    <numFmt numFmtId="190" formatCode="#,##0&quot; cm²&quot;"/>
    <numFmt numFmtId="191" formatCode="#,##0&quot; mm²&quot;"/>
    <numFmt numFmtId="192" formatCode="#,##0&quot; °C&quot;"/>
    <numFmt numFmtId="193" formatCode="#,##0&quot; h&quot;"/>
    <numFmt numFmtId="194" formatCode="#,##0&quot; j&quot;"/>
    <numFmt numFmtId="195" formatCode="#,##0&quot; min&quot;"/>
    <numFmt numFmtId="196" formatCode="#,##0&quot; mois&quot;"/>
    <numFmt numFmtId="197" formatCode="#,##0&quot; s&quot;"/>
    <numFmt numFmtId="198" formatCode="#,##0&quot; sem.&quot;"/>
    <numFmt numFmtId="199" formatCode="#,##0&quot; an(s)&quot;"/>
    <numFmt numFmtId="200" formatCode="#,##0&quot; km/h&quot;"/>
    <numFmt numFmtId="201" formatCode="#,##0&quot; m/s&quot;"/>
    <numFmt numFmtId="202" formatCode="#,##0&quot; m/min&quot;"/>
    <numFmt numFmtId="203" formatCode="#,##0&quot; cm/min&quot;"/>
    <numFmt numFmtId="204" formatCode="#,##0&quot; mm/min&quot;"/>
    <numFmt numFmtId="205" formatCode="#,##0&quot; mm/s&quot;"/>
    <numFmt numFmtId="206" formatCode="#,##0&quot; L&quot;"/>
    <numFmt numFmtId="207" formatCode="#,##0&quot; ℓ&quot;"/>
    <numFmt numFmtId="208" formatCode="#,##0&quot; m³&quot;"/>
    <numFmt numFmtId="209" formatCode="#,##0&quot; cm³&quot;"/>
    <numFmt numFmtId="210" formatCode="#,##0&quot; dm³&quot;"/>
    <numFmt numFmtId="211" formatCode="#,##0,&quot; k€&quot;"/>
    <numFmt numFmtId="212" formatCode="@\ *.\ \:"/>
    <numFmt numFmtId="213" formatCode="[$-40C]\ ddd\ dd\ mmm\ yy;@"/>
    <numFmt numFmtId="214" formatCode="dd/mm/yy;@"/>
    <numFmt numFmtId="215" formatCode="00000"/>
  </numFmts>
  <fonts count="4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4"/>
      <name val="Arial"/>
      <family val="2"/>
    </font>
    <font>
      <sz val="8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3"/>
      <name val="Calibri Light"/>
      <family val="2"/>
      <scheme val="major"/>
    </font>
    <font>
      <b/>
      <sz val="13"/>
      <color theme="3"/>
      <name val="Calibri Light"/>
      <family val="2"/>
      <scheme val="major"/>
    </font>
    <font>
      <b/>
      <sz val="11"/>
      <color theme="3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1"/>
      <color theme="1"/>
      <name val="Arial"/>
      <family val="2"/>
    </font>
    <font>
      <b/>
      <sz val="72"/>
      <color theme="1"/>
      <name val="Calibri"/>
      <family val="2"/>
      <scheme val="minor"/>
    </font>
    <font>
      <u/>
      <sz val="11"/>
      <color rgb="FF0563C1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000000"/>
      <name val="Aptos Narrow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i/>
      <sz val="8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trike/>
      <sz val="10"/>
      <name val="Arial"/>
      <family val="2"/>
    </font>
    <font>
      <strike/>
      <sz val="11"/>
      <color rgb="FF000000"/>
      <name val="Aptos Narrow"/>
      <family val="2"/>
    </font>
    <font>
      <strike/>
      <sz val="10"/>
      <color theme="4"/>
      <name val="Arial"/>
      <family val="2"/>
    </font>
    <font>
      <strike/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33FF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indexed="64"/>
      </left>
      <right style="thin">
        <color indexed="64"/>
      </right>
      <top style="medium">
        <color rgb="FF000000"/>
      </top>
      <bottom style="thick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ck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ck">
        <color indexed="64"/>
      </bottom>
      <diagonal/>
    </border>
    <border>
      <left style="thin">
        <color indexed="64"/>
      </left>
      <right/>
      <top style="medium">
        <color rgb="FF000000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theme="1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/>
      <right style="medium">
        <color rgb="FF000000"/>
      </right>
      <top style="thick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01">
    <xf numFmtId="0" fontId="0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6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203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5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208" fontId="6" fillId="0" borderId="0" applyFont="0" applyFill="0" applyBorder="0" applyAlignment="0" applyProtection="0"/>
    <xf numFmtId="209" fontId="6" fillId="0" borderId="0" applyFont="0" applyFill="0" applyBorder="0" applyAlignment="0" applyProtection="0"/>
    <xf numFmtId="210" fontId="6" fillId="0" borderId="0" applyFont="0" applyFill="0" applyBorder="0" applyAlignment="0" applyProtection="0"/>
    <xf numFmtId="211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1" fillId="0" borderId="0" applyFill="0" applyBorder="0">
      <alignment vertical="top"/>
    </xf>
    <xf numFmtId="0" fontId="3" fillId="0" borderId="0"/>
    <xf numFmtId="0" fontId="19" fillId="0" borderId="0" applyNumberFormat="0" applyFill="0" applyBorder="0" applyAlignment="0" applyProtection="0"/>
  </cellStyleXfs>
  <cellXfs count="3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/>
    </xf>
    <xf numFmtId="194" fontId="0" fillId="0" borderId="10" xfId="78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194" fontId="0" fillId="0" borderId="10" xfId="78" applyFont="1" applyBorder="1" applyAlignment="1">
      <alignment horizontal="center" vertical="center"/>
    </xf>
    <xf numFmtId="0" fontId="0" fillId="37" borderId="10" xfId="0" applyFill="1" applyBorder="1" applyAlignment="1">
      <alignment horizontal="center" vertical="center"/>
    </xf>
    <xf numFmtId="49" fontId="4" fillId="2" borderId="16" xfId="99" applyNumberFormat="1" applyFont="1" applyFill="1" applyBorder="1" applyAlignment="1" applyProtection="1">
      <alignment horizontal="center" vertical="center" wrapText="1"/>
      <protection locked="0"/>
    </xf>
    <xf numFmtId="0" fontId="19" fillId="0" borderId="16" xfId="100" applyBorder="1" applyAlignment="1">
      <alignment horizontal="center"/>
    </xf>
    <xf numFmtId="0" fontId="0" fillId="0" borderId="16" xfId="0" applyBorder="1"/>
    <xf numFmtId="14" fontId="0" fillId="0" borderId="16" xfId="0" applyNumberFormat="1" applyBorder="1"/>
    <xf numFmtId="0" fontId="0" fillId="0" borderId="16" xfId="0" applyBorder="1" applyAlignment="1">
      <alignment horizontal="center"/>
    </xf>
    <xf numFmtId="0" fontId="19" fillId="0" borderId="17" xfId="100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0" fillId="37" borderId="0" xfId="0" applyFill="1" applyAlignment="1">
      <alignment horizontal="center" vertical="center"/>
    </xf>
    <xf numFmtId="0" fontId="32" fillId="37" borderId="16" xfId="0" applyFont="1" applyFill="1" applyBorder="1" applyAlignment="1">
      <alignment horizontal="center" vertical="center"/>
    </xf>
    <xf numFmtId="164" fontId="3" fillId="2" borderId="23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2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64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194" fontId="3" fillId="2" borderId="16" xfId="78" applyFont="1" applyFill="1" applyBorder="1" applyAlignment="1" applyProtection="1">
      <alignment horizontal="center" vertical="center" wrapText="1"/>
      <protection locked="0"/>
    </xf>
    <xf numFmtId="0" fontId="21" fillId="2" borderId="16" xfId="0" applyFont="1" applyFill="1" applyBorder="1" applyAlignment="1" applyProtection="1">
      <alignment horizontal="center" vertical="center" wrapText="1"/>
      <protection locked="0"/>
    </xf>
    <xf numFmtId="194" fontId="3" fillId="2" borderId="17" xfId="78" applyFont="1" applyFill="1" applyBorder="1" applyAlignment="1" applyProtection="1">
      <alignment horizontal="center" vertical="center" wrapText="1"/>
      <protection locked="0"/>
    </xf>
    <xf numFmtId="0" fontId="21" fillId="2" borderId="17" xfId="0" applyFont="1" applyFill="1" applyBorder="1" applyAlignment="1" applyProtection="1">
      <alignment horizontal="center" vertical="center" wrapText="1"/>
      <protection locked="0"/>
    </xf>
    <xf numFmtId="164" fontId="3" fillId="2" borderId="32" xfId="0" applyNumberFormat="1" applyFont="1" applyFill="1" applyBorder="1" applyAlignment="1" applyProtection="1">
      <alignment horizontal="center" vertical="center" wrapText="1"/>
      <protection locked="0"/>
    </xf>
    <xf numFmtId="14" fontId="3" fillId="40" borderId="16" xfId="0" applyNumberFormat="1" applyFont="1" applyFill="1" applyBorder="1" applyAlignment="1">
      <alignment horizontal="center" vertical="center"/>
    </xf>
    <xf numFmtId="14" fontId="3" fillId="40" borderId="17" xfId="0" applyNumberFormat="1" applyFont="1" applyFill="1" applyBorder="1" applyAlignment="1">
      <alignment horizontal="center" vertical="center"/>
    </xf>
    <xf numFmtId="164" fontId="3" fillId="2" borderId="35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3" xfId="0" applyFont="1" applyFill="1" applyBorder="1" applyAlignment="1" applyProtection="1">
      <alignment horizontal="center" vertical="center" wrapText="1"/>
      <protection locked="0"/>
    </xf>
    <xf numFmtId="0" fontId="3" fillId="2" borderId="45" xfId="0" applyFont="1" applyFill="1" applyBorder="1" applyAlignment="1" applyProtection="1">
      <alignment horizontal="center" vertical="center" wrapText="1"/>
      <protection locked="0"/>
    </xf>
    <xf numFmtId="164" fontId="3" fillId="2" borderId="45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46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2" xfId="0" applyFont="1" applyFill="1" applyBorder="1" applyAlignment="1" applyProtection="1">
      <alignment horizontal="center" vertical="center"/>
      <protection locked="0"/>
    </xf>
    <xf numFmtId="14" fontId="21" fillId="2" borderId="35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14" fontId="21" fillId="2" borderId="24" xfId="0" applyNumberFormat="1" applyFont="1" applyFill="1" applyBorder="1" applyAlignment="1" applyProtection="1">
      <alignment horizontal="center" vertical="center" wrapText="1"/>
      <protection locked="0"/>
    </xf>
    <xf numFmtId="194" fontId="3" fillId="2" borderId="32" xfId="78" applyFont="1" applyFill="1" applyBorder="1" applyAlignment="1" applyProtection="1">
      <alignment horizontal="center" vertical="center" wrapText="1"/>
      <protection locked="0"/>
    </xf>
    <xf numFmtId="194" fontId="3" fillId="2" borderId="23" xfId="78" applyFont="1" applyFill="1" applyBorder="1" applyAlignment="1" applyProtection="1">
      <alignment horizontal="center" vertical="center" wrapText="1"/>
      <protection locked="0"/>
    </xf>
    <xf numFmtId="194" fontId="3" fillId="2" borderId="43" xfId="78" applyFont="1" applyFill="1" applyBorder="1" applyAlignment="1" applyProtection="1">
      <alignment horizontal="center" vertical="center" wrapText="1"/>
      <protection locked="0"/>
    </xf>
    <xf numFmtId="194" fontId="3" fillId="2" borderId="44" xfId="78" applyFont="1" applyFill="1" applyBorder="1" applyAlignment="1" applyProtection="1">
      <alignment horizontal="center" vertical="center" wrapText="1"/>
      <protection locked="0"/>
    </xf>
    <xf numFmtId="14" fontId="3" fillId="40" borderId="32" xfId="0" applyNumberFormat="1" applyFont="1" applyFill="1" applyBorder="1" applyAlignment="1">
      <alignment horizontal="center" vertical="center"/>
    </xf>
    <xf numFmtId="14" fontId="3" fillId="40" borderId="23" xfId="0" applyNumberFormat="1" applyFont="1" applyFill="1" applyBorder="1" applyAlignment="1">
      <alignment horizontal="center" vertical="center"/>
    </xf>
    <xf numFmtId="0" fontId="21" fillId="2" borderId="26" xfId="0" applyFont="1" applyFill="1" applyBorder="1" applyAlignment="1" applyProtection="1">
      <alignment horizontal="center" vertical="center" wrapText="1"/>
      <protection locked="0"/>
    </xf>
    <xf numFmtId="0" fontId="21" fillId="2" borderId="28" xfId="0" applyFont="1" applyFill="1" applyBorder="1" applyAlignment="1" applyProtection="1">
      <alignment horizontal="center" vertical="center" wrapText="1"/>
      <protection locked="0"/>
    </xf>
    <xf numFmtId="0" fontId="21" fillId="2" borderId="27" xfId="0" applyFont="1" applyFill="1" applyBorder="1" applyAlignment="1" applyProtection="1">
      <alignment horizontal="center" vertical="center" wrapText="1"/>
      <protection locked="0"/>
    </xf>
    <xf numFmtId="0" fontId="21" fillId="2" borderId="29" xfId="0" applyFont="1" applyFill="1" applyBorder="1" applyAlignment="1" applyProtection="1">
      <alignment horizontal="center" vertical="center" wrapText="1"/>
      <protection locked="0"/>
    </xf>
    <xf numFmtId="0" fontId="3" fillId="40" borderId="26" xfId="0" applyFont="1" applyFill="1" applyBorder="1" applyAlignment="1">
      <alignment horizontal="center" vertical="center"/>
    </xf>
    <xf numFmtId="164" fontId="4" fillId="0" borderId="21" xfId="0" applyNumberFormat="1" applyFont="1" applyBorder="1" applyAlignment="1" applyProtection="1">
      <alignment horizontal="center" vertical="center" wrapText="1"/>
      <protection locked="0"/>
    </xf>
    <xf numFmtId="164" fontId="4" fillId="40" borderId="47" xfId="0" applyNumberFormat="1" applyFont="1" applyFill="1" applyBorder="1" applyAlignment="1">
      <alignment horizontal="center" vertical="center" wrapText="1"/>
    </xf>
    <xf numFmtId="164" fontId="4" fillId="0" borderId="48" xfId="0" applyNumberFormat="1" applyFont="1" applyBorder="1" applyAlignment="1" applyProtection="1">
      <alignment horizontal="center" vertical="center" wrapText="1"/>
      <protection locked="0"/>
    </xf>
    <xf numFmtId="164" fontId="4" fillId="40" borderId="31" xfId="0" applyNumberFormat="1" applyFont="1" applyFill="1" applyBorder="1" applyAlignment="1">
      <alignment horizontal="center" vertical="center" wrapText="1"/>
    </xf>
    <xf numFmtId="164" fontId="4" fillId="40" borderId="21" xfId="0" applyNumberFormat="1" applyFont="1" applyFill="1" applyBorder="1" applyAlignment="1">
      <alignment horizontal="center" vertical="center" wrapText="1"/>
    </xf>
    <xf numFmtId="164" fontId="4" fillId="0" borderId="49" xfId="0" applyNumberFormat="1" applyFont="1" applyBorder="1" applyAlignment="1" applyProtection="1">
      <alignment horizontal="center" vertical="center" wrapText="1"/>
      <protection locked="0"/>
    </xf>
    <xf numFmtId="164" fontId="4" fillId="40" borderId="20" xfId="0" applyNumberFormat="1" applyFont="1" applyFill="1" applyBorder="1" applyAlignment="1">
      <alignment horizontal="center" vertical="center" wrapText="1"/>
    </xf>
    <xf numFmtId="0" fontId="0" fillId="0" borderId="47" xfId="0" applyBorder="1" applyAlignment="1" applyProtection="1">
      <alignment horizontal="center" vertical="center" textRotation="90"/>
      <protection locked="0"/>
    </xf>
    <xf numFmtId="0" fontId="0" fillId="0" borderId="21" xfId="0" applyBorder="1" applyAlignment="1" applyProtection="1">
      <alignment horizontal="center" vertical="center" textRotation="90"/>
      <protection locked="0"/>
    </xf>
    <xf numFmtId="0" fontId="0" fillId="0" borderId="48" xfId="0" applyBorder="1" applyAlignment="1" applyProtection="1">
      <alignment horizontal="center" vertical="center" textRotation="90"/>
      <protection locked="0"/>
    </xf>
    <xf numFmtId="0" fontId="3" fillId="0" borderId="52" xfId="0" applyFont="1" applyBorder="1" applyAlignment="1" applyProtection="1">
      <alignment horizontal="center" vertical="center"/>
      <protection locked="0"/>
    </xf>
    <xf numFmtId="164" fontId="3" fillId="2" borderId="25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34" xfId="0" applyNumberFormat="1" applyFont="1" applyFill="1" applyBorder="1" applyAlignment="1" applyProtection="1">
      <alignment horizontal="center" vertical="center" wrapText="1"/>
      <protection locked="0"/>
    </xf>
    <xf numFmtId="164" fontId="3" fillId="40" borderId="53" xfId="0" applyNumberFormat="1" applyFont="1" applyFill="1" applyBorder="1" applyAlignment="1">
      <alignment horizontal="center" vertical="center"/>
    </xf>
    <xf numFmtId="164" fontId="3" fillId="2" borderId="33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5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2" xfId="0" applyFont="1" applyFill="1" applyBorder="1" applyAlignment="1" applyProtection="1">
      <alignment horizontal="center" vertical="center" wrapText="1"/>
      <protection locked="0"/>
    </xf>
    <xf numFmtId="0" fontId="3" fillId="2" borderId="54" xfId="0" applyFont="1" applyFill="1" applyBorder="1" applyAlignment="1" applyProtection="1">
      <alignment horizontal="center" vertical="center" wrapText="1"/>
      <protection locked="0"/>
    </xf>
    <xf numFmtId="164" fontId="3" fillId="38" borderId="54" xfId="0" applyNumberFormat="1" applyFont="1" applyFill="1" applyBorder="1" applyAlignment="1" applyProtection="1">
      <alignment horizontal="center" vertical="center" wrapText="1"/>
      <protection locked="0"/>
    </xf>
    <xf numFmtId="164" fontId="3" fillId="38" borderId="51" xfId="0" applyNumberFormat="1" applyFont="1" applyFill="1" applyBorder="1" applyAlignment="1" applyProtection="1">
      <alignment horizontal="center" vertical="center" wrapText="1"/>
      <protection locked="0"/>
    </xf>
    <xf numFmtId="164" fontId="3" fillId="38" borderId="5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51" xfId="0" applyFont="1" applyFill="1" applyBorder="1" applyAlignment="1" applyProtection="1">
      <alignment horizontal="center" vertical="center"/>
      <protection locked="0"/>
    </xf>
    <xf numFmtId="194" fontId="3" fillId="2" borderId="25" xfId="78" applyFont="1" applyFill="1" applyBorder="1" applyAlignment="1" applyProtection="1">
      <alignment horizontal="center" vertical="center" wrapText="1"/>
      <protection locked="0"/>
    </xf>
    <xf numFmtId="14" fontId="3" fillId="40" borderId="25" xfId="0" applyNumberFormat="1" applyFont="1" applyFill="1" applyBorder="1" applyAlignment="1">
      <alignment horizontal="center" vertical="center"/>
    </xf>
    <xf numFmtId="14" fontId="21" fillId="2" borderId="52" xfId="0" applyNumberFormat="1" applyFont="1" applyFill="1" applyBorder="1" applyAlignment="1" applyProtection="1">
      <alignment horizontal="center" vertical="center" wrapText="1"/>
      <protection locked="0"/>
    </xf>
    <xf numFmtId="194" fontId="3" fillId="2" borderId="42" xfId="78" applyFont="1" applyFill="1" applyBorder="1" applyAlignment="1" applyProtection="1">
      <alignment horizontal="center" vertical="center" wrapText="1"/>
      <protection locked="0"/>
    </xf>
    <xf numFmtId="194" fontId="3" fillId="2" borderId="51" xfId="78" applyFont="1" applyFill="1" applyBorder="1" applyAlignment="1" applyProtection="1">
      <alignment horizontal="center" vertical="center" wrapText="1"/>
      <protection locked="0"/>
    </xf>
    <xf numFmtId="14" fontId="3" fillId="40" borderId="51" xfId="0" applyNumberFormat="1" applyFont="1" applyFill="1" applyBorder="1" applyAlignment="1">
      <alignment horizontal="center" vertical="center"/>
    </xf>
    <xf numFmtId="0" fontId="21" fillId="2" borderId="33" xfId="0" applyFont="1" applyFill="1" applyBorder="1" applyAlignment="1" applyProtection="1">
      <alignment horizontal="center" vertical="center" wrapText="1"/>
      <protection locked="0"/>
    </xf>
    <xf numFmtId="0" fontId="21" fillId="2" borderId="25" xfId="0" applyFont="1" applyFill="1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164" fontId="22" fillId="0" borderId="51" xfId="0" applyNumberFormat="1" applyFont="1" applyBorder="1" applyAlignment="1" applyProtection="1">
      <alignment horizontal="center" vertical="center"/>
      <protection locked="0"/>
    </xf>
    <xf numFmtId="164" fontId="3" fillId="2" borderId="52" xfId="0" applyNumberFormat="1" applyFont="1" applyFill="1" applyBorder="1" applyAlignment="1" applyProtection="1">
      <alignment horizontal="center" vertical="center"/>
      <protection locked="0"/>
    </xf>
    <xf numFmtId="0" fontId="3" fillId="0" borderId="53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locked="0"/>
    </xf>
    <xf numFmtId="164" fontId="3" fillId="2" borderId="41" xfId="0" applyNumberFormat="1" applyFont="1" applyFill="1" applyBorder="1" applyAlignment="1" applyProtection="1">
      <alignment horizontal="center" vertical="center" wrapText="1"/>
      <protection locked="0"/>
    </xf>
    <xf numFmtId="14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42" xfId="0" applyNumberFormat="1" applyFont="1" applyFill="1" applyBorder="1" applyAlignment="1" applyProtection="1">
      <alignment horizontal="center" vertical="center"/>
      <protection locked="0"/>
    </xf>
    <xf numFmtId="0" fontId="3" fillId="2" borderId="43" xfId="0" applyFont="1" applyFill="1" applyBorder="1" applyAlignment="1" applyProtection="1">
      <alignment horizontal="center" vertical="center"/>
      <protection locked="0"/>
    </xf>
    <xf numFmtId="0" fontId="3" fillId="2" borderId="42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center"/>
    </xf>
    <xf numFmtId="0" fontId="3" fillId="40" borderId="17" xfId="0" applyFont="1" applyFill="1" applyBorder="1" applyAlignment="1">
      <alignment horizontal="center" vertical="center"/>
    </xf>
    <xf numFmtId="14" fontId="3" fillId="2" borderId="23" xfId="0" applyNumberFormat="1" applyFont="1" applyFill="1" applyBorder="1" applyAlignment="1" applyProtection="1">
      <alignment horizontal="center" vertical="center"/>
      <protection locked="0"/>
    </xf>
    <xf numFmtId="164" fontId="4" fillId="39" borderId="47" xfId="0" applyNumberFormat="1" applyFont="1" applyFill="1" applyBorder="1" applyAlignment="1" applyProtection="1">
      <alignment horizontal="center" vertical="center" wrapText="1"/>
      <protection locked="0"/>
    </xf>
    <xf numFmtId="164" fontId="4" fillId="39" borderId="22" xfId="0" applyNumberFormat="1" applyFont="1" applyFill="1" applyBorder="1" applyAlignment="1" applyProtection="1">
      <alignment horizontal="center" vertical="center" wrapText="1"/>
      <protection locked="0"/>
    </xf>
    <xf numFmtId="164" fontId="4" fillId="39" borderId="21" xfId="0" applyNumberFormat="1" applyFont="1" applyFill="1" applyBorder="1" applyAlignment="1" applyProtection="1">
      <alignment horizontal="center" vertical="center" wrapText="1"/>
      <protection locked="0"/>
    </xf>
    <xf numFmtId="164" fontId="4" fillId="39" borderId="47" xfId="0" applyNumberFormat="1" applyFont="1" applyFill="1" applyBorder="1" applyAlignment="1" applyProtection="1">
      <alignment horizontal="center" vertical="center" textRotation="90"/>
      <protection locked="0"/>
    </xf>
    <xf numFmtId="164" fontId="4" fillId="39" borderId="21" xfId="0" applyNumberFormat="1" applyFont="1" applyFill="1" applyBorder="1" applyAlignment="1" applyProtection="1">
      <alignment horizontal="center" vertical="center" textRotation="90"/>
      <protection locked="0"/>
    </xf>
    <xf numFmtId="164" fontId="4" fillId="39" borderId="22" xfId="0" applyNumberFormat="1" applyFont="1" applyFill="1" applyBorder="1" applyAlignment="1" applyProtection="1">
      <alignment horizontal="center" vertical="center" textRotation="90"/>
      <protection locked="0"/>
    </xf>
    <xf numFmtId="164" fontId="4" fillId="39" borderId="49" xfId="0" applyNumberFormat="1" applyFont="1" applyFill="1" applyBorder="1" applyAlignment="1" applyProtection="1">
      <alignment horizontal="center" vertical="center" textRotation="90"/>
      <protection locked="0"/>
    </xf>
    <xf numFmtId="164" fontId="4" fillId="39" borderId="50" xfId="0" applyNumberFormat="1" applyFont="1" applyFill="1" applyBorder="1" applyAlignment="1" applyProtection="1">
      <alignment horizontal="center" vertical="center" textRotation="90"/>
      <protection locked="0"/>
    </xf>
    <xf numFmtId="164" fontId="4" fillId="39" borderId="20" xfId="0" applyNumberFormat="1" applyFont="1" applyFill="1" applyBorder="1" applyAlignment="1" applyProtection="1">
      <alignment horizontal="center" vertical="center" textRotation="90"/>
      <protection locked="0"/>
    </xf>
    <xf numFmtId="164" fontId="4" fillId="39" borderId="49" xfId="0" applyNumberFormat="1" applyFont="1" applyFill="1" applyBorder="1" applyAlignment="1" applyProtection="1">
      <alignment horizontal="center" vertical="center" wrapText="1"/>
      <protection locked="0"/>
    </xf>
    <xf numFmtId="164" fontId="4" fillId="41" borderId="20" xfId="0" applyNumberFormat="1" applyFont="1" applyFill="1" applyBorder="1" applyAlignment="1" applyProtection="1">
      <alignment horizontal="center" vertical="center" wrapText="1"/>
      <protection locked="0"/>
    </xf>
    <xf numFmtId="164" fontId="4" fillId="41" borderId="22" xfId="0" applyNumberFormat="1" applyFont="1" applyFill="1" applyBorder="1" applyAlignment="1" applyProtection="1">
      <alignment horizontal="center" vertical="center" wrapText="1"/>
      <protection locked="0"/>
    </xf>
    <xf numFmtId="164" fontId="4" fillId="42" borderId="22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49" xfId="0" applyFont="1" applyBorder="1" applyAlignment="1">
      <alignment horizontal="center" vertical="center"/>
    </xf>
    <xf numFmtId="14" fontId="3" fillId="2" borderId="32" xfId="0" applyNumberFormat="1" applyFont="1" applyFill="1" applyBorder="1" applyAlignment="1" applyProtection="1">
      <alignment horizontal="center" vertical="center"/>
      <protection locked="0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4" fillId="36" borderId="58" xfId="0" applyFont="1" applyFill="1" applyBorder="1" applyAlignment="1">
      <alignment horizontal="centerContinuous" vertical="center"/>
    </xf>
    <xf numFmtId="0" fontId="23" fillId="36" borderId="59" xfId="0" applyFont="1" applyFill="1" applyBorder="1" applyAlignment="1">
      <alignment horizontal="centerContinuous" vertical="center"/>
    </xf>
    <xf numFmtId="0" fontId="23" fillId="35" borderId="69" xfId="0" applyFont="1" applyFill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29" fillId="0" borderId="62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4" fillId="36" borderId="72" xfId="0" applyFont="1" applyFill="1" applyBorder="1" applyAlignment="1">
      <alignment horizontal="centerContinuous" vertical="center"/>
    </xf>
    <xf numFmtId="164" fontId="4" fillId="42" borderId="77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 applyProtection="1">
      <alignment horizontal="center" vertical="center"/>
      <protection locked="0"/>
    </xf>
    <xf numFmtId="164" fontId="4" fillId="39" borderId="20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78" xfId="0" applyNumberFormat="1" applyFont="1" applyFill="1" applyBorder="1" applyAlignment="1" applyProtection="1">
      <alignment horizontal="center" vertical="center"/>
      <protection locked="0"/>
    </xf>
    <xf numFmtId="14" fontId="3" fillId="2" borderId="79" xfId="0" applyNumberFormat="1" applyFont="1" applyFill="1" applyBorder="1" applyAlignment="1" applyProtection="1">
      <alignment horizontal="center" vertical="center"/>
      <protection locked="0"/>
    </xf>
    <xf numFmtId="14" fontId="3" fillId="2" borderId="52" xfId="0" applyNumberFormat="1" applyFont="1" applyFill="1" applyBorder="1" applyAlignment="1" applyProtection="1">
      <alignment horizontal="center" vertical="center"/>
      <protection locked="0"/>
    </xf>
    <xf numFmtId="14" fontId="33" fillId="0" borderId="32" xfId="0" applyNumberFormat="1" applyFont="1" applyBorder="1"/>
    <xf numFmtId="14" fontId="3" fillId="2" borderId="80" xfId="0" applyNumberFormat="1" applyFont="1" applyFill="1" applyBorder="1" applyAlignment="1">
      <alignment horizontal="center" vertical="center"/>
    </xf>
    <xf numFmtId="14" fontId="3" fillId="2" borderId="24" xfId="0" applyNumberFormat="1" applyFont="1" applyFill="1" applyBorder="1" applyAlignment="1" applyProtection="1">
      <alignment horizontal="center" vertical="center"/>
      <protection locked="0"/>
    </xf>
    <xf numFmtId="164" fontId="4" fillId="39" borderId="48" xfId="0" applyNumberFormat="1" applyFont="1" applyFill="1" applyBorder="1" applyAlignment="1" applyProtection="1">
      <alignment horizontal="center" vertical="center" textRotation="90"/>
      <protection locked="0"/>
    </xf>
    <xf numFmtId="164" fontId="3" fillId="2" borderId="29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81" xfId="0" applyNumberFormat="1" applyFont="1" applyFill="1" applyBorder="1" applyAlignment="1" applyProtection="1">
      <alignment horizontal="center" vertical="center"/>
      <protection locked="0"/>
    </xf>
    <xf numFmtId="14" fontId="3" fillId="2" borderId="82" xfId="0" applyNumberFormat="1" applyFont="1" applyFill="1" applyBorder="1" applyAlignment="1" applyProtection="1">
      <alignment horizontal="center" vertical="center"/>
      <protection locked="0"/>
    </xf>
    <xf numFmtId="14" fontId="3" fillId="40" borderId="31" xfId="0" applyNumberFormat="1" applyFont="1" applyFill="1" applyBorder="1" applyAlignment="1">
      <alignment horizontal="center" vertical="center"/>
    </xf>
    <xf numFmtId="14" fontId="3" fillId="2" borderId="17" xfId="0" applyNumberFormat="1" applyFont="1" applyFill="1" applyBorder="1" applyAlignment="1" applyProtection="1">
      <alignment horizontal="center" vertical="center"/>
      <protection locked="0"/>
    </xf>
    <xf numFmtId="164" fontId="38" fillId="43" borderId="20" xfId="0" applyNumberFormat="1" applyFont="1" applyFill="1" applyBorder="1" applyAlignment="1" applyProtection="1">
      <alignment horizontal="center" vertical="center" wrapText="1"/>
      <protection locked="0"/>
    </xf>
    <xf numFmtId="164" fontId="38" fillId="0" borderId="48" xfId="0" applyNumberFormat="1" applyFont="1" applyBorder="1" applyAlignment="1" applyProtection="1">
      <alignment horizontal="center" vertical="center" wrapText="1"/>
      <protection locked="0"/>
    </xf>
    <xf numFmtId="164" fontId="4" fillId="40" borderId="50" xfId="0" applyNumberFormat="1" applyFont="1" applyFill="1" applyBorder="1" applyAlignment="1" applyProtection="1">
      <alignment horizontal="center" vertical="center" textRotation="90"/>
      <protection locked="0"/>
    </xf>
    <xf numFmtId="164" fontId="3" fillId="40" borderId="45" xfId="0" applyNumberFormat="1" applyFont="1" applyFill="1" applyBorder="1" applyAlignment="1" applyProtection="1">
      <alignment horizontal="center" vertical="center" wrapText="1"/>
      <protection locked="0"/>
    </xf>
    <xf numFmtId="164" fontId="3" fillId="40" borderId="46" xfId="0" applyNumberFormat="1" applyFont="1" applyFill="1" applyBorder="1" applyAlignment="1" applyProtection="1">
      <alignment horizontal="center" vertical="center" wrapText="1"/>
      <protection locked="0"/>
    </xf>
    <xf numFmtId="164" fontId="3" fillId="40" borderId="41" xfId="0" applyNumberFormat="1" applyFont="1" applyFill="1" applyBorder="1" applyAlignment="1" applyProtection="1">
      <alignment horizontal="center" vertical="center" wrapText="1"/>
      <protection locked="0"/>
    </xf>
    <xf numFmtId="164" fontId="4" fillId="40" borderId="49" xfId="0" applyNumberFormat="1" applyFont="1" applyFill="1" applyBorder="1" applyAlignment="1" applyProtection="1">
      <alignment horizontal="center" vertical="center" wrapText="1"/>
      <protection locked="0"/>
    </xf>
    <xf numFmtId="14" fontId="33" fillId="40" borderId="0" xfId="0" applyNumberFormat="1" applyFont="1" applyFill="1" applyAlignment="1">
      <alignment horizontal="center"/>
    </xf>
    <xf numFmtId="14" fontId="34" fillId="40" borderId="43" xfId="0" applyNumberFormat="1" applyFont="1" applyFill="1" applyBorder="1" applyAlignment="1" applyProtection="1">
      <alignment horizontal="center" vertical="center"/>
      <protection locked="0"/>
    </xf>
    <xf numFmtId="14" fontId="33" fillId="40" borderId="43" xfId="0" applyNumberFormat="1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 vertical="center" wrapText="1"/>
    </xf>
    <xf numFmtId="164" fontId="4" fillId="39" borderId="48" xfId="0" applyNumberFormat="1" applyFont="1" applyFill="1" applyBorder="1" applyAlignment="1" applyProtection="1">
      <alignment horizontal="center" vertical="center" wrapText="1"/>
      <protection locked="0"/>
    </xf>
    <xf numFmtId="164" fontId="4" fillId="42" borderId="20" xfId="0" applyNumberFormat="1" applyFont="1" applyFill="1" applyBorder="1" applyAlignment="1" applyProtection="1">
      <alignment horizontal="center" vertical="center" wrapText="1"/>
      <protection locked="0"/>
    </xf>
    <xf numFmtId="0" fontId="24" fillId="36" borderId="69" xfId="0" applyFont="1" applyFill="1" applyBorder="1" applyAlignment="1">
      <alignment horizontal="centerContinuous" vertical="center"/>
    </xf>
    <xf numFmtId="0" fontId="23" fillId="36" borderId="87" xfId="0" applyFont="1" applyFill="1" applyBorder="1" applyAlignment="1">
      <alignment horizontal="centerContinuous" vertical="center"/>
    </xf>
    <xf numFmtId="14" fontId="33" fillId="40" borderId="43" xfId="0" applyNumberFormat="1" applyFont="1" applyFill="1" applyBorder="1" applyAlignment="1">
      <alignment horizontal="center" vertical="center"/>
    </xf>
    <xf numFmtId="14" fontId="33" fillId="0" borderId="32" xfId="0" applyNumberFormat="1" applyFont="1" applyBorder="1" applyAlignment="1">
      <alignment vertical="center"/>
    </xf>
    <xf numFmtId="214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4" xfId="0" applyFont="1" applyFill="1" applyBorder="1" applyAlignment="1" applyProtection="1">
      <alignment horizontal="center" vertical="center" wrapText="1"/>
      <protection locked="0"/>
    </xf>
    <xf numFmtId="164" fontId="4" fillId="37" borderId="49" xfId="0" applyNumberFormat="1" applyFont="1" applyFill="1" applyBorder="1" applyAlignment="1" applyProtection="1">
      <alignment horizontal="center" vertical="center" wrapText="1"/>
      <protection locked="0"/>
    </xf>
    <xf numFmtId="0" fontId="3" fillId="37" borderId="42" xfId="0" applyFont="1" applyFill="1" applyBorder="1" applyAlignment="1" applyProtection="1">
      <alignment horizontal="center" vertical="center"/>
      <protection locked="0"/>
    </xf>
    <xf numFmtId="14" fontId="3" fillId="37" borderId="42" xfId="0" applyNumberFormat="1" applyFont="1" applyFill="1" applyBorder="1" applyAlignment="1" applyProtection="1">
      <alignment horizontal="center" vertical="center"/>
      <protection locked="0"/>
    </xf>
    <xf numFmtId="0" fontId="3" fillId="37" borderId="43" xfId="0" applyFont="1" applyFill="1" applyBorder="1" applyAlignment="1" applyProtection="1">
      <alignment horizontal="center" vertical="center"/>
      <protection locked="0"/>
    </xf>
    <xf numFmtId="14" fontId="3" fillId="37" borderId="43" xfId="0" applyNumberFormat="1" applyFont="1" applyFill="1" applyBorder="1" applyAlignment="1" applyProtection="1">
      <alignment horizontal="center" vertical="center"/>
      <protection locked="0"/>
    </xf>
    <xf numFmtId="0" fontId="33" fillId="37" borderId="43" xfId="0" applyFont="1" applyFill="1" applyBorder="1" applyAlignment="1">
      <alignment vertical="center"/>
    </xf>
    <xf numFmtId="0" fontId="33" fillId="37" borderId="43" xfId="0" applyFont="1" applyFill="1" applyBorder="1"/>
    <xf numFmtId="14" fontId="33" fillId="37" borderId="43" xfId="0" applyNumberFormat="1" applyFont="1" applyFill="1" applyBorder="1"/>
    <xf numFmtId="0" fontId="33" fillId="37" borderId="43" xfId="0" applyFont="1" applyFill="1" applyBorder="1" applyAlignment="1">
      <alignment horizontal="center"/>
    </xf>
    <xf numFmtId="0" fontId="33" fillId="37" borderId="44" xfId="0" applyFont="1" applyFill="1" applyBorder="1" applyAlignment="1">
      <alignment vertical="center"/>
    </xf>
    <xf numFmtId="0" fontId="33" fillId="37" borderId="44" xfId="0" applyFont="1" applyFill="1" applyBorder="1"/>
    <xf numFmtId="14" fontId="33" fillId="37" borderId="44" xfId="0" applyNumberFormat="1" applyFont="1" applyFill="1" applyBorder="1"/>
    <xf numFmtId="0" fontId="33" fillId="37" borderId="44" xfId="0" applyFont="1" applyFill="1" applyBorder="1" applyAlignment="1">
      <alignment horizontal="center"/>
    </xf>
    <xf numFmtId="0" fontId="3" fillId="37" borderId="28" xfId="0" applyFont="1" applyFill="1" applyBorder="1" applyAlignment="1" applyProtection="1">
      <alignment horizontal="center" vertical="center"/>
      <protection locked="0"/>
    </xf>
    <xf numFmtId="14" fontId="3" fillId="37" borderId="28" xfId="0" applyNumberFormat="1" applyFont="1" applyFill="1" applyBorder="1" applyAlignment="1" applyProtection="1">
      <alignment horizontal="center" vertical="center"/>
      <protection locked="0"/>
    </xf>
    <xf numFmtId="0" fontId="33" fillId="37" borderId="44" xfId="0" applyFont="1" applyFill="1" applyBorder="1" applyAlignment="1" applyProtection="1">
      <alignment horizontal="center" vertical="center"/>
      <protection locked="0"/>
    </xf>
    <xf numFmtId="14" fontId="33" fillId="37" borderId="44" xfId="0" applyNumberFormat="1" applyFont="1" applyFill="1" applyBorder="1" applyAlignment="1" applyProtection="1">
      <alignment horizontal="center" vertical="center"/>
      <protection locked="0"/>
    </xf>
    <xf numFmtId="0" fontId="33" fillId="37" borderId="44" xfId="0" applyFont="1" applyFill="1" applyBorder="1" applyAlignment="1" applyProtection="1">
      <alignment horizontal="center"/>
      <protection locked="0"/>
    </xf>
    <xf numFmtId="0" fontId="30" fillId="39" borderId="56" xfId="0" applyFont="1" applyFill="1" applyBorder="1" applyAlignment="1">
      <alignment vertical="center"/>
    </xf>
    <xf numFmtId="0" fontId="30" fillId="39" borderId="0" xfId="0" applyFont="1" applyFill="1" applyAlignment="1">
      <alignment vertical="center"/>
    </xf>
    <xf numFmtId="0" fontId="30" fillId="39" borderId="39" xfId="0" applyFont="1" applyFill="1" applyBorder="1" applyAlignment="1">
      <alignment vertical="center"/>
    </xf>
    <xf numFmtId="0" fontId="33" fillId="37" borderId="0" xfId="0" applyFont="1" applyFill="1" applyAlignment="1">
      <alignment vertical="center"/>
    </xf>
    <xf numFmtId="0" fontId="33" fillId="37" borderId="0" xfId="0" applyFont="1" applyFill="1"/>
    <xf numFmtId="14" fontId="33" fillId="37" borderId="0" xfId="0" applyNumberFormat="1" applyFont="1" applyFill="1"/>
    <xf numFmtId="0" fontId="40" fillId="0" borderId="17" xfId="0" applyFont="1" applyBorder="1" applyAlignment="1" applyProtection="1">
      <alignment horizontal="center" vertical="center"/>
      <protection locked="0"/>
    </xf>
    <xf numFmtId="0" fontId="40" fillId="40" borderId="17" xfId="0" applyFont="1" applyFill="1" applyBorder="1" applyAlignment="1">
      <alignment horizontal="center" vertical="center"/>
    </xf>
    <xf numFmtId="164" fontId="40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40" fillId="40" borderId="53" xfId="0" applyNumberFormat="1" applyFont="1" applyFill="1" applyBorder="1" applyAlignment="1">
      <alignment horizontal="center" vertical="center"/>
    </xf>
    <xf numFmtId="164" fontId="40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40" fillId="2" borderId="17" xfId="0" applyFont="1" applyFill="1" applyBorder="1" applyAlignment="1" applyProtection="1">
      <alignment horizontal="center" vertical="center" wrapText="1"/>
      <protection locked="0"/>
    </xf>
    <xf numFmtId="164" fontId="40" fillId="2" borderId="41" xfId="0" applyNumberFormat="1" applyFont="1" applyFill="1" applyBorder="1" applyAlignment="1" applyProtection="1">
      <alignment horizontal="center" vertical="center" wrapText="1"/>
      <protection locked="0"/>
    </xf>
    <xf numFmtId="164" fontId="40" fillId="40" borderId="41" xfId="0" applyNumberFormat="1" applyFont="1" applyFill="1" applyBorder="1" applyAlignment="1" applyProtection="1">
      <alignment horizontal="center" vertical="center" wrapText="1"/>
      <protection locked="0"/>
    </xf>
    <xf numFmtId="214" fontId="40" fillId="2" borderId="23" xfId="0" applyNumberFormat="1" applyFont="1" applyFill="1" applyBorder="1" applyAlignment="1" applyProtection="1">
      <alignment horizontal="center" vertical="center"/>
      <protection locked="0"/>
    </xf>
    <xf numFmtId="14" fontId="40" fillId="2" borderId="17" xfId="0" applyNumberFormat="1" applyFont="1" applyFill="1" applyBorder="1" applyAlignment="1" applyProtection="1">
      <alignment horizontal="center" vertical="center"/>
      <protection locked="0"/>
    </xf>
    <xf numFmtId="0" fontId="41" fillId="37" borderId="44" xfId="0" applyFont="1" applyFill="1" applyBorder="1" applyAlignment="1" applyProtection="1">
      <alignment horizontal="center" vertical="center"/>
      <protection locked="0"/>
    </xf>
    <xf numFmtId="14" fontId="41" fillId="37" borderId="44" xfId="0" applyNumberFormat="1" applyFont="1" applyFill="1" applyBorder="1" applyAlignment="1" applyProtection="1">
      <alignment horizontal="center" vertical="center"/>
      <protection locked="0"/>
    </xf>
    <xf numFmtId="0" fontId="41" fillId="37" borderId="44" xfId="0" applyFont="1" applyFill="1" applyBorder="1" applyAlignment="1" applyProtection="1">
      <alignment horizontal="center"/>
      <protection locked="0"/>
    </xf>
    <xf numFmtId="14" fontId="41" fillId="40" borderId="43" xfId="0" applyNumberFormat="1" applyFont="1" applyFill="1" applyBorder="1" applyAlignment="1">
      <alignment horizontal="center"/>
    </xf>
    <xf numFmtId="0" fontId="40" fillId="2" borderId="23" xfId="0" applyFont="1" applyFill="1" applyBorder="1" applyAlignment="1" applyProtection="1">
      <alignment horizontal="center" vertical="center"/>
      <protection locked="0"/>
    </xf>
    <xf numFmtId="194" fontId="40" fillId="2" borderId="17" xfId="78" applyFont="1" applyFill="1" applyBorder="1" applyAlignment="1" applyProtection="1">
      <alignment horizontal="center" vertical="center" wrapText="1"/>
      <protection locked="0"/>
    </xf>
    <xf numFmtId="14" fontId="40" fillId="40" borderId="17" xfId="0" applyNumberFormat="1" applyFont="1" applyFill="1" applyBorder="1" applyAlignment="1">
      <alignment horizontal="center" vertical="center"/>
    </xf>
    <xf numFmtId="14" fontId="42" fillId="2" borderId="17" xfId="0" applyNumberFormat="1" applyFont="1" applyFill="1" applyBorder="1" applyAlignment="1" applyProtection="1">
      <alignment horizontal="center" vertical="center" wrapText="1"/>
      <protection locked="0"/>
    </xf>
    <xf numFmtId="194" fontId="40" fillId="2" borderId="23" xfId="78" applyFont="1" applyFill="1" applyBorder="1" applyAlignment="1" applyProtection="1">
      <alignment horizontal="center" vertical="center" wrapText="1"/>
      <protection locked="0"/>
    </xf>
    <xf numFmtId="14" fontId="40" fillId="40" borderId="23" xfId="0" applyNumberFormat="1" applyFont="1" applyFill="1" applyBorder="1" applyAlignment="1">
      <alignment horizontal="center" vertical="center"/>
    </xf>
    <xf numFmtId="0" fontId="42" fillId="2" borderId="17" xfId="0" applyFont="1" applyFill="1" applyBorder="1" applyAlignment="1" applyProtection="1">
      <alignment horizontal="center" vertical="center" wrapText="1"/>
      <protection locked="0"/>
    </xf>
    <xf numFmtId="0" fontId="43" fillId="0" borderId="0" xfId="0" applyFont="1" applyAlignment="1" applyProtection="1">
      <alignment horizontal="center" vertical="center"/>
      <protection locked="0"/>
    </xf>
    <xf numFmtId="14" fontId="40" fillId="2" borderId="23" xfId="0" applyNumberFormat="1" applyFont="1" applyFill="1" applyBorder="1" applyAlignment="1" applyProtection="1">
      <alignment horizontal="center" vertical="center"/>
      <protection locked="0"/>
    </xf>
    <xf numFmtId="14" fontId="33" fillId="0" borderId="44" xfId="0" applyNumberFormat="1" applyFont="1" applyBorder="1" applyAlignment="1" applyProtection="1">
      <alignment horizontal="center" vertical="center"/>
      <protection locked="0"/>
    </xf>
    <xf numFmtId="164" fontId="3" fillId="40" borderId="41" xfId="0" applyNumberFormat="1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 applyProtection="1">
      <alignment horizontal="center" vertical="center"/>
      <protection locked="0"/>
    </xf>
    <xf numFmtId="0" fontId="33" fillId="37" borderId="0" xfId="0" applyFont="1" applyFill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40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 applyProtection="1">
      <alignment horizontal="center" vertical="center" wrapText="1"/>
      <protection locked="0"/>
    </xf>
    <xf numFmtId="164" fontId="3" fillId="40" borderId="30" xfId="0" applyNumberFormat="1" applyFont="1" applyFill="1" applyBorder="1" applyAlignment="1">
      <alignment horizontal="center" vertical="center"/>
    </xf>
    <xf numFmtId="164" fontId="3" fillId="2" borderId="30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27" xfId="0" applyNumberFormat="1" applyFont="1" applyFill="1" applyBorder="1" applyAlignment="1" applyProtection="1">
      <alignment horizontal="center" vertical="center"/>
      <protection locked="0"/>
    </xf>
    <xf numFmtId="14" fontId="21" fillId="2" borderId="16" xfId="0" applyNumberFormat="1" applyFont="1" applyFill="1" applyBorder="1" applyAlignment="1" applyProtection="1">
      <alignment horizontal="center" vertical="center" wrapText="1"/>
      <protection locked="0"/>
    </xf>
    <xf numFmtId="14" fontId="33" fillId="0" borderId="0" xfId="0" applyNumberFormat="1" applyFont="1" applyAlignment="1" applyProtection="1">
      <alignment horizontal="center" vertical="center"/>
      <protection locked="0"/>
    </xf>
    <xf numFmtId="0" fontId="3" fillId="2" borderId="49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14" fontId="33" fillId="0" borderId="43" xfId="0" applyNumberFormat="1" applyFont="1" applyBorder="1" applyAlignment="1" applyProtection="1">
      <alignment horizontal="center" vertical="center"/>
      <protection locked="0"/>
    </xf>
    <xf numFmtId="14" fontId="33" fillId="40" borderId="44" xfId="0" applyNumberFormat="1" applyFont="1" applyFill="1" applyBorder="1" applyAlignment="1">
      <alignment horizontal="center"/>
    </xf>
    <xf numFmtId="1" fontId="3" fillId="0" borderId="44" xfId="0" quotePrefix="1" applyNumberFormat="1" applyFont="1" applyBorder="1" applyAlignment="1" applyProtection="1">
      <alignment horizontal="center" vertical="center"/>
      <protection locked="0"/>
    </xf>
    <xf numFmtId="1" fontId="3" fillId="0" borderId="44" xfId="0" quotePrefix="1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4" fontId="3" fillId="2" borderId="17" xfId="0" applyNumberFormat="1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164" fontId="3" fillId="2" borderId="32" xfId="0" applyNumberFormat="1" applyFont="1" applyFill="1" applyBorder="1" applyAlignment="1">
      <alignment horizontal="center" vertical="center" wrapText="1"/>
    </xf>
    <xf numFmtId="164" fontId="3" fillId="2" borderId="16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164" fontId="3" fillId="2" borderId="30" xfId="0" applyNumberFormat="1" applyFont="1" applyFill="1" applyBorder="1" applyAlignment="1">
      <alignment horizontal="center" vertical="center" wrapText="1"/>
    </xf>
    <xf numFmtId="14" fontId="3" fillId="2" borderId="32" xfId="0" applyNumberFormat="1" applyFont="1" applyFill="1" applyBorder="1" applyAlignment="1">
      <alignment horizontal="center" vertical="center"/>
    </xf>
    <xf numFmtId="14" fontId="3" fillId="2" borderId="27" xfId="0" applyNumberFormat="1" applyFont="1" applyFill="1" applyBorder="1" applyAlignment="1">
      <alignment horizontal="center" vertical="center"/>
    </xf>
    <xf numFmtId="14" fontId="33" fillId="37" borderId="44" xfId="0" applyNumberFormat="1" applyFont="1" applyFill="1" applyBorder="1" applyAlignment="1">
      <alignment horizontal="center" vertical="center"/>
    </xf>
    <xf numFmtId="0" fontId="33" fillId="37" borderId="44" xfId="0" applyFont="1" applyFill="1" applyBorder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94" fontId="3" fillId="2" borderId="16" xfId="78" applyFont="1" applyFill="1" applyBorder="1" applyAlignment="1" applyProtection="1">
      <alignment horizontal="center" vertical="center" wrapText="1"/>
    </xf>
    <xf numFmtId="14" fontId="21" fillId="2" borderId="16" xfId="0" applyNumberFormat="1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164" fontId="3" fillId="2" borderId="41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164" fontId="0" fillId="0" borderId="26" xfId="0" applyNumberFormat="1" applyBorder="1" applyAlignment="1" applyProtection="1">
      <alignment horizontal="center" vertical="center"/>
      <protection locked="0"/>
    </xf>
    <xf numFmtId="164" fontId="3" fillId="2" borderId="16" xfId="0" applyNumberFormat="1" applyFont="1" applyFill="1" applyBorder="1" applyAlignment="1" applyProtection="1">
      <alignment horizontal="center" vertical="center"/>
      <protection locked="0"/>
    </xf>
    <xf numFmtId="164" fontId="22" fillId="0" borderId="45" xfId="0" applyNumberFormat="1" applyFont="1" applyBorder="1" applyAlignment="1" applyProtection="1">
      <alignment horizontal="center" vertical="center"/>
      <protection locked="0"/>
    </xf>
    <xf numFmtId="164" fontId="22" fillId="0" borderId="46" xfId="0" applyNumberFormat="1" applyFont="1" applyBorder="1" applyAlignment="1" applyProtection="1">
      <alignment horizontal="center" vertical="center"/>
      <protection locked="0"/>
    </xf>
    <xf numFmtId="164" fontId="22" fillId="0" borderId="45" xfId="0" applyNumberFormat="1" applyFont="1" applyBorder="1" applyAlignment="1">
      <alignment horizontal="center" vertical="center"/>
    </xf>
    <xf numFmtId="164" fontId="3" fillId="2" borderId="99" xfId="0" applyNumberFormat="1" applyFont="1" applyFill="1" applyBorder="1" applyAlignment="1" applyProtection="1">
      <alignment horizontal="center" vertical="center"/>
      <protection locked="0"/>
    </xf>
    <xf numFmtId="1" fontId="40" fillId="0" borderId="44" xfId="0" quotePrefix="1" applyNumberFormat="1" applyFont="1" applyBorder="1" applyAlignment="1" applyProtection="1">
      <alignment horizontal="center" vertical="center"/>
      <protection locked="0"/>
    </xf>
    <xf numFmtId="0" fontId="40" fillId="2" borderId="34" xfId="0" applyFont="1" applyFill="1" applyBorder="1" applyAlignment="1" applyProtection="1">
      <alignment horizontal="center" vertical="center" wrapText="1"/>
      <protection locked="0"/>
    </xf>
    <xf numFmtId="0" fontId="41" fillId="37" borderId="0" xfId="0" applyFont="1" applyFill="1" applyAlignment="1" applyProtection="1">
      <alignment horizontal="center" vertical="center"/>
      <protection locked="0"/>
    </xf>
    <xf numFmtId="14" fontId="42" fillId="2" borderId="16" xfId="0" applyNumberFormat="1" applyFont="1" applyFill="1" applyBorder="1" applyAlignment="1" applyProtection="1">
      <alignment horizontal="center" vertical="center" wrapText="1"/>
      <protection locked="0"/>
    </xf>
    <xf numFmtId="164" fontId="36" fillId="43" borderId="20" xfId="0" applyNumberFormat="1" applyFont="1" applyFill="1" applyBorder="1" applyAlignment="1" applyProtection="1">
      <alignment horizontal="center" vertical="center" wrapText="1"/>
      <protection locked="0"/>
    </xf>
    <xf numFmtId="164" fontId="36" fillId="0" borderId="48" xfId="0" applyNumberFormat="1" applyFont="1" applyBorder="1" applyAlignment="1" applyProtection="1">
      <alignment horizontal="center" vertical="center" wrapText="1"/>
      <protection locked="0"/>
    </xf>
    <xf numFmtId="194" fontId="3" fillId="2" borderId="28" xfId="78" applyFont="1" applyFill="1" applyBorder="1" applyAlignment="1" applyProtection="1">
      <alignment horizontal="center" vertical="center" wrapText="1"/>
      <protection locked="0"/>
    </xf>
    <xf numFmtId="194" fontId="40" fillId="2" borderId="28" xfId="78" applyFont="1" applyFill="1" applyBorder="1" applyAlignment="1" applyProtection="1">
      <alignment horizontal="center" vertical="center" wrapText="1"/>
      <protection locked="0"/>
    </xf>
    <xf numFmtId="194" fontId="3" fillId="2" borderId="26" xfId="78" applyFont="1" applyFill="1" applyBorder="1" applyAlignment="1" applyProtection="1">
      <alignment horizontal="center" vertical="center" wrapText="1"/>
      <protection locked="0"/>
    </xf>
    <xf numFmtId="194" fontId="3" fillId="2" borderId="26" xfId="78" applyFont="1" applyFill="1" applyBorder="1" applyAlignment="1" applyProtection="1">
      <alignment horizontal="center" vertical="center" wrapText="1"/>
    </xf>
    <xf numFmtId="215" fontId="30" fillId="0" borderId="0" xfId="0" applyNumberFormat="1" applyFont="1" applyAlignment="1">
      <alignment horizontal="center" vertical="center"/>
    </xf>
    <xf numFmtId="215" fontId="0" fillId="0" borderId="0" xfId="0" applyNumberFormat="1" applyAlignment="1">
      <alignment horizontal="center" vertical="center"/>
    </xf>
    <xf numFmtId="215" fontId="4" fillId="0" borderId="49" xfId="0" applyNumberFormat="1" applyFont="1" applyBorder="1" applyAlignment="1" applyProtection="1">
      <alignment horizontal="center" vertical="center" wrapText="1"/>
      <protection locked="0"/>
    </xf>
    <xf numFmtId="215" fontId="3" fillId="2" borderId="42" xfId="78" applyNumberFormat="1" applyFont="1" applyFill="1" applyBorder="1" applyAlignment="1" applyProtection="1">
      <alignment horizontal="center" vertical="center" wrapText="1"/>
      <protection locked="0"/>
    </xf>
    <xf numFmtId="215" fontId="3" fillId="2" borderId="43" xfId="78" applyNumberFormat="1" applyFont="1" applyFill="1" applyBorder="1" applyAlignment="1" applyProtection="1">
      <alignment horizontal="center" vertical="center" wrapText="1"/>
      <protection locked="0"/>
    </xf>
    <xf numFmtId="215" fontId="3" fillId="2" borderId="44" xfId="78" applyNumberFormat="1" applyFont="1" applyFill="1" applyBorder="1" applyAlignment="1" applyProtection="1">
      <alignment horizontal="center" vertical="center" wrapText="1"/>
      <protection locked="0"/>
    </xf>
    <xf numFmtId="215" fontId="3" fillId="2" borderId="28" xfId="78" applyNumberFormat="1" applyFont="1" applyFill="1" applyBorder="1" applyAlignment="1" applyProtection="1">
      <alignment horizontal="center" vertical="center" wrapText="1"/>
      <protection locked="0"/>
    </xf>
    <xf numFmtId="215" fontId="40" fillId="2" borderId="28" xfId="78" applyNumberFormat="1" applyFont="1" applyFill="1" applyBorder="1" applyAlignment="1" applyProtection="1">
      <alignment horizontal="center" vertical="center" wrapText="1"/>
      <protection locked="0"/>
    </xf>
    <xf numFmtId="215" fontId="3" fillId="2" borderId="26" xfId="78" applyNumberFormat="1" applyFont="1" applyFill="1" applyBorder="1" applyAlignment="1" applyProtection="1">
      <alignment horizontal="center" vertical="center" wrapText="1"/>
      <protection locked="0"/>
    </xf>
    <xf numFmtId="215" fontId="3" fillId="2" borderId="26" xfId="78" applyNumberFormat="1" applyFont="1" applyFill="1" applyBorder="1" applyAlignment="1" applyProtection="1">
      <alignment horizontal="center" vertical="center" wrapText="1"/>
    </xf>
    <xf numFmtId="215" fontId="0" fillId="0" borderId="0" xfId="0" applyNumberFormat="1" applyAlignment="1" applyProtection="1">
      <alignment horizontal="center" vertical="center"/>
      <protection locked="0"/>
    </xf>
    <xf numFmtId="164" fontId="4" fillId="42" borderId="49" xfId="0" applyNumberFormat="1" applyFont="1" applyFill="1" applyBorder="1" applyAlignment="1" applyProtection="1">
      <alignment horizontal="center" vertical="center" wrapText="1"/>
      <protection locked="0"/>
    </xf>
    <xf numFmtId="14" fontId="21" fillId="2" borderId="43" xfId="0" applyNumberFormat="1" applyFont="1" applyFill="1" applyBorder="1" applyAlignment="1" applyProtection="1">
      <alignment horizontal="center" vertical="center" wrapText="1"/>
      <protection locked="0"/>
    </xf>
    <xf numFmtId="14" fontId="21" fillId="2" borderId="44" xfId="0" applyNumberFormat="1" applyFont="1" applyFill="1" applyBorder="1" applyAlignment="1" applyProtection="1">
      <alignment horizontal="center" vertical="center" wrapText="1"/>
      <protection locked="0"/>
    </xf>
    <xf numFmtId="14" fontId="21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23" fillId="34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164" fontId="4" fillId="40" borderId="0" xfId="0" applyNumberFormat="1" applyFont="1" applyFill="1" applyAlignment="1">
      <alignment horizontal="center" vertical="center" wrapText="1"/>
    </xf>
    <xf numFmtId="14" fontId="3" fillId="2" borderId="0" xfId="0" applyNumberFormat="1" applyFont="1" applyFill="1" applyAlignment="1" applyProtection="1">
      <alignment horizontal="center" vertical="center"/>
      <protection locked="0"/>
    </xf>
    <xf numFmtId="14" fontId="3" fillId="2" borderId="100" xfId="0" applyNumberFormat="1" applyFont="1" applyFill="1" applyBorder="1" applyAlignment="1" applyProtection="1">
      <alignment horizontal="center" vertical="center"/>
      <protection locked="0"/>
    </xf>
    <xf numFmtId="14" fontId="33" fillId="0" borderId="42" xfId="0" applyNumberFormat="1" applyFont="1" applyBorder="1"/>
    <xf numFmtId="14" fontId="33" fillId="0" borderId="42" xfId="0" applyNumberFormat="1" applyFont="1" applyBorder="1" applyAlignment="1">
      <alignment vertical="center"/>
    </xf>
    <xf numFmtId="14" fontId="3" fillId="2" borderId="44" xfId="0" applyNumberFormat="1" applyFont="1" applyFill="1" applyBorder="1" applyAlignment="1" applyProtection="1">
      <alignment horizontal="center" vertical="center"/>
      <protection locked="0"/>
    </xf>
    <xf numFmtId="14" fontId="3" fillId="2" borderId="28" xfId="0" applyNumberFormat="1" applyFont="1" applyFill="1" applyBorder="1" applyAlignment="1" applyProtection="1">
      <alignment horizontal="center" vertical="center"/>
      <protection locked="0"/>
    </xf>
    <xf numFmtId="14" fontId="40" fillId="2" borderId="28" xfId="0" applyNumberFormat="1" applyFont="1" applyFill="1" applyBorder="1" applyAlignment="1" applyProtection="1">
      <alignment horizontal="center" vertical="center"/>
      <protection locked="0"/>
    </xf>
    <xf numFmtId="214" fontId="40" fillId="2" borderId="28" xfId="0" applyNumberFormat="1" applyFont="1" applyFill="1" applyBorder="1" applyAlignment="1" applyProtection="1">
      <alignment horizontal="center" vertical="center"/>
      <protection locked="0"/>
    </xf>
    <xf numFmtId="214" fontId="3" fillId="2" borderId="28" xfId="0" applyNumberFormat="1" applyFont="1" applyFill="1" applyBorder="1" applyAlignment="1" applyProtection="1">
      <alignment horizontal="center" vertical="center"/>
      <protection locked="0"/>
    </xf>
    <xf numFmtId="14" fontId="3" fillId="2" borderId="43" xfId="0" applyNumberFormat="1" applyFont="1" applyFill="1" applyBorder="1" applyAlignment="1" applyProtection="1">
      <alignment horizontal="center" vertical="center"/>
      <protection locked="0"/>
    </xf>
    <xf numFmtId="14" fontId="3" fillId="2" borderId="43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14" fontId="40" fillId="2" borderId="0" xfId="0" applyNumberFormat="1" applyFont="1" applyFill="1" applyAlignment="1" applyProtection="1">
      <alignment horizontal="center" vertical="center"/>
      <protection locked="0"/>
    </xf>
    <xf numFmtId="14" fontId="3" fillId="2" borderId="44" xfId="0" applyNumberFormat="1" applyFont="1" applyFill="1" applyBorder="1" applyAlignment="1">
      <alignment horizontal="center" vertical="center"/>
    </xf>
    <xf numFmtId="194" fontId="21" fillId="2" borderId="16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32" xfId="0" applyNumberFormat="1" applyFont="1" applyBorder="1" applyAlignment="1" applyProtection="1">
      <alignment horizontal="center" vertical="center"/>
      <protection locked="0"/>
    </xf>
    <xf numFmtId="14" fontId="33" fillId="40" borderId="44" xfId="0" applyNumberFormat="1" applyFont="1" applyFill="1" applyBorder="1" applyAlignment="1">
      <alignment horizontal="center" vertical="center"/>
    </xf>
    <xf numFmtId="194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23" xfId="0" applyNumberFormat="1" applyFont="1" applyBorder="1" applyAlignment="1" applyProtection="1">
      <alignment horizontal="center" vertical="center"/>
      <protection locked="0"/>
    </xf>
    <xf numFmtId="14" fontId="0" fillId="0" borderId="26" xfId="0" applyNumberFormat="1" applyBorder="1" applyAlignment="1" applyProtection="1">
      <alignment horizontal="center" vertical="center"/>
      <protection locked="0"/>
    </xf>
    <xf numFmtId="164" fontId="36" fillId="44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32" fillId="37" borderId="10" xfId="0" applyFont="1" applyFill="1" applyBorder="1" applyAlignment="1">
      <alignment horizontal="center" vertical="center"/>
    </xf>
    <xf numFmtId="14" fontId="42" fillId="2" borderId="28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101" xfId="0" applyNumberFormat="1" applyBorder="1" applyAlignment="1" applyProtection="1">
      <alignment horizontal="center" vertical="center"/>
      <protection locked="0"/>
    </xf>
    <xf numFmtId="14" fontId="42" fillId="2" borderId="23" xfId="0" applyNumberFormat="1" applyFont="1" applyFill="1" applyBorder="1" applyAlignment="1" applyProtection="1">
      <alignment horizontal="center" vertical="center" wrapText="1"/>
      <protection locked="0"/>
    </xf>
    <xf numFmtId="14" fontId="42" fillId="2" borderId="24" xfId="0" applyNumberFormat="1" applyFont="1" applyFill="1" applyBorder="1" applyAlignment="1" applyProtection="1">
      <alignment horizontal="center" vertical="center" wrapText="1"/>
      <protection locked="0"/>
    </xf>
    <xf numFmtId="0" fontId="42" fillId="2" borderId="29" xfId="0" applyFont="1" applyFill="1" applyBorder="1" applyAlignment="1" applyProtection="1">
      <alignment horizontal="center" vertical="center" wrapText="1"/>
      <protection locked="0"/>
    </xf>
    <xf numFmtId="0" fontId="21" fillId="2" borderId="27" xfId="0" applyFont="1" applyFill="1" applyBorder="1" applyAlignment="1">
      <alignment horizontal="center" vertical="center" wrapText="1"/>
    </xf>
    <xf numFmtId="164" fontId="36" fillId="44" borderId="47" xfId="0" applyNumberFormat="1" applyFont="1" applyFill="1" applyBorder="1" applyAlignment="1" applyProtection="1">
      <alignment horizontal="center" vertical="center" wrapText="1"/>
      <protection locked="0"/>
    </xf>
    <xf numFmtId="164" fontId="36" fillId="43" borderId="3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37" xfId="0" applyNumberFormat="1" applyBorder="1" applyAlignment="1" applyProtection="1">
      <alignment horizontal="center" vertical="center"/>
      <protection locked="0"/>
    </xf>
    <xf numFmtId="164" fontId="0" fillId="0" borderId="35" xfId="0" applyNumberFormat="1" applyBorder="1" applyAlignment="1" applyProtection="1">
      <alignment horizontal="center" vertical="center"/>
      <protection locked="0"/>
    </xf>
    <xf numFmtId="14" fontId="0" fillId="0" borderId="35" xfId="0" applyNumberFormat="1" applyBorder="1" applyAlignment="1" applyProtection="1">
      <alignment horizontal="center" vertical="center"/>
      <protection locked="0"/>
    </xf>
    <xf numFmtId="164" fontId="3" fillId="2" borderId="29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28" xfId="0" applyNumberFormat="1" applyBorder="1" applyAlignment="1" applyProtection="1">
      <alignment horizontal="center" vertical="center"/>
      <protection locked="0"/>
    </xf>
    <xf numFmtId="0" fontId="3" fillId="0" borderId="44" xfId="0" applyFont="1" applyBorder="1" applyAlignment="1" applyProtection="1">
      <alignment horizontal="center" vertical="center"/>
      <protection locked="0"/>
    </xf>
    <xf numFmtId="14" fontId="0" fillId="0" borderId="44" xfId="0" applyNumberFormat="1" applyBorder="1" applyAlignment="1" applyProtection="1">
      <alignment horizontal="center" vertical="center"/>
      <protection locked="0"/>
    </xf>
    <xf numFmtId="164" fontId="40" fillId="40" borderId="41" xfId="0" applyNumberFormat="1" applyFont="1" applyFill="1" applyBorder="1" applyAlignment="1">
      <alignment horizontal="center" vertical="center"/>
    </xf>
    <xf numFmtId="14" fontId="40" fillId="2" borderId="29" xfId="0" applyNumberFormat="1" applyFont="1" applyFill="1" applyBorder="1" applyAlignment="1" applyProtection="1">
      <alignment horizontal="center" vertical="center"/>
      <protection locked="0"/>
    </xf>
    <xf numFmtId="164" fontId="44" fillId="2" borderId="17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17" xfId="0" applyNumberFormat="1" applyFont="1" applyBorder="1" applyAlignment="1" applyProtection="1">
      <alignment horizontal="center" vertical="center"/>
      <protection locked="0"/>
    </xf>
    <xf numFmtId="164" fontId="3" fillId="2" borderId="27" xfId="0" applyNumberFormat="1" applyFont="1" applyFill="1" applyBorder="1" applyAlignment="1" applyProtection="1">
      <alignment horizontal="center" vertical="center"/>
      <protection locked="0"/>
    </xf>
    <xf numFmtId="164" fontId="44" fillId="40" borderId="4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0" fillId="39" borderId="55" xfId="0" applyFont="1" applyFill="1" applyBorder="1" applyAlignment="1">
      <alignment horizontal="center" vertical="center"/>
    </xf>
    <xf numFmtId="0" fontId="30" fillId="39" borderId="56" xfId="0" applyFont="1" applyFill="1" applyBorder="1" applyAlignment="1">
      <alignment horizontal="center" vertical="center"/>
    </xf>
    <xf numFmtId="0" fontId="30" fillId="39" borderId="36" xfId="0" applyFont="1" applyFill="1" applyBorder="1" applyAlignment="1">
      <alignment horizontal="center" vertical="center"/>
    </xf>
    <xf numFmtId="0" fontId="30" fillId="39" borderId="0" xfId="0" applyFont="1" applyFill="1" applyAlignment="1">
      <alignment horizontal="center" vertical="center"/>
    </xf>
    <xf numFmtId="0" fontId="30" fillId="39" borderId="38" xfId="0" applyFont="1" applyFill="1" applyBorder="1" applyAlignment="1">
      <alignment horizontal="center" vertical="center"/>
    </xf>
    <xf numFmtId="0" fontId="30" fillId="39" borderId="39" xfId="0" applyFont="1" applyFill="1" applyBorder="1" applyAlignment="1">
      <alignment horizontal="center" vertical="center"/>
    </xf>
    <xf numFmtId="0" fontId="30" fillId="39" borderId="57" xfId="0" applyFont="1" applyFill="1" applyBorder="1" applyAlignment="1">
      <alignment horizontal="center" vertical="center"/>
    </xf>
    <xf numFmtId="0" fontId="30" fillId="39" borderId="37" xfId="0" applyFont="1" applyFill="1" applyBorder="1" applyAlignment="1">
      <alignment horizontal="center" vertical="center"/>
    </xf>
    <xf numFmtId="0" fontId="30" fillId="39" borderId="40" xfId="0" applyFont="1" applyFill="1" applyBorder="1" applyAlignment="1">
      <alignment horizontal="center" vertical="center"/>
    </xf>
    <xf numFmtId="164" fontId="35" fillId="39" borderId="38" xfId="0" applyNumberFormat="1" applyFont="1" applyFill="1" applyBorder="1" applyAlignment="1">
      <alignment horizontal="center" vertical="center"/>
    </xf>
    <xf numFmtId="164" fontId="35" fillId="39" borderId="39" xfId="0" applyNumberFormat="1" applyFont="1" applyFill="1" applyBorder="1" applyAlignment="1">
      <alignment horizontal="center" vertical="center"/>
    </xf>
    <xf numFmtId="164" fontId="0" fillId="0" borderId="96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9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98" xfId="0" applyNumberFormat="1" applyBorder="1" applyAlignment="1">
      <alignment horizontal="center" vertical="center"/>
    </xf>
    <xf numFmtId="164" fontId="0" fillId="0" borderId="65" xfId="0" applyNumberFormat="1" applyBorder="1" applyAlignment="1">
      <alignment horizontal="center" vertical="center"/>
    </xf>
    <xf numFmtId="164" fontId="0" fillId="0" borderId="91" xfId="0" applyNumberFormat="1" applyBorder="1" applyAlignment="1">
      <alignment horizontal="center" vertical="center"/>
    </xf>
    <xf numFmtId="164" fontId="4" fillId="43" borderId="38" xfId="0" applyNumberFormat="1" applyFont="1" applyFill="1" applyBorder="1" applyAlignment="1">
      <alignment horizontal="center" vertical="center" wrapText="1"/>
    </xf>
    <xf numFmtId="164" fontId="4" fillId="43" borderId="39" xfId="0" applyNumberFormat="1" applyFont="1" applyFill="1" applyBorder="1" applyAlignment="1">
      <alignment horizontal="center" vertical="center" wrapText="1"/>
    </xf>
    <xf numFmtId="164" fontId="4" fillId="40" borderId="39" xfId="0" applyNumberFormat="1" applyFont="1" applyFill="1" applyBorder="1" applyAlignment="1">
      <alignment horizontal="center" vertical="center" wrapText="1"/>
    </xf>
    <xf numFmtId="164" fontId="4" fillId="40" borderId="50" xfId="0" applyNumberFormat="1" applyFont="1" applyFill="1" applyBorder="1" applyAlignment="1">
      <alignment horizontal="center" vertical="center" wrapText="1"/>
    </xf>
    <xf numFmtId="164" fontId="4" fillId="40" borderId="49" xfId="0" applyNumberFormat="1" applyFont="1" applyFill="1" applyBorder="1" applyAlignment="1">
      <alignment horizontal="center" vertical="center" wrapText="1"/>
    </xf>
    <xf numFmtId="164" fontId="4" fillId="40" borderId="83" xfId="0" applyNumberFormat="1" applyFont="1" applyFill="1" applyBorder="1" applyAlignment="1">
      <alignment horizontal="center" vertical="center" wrapText="1"/>
    </xf>
    <xf numFmtId="0" fontId="23" fillId="34" borderId="70" xfId="0" applyFont="1" applyFill="1" applyBorder="1" applyAlignment="1">
      <alignment horizontal="center" vertical="center"/>
    </xf>
    <xf numFmtId="0" fontId="23" fillId="34" borderId="59" xfId="0" applyFont="1" applyFill="1" applyBorder="1" applyAlignment="1">
      <alignment horizontal="center" vertical="center"/>
    </xf>
    <xf numFmtId="0" fontId="23" fillId="34" borderId="72" xfId="0" applyFont="1" applyFill="1" applyBorder="1" applyAlignment="1">
      <alignment horizontal="center" vertical="center"/>
    </xf>
    <xf numFmtId="0" fontId="23" fillId="34" borderId="69" xfId="0" applyFont="1" applyFill="1" applyBorder="1" applyAlignment="1">
      <alignment horizontal="center" vertical="center"/>
    </xf>
    <xf numFmtId="0" fontId="23" fillId="34" borderId="71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61" xfId="0" applyFont="1" applyBorder="1" applyAlignment="1">
      <alignment horizontal="center" vertical="center"/>
    </xf>
    <xf numFmtId="0" fontId="29" fillId="0" borderId="73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88" xfId="0" applyFont="1" applyBorder="1" applyAlignment="1">
      <alignment horizontal="center" vertical="center"/>
    </xf>
    <xf numFmtId="0" fontId="29" fillId="0" borderId="62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89" xfId="0" applyFont="1" applyBorder="1" applyAlignment="1">
      <alignment horizontal="center" vertical="center"/>
    </xf>
    <xf numFmtId="0" fontId="29" fillId="0" borderId="74" xfId="0" applyFont="1" applyBorder="1" applyAlignment="1">
      <alignment horizontal="center" vertical="center"/>
    </xf>
    <xf numFmtId="0" fontId="29" fillId="0" borderId="92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9" fillId="0" borderId="90" xfId="0" applyFont="1" applyBorder="1" applyAlignment="1">
      <alignment horizontal="center" vertical="center"/>
    </xf>
    <xf numFmtId="0" fontId="29" fillId="0" borderId="75" xfId="0" applyFont="1" applyBorder="1" applyAlignment="1">
      <alignment horizontal="center" vertical="center"/>
    </xf>
    <xf numFmtId="164" fontId="4" fillId="41" borderId="93" xfId="0" applyNumberFormat="1" applyFont="1" applyFill="1" applyBorder="1" applyAlignment="1">
      <alignment horizontal="center" vertical="center" wrapText="1"/>
    </xf>
    <xf numFmtId="164" fontId="4" fillId="41" borderId="94" xfId="0" applyNumberFormat="1" applyFont="1" applyFill="1" applyBorder="1" applyAlignment="1">
      <alignment horizontal="center" vertical="center" wrapText="1"/>
    </xf>
    <xf numFmtId="164" fontId="4" fillId="41" borderId="95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65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9" fillId="0" borderId="76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9" fillId="0" borderId="85" xfId="0" applyFont="1" applyBorder="1" applyAlignment="1">
      <alignment horizontal="center" vertical="center"/>
    </xf>
    <xf numFmtId="164" fontId="4" fillId="41" borderId="38" xfId="0" applyNumberFormat="1" applyFont="1" applyFill="1" applyBorder="1" applyAlignment="1">
      <alignment horizontal="center" vertical="center" wrapText="1"/>
    </xf>
    <xf numFmtId="164" fontId="4" fillId="41" borderId="40" xfId="0" applyNumberFormat="1" applyFont="1" applyFill="1" applyBorder="1" applyAlignment="1">
      <alignment horizontal="center" vertical="center" wrapText="1"/>
    </xf>
    <xf numFmtId="164" fontId="0" fillId="0" borderId="60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164" fontId="0" fillId="0" borderId="62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164" fontId="0" fillId="0" borderId="64" xfId="0" applyNumberFormat="1" applyBorder="1" applyAlignment="1">
      <alignment horizontal="center" vertical="center"/>
    </xf>
    <xf numFmtId="164" fontId="0" fillId="0" borderId="66" xfId="0" applyNumberForma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</cellXfs>
  <cellStyles count="101">
    <cellStyle name="°C" xfId="76" xr:uid="{CC2E6196-A284-4634-BAF3-A71227E54F38}"/>
    <cellStyle name="µm" xfId="59" xr:uid="{66B7DEB1-2B63-43DC-A550-D36A2020FCE5}"/>
    <cellStyle name="… :" xfId="96" xr:uid="{A15D544F-3D7A-454E-A6DD-166F2568C3BD}"/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nnée" xfId="83" xr:uid="{FE980AE5-974C-4354-B30A-5C7BDB8C93E5}"/>
    <cellStyle name="Avertissement" xfId="21" builtinId="11" customBuiltin="1"/>
    <cellStyle name="Calcul" xfId="18" builtinId="22" customBuiltin="1"/>
    <cellStyle name="Cellule liée" xfId="19" builtinId="24" customBuiltin="1"/>
    <cellStyle name="cm" xfId="55" xr:uid="{0C7E067D-F0E1-4D81-9C18-EA5A0418E322}"/>
    <cellStyle name="cm/min" xfId="87" xr:uid="{C7FE3D2D-28B2-4A13-9D78-BE1844DF0C00}"/>
    <cellStyle name="cm²" xfId="74" xr:uid="{C05745E8-355A-4E0F-9410-FCA7BB7D7EBB}"/>
    <cellStyle name="cm³" xfId="93" xr:uid="{FC2BA31D-4D30-49C2-9267-4247F6D873DB}"/>
    <cellStyle name="daN" xfId="61" xr:uid="{44B954F8-55F1-461F-95ED-11D1A86AF4E8}"/>
    <cellStyle name="daN·m" xfId="2" xr:uid="{42A20DC2-5478-42C5-A457-B313285F9198}"/>
    <cellStyle name="Date semi-longue" xfId="97" xr:uid="{D764C4A8-079E-4964-80F3-A09AA03CACEB}"/>
    <cellStyle name="dm³" xfId="94" xr:uid="{AD0A539A-CB75-4E0C-ABCD-7D1F81116D9E}"/>
    <cellStyle name="Entrée" xfId="16" builtinId="20" customBuiltin="1"/>
    <cellStyle name="h" xfId="77" xr:uid="{7236A784-F66A-4737-B4BF-38A2161A97B5}"/>
    <cellStyle name="Hyperlink" xfId="100" xr:uid="{00000000-000B-0000-0000-000008000000}"/>
    <cellStyle name="Insatisfaisant" xfId="14" builtinId="27" customBuiltin="1"/>
    <cellStyle name="jours" xfId="78" xr:uid="{0E9B591A-68B9-4AF8-B551-986DA38D29A4}"/>
    <cellStyle name="k€" xfId="69" xr:uid="{F9BCFF35-EE78-4EA3-BD4A-EFDE9DE9CA3E}"/>
    <cellStyle name="k€ (valeur en €)" xfId="95" xr:uid="{42E894DB-B4E8-40FC-93E0-DB7AA3FEB8D5}"/>
    <cellStyle name="kg" xfId="66" xr:uid="{FA8FFDE8-64DB-46D0-8916-1F8EDA10BCC6}"/>
    <cellStyle name="kg/m³" xfId="68" xr:uid="{DB4FD0F9-584A-4DD1-B559-673919364B72}"/>
    <cellStyle name="km" xfId="58" xr:uid="{54B0828E-5B66-4E16-A98D-97EC3B317DD6}"/>
    <cellStyle name="km/h" xfId="84" xr:uid="{510C9E54-0FF5-4594-BB9D-065527BCDD98}"/>
    <cellStyle name="kN" xfId="63" xr:uid="{EE5FF7C9-FB76-4094-9248-C2BCFD8A06B4}"/>
    <cellStyle name="kW" xfId="72" xr:uid="{A64F1290-2440-4B37-8482-E32EF982FA73}"/>
    <cellStyle name="L" xfId="90" xr:uid="{BAE8B9BE-9A65-4385-8F80-56DCA80F0B8A}"/>
    <cellStyle name="ℓ" xfId="91" xr:uid="{616FA2B1-18E6-4C3C-A532-6222AE761CAB}"/>
    <cellStyle name="ℓ/min" xfId="52" xr:uid="{5F9155D8-BC1B-4883-A86D-FD75AD96BD55}"/>
    <cellStyle name="ℓ/s" xfId="53" xr:uid="{E9F17EDF-8D76-4B9D-95B0-E5CDCA460389}"/>
    <cellStyle name="Lien hypertexte" xfId="49" builtinId="8" customBuiltin="1"/>
    <cellStyle name="Lien hypertexte visité" xfId="50" builtinId="9" customBuiltin="1"/>
    <cellStyle name="m" xfId="56" xr:uid="{BCC469B3-DAC6-4EA7-AF6A-F8B1D8231188}"/>
    <cellStyle name="m/min" xfId="86" xr:uid="{F22A4D23-9B6F-4368-885C-205F2A84F4E6}"/>
    <cellStyle name="m/s" xfId="85" xr:uid="{BD8978AA-5CC6-4247-89DD-3D8C0FB62E42}"/>
    <cellStyle name="m/s²" xfId="1" xr:uid="{B12076DF-9CE6-4658-8F4C-9CEEA7E5BDEE}"/>
    <cellStyle name="M€" xfId="70" xr:uid="{D22396D2-EAFA-464A-A1D2-2C964A6F493C}"/>
    <cellStyle name="m²" xfId="73" xr:uid="{33D4E2CF-E5FB-479A-9A9A-7CF1EA63F44F}"/>
    <cellStyle name="m³" xfId="92" xr:uid="{554D8709-4207-4042-9905-F995AB172D4F}"/>
    <cellStyle name="m³/h" xfId="54" xr:uid="{6CB4755A-AE81-413B-9766-8FD7DDAF60A8}"/>
    <cellStyle name="Milliers" xfId="3" builtinId="3" customBuiltin="1"/>
    <cellStyle name="Milliers [0]" xfId="4" builtinId="6" customBuiltin="1"/>
    <cellStyle name="minute" xfId="79" xr:uid="{488E5324-F29D-4893-814A-A7BFA675E5C4}"/>
    <cellStyle name="mm" xfId="57" xr:uid="{ADF2F41E-3EF8-43D3-91A3-5C46D2FA8805}"/>
    <cellStyle name="mm/min" xfId="88" xr:uid="{4596BA17-B7DA-4E7F-98CA-5B6478BFDE7E}"/>
    <cellStyle name="mm/s" xfId="89" xr:uid="{6BB6F3AD-7370-421E-9515-CCB44CB50EC2}"/>
    <cellStyle name="mm²" xfId="75" xr:uid="{5DEBB48A-0D41-4B94-A586-80987C737DBC}"/>
    <cellStyle name="mois" xfId="80" xr:uid="{3AF098F6-542C-49C9-84FB-9726128744ED}"/>
    <cellStyle name="Monétaire" xfId="5" builtinId="4" customBuiltin="1"/>
    <cellStyle name="Monétaire [0]" xfId="6" builtinId="7" customBuiltin="1"/>
    <cellStyle name="N" xfId="62" xr:uid="{F0BE3CAD-684C-4497-9258-D8DA6F8B7F51}"/>
    <cellStyle name="N·m" xfId="51" xr:uid="{94DA96EB-B343-41CF-81C6-21017BF8230B}"/>
    <cellStyle name="Neutre" xfId="15" builtinId="28" customBuiltin="1"/>
    <cellStyle name="Normal" xfId="0" builtinId="0" customBuiltin="1"/>
    <cellStyle name="Normal 2" xfId="98" xr:uid="{7E1DF8CA-BC61-45AE-A1AC-20D23F80391C}"/>
    <cellStyle name="Normal_BORDEREA" xfId="99" xr:uid="{20BDF52F-887E-4063-BECD-6716D2FA6EDD}"/>
    <cellStyle name="Note" xfId="22" builtinId="10" customBuiltin="1"/>
    <cellStyle name="Pa" xfId="71" xr:uid="{58443A45-466C-4F24-928E-F90CDEF86DF5}"/>
    <cellStyle name="Pourcentage" xfId="7" builtinId="5" customBuiltin="1"/>
    <cellStyle name="rpm" xfId="64" xr:uid="{43AB9CE5-1FD2-4A1A-A9A9-BE41EC9CEE6C}"/>
    <cellStyle name="s" xfId="81" xr:uid="{EC151C3A-7A40-4018-A3F0-8FEBC8DA3D31}"/>
    <cellStyle name="Satisfaisant" xfId="13" builtinId="26" customBuiltin="1"/>
    <cellStyle name="semaine" xfId="82" xr:uid="{0F285E91-8AB8-40F3-B91C-3121517C9A58}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nne" xfId="67" xr:uid="{AB6193F9-F3CA-4C25-A59E-4BD9C7C511E7}"/>
    <cellStyle name="Total" xfId="24" builtinId="25" customBuiltin="1"/>
    <cellStyle name="tr/min" xfId="65" xr:uid="{DD2A2FCA-B1D2-4A4F-91E2-0E71BD82F9E2}"/>
    <cellStyle name="V" xfId="60" xr:uid="{2B3AA946-C02B-4A55-A590-5AAF3E924020}"/>
    <cellStyle name="Vérification" xfId="20" builtinId="23" customBuiltin="1"/>
  </cellStyles>
  <dxfs count="20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b val="0"/>
        <family val="2"/>
      </font>
      <numFmt numFmtId="19" formatCode="dd/mm/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19" formatCode="dd/mm/yyyy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19" formatCode="dd/mm/yyyy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family val="2"/>
      </font>
      <numFmt numFmtId="164" formatCode="[$-F400]h:mm:ss\ AM/PM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border outline="0">
        <bottom style="thin">
          <color rgb="FF000000"/>
        </bottom>
      </border>
    </dxf>
    <dxf>
      <font>
        <b val="0"/>
        <family val="2"/>
      </font>
      <numFmt numFmtId="164" formatCode="[$-F400]h:mm:ss\ AM/PM"/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family val="2"/>
      </font>
      <numFmt numFmtId="19" formatCode="dd/mm/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15" formatCode="000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4" formatCode="#,##0&quot; j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19" formatCode="dd/mm/yyyy"/>
      <border diagonalUp="0" diagonalDown="0">
        <left/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fill>
        <patternFill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19" formatCode="dd/mm/yyyy"/>
      <fill>
        <patternFill>
          <fgColor indexed="64"/>
          <bgColor theme="0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fill>
        <patternFill>
          <fgColor indexed="64"/>
          <bgColor theme="0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19" formatCode="dd/mm/yyyy"/>
      <fill>
        <patternFill>
          <fgColor indexed="64"/>
          <bgColor theme="0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fill>
        <patternFill>
          <fgColor indexed="64"/>
          <bgColor theme="0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0" formatCode="General"/>
      <fill>
        <patternFill>
          <fgColor indexed="64"/>
          <bgColor theme="0" tint="-0.249977111117893"/>
        </patternFill>
      </fill>
      <alignment vertical="center" textRotation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family val="2"/>
        <scheme val="none"/>
      </font>
      <numFmt numFmtId="19" formatCode="dd/mm/yyyy"/>
      <fill>
        <patternFill>
          <fgColor indexed="64"/>
          <bgColor theme="0" tint="-0.249977111117893"/>
        </patternFill>
      </fill>
      <alignment vertical="center" textRotation="0" indent="0" justifyLastLine="0" shrinkToFit="0" readingOrder="0"/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0000"/>
        </top>
        <bottom/>
        <vertical/>
        <horizontal/>
      </border>
      <protection locked="0" hidden="0"/>
    </dxf>
    <dxf>
      <border>
        <top style="thin">
          <color rgb="FF000000"/>
        </top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family val="2"/>
      </font>
      <numFmt numFmtId="164" formatCode="[$-F400]h:mm:ss\ AM/PM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  <protection locked="0" hidden="0"/>
    </dxf>
  </dxfs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D928AF-0290-4BF8-AEB3-42E0F33CAB63}" name="Tableau1" displayName="Tableau1" ref="A8:BK132" totalsRowShown="0" headerRowDxfId="206" dataDxfId="204" headerRowBorderDxfId="205" tableBorderDxfId="203" totalsRowBorderDxfId="202">
  <autoFilter ref="A8:BK132" xr:uid="{22D928AF-0290-4BF8-AEB3-42E0F33CAB63}"/>
  <tableColumns count="63">
    <tableColumn id="52" xr3:uid="{7F7105CC-0065-45AF-8D58-2120EBE5820C}" name="N° de _x000a_Ctx" dataDxfId="201"/>
    <tableColumn id="39" xr3:uid="{F0718431-70EF-4461-8F3D-FF317DAEF9C8}" name="Demandeur" dataDxfId="200"/>
    <tableColumn id="40" xr3:uid="{6A888227-DECA-433D-8FF1-F9EE344E5F0F}" name="N° demande OPT" dataDxfId="199"/>
    <tableColumn id="2" xr3:uid="{8156385A-50E8-497C-879F-389B562C567A}" name="N° semaine" dataDxfId="198">
      <calculatedColumnFormula>IF(Tableau1[[#This Row],[Date de Début]]=0,"Saisir date de début","S"&amp; _xlfn.ISOWEEKNUM(R9))</calculatedColumnFormula>
    </tableColumn>
    <tableColumn id="3" xr3:uid="{5791737E-7DD7-4AF5-9E81-536C9C0B5553}" name="Nature des travaux" dataDxfId="197"/>
    <tableColumn id="51" xr3:uid="{48FB2B42-1D36-41C3-8B1C-E84C06258209}" name="Partitularité du contrat" dataDxfId="196"/>
    <tableColumn id="31" xr3:uid="{6E6BD276-A75E-46F5-8041-BB56D1D5A9EF}" name="Colonne1" dataDxfId="0">
      <calculatedColumnFormula>"xxx-2025-"&amp;Tableau1[[#This Row],[N° de 
Ctx]]&amp;"-"&amp;Tableau1[[#This Row],[N° semaine]]&amp;"-"&amp; Tableau1[[#This Row],[Nature des travaux]]</calculatedColumnFormula>
    </tableColumn>
    <tableColumn id="4" xr3:uid="{033D47F7-E6FD-4FE9-8888-372C8B11FA6B}" name="Nom du contrat" dataDxfId="195">
      <calculatedColumnFormula>IF(Tableau1[[#This Row],[Nature des travaux]]=0,"Saisir nature des travaux",Tableau1[[#This Row],[Colonne1]])&amp;"-"&amp;Tableau1[[#This Row],[Jour]]</calculatedColumnFormula>
    </tableColumn>
    <tableColumn id="5" xr3:uid="{4B556D7F-ADE7-4207-B6F2-7BD34BEC4CEA}" name="Secteur 1" dataDxfId="194"/>
    <tableColumn id="6" xr3:uid="{86F9B904-EEEF-49DC-A011-232FF30E83E2}" name="Secteur 2" dataDxfId="193"/>
    <tableColumn id="7" xr3:uid="{E7927C1C-D204-4029-ADAD-45956DCC87A2}" name="Secteur 3" dataDxfId="192"/>
    <tableColumn id="8" xr3:uid="{358F3986-EAD5-4853-A35D-6325B8EA399E}" name="Secteur 4" dataDxfId="191"/>
    <tableColumn id="11" xr3:uid="{D9A99936-BA5E-446B-9948-BA6185EB91B0}" name="Vérification Secteur" dataDxfId="190">
      <calculatedColumnFormula>COUNTIF(Tableau1[[#This Row],[Secteur 1]:[Secteur 4]],"x")</calculatedColumnFormula>
    </tableColumn>
    <tableColumn id="43" xr3:uid="{61344487-C774-43C7-BC7C-58A809DF880A}" name="Type de contrat" dataDxfId="189"/>
    <tableColumn id="9" xr3:uid="{D9CE46DD-16B1-46C5-AB0A-F255CECDC671}" name="Renouvelable" dataDxfId="188">
      <calculatedColumnFormula>IF(Tableau1[[#This Row],[Date de Fin]]-Tableau1[[#This Row],[Date de Début]]&gt;1,"X"," ")</calculatedColumnFormula>
    </tableColumn>
    <tableColumn id="41" xr3:uid="{F68A41D5-18E3-4FC6-9690-4ABBFB79F449}" name="Fiche de travail" dataDxfId="187"/>
    <tableColumn id="42" xr3:uid="{A7878198-F0A0-41AC-8A50-87D670373D54}" name="Fiche de VT / VK" dataDxfId="186"/>
    <tableColumn id="10" xr3:uid="{E9EC49ED-FA5F-4E9B-8910-AB72D4B82C19}" name="Date de Début" dataDxfId="185"/>
    <tableColumn id="59" xr3:uid="{CBF9E297-371E-4327-9C6A-7C809A72C81D}" name="dateDebut" dataDxfId="184">
      <calculatedColumnFormula>TEXT(R9,"AAAA-MM-JJ")</calculatedColumnFormula>
    </tableColumn>
    <tableColumn id="12" xr3:uid="{0C5D3088-357D-48C6-8103-FC4E07B0F6E0}" name="Date de Fin" dataDxfId="183"/>
    <tableColumn id="60" xr3:uid="{FF090A94-ABE1-4AAC-9D09-C6F583C179D6}" name="dateFin" dataDxfId="182">
      <calculatedColumnFormula>TEXT(T9,"AAAA-MM-JJ")</calculatedColumnFormula>
    </tableColumn>
    <tableColumn id="44" xr3:uid="{BEEAFC5D-15C3-48C4-B383-4D9FA521583D}" name="Nuit 1" dataDxfId="181">
      <calculatedColumnFormula>PROPER(LEFT(TEXT(Tableau1[[#This Row],[Date de Début]],"jjjj"),2))&amp; "" &amp; PROPER(LEFT(TEXT(Tableau1[[#This Row],[Date de Début]]+1,"jjjj"),2))</calculatedColumnFormula>
    </tableColumn>
    <tableColumn id="45" xr3:uid="{1332F6A7-65C2-459E-8F50-FCB5F518E0CA}" name="Nuit 2" dataDxfId="180">
      <calculatedColumnFormula>IF(Tableau1[[#This Row],[Nb jours]]&gt;1,PROPER(LEFT(TEXT(Tableau1[[#This Row],[Date de Début]]+1,"jjjj"),2))&amp; "" &amp; PROPER(LEFT(TEXT(Tableau1[[#This Row],[Date de Début]]+2,"jjjj"),2)),"")</calculatedColumnFormula>
    </tableColumn>
    <tableColumn id="46" xr3:uid="{45E38D7D-4B48-43E2-9B29-9BABA44720D6}" name="Nuit 3" dataDxfId="179">
      <calculatedColumnFormula>IF(Tableau1[[#This Row],[Nb jours]]&gt;2,PROPER(LEFT(TEXT(Tableau1[[#This Row],[Date de Début]]+2,"jjjj"),2))&amp; "" &amp; PROPER(LEFT(TEXT(Tableau1[[#This Row],[Date de Début]]+3,"jjjj"),2)),"")</calculatedColumnFormula>
    </tableColumn>
    <tableColumn id="47" xr3:uid="{A19C4160-FEE3-4D8F-8A96-B3B9A567460A}" name="Nuit 4" dataDxfId="178">
      <calculatedColumnFormula>IF(Tableau1[[#This Row],[Nb jours]]&gt;3,PROPER(LEFT(TEXT(Tableau1[[#This Row],[Date de Début]]+3,"jjjj"),2))&amp; "" &amp; PROPER(LEFT(TEXT(Tableau1[[#This Row],[Date de Début]]+4,"jjjj"),2)),"")</calculatedColumnFormula>
    </tableColumn>
    <tableColumn id="48" xr3:uid="{5E4D76C6-D449-4B4A-AAF3-3C0574D2883F}" name="Nuit 5" dataDxfId="177">
      <calculatedColumnFormula>IF(Tableau1[[#This Row],[Nb jours]]&gt;4,PROPER(LEFT(TEXT(Tableau1[[#This Row],[Date de Début]]+4,"jjjj"),2))&amp; "" &amp; PROPER(LEFT(TEXT(Tableau1[[#This Row],[Date de Début]]+5,"jjjj"),2)),"")</calculatedColumnFormula>
    </tableColumn>
    <tableColumn id="49" xr3:uid="{7821ADF0-AE76-44AA-86A8-C7062D31CA87}" name="Nuit 6" dataDxfId="176">
      <calculatedColumnFormula>IF(Tableau1[[#This Row],[Nb jours]]&gt;5,PROPER(LEFT(TEXT(Tableau1[[#This Row],[Date de Début]]+5,"jjjj"),2))&amp; "" &amp; PROPER(LEFT(TEXT(Tableau1[[#This Row],[Date de Début]]+6,"jjjj"),2)),"")</calculatedColumnFormula>
    </tableColumn>
    <tableColumn id="32" xr3:uid="{9CAF732E-7CFF-42CB-8CCC-88EE1B1B865E}" name="Nb jours" dataDxfId="175">
      <calculatedColumnFormula>Tableau1[[#This Row],[Date de Fin]]-Tableau1[[#This Row],[Date de Début]]</calculatedColumnFormula>
    </tableColumn>
    <tableColumn id="50" xr3:uid="{AB0E9E7B-4BB3-4629-8A4F-F3C74BA7589E}" name="Jour" dataDxfId="174">
      <calculatedColumnFormula>Tableau1[[#This Row],[Nuit 1]]&amp;Tableau1[[#This Row],[Nuit 2]]&amp;Tableau1[[#This Row],[Nuit 3]]&amp;Tableau1[[#This Row],[Nuit 4]]&amp;Tableau1[[#This Row],[Nuit 5]]&amp;Tableau1[[#This Row],[Nuit 6]]</calculatedColumnFormula>
    </tableColumn>
    <tableColumn id="13" xr3:uid="{F65504BD-451B-48B9-ADA3-81D766675E8C}" name="Rédacteur" dataDxfId="173"/>
    <tableColumn id="14" xr3:uid="{84A25ED1-06E7-47BF-B115-7D9164BAB945}" name="Tolérance" dataDxfId="172" dataCellStyle="jours">
      <calculatedColumnFormula>Tolérances_1</calculatedColumnFormula>
    </tableColumn>
    <tableColumn id="15" xr3:uid="{A1AA762C-86E9-41B2-9706-9788D4A353A9}" name="Date limite de fin de rédaction" dataDxfId="171">
      <calculatedColumnFormula>Tableau1[[#This Row],[Date de Début]]-AE9</calculatedColumnFormula>
    </tableColumn>
    <tableColumn id="16" xr3:uid="{10A18452-05BD-4391-A1E2-322DB9DC20A1}" name="Date de fin de rédaction" dataDxfId="170"/>
    <tableColumn id="17" xr3:uid="{9B8E7702-71AA-4603-8D12-F9FDE90499E2}" name="Tolérance2" dataDxfId="169" dataCellStyle="jours">
      <calculatedColumnFormula>Tolérances_2</calculatedColumnFormula>
    </tableColumn>
    <tableColumn id="58" xr3:uid="{0957466D-638B-4289-A219-7A97091911DE}" name="dateFinRedaction" dataDxfId="168" dataCellStyle="jours">
      <calculatedColumnFormula>TEXT(AG9,"AAAA-MM-JJ")</calculatedColumnFormula>
    </tableColumn>
    <tableColumn id="38" xr3:uid="{4D767168-1B6D-45B5-B311-37A2741FCE87}" name="Vérificateur" dataDxfId="167" dataCellStyle="jours"/>
    <tableColumn id="18" xr3:uid="{A092D9F3-112B-43FE-8B19-2EAED4695513}" name="Date limite de fin de vérification" dataDxfId="166">
      <calculatedColumnFormula>Tableau1[[#This Row],[Date de Début]]-AH9</calculatedColumnFormula>
    </tableColumn>
    <tableColumn id="19" xr3:uid="{446D6FF5-8BC6-4CA0-A9F9-C8A5C82CADB6}" name="Date de fin de vérification" dataDxfId="165"/>
    <tableColumn id="20" xr3:uid="{C1A8491A-F565-42C3-BA6C-65E820CC0953}" name="Tolérance3" dataDxfId="164" dataCellStyle="jours">
      <calculatedColumnFormula>Tolérances_3</calculatedColumnFormula>
    </tableColumn>
    <tableColumn id="1" xr3:uid="{24E5F1A6-91A9-4813-9DF5-1C6C9C0BE385}" name="dateFinVerification" dataDxfId="163" dataCellStyle="jours">
      <calculatedColumnFormula>IF(AL9="","",TEXT(Tableau1[[#This Row],[Date de fin de vérification]],"AAAA-MM-JJ"))</calculatedColumnFormula>
    </tableColumn>
    <tableColumn id="21" xr3:uid="{EBA665EC-262C-4FC7-B725-D4BCDAC4298B}" name="Date limite d'envoi a  l'exploitation" dataDxfId="162">
      <calculatedColumnFormula>Tableau1[[#This Row],[Date de Début]]-AM9</calculatedColumnFormula>
    </tableColumn>
    <tableColumn id="22" xr3:uid="{3BE0019C-1384-4DDF-A3A5-EF62C1229D78}" name="Date d'envoi à  l'exploitation_x000a_(Mettre en copier le demandeur et le rédacteur)" dataDxfId="161"/>
    <tableColumn id="23" xr3:uid="{85304505-5A3F-4FC5-8965-008DEBBA0C94}" name="Tolérance4" dataDxfId="160" dataCellStyle="jours">
      <calculatedColumnFormula>Tolérances_4</calculatedColumnFormula>
    </tableColumn>
    <tableColumn id="55" xr3:uid="{CF2D669C-46DC-448D-978F-21778A6C0F23}" name="dateEnvoi" dataDxfId="159" dataCellStyle="jours">
      <calculatedColumnFormula>TEXT(AP9,"JJ/MM/AAAA")</calculatedColumnFormula>
    </tableColumn>
    <tableColumn id="24" xr3:uid="{781C9D98-A16F-47FA-B7E6-FD88112A0021}" name="Date limite de réception" dataDxfId="158">
      <calculatedColumnFormula>Tableau1[[#This Row],[Date de Début]]-AQ9</calculatedColumnFormula>
    </tableColumn>
    <tableColumn id="25" xr3:uid="{DB789710-FCF2-4D4E-BA9E-5A15A48F0505}" name="Date de réception" dataDxfId="157"/>
    <tableColumn id="26" xr3:uid="{EA8A49FD-232C-46ED-872C-384AF8E3BB2D}" name="Tolérance5" dataDxfId="156" dataCellStyle="jours">
      <calculatedColumnFormula>Tolérances_5</calculatedColumnFormula>
    </tableColumn>
    <tableColumn id="56" xr3:uid="{9BC48DF6-318B-409C-8B5C-AA2497EA9E29}" name="dateReception" dataDxfId="155" dataCellStyle="jours">
      <calculatedColumnFormula>TEXT(AT9,"JJ-MM-AAAA")</calculatedColumnFormula>
    </tableColumn>
    <tableColumn id="27" xr3:uid="{478C6510-B7BC-4755-83B4-29D1F335A1AE}" name="Date limite limite de dépose sur la GED" dataDxfId="154">
      <calculatedColumnFormula>Tableau1[[#This Row],[Date de Début]]-AU9</calculatedColumnFormula>
    </tableColumn>
    <tableColumn id="28" xr3:uid="{05F5C8D4-EB42-4377-9696-FA99B2B670AB}" name="Date de dépose sur la GED" dataDxfId="153"/>
    <tableColumn id="57" xr3:uid="{2B9F1AFC-E782-4E62-9F02-435F52828AD4}" name="dateDeposeGED" dataDxfId="152">
      <calculatedColumnFormula>TEXT(AX9,"AAAA-MM-JJ")</calculatedColumnFormula>
    </tableColumn>
    <tableColumn id="33" xr3:uid="{EE5568D2-3178-48C9-AAC9-EC68D2378B7E}" name="RETARD rédaction" dataDxfId="151">
      <calculatedColumnFormula>IF(Tableau1[[#This Row],[Date limite de fin de rédaction]]&lt;Tableau1[[#This Row],[Date de fin de rédaction]],1,0)</calculatedColumnFormula>
    </tableColumn>
    <tableColumn id="34" xr3:uid="{F05A6F25-5BD4-4249-8CAE-606C67D503C8}" name="retard vérification" dataDxfId="150">
      <calculatedColumnFormula>IF(Tableau1[[#This Row],[Date limite de fin de vérification]]&lt;Tableau1[[#This Row],[Date de fin de vérification]],1,0)</calculatedColumnFormula>
    </tableColumn>
    <tableColumn id="35" xr3:uid="{F84CC871-CDF8-42F2-9FC9-3AE381A6827E}" name="retard envoi" dataDxfId="149">
      <calculatedColumnFormula>IF(Tableau1[[#This Row],[Date limite d''envoi a  l''exploitation]]&lt;Tableau1[[#This Row],[Date d''envoi à  l''exploitation
(Mettre en copier le demandeur et le rédacteur)]],1,0)</calculatedColumnFormula>
    </tableColumn>
    <tableColumn id="36" xr3:uid="{76B0F33C-486F-40C9-83BA-00BEB6AE2426}" name="retard reception" dataDxfId="148">
      <calculatedColumnFormula>IF(Tableau1[[#This Row],[Date limite de réception]]&lt;Tableau1[[#This Row],[Date de réception]],1,0)</calculatedColumnFormula>
    </tableColumn>
    <tableColumn id="37" xr3:uid="{880649F8-98BE-455C-B474-9F10906D38E4}" name="retard GED" dataDxfId="147">
      <calculatedColumnFormula>IF(Tableau1[[#This Row],[Date limite limite de dépose sur la GED]]&lt;Tableau1[[#This Row],[Date de dépose sur la GED]],1,0)</calculatedColumnFormula>
    </tableColumn>
    <tableColumn id="29" xr3:uid="{BA5CAA85-187A-4A0F-9518-76064990E761}" name="Commenté aux différents agents le" dataDxfId="146"/>
    <tableColumn id="30" xr3:uid="{160895FB-1A12-4948-86C5-59825600A835}" name="Commentaires/ Justification contrat URGENT" dataDxfId="145"/>
    <tableColumn id="53" xr3:uid="{92383242-6339-4B66-981F-D9508F8D3B67}" name="Récupérer par le Conducteur  Travaux" dataDxfId="144"/>
    <tableColumn id="61" xr3:uid="{1DC9D76A-1B8E-4FC8-BE50-0CE7CFF2B761}" name="Déposé au QSE" dataDxfId="143"/>
    <tableColumn id="62" xr3:uid="{9E76995B-2BDB-45F9-A604-3348D862819D}" name="Audité par le QSE" dataDxfId="142"/>
    <tableColumn id="63" xr3:uid="{C439A4BF-FAF2-4893-912E-6A8725BBC42D}" name="Archivage définive" dataDxfId="141"/>
    <tableColumn id="54" xr3:uid="{5FF348A4-02C3-4A96-860E-415CA87622A1}" name="Observation sur le retour" dataDxfId="140"/>
  </tableColumns>
  <tableStyleInfo name="TableStyleMedium3" showFirstColumn="1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7B0B39-AA8B-48CC-8694-953750B47379}" name="TabRedacteur" displayName="TabRedacteur" ref="F1:G14" totalsRowShown="0" tableBorderDxfId="139">
  <autoFilter ref="F1:G14" xr:uid="{F07B0B39-AA8B-48CC-8694-953750B47379}"/>
  <tableColumns count="2">
    <tableColumn id="1" xr3:uid="{ADF6193A-7BF0-478C-8667-8ED72D193B07}" name="Intervenant" dataDxfId="138" dataCellStyle="Normal_BORDEREA"/>
    <tableColumn id="2" xr3:uid="{7D4C64F9-A415-40C8-9659-9D8373EF7E68}" name="Mail" dataDxfId="1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6A352A-E551-4BBF-A1A6-9D659A07672D}" name="Tableau14" displayName="Tableau14" ref="A8:AY9" totalsRowShown="0" headerRowDxfId="136" dataDxfId="134" headerRowBorderDxfId="135" tableBorderDxfId="133" totalsRowBorderDxfId="132">
  <autoFilter ref="A8:AY9" xr:uid="{22D928AF-0290-4BF8-AEB3-42E0F33CAB63}">
    <filterColumn colId="50">
      <filters>
        <filter val="En cours"/>
      </filters>
    </filterColumn>
  </autoFilter>
  <tableColumns count="51">
    <tableColumn id="1" xr3:uid="{255DAA8A-3FF9-4099-A0F3-512FCE6B98A9}" name="N° de _x000a_Ctx" dataDxfId="131">
      <calculatedColumnFormula array="1">_semISO(Tableau14[[#This Row],[Date de Début]],"-S")</calculatedColumnFormula>
    </tableColumn>
    <tableColumn id="39" xr3:uid="{A1237972-C795-4605-9EE9-CE6AF715E133}" name="Demandeur" dataDxfId="130"/>
    <tableColumn id="40" xr3:uid="{F718B693-63C0-4E45-9C99-D94D05FC1436}" name="Nb demande OPT" dataDxfId="129"/>
    <tableColumn id="2" xr3:uid="{47478F88-2725-4A1E-8AF5-5F2BCE8C8DB4}" name="N° semaine" dataDxfId="128">
      <calculatedColumnFormula>IF(Tableau14[[#This Row],[Date de Début]]=0,"Saisir date de début","S"&amp; _xlfn.ISOWEEKNUM(Q9))</calculatedColumnFormula>
    </tableColumn>
    <tableColumn id="3" xr3:uid="{FE122D17-7506-446B-A4D5-1BFE5083F77D}" name="Nature des travaux" dataDxfId="127"/>
    <tableColumn id="31" xr3:uid="{6FEC4B47-A9C0-40FA-A5BE-5C8F0BED17B6}" name="Colonne1" dataDxfId="126">
      <calculatedColumnFormula>"OPERE - 2025 -"&amp;A9&amp;" - "&amp;D9&amp;" - "&amp;E9</calculatedColumnFormula>
    </tableColumn>
    <tableColumn id="4" xr3:uid="{A7EBF589-37A2-46E7-9E5B-FA6903FD19DC}" name="Nom du document" dataDxfId="125">
      <calculatedColumnFormula>IF(Tableau14[[#This Row],[Nature des travaux]]=0,"Saisir nature des travaux",Tableau14[[#This Row],[Colonne1]])&amp;"-"&amp;Tableau14[[#This Row],[Jour]]</calculatedColumnFormula>
    </tableColumn>
    <tableColumn id="5" xr3:uid="{0B52559B-4989-469C-89A4-611DE53C1710}" name="CATENAIRE" dataDxfId="124"/>
    <tableColumn id="6" xr3:uid="{C78A3EFD-CAF6-4241-9ED2-663D8FBA6CC5}" name="EALE" dataDxfId="123"/>
    <tableColumn id="7" xr3:uid="{C0F881D6-4004-4B28-B120-FEBF02465F43}" name="SIG /TEL" dataDxfId="122"/>
    <tableColumn id="8" xr3:uid="{43CECD1E-FCBB-4EB2-BAFE-9406AC9B8FEC}" name="VOIE " dataDxfId="121"/>
    <tableColumn id="11" xr3:uid="{F67E1AAC-A4DD-4148-A6B5-BC401BF15DBE}" name="Vérification Secteur" dataDxfId="120">
      <calculatedColumnFormula>COUNTIF(Tableau14[[#This Row],[CATENAIRE]:[VOIE ]],"x")</calculatedColumnFormula>
    </tableColumn>
    <tableColumn id="43" xr3:uid="{61BA2208-82AE-4105-91D3-C174745C68F7}" name="Type de contrat" dataDxfId="119"/>
    <tableColumn id="9" xr3:uid="{E532169E-3DE8-44A7-9897-BAC6F53885DB}" name="Renouvelable" dataDxfId="118">
      <calculatedColumnFormula>IF(Tableau14[[#This Row],[Date de Fin]]-Tableau14[[#This Row],[Date de Début]]&gt;1,"X"," ")</calculatedColumnFormula>
    </tableColumn>
    <tableColumn id="41" xr3:uid="{FE1C92C6-FD78-44EA-B111-71E1655AAC49}" name="Fiche de travail" dataDxfId="117"/>
    <tableColumn id="42" xr3:uid="{6E7C594A-F70C-4730-B828-BCEB21DB3699}" name="Fiche de VT / VK" dataDxfId="116"/>
    <tableColumn id="10" xr3:uid="{5D7F10E6-9A8F-4CA2-A0F7-880D7CD10129}" name="Date de Début" dataDxfId="115"/>
    <tableColumn id="12" xr3:uid="{74EF57EF-8294-4C49-8B0C-037498B886F8}" name="Date de Fin" dataDxfId="114"/>
    <tableColumn id="44" xr3:uid="{53380E34-6226-4793-BBA5-A30FD8A29EEE}" name="Colonne3" dataDxfId="113">
      <calculatedColumnFormula>PROPER(LEFT(TEXT(Tableau14[[#This Row],[Date de Début]],"jjjj"),2))&amp; "" &amp; PROPER(LEFT(TEXT(Tableau14[[#This Row],[Date de Début]]+1,"jjjj"),2))</calculatedColumnFormula>
    </tableColumn>
    <tableColumn id="45" xr3:uid="{7B39D1AE-6D33-4516-ACA1-F218A60D0F96}" name="Colonne4" dataDxfId="112">
      <calculatedColumnFormula>IF(Tableau14[[#This Row],[Nb jours]]&gt;1,PROPER(LEFT(TEXT(Tableau14[[#This Row],[Date de Début]]+1,"jjjj"),2))&amp; "" &amp; PROPER(LEFT(TEXT(Tableau14[[#This Row],[Date de Début]]+2,"jjjj"),2)),"")</calculatedColumnFormula>
    </tableColumn>
    <tableColumn id="46" xr3:uid="{08186D70-E338-42E8-8619-822DF408AA72}" name="Colonne5" dataDxfId="111">
      <calculatedColumnFormula>IF(Tableau14[[#This Row],[Nb jours]]&gt;2,PROPER(LEFT(TEXT(Tableau14[[#This Row],[Date de Début]]+2,"jjjj"),2))&amp; "" &amp; PROPER(LEFT(TEXT(Tableau14[[#This Row],[Date de Début]]+3,"jjjj"),2)),"")</calculatedColumnFormula>
    </tableColumn>
    <tableColumn id="47" xr3:uid="{C49E4268-B38C-45A0-A15F-8F503631C779}" name="Colonne6" dataDxfId="110">
      <calculatedColumnFormula>IF(Tableau14[[#This Row],[Nb jours]]&gt;3,PROPER(LEFT(TEXT(Tableau14[[#This Row],[Date de Début]]+3,"jjjj"),2))&amp; "" &amp; PROPER(LEFT(TEXT(Tableau14[[#This Row],[Date de Début]]+4,"jjjj"),2)),"")</calculatedColumnFormula>
    </tableColumn>
    <tableColumn id="48" xr3:uid="{EB5419C0-1AAE-4837-806E-0036BF1E3D8D}" name="Colonne7" dataDxfId="109">
      <calculatedColumnFormula>IF(Tableau14[[#This Row],[Nb jours]]&gt;4,PROPER(LEFT(TEXT(Tableau14[[#This Row],[Date de Début]]+4,"jjjj"),2))&amp; "" &amp; PROPER(LEFT(TEXT(Tableau14[[#This Row],[Date de Début]]+5,"jjjj"),2)),"")</calculatedColumnFormula>
    </tableColumn>
    <tableColumn id="49" xr3:uid="{D7FE21C3-F210-4CFE-81BF-586B304E71C8}" name="Colonne8" dataDxfId="108">
      <calculatedColumnFormula>IF(Tableau14[[#This Row],[Nb jours]]&gt;5,PROPER(LEFT(TEXT(Tableau14[[#This Row],[Date de Début]]+5,"jjjj"),2))&amp; "" &amp; PROPER(LEFT(TEXT(Tableau14[[#This Row],[Date de Début]]+6,"jjjj"),2)),"")</calculatedColumnFormula>
    </tableColumn>
    <tableColumn id="32" xr3:uid="{C1995115-7B3C-4A79-92BE-83D425245006}" name="Nb jours" dataDxfId="107">
      <calculatedColumnFormula>Tableau14[[#This Row],[Date de Fin]]-Tableau14[[#This Row],[Date de Début]]</calculatedColumnFormula>
    </tableColumn>
    <tableColumn id="50" xr3:uid="{A6309541-96EC-46D3-822C-E36C719B25CE}" name="Jour" dataDxfId="106">
      <calculatedColumnFormula array="1">_xlfn.SWITCH(Y9,1,S9,2,S9&amp;" "&amp;T9,3,S9&amp;" "&amp;T9&amp;" "&amp;U9,4,S9&amp;" "&amp;T9&amp;" "&amp;U9&amp;" "&amp;V9,5,S9&amp;" "&amp;T9&amp;" "&amp;U9&amp;" "&amp;V9&amp;" "&amp;W9,6,S9&amp;" "&amp;T9&amp;" "&amp;U9&amp;" "&amp;V9&amp;" "&amp;W9&amp;" "&amp;X9)</calculatedColumnFormula>
    </tableColumn>
    <tableColumn id="13" xr3:uid="{86B4DD22-C222-408C-9B8A-D31D26A2D5B5}" name="Rédacteur" dataDxfId="105"/>
    <tableColumn id="14" xr3:uid="{CC40D4A7-F98F-472A-807E-D54E3DF0ADA8}" name="Tolérance" dataDxfId="104" dataCellStyle="jours">
      <calculatedColumnFormula>paramètre!O2</calculatedColumnFormula>
    </tableColumn>
    <tableColumn id="15" xr3:uid="{3F2C7B1C-FDFB-47F3-B514-03ED5684887C}" name="Date limite de fin de rédaction" dataDxfId="103">
      <calculatedColumnFormula>Tableau14[[#This Row],[Date de Début]]-AB9</calculatedColumnFormula>
    </tableColumn>
    <tableColumn id="16" xr3:uid="{C4F238CC-B45A-4A98-ACDD-11EBEC70EC28}" name="Date de fin de rédaction" dataDxfId="102"/>
    <tableColumn id="17" xr3:uid="{55637B13-A33B-4AC9-9395-E99222CD8AF2}" name="Tolérance2" dataDxfId="101" dataCellStyle="jours">
      <calculatedColumnFormula>Tolérances_2</calculatedColumnFormula>
    </tableColumn>
    <tableColumn id="38" xr3:uid="{4C5AD42D-33BE-4D02-B4E9-23B0858AD93D}" name="Vérificateur" dataDxfId="100" dataCellStyle="jours"/>
    <tableColumn id="18" xr3:uid="{4B533B72-59A9-4B1F-A751-2D4099232DB3}" name="Date limite de fin de vérification" dataDxfId="99">
      <calculatedColumnFormula>Tableau14[[#This Row],[Date de Début]]-AE9</calculatedColumnFormula>
    </tableColumn>
    <tableColumn id="19" xr3:uid="{71C29AA1-3611-41AD-A024-24080F91C280}" name="Date de fin de vérification" dataDxfId="98"/>
    <tableColumn id="20" xr3:uid="{ED2EC9E8-E086-4A5A-8EA7-617C74743343}" name="Tolérance3" dataDxfId="97" dataCellStyle="jours">
      <calculatedColumnFormula>paramètre!O2</calculatedColumnFormula>
    </tableColumn>
    <tableColumn id="21" xr3:uid="{C478C351-34C4-4590-A2CE-AA365CCF8B60}" name="Date limite d'envoi a  l'exploitation" dataDxfId="96">
      <calculatedColumnFormula>Tableau14[[#This Row],[Date de Début]]-AI9</calculatedColumnFormula>
    </tableColumn>
    <tableColumn id="22" xr3:uid="{ADF68263-2981-4907-AD97-2E89BED7CA13}" name="Date d'envoi à  l'exploitation_x000a_(Mettre en copier le demandeur et le rédacteur)" dataDxfId="95"/>
    <tableColumn id="23" xr3:uid="{12D6EFE0-9FF4-4088-8534-2A78135E07D9}" name="Tolérance4" dataDxfId="94" dataCellStyle="jours">
      <calculatedColumnFormula>Tolérances_4</calculatedColumnFormula>
    </tableColumn>
    <tableColumn id="24" xr3:uid="{2CB5B62E-8D1A-4532-B9DF-D1838BCC64E7}" name="Date limite de réception" dataDxfId="93">
      <calculatedColumnFormula>Tableau14[[#This Row],[Date de Début]]-AL9</calculatedColumnFormula>
    </tableColumn>
    <tableColumn id="25" xr3:uid="{ED0FFD2D-430D-4CCD-8803-B24A92FC1BBF}" name="Date de réception" dataDxfId="92"/>
    <tableColumn id="26" xr3:uid="{E34483F3-534E-43D3-AFD7-267F402E375E}" name="Tolérance5" dataDxfId="91" dataCellStyle="jours">
      <calculatedColumnFormula>Tolérances_5</calculatedColumnFormula>
    </tableColumn>
    <tableColumn id="27" xr3:uid="{2A082CBC-960F-4518-BBA3-93C08456A98F}" name="Date limite limite de dépose sur la GED" dataDxfId="90">
      <calculatedColumnFormula>Tableau14[[#This Row],[Date de Début]]-AO9</calculatedColumnFormula>
    </tableColumn>
    <tableColumn id="28" xr3:uid="{EED43959-9290-40DB-AF87-CD2F6E7A5DD9}" name="Date de dépose sur la GED" dataDxfId="89"/>
    <tableColumn id="33" xr3:uid="{4E5C30B3-2B42-41C7-9991-B21EDB1F9AD9}" name="RETARD rédaction" dataDxfId="88">
      <calculatedColumnFormula>IF(Tableau14[[#This Row],[Date limite de fin de rédaction]]&lt;Tableau14[[#This Row],[Date de fin de rédaction]],1,0)</calculatedColumnFormula>
    </tableColumn>
    <tableColumn id="34" xr3:uid="{23EA3D0A-EDC1-453C-84B1-5A153B61FA2D}" name="retard vérification" dataDxfId="87">
      <calculatedColumnFormula>IF(Tableau14[[#This Row],[Date limite de fin de vérification]]&lt;Tableau14[[#This Row],[Date de fin de vérification]],1,0)</calculatedColumnFormula>
    </tableColumn>
    <tableColumn id="35" xr3:uid="{28645AB3-DCF6-438B-9E55-653F2F84D998}" name="retard envoie" dataDxfId="86">
      <calculatedColumnFormula>IF(Tableau14[[#This Row],[Date limite d''envoi a  l''exploitation]]&lt;Tableau14[[#This Row],[Date d''envoi à  l''exploitation
(Mettre en copier le demandeur et le rédacteur)]],1,0)</calculatedColumnFormula>
    </tableColumn>
    <tableColumn id="36" xr3:uid="{46C6F9A9-0746-4749-A907-486C80B1DF0B}" name="retard reception" dataDxfId="85">
      <calculatedColumnFormula>IF(Tableau14[[#This Row],[Date limite de réception]]&lt;Tableau14[[#This Row],[Date de réception]],1,0)</calculatedColumnFormula>
    </tableColumn>
    <tableColumn id="37" xr3:uid="{9A34E410-4372-482F-91BB-CF7EDB43F855}" name="retard GED" dataDxfId="84">
      <calculatedColumnFormula>IF(Tableau14[[#This Row],[Date limite limite de dépose sur la GED]]&lt;Tableau14[[#This Row],[Date de dépose sur la GED]],1,0)</calculatedColumnFormula>
    </tableColumn>
    <tableColumn id="29" xr3:uid="{B7C39D08-2080-4C50-9909-8AAE34DE3CF8}" name="Commenté au RPTx le" dataDxfId="83"/>
    <tableColumn id="30" xr3:uid="{8AC94BF1-1720-4891-AA07-C117C68E85E6}" name="Commentaires/ Justification contrat URGENT" dataDxfId="82"/>
    <tableColumn id="53" xr3:uid="{2EF039D4-02BE-47E6-AF27-C09A85344CAA}" name="Statut" dataDxfId="81">
      <calculatedColumnFormula>IF(TODAY()&gt;Tableau14[[#This Row],[Date de Début]]+4,"Archivé","En cours")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D68F-1748-47F8-A7B0-756B8B18735F}">
  <dimension ref="A2:C8"/>
  <sheetViews>
    <sheetView workbookViewId="0">
      <selection activeCell="B13" sqref="B13"/>
    </sheetView>
  </sheetViews>
  <sheetFormatPr baseColWidth="10" defaultColWidth="11.42578125" defaultRowHeight="15" x14ac:dyDescent="0.25"/>
  <cols>
    <col min="1" max="1" width="20.5703125" customWidth="1"/>
    <col min="2" max="2" width="39.7109375" customWidth="1"/>
    <col min="3" max="3" width="81" customWidth="1"/>
  </cols>
  <sheetData>
    <row r="2" spans="1:3" x14ac:dyDescent="0.25">
      <c r="A2" s="13" t="s">
        <v>0</v>
      </c>
      <c r="B2" s="13" t="s">
        <v>1</v>
      </c>
      <c r="C2" s="13" t="s">
        <v>2</v>
      </c>
    </row>
    <row r="3" spans="1:3" x14ac:dyDescent="0.25">
      <c r="A3" s="14">
        <v>45588</v>
      </c>
      <c r="B3" s="13" t="s">
        <v>3</v>
      </c>
      <c r="C3" s="13" t="s">
        <v>4</v>
      </c>
    </row>
    <row r="4" spans="1:3" x14ac:dyDescent="0.25">
      <c r="A4" s="13"/>
      <c r="B4" s="13"/>
      <c r="C4" s="13"/>
    </row>
    <row r="5" spans="1:3" x14ac:dyDescent="0.25">
      <c r="A5" s="13"/>
      <c r="B5" s="13"/>
      <c r="C5" s="13"/>
    </row>
    <row r="6" spans="1:3" x14ac:dyDescent="0.25">
      <c r="A6" s="13"/>
      <c r="B6" s="13"/>
      <c r="C6" s="13"/>
    </row>
    <row r="7" spans="1:3" x14ac:dyDescent="0.25">
      <c r="A7" s="13"/>
      <c r="B7" s="13"/>
      <c r="C7" s="13"/>
    </row>
    <row r="8" spans="1:3" x14ac:dyDescent="0.25">
      <c r="A8" s="13"/>
      <c r="B8" s="13"/>
      <c r="C8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K554"/>
  <sheetViews>
    <sheetView showGridLines="0" tabSelected="1" zoomScale="85" zoomScaleNormal="85" workbookViewId="0">
      <pane ySplit="10" topLeftCell="A11" activePane="bottomLeft" state="frozen"/>
      <selection pane="bottomLeft" activeCell="AJ16" sqref="A16:AJ16"/>
    </sheetView>
  </sheetViews>
  <sheetFormatPr baseColWidth="10" defaultColWidth="11.5703125" defaultRowHeight="15" customHeight="1" x14ac:dyDescent="0.25"/>
  <cols>
    <col min="1" max="1" width="10.85546875" style="2" customWidth="1"/>
    <col min="2" max="2" width="22" style="2" customWidth="1"/>
    <col min="3" max="3" width="19.7109375" style="2" customWidth="1"/>
    <col min="4" max="4" width="17.85546875" style="4" customWidth="1"/>
    <col min="5" max="5" width="50.140625" style="2" customWidth="1"/>
    <col min="6" max="6" width="38.85546875" style="2" customWidth="1"/>
    <col min="7" max="7" width="136.5703125" style="2" hidden="1" customWidth="1"/>
    <col min="8" max="8" width="77.85546875" style="4" customWidth="1"/>
    <col min="9" max="9" width="10.5703125" style="2" customWidth="1"/>
    <col min="10" max="10" width="6.5703125" style="2" customWidth="1"/>
    <col min="11" max="11" width="8.5703125" style="2" customWidth="1"/>
    <col min="12" max="12" width="6.85546875" style="2" customWidth="1"/>
    <col min="13" max="13" width="11.85546875" style="2" customWidth="1"/>
    <col min="14" max="14" width="7.7109375" style="2" customWidth="1"/>
    <col min="15" max="15" width="11.85546875" style="2" customWidth="1"/>
    <col min="16" max="17" width="7.7109375" style="2" customWidth="1"/>
    <col min="18" max="18" width="11.85546875" style="2" customWidth="1"/>
    <col min="19" max="19" width="11.85546875" style="2" hidden="1" customWidth="1"/>
    <col min="20" max="20" width="11.5703125" style="2" customWidth="1"/>
    <col min="21" max="21" width="11.5703125" style="2" hidden="1" customWidth="1"/>
    <col min="22" max="28" width="11.85546875" style="2" hidden="1" customWidth="1"/>
    <col min="29" max="29" width="48.5703125" style="2" hidden="1" customWidth="1"/>
    <col min="30" max="30" width="11.5703125" style="2" customWidth="1"/>
    <col min="31" max="31" width="9.5703125" style="2" hidden="1" customWidth="1"/>
    <col min="32" max="32" width="11.5703125" style="4" customWidth="1"/>
    <col min="33" max="33" width="11.5703125" style="2" customWidth="1"/>
    <col min="34" max="35" width="12.5703125" style="2" hidden="1" customWidth="1"/>
    <col min="36" max="36" width="18.85546875" style="2" customWidth="1"/>
    <col min="37" max="37" width="11.5703125" style="4" customWidth="1"/>
    <col min="38" max="38" width="11.5703125" style="2" customWidth="1"/>
    <col min="39" max="39" width="12.5703125" style="2" hidden="1" customWidth="1"/>
    <col min="40" max="40" width="26.5703125" style="268" hidden="1" customWidth="1"/>
    <col min="41" max="41" width="11.5703125" style="4" customWidth="1"/>
    <col min="42" max="42" width="11.5703125" style="2" customWidth="1"/>
    <col min="43" max="43" width="12.5703125" style="2" hidden="1" customWidth="1"/>
    <col min="44" max="44" width="12.5703125" style="2" customWidth="1"/>
    <col min="45" max="45" width="11.5703125" style="4" customWidth="1"/>
    <col min="46" max="46" width="11.5703125" style="2" customWidth="1"/>
    <col min="47" max="48" width="12.5703125" style="2" hidden="1" customWidth="1"/>
    <col min="49" max="49" width="11.5703125" style="4" customWidth="1"/>
    <col min="50" max="50" width="11.5703125" style="2" customWidth="1"/>
    <col min="51" max="51" width="11.5703125" style="2" hidden="1" customWidth="1"/>
    <col min="52" max="56" width="12.5703125" style="2" customWidth="1"/>
    <col min="57" max="57" width="18" style="3" customWidth="1"/>
    <col min="58" max="58" width="18.85546875" style="2" customWidth="1"/>
    <col min="59" max="62" width="17.28515625" style="2" customWidth="1"/>
    <col min="63" max="63" width="32.140625" style="2" customWidth="1"/>
    <col min="64" max="16384" width="11.5703125" style="2"/>
  </cols>
  <sheetData>
    <row r="1" spans="1:63" s="4" customFormat="1" ht="16.5" customHeight="1" thickTop="1" thickBot="1" x14ac:dyDescent="0.3">
      <c r="A1" s="118"/>
      <c r="B1" s="118"/>
      <c r="C1" s="118"/>
      <c r="D1" s="154" t="s">
        <v>5</v>
      </c>
      <c r="E1" s="120"/>
      <c r="F1" s="155"/>
      <c r="G1" s="125"/>
      <c r="H1" s="121" t="s">
        <v>6</v>
      </c>
      <c r="I1" s="348" t="s">
        <v>7</v>
      </c>
      <c r="J1" s="348"/>
      <c r="K1" s="348"/>
      <c r="L1" s="349"/>
      <c r="M1" s="350"/>
      <c r="N1" s="351"/>
      <c r="O1" s="348"/>
      <c r="P1" s="352"/>
      <c r="Q1" s="352"/>
      <c r="R1" s="349"/>
      <c r="S1" s="273"/>
      <c r="AD1" s="322" t="s">
        <v>8</v>
      </c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178"/>
      <c r="AU1" s="178"/>
      <c r="AV1" s="178"/>
      <c r="AW1" s="323">
        <v>2025</v>
      </c>
      <c r="AX1" s="323"/>
      <c r="AY1" s="323"/>
      <c r="AZ1" s="323"/>
      <c r="BA1" s="323"/>
      <c r="BB1" s="323"/>
      <c r="BC1" s="323"/>
      <c r="BD1" s="323"/>
      <c r="BE1" s="323"/>
      <c r="BF1" s="328"/>
    </row>
    <row r="2" spans="1:63" s="4" customFormat="1" ht="15.75" customHeight="1" thickTop="1" x14ac:dyDescent="0.25">
      <c r="A2" s="333"/>
      <c r="B2" s="334"/>
      <c r="C2" s="335"/>
      <c r="D2" s="356" cm="1">
        <f t="array" aca="1" ref="D2" ca="1">SUMPRODUCT((Tableau1[Date de fin de rédaction]="")*(TODAY()&lt;Tableau1[Date limite de fin de rédaction]-7)*(Tableau1[Secteur 1]&lt;&gt;"")*1)
+SUMPRODUCT((Tableau1[Date de fin de vérification]="")*(TODAY()&lt;Tableau1[Date limite de fin de vérification]-7)*(Tableau1[Secteur 1]&lt;&gt;"")*1)
+SUMPRODUCT((Tableau1[Date d''envoi à  l''exploitation
(Mettre en copier le demandeur et le rédacteur)]="")*(TODAY()&lt;Tableau1[Date limite d''envoi a  l''exploitation]-7)*(Tableau1[Secteur 1]&lt;&gt;"")*1)
+SUMPRODUCT((Tableau1[Date de réception]="")*(TODAY()&lt;Tableau1[Date limite de réception]-7)*(Tableau1[Secteur 1]&lt;&gt;"")*1)
+SUMPRODUCT((Tableau1[Date de dépose sur la GED]="")*(TODAY()&lt;Tableau1[Date limite limite de dépose sur la GED]-7)*(Tableau1[Secteur 1]&lt;&gt;"")*1)</f>
        <v>0</v>
      </c>
      <c r="E2" s="354"/>
      <c r="F2" s="358"/>
      <c r="G2" s="355"/>
      <c r="H2" s="122" cm="1">
        <f t="array" aca="1" ref="H2" ca="1">SUMPRODUCT((Tableau1[Date de fin de rédaction]="")*(TODAY()&gt;=Tableau1[Date limite de fin de rédaction]-7)*(TODAY()&lt;Tableau1[Date limite de fin de rédaction])*(Tableau1[Secteur 1]&lt;&gt;"")*1)
+SUMPRODUCT((Tableau1[Date de fin de vérification]="")*(TODAY()&gt;=Tableau1[Date limite de fin de vérification]-7)*(TODAY()&lt;Tableau1[Date limite de fin de vérification])*(Tableau1[Secteur 1]&lt;&gt;"")*1)
+SUMPRODUCT((Tableau1[Date d''envoi à  l''exploitation
(Mettre en copier le demandeur et le rédacteur)]="")*(TODAY()&gt;=Tableau1[Date limite d''envoi a  l''exploitation]-7)*(TODAY()&lt;Tableau1[Date limite d''envoi a  l''exploitation])*(Tableau1[Secteur 1]&lt;&gt;"")*1)
+SUMPRODUCT((Tableau1[Date de réception]="")*(TODAY()&gt;=Tableau1[Date limite de réception]-7)*(TODAY()&lt;Tableau1[Date limite de réception])*(Tableau1[Secteur 1]&lt;&gt;"")*1)
+SUMPRODUCT((Tableau1[Date de dépose sur la GED]="")*(TODAY()&gt;=Tableau1[Date limite limite de dépose sur la GED]-7)*(TODAY()&lt;Tableau1[Date limite limite de dépose sur la GED])*(Tableau1[Secteur 1]&lt;&gt;"")*1)</f>
        <v>0</v>
      </c>
      <c r="I2" s="353" cm="1">
        <f t="array" aca="1" ref="I2" ca="1">SUMPRODUCT((Tableau1[Date de fin de rédaction]="")*(TODAY()&gt;=Tableau1[Date limite de fin de rédaction])*(Tableau1[Secteur 1]&lt;&gt;"")*1)
+SUMPRODUCT((Tableau1[Date de fin de vérification]="")*(TODAY()&gt;=Tableau1[Date limite de fin de vérification])*(Tableau1[Secteur 1]&lt;&gt;"")*1)
+SUMPRODUCT((Tableau1[Date d''envoi à  l''exploitation
(Mettre en copier le demandeur et le rédacteur)]="")*(TODAY()&gt;=Tableau1[Date limite d''envoi a  l''exploitation])*(Tableau1[Secteur 1]&lt;&gt;"")*1)
+SUMPRODUCT((Tableau1[Date de réception]="")*(TODAY()&gt;=Tableau1[Date limite de réception])*(Tableau1[Secteur 1]&lt;&gt;"")*1)
+SUMPRODUCT((Tableau1[Date de dépose sur la GED]="")*(TODAY()&gt;=Tableau1[Date limite limite de dépose sur la GED])*(Tableau1[Secteur 1]&lt;&gt;"")*1)</f>
        <v>0</v>
      </c>
      <c r="J2" s="353"/>
      <c r="K2" s="353"/>
      <c r="L2" s="354"/>
      <c r="M2" s="355"/>
      <c r="N2" s="356"/>
      <c r="O2" s="353"/>
      <c r="P2" s="357"/>
      <c r="Q2" s="357"/>
      <c r="R2" s="354"/>
      <c r="S2" s="274"/>
      <c r="AD2" s="324"/>
      <c r="AE2" s="325"/>
      <c r="AF2" s="325"/>
      <c r="AG2" s="325"/>
      <c r="AH2" s="325"/>
      <c r="AI2" s="325"/>
      <c r="AJ2" s="325"/>
      <c r="AK2" s="325"/>
      <c r="AL2" s="325"/>
      <c r="AM2" s="325"/>
      <c r="AN2" s="325"/>
      <c r="AO2" s="325"/>
      <c r="AP2" s="325"/>
      <c r="AQ2" s="325"/>
      <c r="AR2" s="325"/>
      <c r="AS2" s="325"/>
      <c r="AT2" s="179"/>
      <c r="AU2" s="179"/>
      <c r="AV2" s="179"/>
      <c r="AW2" s="325"/>
      <c r="AX2" s="325"/>
      <c r="AY2" s="325"/>
      <c r="AZ2" s="325"/>
      <c r="BA2" s="325"/>
      <c r="BB2" s="325"/>
      <c r="BC2" s="325"/>
      <c r="BD2" s="325"/>
      <c r="BE2" s="325"/>
      <c r="BF2" s="329"/>
    </row>
    <row r="3" spans="1:63" s="4" customFormat="1" ht="15" customHeight="1" x14ac:dyDescent="0.25">
      <c r="A3" s="336"/>
      <c r="B3" s="337"/>
      <c r="C3" s="338"/>
      <c r="D3" s="359" cm="1">
        <f t="array" aca="1" ref="D3" ca="1">SUMPRODUCT((Tableau1[Date de fin de rédaction]="")*(TODAY()&lt;Tableau1[Date limite de fin de rédaction]-7)*(Tableau1[Secteur 2]&lt;&gt;"")*1)
+SUMPRODUCT((Tableau1[Date de fin de vérification]="")*(TODAY()&lt;Tableau1[Date limite de fin de vérification]-7)*(Tableau1[Secteur 2]&lt;&gt;"")*1)
+SUMPRODUCT((Tableau1[Date d''envoi à  l''exploitation
(Mettre en copier le demandeur et le rédacteur)]="")*(TODAY()&lt;Tableau1[Date limite d''envoi a  l''exploitation]-7)*(Tableau1[Secteur 2]&lt;&gt;"")*1)
+SUMPRODUCT((Tableau1[Date de réception]="")*(TODAY()&lt;Tableau1[Date limite de réception]-7)*(Tableau1[Secteur 2]&lt;&gt;"")*1)
+SUMPRODUCT((Tableau1[Date de dépose sur la GED]="")*(TODAY()&lt;Tableau1[Date limite limite de dépose sur la GED]-7)*(Tableau1[Secteur 2]&lt;&gt;"")*1)</f>
        <v>0</v>
      </c>
      <c r="E3" s="360"/>
      <c r="F3" s="361"/>
      <c r="G3" s="362"/>
      <c r="H3" s="123" cm="1">
        <f t="array" aca="1" ref="H3" ca="1">SUMPRODUCT((Tableau1[Date de fin de rédaction]="")*(TODAY()&gt;=Tableau1[Date limite de fin de rédaction]-7)*(TODAY()&lt;Tableau1[Date limite de fin de rédaction])*(Tableau1[Secteur 2]&lt;&gt;"")*1)
+SUMPRODUCT((Tableau1[Date de fin de vérification]="")*(TODAY()&gt;=Tableau1[Date limite de fin de vérification]-7)*(TODAY()&lt;Tableau1[Date limite de fin de vérification])*(Tableau1[Secteur 2]&lt;&gt;"")*1)
+SUMPRODUCT((Tableau1[Date d''envoi à  l''exploitation
(Mettre en copier le demandeur et le rédacteur)]="")*(TODAY()&gt;=Tableau1[Date limite d''envoi a  l''exploitation]-7)*(TODAY()&lt;Tableau1[Date limite d''envoi a  l''exploitation])*(Tableau1[Secteur 2]&lt;&gt;"")*1)
+SUMPRODUCT((Tableau1[Date de réception]="")*(TODAY()&gt;=Tableau1[Date limite de réception]-7)*(TODAY()&lt;Tableau1[Date limite de réception])*(Tableau1[Secteur 2]&lt;&gt;"")*1)
+SUMPRODUCT((Tableau1[Date de dépose sur la GED]="")*(TODAY()&gt;=Tableau1[Date limite limite de dépose sur la GED]-7)*(TODAY()&lt;Tableau1[Date limite limite de dépose sur la GED])*(Tableau1[Secteur 2]&lt;&gt;"")*1)</f>
        <v>0</v>
      </c>
      <c r="I3" s="370" cm="1">
        <f t="array" aca="1" ref="I3" ca="1">SUMPRODUCT((Tableau1[Date de fin de rédaction]="")*(TODAY()&gt;=Tableau1[Date limite de fin de rédaction])*(Tableau1[Secteur 2]&lt;&gt;"")*1)
+SUMPRODUCT((Tableau1[Date de fin de vérification]="")*(TODAY()&gt;=Tableau1[Date limite de fin de vérification])*(Tableau1[Secteur 2]&lt;&gt;"")*1)
+SUMPRODUCT((Tableau1[Date d''envoi à  l''exploitation
(Mettre en copier le demandeur et le rédacteur)]="")*(TODAY()&gt;=Tableau1[Date limite d''envoi a  l''exploitation])*(Tableau1[Secteur 2]&lt;&gt;"")*1)
+SUMPRODUCT((Tableau1[Date de réception]="")*(TODAY()&gt;=Tableau1[Date limite de réception])*(Tableau1[Secteur 2]&lt;&gt;"")*1)
+SUMPRODUCT((Tableau1[Date de dépose sur la GED]="")*(TODAY()&gt;=Tableau1[Date limite limite de dépose sur la GED])*(Tableau1[Secteur 2]&lt;&gt;"")*1)</f>
        <v>0</v>
      </c>
      <c r="J3" s="370"/>
      <c r="K3" s="370"/>
      <c r="L3" s="360"/>
      <c r="M3" s="362"/>
      <c r="N3" s="359"/>
      <c r="O3" s="370"/>
      <c r="P3" s="371"/>
      <c r="Q3" s="371"/>
      <c r="R3" s="360"/>
      <c r="S3" s="274"/>
      <c r="AD3" s="324"/>
      <c r="AE3" s="325"/>
      <c r="AF3" s="325"/>
      <c r="AG3" s="325"/>
      <c r="AH3" s="325"/>
      <c r="AI3" s="325"/>
      <c r="AJ3" s="325"/>
      <c r="AK3" s="325"/>
      <c r="AL3" s="325"/>
      <c r="AM3" s="325"/>
      <c r="AN3" s="325"/>
      <c r="AO3" s="325"/>
      <c r="AP3" s="325"/>
      <c r="AQ3" s="325"/>
      <c r="AR3" s="325"/>
      <c r="AS3" s="325"/>
      <c r="AT3" s="179"/>
      <c r="AU3" s="179"/>
      <c r="AV3" s="179"/>
      <c r="AW3" s="325"/>
      <c r="AX3" s="325"/>
      <c r="AY3" s="325"/>
      <c r="AZ3" s="325"/>
      <c r="BA3" s="325"/>
      <c r="BB3" s="325"/>
      <c r="BC3" s="325"/>
      <c r="BD3" s="325"/>
      <c r="BE3" s="325"/>
      <c r="BF3" s="329"/>
    </row>
    <row r="4" spans="1:63" s="4" customFormat="1" ht="15" customHeight="1" x14ac:dyDescent="0.25">
      <c r="A4" s="336"/>
      <c r="B4" s="337"/>
      <c r="C4" s="338"/>
      <c r="D4" s="359" cm="1">
        <f t="array" aca="1" ref="D4" ca="1">SUMPRODUCT((Tableau1[Date de fin de rédaction]="")*(TODAY()&lt;Tableau1[Date limite de fin de rédaction]-7)*(Tableau1[Secteur 3]&lt;&gt;"")*1)
+SUMPRODUCT((Tableau1[Date de fin de vérification]="")*(TODAY()&lt;Tableau1[Date limite de fin de vérification]-7)*(Tableau1[Secteur 3]&lt;&gt;"")*1)
+SUMPRODUCT((Tableau1[Date d''envoi à  l''exploitation
(Mettre en copier le demandeur et le rédacteur)]="")*(TODAY()&lt;Tableau1[Date limite d''envoi a  l''exploitation]-7)*(Tableau1[Secteur 3]&lt;&gt;"")*1)
+SUMPRODUCT((Tableau1[Date de réception]="")*(TODAY()&lt;Tableau1[Date limite de réception]-7)*(Tableau1[Secteur 3]&lt;&gt;"")*1)
+SUMPRODUCT((Tableau1[Date de dépose sur la GED]="")*(TODAY()&lt;Tableau1[Date limite limite de dépose sur la GED]-7)*(Tableau1[Secteur 3]&lt;&gt;"")*1)</f>
        <v>14</v>
      </c>
      <c r="E4" s="360"/>
      <c r="F4" s="361"/>
      <c r="G4" s="362"/>
      <c r="H4" s="123" cm="1">
        <f t="array" aca="1" ref="H4" ca="1">SUMPRODUCT((Tableau1[Date de fin de rédaction]="")*(TODAY()&gt;=Tableau1[Date limite de fin de rédaction]-7)*(TODAY()&lt;Tableau1[Date limite de fin de rédaction])*(Tableau1[Secteur 3]&lt;&gt;"")*1)
+SUMPRODUCT((Tableau1[Date de fin de vérification]="")*(TODAY()&gt;=Tableau1[Date limite de fin de vérification]-7)*(TODAY()&lt;Tableau1[Date limite de fin de vérification])*(Tableau1[Secteur 3]&lt;&gt;"")*1)
+SUMPRODUCT((Tableau1[Date d''envoi à  l''exploitation
(Mettre en copier le demandeur et le rédacteur)]="")*(TODAY()&gt;=Tableau1[Date limite d''envoi a  l''exploitation]-7)*(TODAY()&lt;Tableau1[Date limite d''envoi a  l''exploitation])*(Tableau1[Secteur 3]&lt;&gt;"")*1)
+SUMPRODUCT((Tableau1[Date de réception]="")*(TODAY()&gt;=Tableau1[Date limite de réception]-7)*(TODAY()&lt;Tableau1[Date limite de réception])*(Tableau1[Secteur 3]&lt;&gt;"")*1)
+SUMPRODUCT((Tableau1[Date de dépose sur la GED]="")*(TODAY()&gt;=Tableau1[Date limite limite de dépose sur la GED]-7)*(TODAY()&lt;Tableau1[Date limite limite de dépose sur la GED])*(Tableau1[Secteur 3]&lt;&gt;"")*1)</f>
        <v>4</v>
      </c>
      <c r="I4" s="370" cm="1">
        <f t="array" aca="1" ref="I4" ca="1">SUMPRODUCT((Tableau1[Date de fin de rédaction]="")*(TODAY()&gt;=Tableau1[Date limite de fin de rédaction])*(Tableau1[Secteur 3]&lt;&gt;"")*1)
+SUMPRODUCT((Tableau1[Date de fin de vérification]="")*(TODAY()&gt;=Tableau1[Date limite de fin de vérification])*(Tableau1[Secteur 3]&lt;&gt;"")*1)
+SUMPRODUCT((Tableau1[Date d''envoi à  l''exploitation
(Mettre en copier le demandeur et le rédacteur)]="")*(TODAY()&gt;=Tableau1[Date limite d''envoi a  l''exploitation])*(Tableau1[Secteur 3]&lt;&gt;"")*1)
+SUMPRODUCT((Tableau1[Date de réception]="")*(TODAY()&gt;=Tableau1[Date limite de réception])*(Tableau1[Secteur 3]&lt;&gt;"")*1)
+SUMPRODUCT((Tableau1[Date de dépose sur la GED]="")*(TODAY()&gt;=Tableau1[Date limite limite de dépose sur la GED])*(Tableau1[Secteur 3]&lt;&gt;"")*1)</f>
        <v>1</v>
      </c>
      <c r="J4" s="370"/>
      <c r="K4" s="370"/>
      <c r="L4" s="360"/>
      <c r="M4" s="362"/>
      <c r="N4" s="359"/>
      <c r="O4" s="370"/>
      <c r="P4" s="371"/>
      <c r="Q4" s="371"/>
      <c r="R4" s="360"/>
      <c r="S4" s="274"/>
      <c r="AD4" s="324"/>
      <c r="AE4" s="325"/>
      <c r="AF4" s="325"/>
      <c r="AG4" s="325"/>
      <c r="AH4" s="325"/>
      <c r="AI4" s="325"/>
      <c r="AJ4" s="325"/>
      <c r="AK4" s="325"/>
      <c r="AL4" s="325"/>
      <c r="AM4" s="325"/>
      <c r="AN4" s="325"/>
      <c r="AO4" s="325"/>
      <c r="AP4" s="325"/>
      <c r="AQ4" s="325"/>
      <c r="AR4" s="325"/>
      <c r="AS4" s="325"/>
      <c r="AT4" s="179"/>
      <c r="AU4" s="179"/>
      <c r="AV4" s="179"/>
      <c r="AW4" s="325"/>
      <c r="AX4" s="325"/>
      <c r="AY4" s="325"/>
      <c r="AZ4" s="325"/>
      <c r="BA4" s="325"/>
      <c r="BB4" s="325"/>
      <c r="BC4" s="325"/>
      <c r="BD4" s="325"/>
      <c r="BE4" s="325"/>
      <c r="BF4" s="329"/>
    </row>
    <row r="5" spans="1:63" s="4" customFormat="1" ht="15.75" customHeight="1" thickBot="1" x14ac:dyDescent="0.3">
      <c r="A5" s="339"/>
      <c r="B5" s="340"/>
      <c r="C5" s="341"/>
      <c r="D5" s="363" cm="1">
        <f t="array" aca="1" ref="D5" ca="1">SUMPRODUCT((Tableau1[Date de fin de rédaction]="")*(TODAY()&lt;Tableau1[Date limite de fin de rédaction]-7)*(Tableau1[Secteur 4]&lt;&gt;"")*1)
+SUMPRODUCT((Tableau1[Date de fin de vérification]="")*(TODAY()&lt;Tableau1[Date limite de fin de vérification]-7)*(Tableau1[Secteur 4]&lt;&gt;"")*1)
+SUMPRODUCT((Tableau1[Date d''envoi à  l''exploitation
(Mettre en copier le demandeur et le rédacteur)]="")*(TODAY()&lt;Tableau1[Date limite d''envoi a  l''exploitation]-7)*(Tableau1[Secteur 4]&lt;&gt;"")*1)
+SUMPRODUCT((Tableau1[Date de réception]="")*(TODAY()&lt;Tableau1[Date limite de réception]-7)*(Tableau1[Secteur 4]&lt;&gt;"")*1)
+SUMPRODUCT((Tableau1[Date de dépose sur la GED]="")*(TODAY()&lt;Tableau1[Date limite limite de dépose sur la GED]-7)*(Tableau1[Secteur 4]&lt;&gt;"")*1)</f>
        <v>75</v>
      </c>
      <c r="E5" s="364"/>
      <c r="F5" s="365"/>
      <c r="G5" s="366"/>
      <c r="H5" s="124" cm="1">
        <f t="array" aca="1" ref="H5" ca="1">SUMPRODUCT((Tableau1[Date de fin de rédaction]="")*(TODAY()&gt;=Tableau1[Date limite de fin de rédaction]-7)*(TODAY()&lt;Tableau1[Date limite de fin de rédaction])*(Tableau1[Secteur 4]&lt;&gt;"")*1)
+SUMPRODUCT((Tableau1[Date de fin de vérification]="")*(TODAY()&gt;=Tableau1[Date limite de fin de vérification]-7)*(TODAY()&lt;Tableau1[Date limite de fin de vérification])*(Tableau1[Secteur 4]&lt;&gt;"")*1)
+SUMPRODUCT((Tableau1[Date d''envoi à  l''exploitation
(Mettre en copier le demandeur et le rédacteur)]="")*(TODAY()&gt;=Tableau1[Date limite d''envoi a  l''exploitation]-7)*(TODAY()&lt;Tableau1[Date limite d''envoi a  l''exploitation])*(Tableau1[Secteur 4]&lt;&gt;"")*1)
+SUMPRODUCT((Tableau1[Date de réception]="")*(TODAY()&gt;=Tableau1[Date limite de réception]-7)*(TODAY()&lt;Tableau1[Date limite de réception])*(Tableau1[Secteur 4]&lt;&gt;"")*1)
+SUMPRODUCT((Tableau1[Date de dépose sur la GED]="")*(TODAY()&gt;=Tableau1[Date limite limite de dépose sur la GED]-7)*(TODAY()&lt;Tableau1[Date limite limite de dépose sur la GED])*(Tableau1[Secteur 4]&lt;&gt;"")*1)</f>
        <v>6</v>
      </c>
      <c r="I5" s="372" cm="1">
        <f t="array" aca="1" ref="I5" ca="1">SUMPRODUCT((Tableau1[Date de fin de rédaction]="")*(TODAY()&gt;=Tableau1[Date limite de fin de rédaction])*(Tableau1[Secteur 4]&lt;&gt;"")*1)
+SUMPRODUCT((Tableau1[Date de fin de vérification]="")*(TODAY()&gt;=Tableau1[Date limite de fin de vérification])*(Tableau1[Secteur 4]&lt;&gt;"")*1)
+SUMPRODUCT((Tableau1[Date d''envoi à  l''exploitation
(Mettre en copier le demandeur et le rédacteur)]="")*(TODAY()&gt;=Tableau1[Date limite d''envoi a  l''exploitation])*(Tableau1[Secteur 4]&lt;&gt;"")*1)
+SUMPRODUCT((Tableau1[Date de réception]="")*(TODAY()&gt;=Tableau1[Date limite de réception])*(Tableau1[Secteur 4]&lt;&gt;"")*1)
+SUMPRODUCT((Tableau1[Date de dépose sur la GED]="")*(TODAY()&gt;=Tableau1[Date limite limite de dépose sur la GED])*(Tableau1[Secteur 4]&lt;&gt;"")*1)</f>
        <v>2</v>
      </c>
      <c r="J5" s="372"/>
      <c r="K5" s="372"/>
      <c r="L5" s="373"/>
      <c r="M5" s="374"/>
      <c r="N5" s="375"/>
      <c r="O5" s="376"/>
      <c r="P5" s="377"/>
      <c r="Q5" s="377"/>
      <c r="R5" s="364"/>
      <c r="S5" s="274"/>
      <c r="AD5" s="326"/>
      <c r="AE5" s="327"/>
      <c r="AF5" s="327"/>
      <c r="AG5" s="327"/>
      <c r="AH5" s="327"/>
      <c r="AI5" s="327"/>
      <c r="AJ5" s="327"/>
      <c r="AK5" s="327"/>
      <c r="AL5" s="327"/>
      <c r="AM5" s="327"/>
      <c r="AN5" s="327"/>
      <c r="AO5" s="327"/>
      <c r="AP5" s="327"/>
      <c r="AQ5" s="327"/>
      <c r="AR5" s="327"/>
      <c r="AS5" s="327"/>
      <c r="AT5" s="180"/>
      <c r="AU5" s="180"/>
      <c r="AV5" s="180"/>
      <c r="AW5" s="327"/>
      <c r="AX5" s="327"/>
      <c r="AY5" s="327"/>
      <c r="AZ5" s="327"/>
      <c r="BA5" s="327"/>
      <c r="BB5" s="327"/>
      <c r="BC5" s="327"/>
      <c r="BD5" s="327"/>
      <c r="BE5" s="327"/>
      <c r="BF5" s="330"/>
    </row>
    <row r="6" spans="1:63" s="4" customFormat="1" ht="21.75" customHeight="1" thickBot="1" x14ac:dyDescent="0.3">
      <c r="A6" s="113"/>
      <c r="B6" s="331" t="s">
        <v>9</v>
      </c>
      <c r="C6" s="332"/>
      <c r="D6" s="367" t="s">
        <v>10</v>
      </c>
      <c r="E6" s="368"/>
      <c r="F6" s="369"/>
      <c r="G6" s="115"/>
      <c r="H6" s="126" t="s">
        <v>11</v>
      </c>
      <c r="I6" s="342" t="s">
        <v>12</v>
      </c>
      <c r="J6" s="343"/>
      <c r="K6" s="343"/>
      <c r="L6" s="343"/>
      <c r="M6" s="344"/>
      <c r="N6" s="343"/>
      <c r="O6" s="345" t="s">
        <v>13</v>
      </c>
      <c r="P6" s="346"/>
      <c r="Q6" s="346"/>
      <c r="R6" s="347"/>
      <c r="S6" s="275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258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</row>
    <row r="7" spans="1:63" s="4" customFormat="1" ht="15.75" thickBot="1" x14ac:dyDescent="0.3">
      <c r="AN7" s="259"/>
      <c r="BE7" s="5"/>
    </row>
    <row r="8" spans="1:63" ht="101.25" customHeight="1" thickBot="1" x14ac:dyDescent="0.3">
      <c r="A8" s="219" t="s">
        <v>14</v>
      </c>
      <c r="B8" s="100" t="s">
        <v>15</v>
      </c>
      <c r="C8" s="101" t="s">
        <v>16</v>
      </c>
      <c r="D8" s="56" t="s">
        <v>17</v>
      </c>
      <c r="E8" s="102" t="s">
        <v>18</v>
      </c>
      <c r="F8" s="152" t="s">
        <v>19</v>
      </c>
      <c r="G8" s="57" t="s">
        <v>20</v>
      </c>
      <c r="H8" s="58" t="s">
        <v>21</v>
      </c>
      <c r="I8" s="103" t="s">
        <v>291</v>
      </c>
      <c r="J8" s="103" t="s">
        <v>292</v>
      </c>
      <c r="K8" s="103" t="s">
        <v>293</v>
      </c>
      <c r="L8" s="103" t="s">
        <v>294</v>
      </c>
      <c r="M8" s="106" t="s">
        <v>26</v>
      </c>
      <c r="N8" s="107" t="s">
        <v>27</v>
      </c>
      <c r="O8" s="143" t="s">
        <v>28</v>
      </c>
      <c r="P8" s="108" t="s">
        <v>29</v>
      </c>
      <c r="Q8" s="135" t="s">
        <v>30</v>
      </c>
      <c r="R8" s="128" t="s">
        <v>31</v>
      </c>
      <c r="S8" s="109" t="s">
        <v>32</v>
      </c>
      <c r="T8" s="101" t="s">
        <v>33</v>
      </c>
      <c r="U8" s="109" t="s">
        <v>34</v>
      </c>
      <c r="V8" s="160" t="s">
        <v>35</v>
      </c>
      <c r="W8" s="160" t="s">
        <v>36</v>
      </c>
      <c r="X8" s="160" t="s">
        <v>37</v>
      </c>
      <c r="Y8" s="160" t="s">
        <v>38</v>
      </c>
      <c r="Z8" s="160" t="s">
        <v>39</v>
      </c>
      <c r="AA8" s="160" t="s">
        <v>40</v>
      </c>
      <c r="AB8" s="160" t="s">
        <v>41</v>
      </c>
      <c r="AC8" s="147" t="s">
        <v>42</v>
      </c>
      <c r="AD8" s="110" t="s">
        <v>43</v>
      </c>
      <c r="AE8" s="55" t="s">
        <v>44</v>
      </c>
      <c r="AF8" s="59" t="s">
        <v>45</v>
      </c>
      <c r="AG8" s="111" t="s">
        <v>46</v>
      </c>
      <c r="AH8" s="60" t="s">
        <v>47</v>
      </c>
      <c r="AI8" s="60" t="s">
        <v>48</v>
      </c>
      <c r="AJ8" s="110" t="s">
        <v>49</v>
      </c>
      <c r="AK8" s="59" t="s">
        <v>50</v>
      </c>
      <c r="AL8" s="112" t="s">
        <v>51</v>
      </c>
      <c r="AM8" s="60" t="s">
        <v>52</v>
      </c>
      <c r="AN8" s="260" t="s">
        <v>53</v>
      </c>
      <c r="AO8" s="61" t="s">
        <v>54</v>
      </c>
      <c r="AP8" s="112" t="s">
        <v>55</v>
      </c>
      <c r="AQ8" s="60" t="s">
        <v>56</v>
      </c>
      <c r="AR8" s="60" t="s">
        <v>57</v>
      </c>
      <c r="AS8" s="61" t="s">
        <v>58</v>
      </c>
      <c r="AT8" s="112" t="s">
        <v>59</v>
      </c>
      <c r="AU8" s="60" t="s">
        <v>60</v>
      </c>
      <c r="AV8" s="60" t="s">
        <v>61</v>
      </c>
      <c r="AW8" s="61" t="s">
        <v>62</v>
      </c>
      <c r="AX8" s="112" t="s">
        <v>63</v>
      </c>
      <c r="AY8" s="269" t="s">
        <v>64</v>
      </c>
      <c r="AZ8" s="62" t="s">
        <v>65</v>
      </c>
      <c r="BA8" s="63" t="s">
        <v>66</v>
      </c>
      <c r="BB8" s="63" t="s">
        <v>67</v>
      </c>
      <c r="BC8" s="63" t="s">
        <v>68</v>
      </c>
      <c r="BD8" s="64" t="s">
        <v>69</v>
      </c>
      <c r="BE8" s="252" t="s">
        <v>70</v>
      </c>
      <c r="BF8" s="253" t="s">
        <v>71</v>
      </c>
      <c r="BG8" s="306" t="s">
        <v>72</v>
      </c>
      <c r="BH8" s="305" t="s">
        <v>73</v>
      </c>
      <c r="BI8" s="296" t="s">
        <v>74</v>
      </c>
      <c r="BJ8" s="296" t="s">
        <v>75</v>
      </c>
      <c r="BK8" s="252" t="s">
        <v>76</v>
      </c>
    </row>
    <row r="9" spans="1:63" ht="15.75" thickBot="1" x14ac:dyDescent="0.3">
      <c r="A9" s="220">
        <v>0</v>
      </c>
      <c r="B9" s="90"/>
      <c r="C9" s="90"/>
      <c r="D9" s="54" t="str">
        <f>IF(Tableau1[[#This Row],[Date de Début]]=0,"Saisir date de début","S"&amp; _xlfn.ISOWEEKNUM(R9))</f>
        <v>S1</v>
      </c>
      <c r="E9" s="24" t="s">
        <v>290</v>
      </c>
      <c r="F9" s="67"/>
      <c r="G9" s="159" t="str">
        <f>"xxx-2025-"&amp;Tableau1[[#This Row],[N° de 
Ctx]]&amp;"-"&amp;Tableau1[[#This Row],[N° semaine]]&amp;"-"&amp; Tableau1[[#This Row],[Nature des travaux]]</f>
        <v>xxx-2025-0-S1-Contrat 0</v>
      </c>
      <c r="H9" s="68" t="str">
        <f>IF(Tableau1[[#This Row],[Nature des travaux]]=0,"Saisir nature des travaux",Tableau1[[#This Row],[Colonne1]])&amp;"-"&amp;Tableau1[[#This Row],[Jour]]</f>
        <v>xxx-2025-0-S1-Contrat 0-LuMaMaMe</v>
      </c>
      <c r="I9" s="69"/>
      <c r="J9" s="66"/>
      <c r="K9" s="66"/>
      <c r="L9" s="70"/>
      <c r="M9" s="71">
        <f>COUNTIF(Tableau1[[#This Row],[Secteur 1]:[Secteur 4]],"x")</f>
        <v>0</v>
      </c>
      <c r="N9" s="72"/>
      <c r="O9" s="73" t="str">
        <f>IF(Tableau1[[#This Row],[Date de Fin]]-Tableau1[[#This Row],[Date de Début]]&gt;1,"X"," ")</f>
        <v>X</v>
      </c>
      <c r="P9" s="74"/>
      <c r="Q9" s="75"/>
      <c r="R9" s="137">
        <v>45292</v>
      </c>
      <c r="S9" s="276" t="str">
        <f t="shared" ref="S9:S40" si="0">TEXT(R9,"AAAA-MM-JJ")</f>
        <v>2024-01-01</v>
      </c>
      <c r="T9" s="138">
        <v>45294</v>
      </c>
      <c r="U9" s="276" t="str">
        <f t="shared" ref="U9:U40" si="1">TEXT(T9,"AAAA-MM-JJ")</f>
        <v>2024-01-03</v>
      </c>
      <c r="V9" s="210" t="str">
        <f>PROPER(LEFT(TEXT(Tableau1[[#This Row],[Date de Début]],"jjjj"),2))&amp; "" &amp; PROPER(LEFT(TEXT(Tableau1[[#This Row],[Date de Début]]+1,"jjjj"),2))</f>
        <v>LuMa</v>
      </c>
      <c r="W9" s="161" t="str">
        <f>IF(Tableau1[[#This Row],[Nb jours]]&gt;1,PROPER(LEFT(TEXT(Tableau1[[#This Row],[Date de Début]]+1,"jjjj"),2))&amp; "" &amp; PROPER(LEFT(TEXT(Tableau1[[#This Row],[Date de Début]]+2,"jjjj"),2)),"")</f>
        <v>MaMe</v>
      </c>
      <c r="X9" s="161" t="str">
        <f>IF(Tableau1[[#This Row],[Nb jours]]&gt;2,PROPER(LEFT(TEXT(Tableau1[[#This Row],[Date de Début]]+2,"jjjj"),2))&amp; "" &amp; PROPER(LEFT(TEXT(Tableau1[[#This Row],[Date de Début]]+3,"jjjj"),2)),"")</f>
        <v/>
      </c>
      <c r="Y9" s="162" t="str">
        <f>IF(Tableau1[[#This Row],[Nb jours]]&gt;3,PROPER(LEFT(TEXT(Tableau1[[#This Row],[Date de Début]]+3,"jjjj"),2))&amp; "" &amp; PROPER(LEFT(TEXT(Tableau1[[#This Row],[Date de Début]]+4,"jjjj"),2)),"")</f>
        <v/>
      </c>
      <c r="Z9" s="161" t="str">
        <f>IF(Tableau1[[#This Row],[Nb jours]]&gt;4,PROPER(LEFT(TEXT(Tableau1[[#This Row],[Date de Début]]+4,"jjjj"),2))&amp; "" &amp; PROPER(LEFT(TEXT(Tableau1[[#This Row],[Date de Début]]+5,"jjjj"),2)),"")</f>
        <v/>
      </c>
      <c r="AA9" s="162" t="str">
        <f>IF(Tableau1[[#This Row],[Nb jours]]&gt;5,PROPER(LEFT(TEXT(Tableau1[[#This Row],[Date de Début]]+5,"jjjj"),2))&amp; "" &amp; PROPER(LEFT(TEXT(Tableau1[[#This Row],[Date de Début]]+6,"jjjj"),2)),"")</f>
        <v/>
      </c>
      <c r="AB9" s="163">
        <f>Tableau1[[#This Row],[Date de Fin]]-Tableau1[[#This Row],[Date de Début]]</f>
        <v>2</v>
      </c>
      <c r="AC9" s="94" t="str">
        <f>Tableau1[[#This Row],[Nuit 1]]&amp;Tableau1[[#This Row],[Nuit 2]]&amp;Tableau1[[#This Row],[Nuit 3]]&amp;Tableau1[[#This Row],[Nuit 4]]&amp;Tableau1[[#This Row],[Nuit 5]]&amp;Tableau1[[#This Row],[Nuit 6]]</f>
        <v>LuMaMaMe</v>
      </c>
      <c r="AD9" s="76"/>
      <c r="AE9" s="77">
        <f t="shared" ref="AE9" si="2">Tolérances_1</f>
        <v>28</v>
      </c>
      <c r="AF9" s="78">
        <f>Tableau1[[#This Row],[Date de Début]]-AE9</f>
        <v>45264</v>
      </c>
      <c r="AG9" s="79" t="s">
        <v>78</v>
      </c>
      <c r="AH9" s="80">
        <f t="shared" ref="AH9" si="3">Tolérances_2</f>
        <v>21</v>
      </c>
      <c r="AI9" s="80" t="str">
        <f t="shared" ref="AI9:AI40" si="4">TEXT(AG9,"AAAA-MM-JJ")</f>
        <v>TEST</v>
      </c>
      <c r="AJ9" s="81"/>
      <c r="AK9" s="78">
        <f>Tableau1[[#This Row],[Date de Début]]-AH9</f>
        <v>45271</v>
      </c>
      <c r="AL9" s="79" t="s">
        <v>78</v>
      </c>
      <c r="AM9" s="80">
        <f t="shared" ref="AM9" si="5">Tolérances_3</f>
        <v>21</v>
      </c>
      <c r="AN9" s="261" t="str">
        <f>IF(AL9="","",TEXT(Tableau1[[#This Row],[Date de fin de vérification]],"AAAA-MM-JJ"))</f>
        <v>TEST</v>
      </c>
      <c r="AO9" s="82">
        <f>Tableau1[[#This Row],[Date de Début]]-AM9</f>
        <v>45271</v>
      </c>
      <c r="AP9" s="79" t="s">
        <v>78</v>
      </c>
      <c r="AQ9" s="80">
        <f t="shared" ref="AQ9" si="6">Tolérances_4</f>
        <v>14</v>
      </c>
      <c r="AR9" s="80" t="str">
        <f>TEXT(AP9,"AAAA-MM-JJ")</f>
        <v>TEST</v>
      </c>
      <c r="AS9" s="82">
        <f>Tableau1[[#This Row],[Date de Début]]-AQ9</f>
        <v>45278</v>
      </c>
      <c r="AT9" s="79" t="s">
        <v>78</v>
      </c>
      <c r="AU9" s="80">
        <f t="shared" ref="AU9" si="7">Tolérances_5</f>
        <v>14</v>
      </c>
      <c r="AV9" s="80" t="str">
        <f t="shared" ref="AV9:AV40" si="8">TEXT(AT9,"JJ-MM-AAAA")</f>
        <v>TEST</v>
      </c>
      <c r="AW9" s="82">
        <f>Tableau1[[#This Row],[Date de Début]]-AU9</f>
        <v>45278</v>
      </c>
      <c r="AX9" s="79" t="s">
        <v>78</v>
      </c>
      <c r="AY9" s="80" t="str">
        <f t="shared" ref="AY9:AY40" si="9">TEXT(AX9,"AAAA-MM-JJ")</f>
        <v>TEST</v>
      </c>
      <c r="AZ9" s="83">
        <f>IF(Tableau1[[#This Row],[Date limite de fin de rédaction]]&lt;Tableau1[[#This Row],[Date de fin de rédaction]],1,0)</f>
        <v>1</v>
      </c>
      <c r="BA9" s="84">
        <f>IF(Tableau1[[#This Row],[Date limite de fin de vérification]]&lt;Tableau1[[#This Row],[Date de fin de vérification]],1,0)</f>
        <v>1</v>
      </c>
      <c r="BB9" s="23">
        <f>IF(Tableau1[[#This Row],[Date limite d''envoi a  l''exploitation]]&lt;Tableau1[[#This Row],[Date d''envoi à  l''exploitation
(Mettre en copier le demandeur et le rédacteur)]],1,0)</f>
        <v>1</v>
      </c>
      <c r="BC9" s="23">
        <f>IF(Tableau1[[#This Row],[Date limite de réception]]&lt;Tableau1[[#This Row],[Date de réception]],1,0)</f>
        <v>1</v>
      </c>
      <c r="BD9" s="85">
        <f>IF(Tableau1[[#This Row],[Date limite limite de dépose sur la GED]]&lt;Tableau1[[#This Row],[Date de dépose sur la GED]],1,0)</f>
        <v>1</v>
      </c>
      <c r="BE9" s="86" t="s">
        <v>78</v>
      </c>
      <c r="BF9" s="247" t="s">
        <v>78</v>
      </c>
      <c r="BG9" s="307" t="s">
        <v>78</v>
      </c>
      <c r="BH9" s="127"/>
      <c r="BI9" s="127"/>
      <c r="BJ9" s="127"/>
      <c r="BK9" s="127" t="s">
        <v>78</v>
      </c>
    </row>
    <row r="10" spans="1:63" x14ac:dyDescent="0.25">
      <c r="A10" s="223">
        <v>1</v>
      </c>
      <c r="B10" s="90" t="s">
        <v>144</v>
      </c>
      <c r="C10" s="90"/>
      <c r="D10" s="54" t="str">
        <f>IF(Tableau1[[#This Row],[Date de Début]]=0,"Saisir date de début","S"&amp; _xlfn.ISOWEEKNUM(R10))</f>
        <v>S2</v>
      </c>
      <c r="E10" s="24" t="s">
        <v>167</v>
      </c>
      <c r="F10" s="39"/>
      <c r="G10" s="159" t="str">
        <f>"xxx-2025-"&amp;Tableau1[[#This Row],[N° de 
Ctx]]&amp;"-"&amp;Tableau1[[#This Row],[N° semaine]]&amp;"-"&amp; Tableau1[[#This Row],[Nature des travaux]]</f>
        <v>xxx-2025-1-S2-Contrat 1</v>
      </c>
      <c r="H10" s="68" t="str">
        <f>IF(Tableau1[[#This Row],[Nature des travaux]]=0,"Saisir nature des travaux",Tableau1[[#This Row],[Colonne1]])&amp;"-"&amp;Tableau1[[#This Row],[Jour]]</f>
        <v>xxx-2025-1-S2-Contrat 1-LuMa</v>
      </c>
      <c r="I10" s="33"/>
      <c r="J10" s="24"/>
      <c r="K10" s="24"/>
      <c r="L10" s="32" t="s">
        <v>79</v>
      </c>
      <c r="M10" s="35">
        <f>COUNTIF(Tableau1[[#This Row],[Secteur 1]:[Secteur 4]],"x")</f>
        <v>1</v>
      </c>
      <c r="N10" s="36" t="s">
        <v>80</v>
      </c>
      <c r="O10" s="144"/>
      <c r="P10" s="29"/>
      <c r="Q10" s="39"/>
      <c r="R10" s="129">
        <v>45663</v>
      </c>
      <c r="S10" s="277" t="str">
        <f t="shared" si="0"/>
        <v>2025-01-06</v>
      </c>
      <c r="T10" s="130">
        <v>45664</v>
      </c>
      <c r="U10" s="276" t="str">
        <f t="shared" si="1"/>
        <v>2025-01-07</v>
      </c>
      <c r="V10" s="210" t="str">
        <f>PROPER(LEFT(TEXT(Tableau1[[#This Row],[Date de Début]],"jjjj"),2))&amp; "" &amp; PROPER(LEFT(TEXT(Tableau1[[#This Row],[Date de Début]]+1,"jjjj"),2))</f>
        <v>LuMa</v>
      </c>
      <c r="W10" s="181" t="str">
        <f>IF(Tableau1[[#This Row],[Nb jours]]&gt;1,PROPER(LEFT(TEXT(Tableau1[[#This Row],[Date de Début]]+1,"jjjj"),2))&amp; "" &amp; PROPER(LEFT(TEXT(Tableau1[[#This Row],[Date de Début]]+2,"jjjj"),2)),"")</f>
        <v/>
      </c>
      <c r="X10" s="182" t="str">
        <f>IF(Tableau1[[#This Row],[Nb jours]]&gt;2,PROPER(LEFT(TEXT(Tableau1[[#This Row],[Date de Début]]+2,"jjjj"),2))&amp; "" &amp; PROPER(LEFT(TEXT(Tableau1[[#This Row],[Date de Début]]+3,"jjjj"),2)),"")</f>
        <v/>
      </c>
      <c r="Y10" s="183" t="str">
        <f>IF(Tableau1[[#This Row],[Nb jours]]&gt;3,PROPER(LEFT(TEXT(Tableau1[[#This Row],[Date de Début]]+3,"jjjj"),2))&amp; "" &amp; PROPER(LEFT(TEXT(Tableau1[[#This Row],[Date de Début]]+4,"jjjj"),2)),"")</f>
        <v/>
      </c>
      <c r="Z10" s="182" t="str">
        <f>IF(Tableau1[[#This Row],[Nb jours]]&gt;4,PROPER(LEFT(TEXT(Tableau1[[#This Row],[Date de Début]]+4,"jjjj"),2))&amp; "" &amp; PROPER(LEFT(TEXT(Tableau1[[#This Row],[Date de Début]]+5,"jjjj"),2)),"")</f>
        <v/>
      </c>
      <c r="AA10" s="183" t="str">
        <f>IF(Tableau1[[#This Row],[Nb jours]]&gt;5,PROPER(LEFT(TEXT(Tableau1[[#This Row],[Date de Début]]+5,"jjjj"),2))&amp; "" &amp; PROPER(LEFT(TEXT(Tableau1[[#This Row],[Date de Début]]+6,"jjjj"),2)),"")</f>
        <v/>
      </c>
      <c r="AB10" s="163">
        <f>Tableau1[[#This Row],[Date de Fin]]-Tableau1[[#This Row],[Date de Début]]</f>
        <v>1</v>
      </c>
      <c r="AC10" s="148" t="str">
        <f>Tableau1[[#This Row],[Nuit 1]]&amp;Tableau1[[#This Row],[Nuit 2]]&amp;Tableau1[[#This Row],[Nuit 3]]&amp;Tableau1[[#This Row],[Nuit 4]]&amp;Tableau1[[#This Row],[Nuit 5]]&amp;Tableau1[[#This Row],[Nuit 6]]</f>
        <v>LuMa</v>
      </c>
      <c r="AD10" s="40" t="s">
        <v>143</v>
      </c>
      <c r="AE10" s="25">
        <f t="shared" ref="AE10:AE41" si="10">Tolérances_1</f>
        <v>28</v>
      </c>
      <c r="AF10" s="78">
        <f>Tableau1[[#This Row],[Date de Début]]-AE10</f>
        <v>45635</v>
      </c>
      <c r="AG10" s="41">
        <v>45636</v>
      </c>
      <c r="AH10" s="46">
        <f t="shared" ref="AH10:AH41" si="11">Tolérances_2</f>
        <v>21</v>
      </c>
      <c r="AI10" s="46" t="str">
        <f t="shared" si="4"/>
        <v>2024-12-10</v>
      </c>
      <c r="AJ10" s="44" t="s">
        <v>155</v>
      </c>
      <c r="AK10" s="30">
        <f>Tableau1[[#This Row],[Date de Début]]-AH10</f>
        <v>45642</v>
      </c>
      <c r="AL10" s="41">
        <v>45645</v>
      </c>
      <c r="AM10" s="46">
        <f t="shared" ref="AM10:AM41" si="12">Tolérances_3</f>
        <v>21</v>
      </c>
      <c r="AN10" s="46" t="str">
        <f>IF(AL10="","",TEXT(Tableau1[[#This Row],[Date de fin de vérification]],"AAAA-MM-JJ"))</f>
        <v>2024-12-19</v>
      </c>
      <c r="AO10" s="48">
        <f>Tableau1[[#This Row],[Date de Début]]-AM10</f>
        <v>45642</v>
      </c>
      <c r="AP10" s="41">
        <v>45646</v>
      </c>
      <c r="AQ10" s="46">
        <f t="shared" ref="AQ10:AQ41" si="13">Tolérances_4</f>
        <v>14</v>
      </c>
      <c r="AR10" s="46" t="str">
        <f t="shared" ref="AR10:AR40" si="14">TEXT(AP10,"JJ/MM/AAAA")</f>
        <v>20/12/2024</v>
      </c>
      <c r="AS10" s="48">
        <f>Tableau1[[#This Row],[Date de Début]]-AQ10</f>
        <v>45649</v>
      </c>
      <c r="AT10" s="41">
        <v>45646</v>
      </c>
      <c r="AU10" s="46">
        <f t="shared" ref="AU10:AU41" si="15">Tolérances_5</f>
        <v>14</v>
      </c>
      <c r="AV10" s="46" t="str">
        <f t="shared" si="8"/>
        <v>20-12-2024</v>
      </c>
      <c r="AW10" s="48">
        <f>Tableau1[[#This Row],[Date de Début]]-AU10</f>
        <v>45649</v>
      </c>
      <c r="AX10" s="41">
        <v>45652</v>
      </c>
      <c r="AY10" s="270" t="str">
        <f t="shared" si="9"/>
        <v>2024-12-26</v>
      </c>
      <c r="AZ10" s="50">
        <f>IF(Tableau1[[#This Row],[Date limite de fin de rédaction]]&lt;Tableau1[[#This Row],[Date de fin de rédaction]],1,0)</f>
        <v>1</v>
      </c>
      <c r="BA10" s="26">
        <f>IF(Tableau1[[#This Row],[Date limite de fin de vérification]]&lt;Tableau1[[#This Row],[Date de fin de vérification]],1,0)</f>
        <v>1</v>
      </c>
      <c r="BB10" s="26">
        <f>IF(Tableau1[[#This Row],[Date limite d''envoi a  l''exploitation]]&lt;Tableau1[[#This Row],[Date d''envoi à  l''exploitation
(Mettre en copier le demandeur et le rédacteur)]],1,0)</f>
        <v>1</v>
      </c>
      <c r="BC10" s="26">
        <f>IF(Tableau1[[#This Row],[Date limite de réception]]&lt;Tableau1[[#This Row],[Date de réception]],1,0)</f>
        <v>0</v>
      </c>
      <c r="BD10" s="52">
        <f>IF(Tableau1[[#This Row],[Date limite limite de dépose sur la GED]]&lt;Tableau1[[#This Row],[Date de dépose sur la GED]],1,0)</f>
        <v>1</v>
      </c>
      <c r="BE10" s="244"/>
      <c r="BF10" s="243"/>
      <c r="BG10" s="308"/>
      <c r="BH10" s="242"/>
      <c r="BI10" s="297"/>
      <c r="BJ10" s="300"/>
      <c r="BK10" s="242"/>
    </row>
    <row r="11" spans="1:63" x14ac:dyDescent="0.25">
      <c r="A11" s="223">
        <f t="shared" ref="A11:A74" si="16">A10+1</f>
        <v>2</v>
      </c>
      <c r="B11" s="90" t="s">
        <v>144</v>
      </c>
      <c r="C11" s="90"/>
      <c r="D11" s="54" t="str">
        <f>IF(Tableau1[[#This Row],[Date de Début]]=0,"Saisir date de début","S"&amp; _xlfn.ISOWEEKNUM(R11))</f>
        <v>S2</v>
      </c>
      <c r="E11" s="24" t="s">
        <v>168</v>
      </c>
      <c r="F11" s="39"/>
      <c r="G11" s="159" t="str">
        <f>"xxx-2025-"&amp;Tableau1[[#This Row],[N° de 
Ctx]]&amp;"-"&amp;Tableau1[[#This Row],[N° semaine]]&amp;"-"&amp; Tableau1[[#This Row],[Nature des travaux]]</f>
        <v>xxx-2025-2-S2-Contrat 2</v>
      </c>
      <c r="H11" s="68" t="str">
        <f>IF(Tableau1[[#This Row],[Nature des travaux]]=0,"Saisir nature des travaux",Tableau1[[#This Row],[Colonne1]])&amp;"-"&amp;Tableau1[[#This Row],[Jour]]</f>
        <v>xxx-2025-2-S2-Contrat 2-MaMe</v>
      </c>
      <c r="I11" s="33"/>
      <c r="J11" s="24"/>
      <c r="K11" s="24"/>
      <c r="L11" s="32" t="s">
        <v>79</v>
      </c>
      <c r="M11" s="91">
        <f>COUNTIF(Tableau1[[#This Row],[Secteur 1]:[Secteur 4]],"x")</f>
        <v>1</v>
      </c>
      <c r="N11" s="36" t="s">
        <v>80</v>
      </c>
      <c r="O11" s="144"/>
      <c r="P11" s="29"/>
      <c r="Q11" s="39"/>
      <c r="R11" s="116">
        <v>45664</v>
      </c>
      <c r="S11" s="94" t="str">
        <f t="shared" si="0"/>
        <v>2025-01-07</v>
      </c>
      <c r="T11" s="131">
        <v>45665</v>
      </c>
      <c r="U11" s="276" t="str">
        <f t="shared" si="1"/>
        <v>2025-01-08</v>
      </c>
      <c r="V11" s="210" t="str">
        <f>PROPER(LEFT(TEXT(Tableau1[[#This Row],[Date de Début]],"jjjj"),2))&amp; "" &amp; PROPER(LEFT(TEXT(Tableau1[[#This Row],[Date de Début]]+1,"jjjj"),2))</f>
        <v>MaMe</v>
      </c>
      <c r="W11" s="163" t="str">
        <f>IF(Tableau1[[#This Row],[Nb jours]]&gt;1,PROPER(LEFT(TEXT(Tableau1[[#This Row],[Date de Début]]+1,"jjjj"),2))&amp; "" &amp; PROPER(LEFT(TEXT(Tableau1[[#This Row],[Date de Début]]+2,"jjjj"),2)),"")</f>
        <v/>
      </c>
      <c r="X11" s="163" t="str">
        <f>IF(Tableau1[[#This Row],[Nb jours]]&gt;2,PROPER(LEFT(TEXT(Tableau1[[#This Row],[Date de Début]]+2,"jjjj"),2))&amp; "" &amp; PROPER(LEFT(TEXT(Tableau1[[#This Row],[Date de Début]]+3,"jjjj"),2)),"")</f>
        <v/>
      </c>
      <c r="Y11" s="164" t="str">
        <f>IF(Tableau1[[#This Row],[Nb jours]]&gt;3,PROPER(LEFT(TEXT(Tableau1[[#This Row],[Date de Début]]+3,"jjjj"),2))&amp; "" &amp; PROPER(LEFT(TEXT(Tableau1[[#This Row],[Date de Début]]+4,"jjjj"),2)),"")</f>
        <v/>
      </c>
      <c r="Z11" s="163" t="str">
        <f>IF(Tableau1[[#This Row],[Nb jours]]&gt;4,PROPER(LEFT(TEXT(Tableau1[[#This Row],[Date de Début]]+4,"jjjj"),2))&amp; "" &amp; PROPER(LEFT(TEXT(Tableau1[[#This Row],[Date de Début]]+5,"jjjj"),2)),"")</f>
        <v/>
      </c>
      <c r="AA11" s="164" t="str">
        <f>IF(Tableau1[[#This Row],[Nb jours]]&gt;5,PROPER(LEFT(TEXT(Tableau1[[#This Row],[Date de Début]]+5,"jjjj"),2))&amp; "" &amp; PROPER(LEFT(TEXT(Tableau1[[#This Row],[Date de Début]]+6,"jjjj"),2)),"")</f>
        <v/>
      </c>
      <c r="AB11" s="163">
        <f>Tableau1[[#This Row],[Date de Fin]]-Tableau1[[#This Row],[Date de Début]]</f>
        <v>1</v>
      </c>
      <c r="AC11" s="148" t="str">
        <f>Tableau1[[#This Row],[Nuit 1]]&amp;Tableau1[[#This Row],[Nuit 2]]&amp;Tableau1[[#This Row],[Nuit 3]]&amp;Tableau1[[#This Row],[Nuit 4]]&amp;Tableau1[[#This Row],[Nuit 5]]&amp;Tableau1[[#This Row],[Nuit 6]]</f>
        <v>MaMe</v>
      </c>
      <c r="AD11" s="40" t="s">
        <v>143</v>
      </c>
      <c r="AE11" s="25">
        <f t="shared" si="10"/>
        <v>28</v>
      </c>
      <c r="AF11" s="78">
        <f>Tableau1[[#This Row],[Date de Début]]-AE11</f>
        <v>45636</v>
      </c>
      <c r="AG11" s="41">
        <v>45636</v>
      </c>
      <c r="AH11" s="46">
        <f t="shared" si="11"/>
        <v>21</v>
      </c>
      <c r="AI11" s="46" t="str">
        <f t="shared" si="4"/>
        <v>2024-12-10</v>
      </c>
      <c r="AJ11" s="44" t="s">
        <v>155</v>
      </c>
      <c r="AK11" s="30">
        <f>Tableau1[[#This Row],[Date de Début]]-AH11</f>
        <v>45643</v>
      </c>
      <c r="AL11" s="41">
        <v>45645</v>
      </c>
      <c r="AM11" s="46">
        <f t="shared" si="12"/>
        <v>21</v>
      </c>
      <c r="AN11" s="262" t="str">
        <f>IF(AL11="","",TEXT(Tableau1[[#This Row],[Date de fin de vérification]],"AAAA-MM-JJ"))</f>
        <v>2024-12-19</v>
      </c>
      <c r="AO11" s="48">
        <f>Tableau1[[#This Row],[Date de Début]]-AM11</f>
        <v>45643</v>
      </c>
      <c r="AP11" s="41">
        <v>45646</v>
      </c>
      <c r="AQ11" s="46">
        <f t="shared" si="13"/>
        <v>14</v>
      </c>
      <c r="AR11" s="46" t="str">
        <f t="shared" si="14"/>
        <v>20/12/2024</v>
      </c>
      <c r="AS11" s="48">
        <f>Tableau1[[#This Row],[Date de Début]]-AQ11</f>
        <v>45650</v>
      </c>
      <c r="AT11" s="41">
        <v>45646</v>
      </c>
      <c r="AU11" s="46">
        <f t="shared" si="15"/>
        <v>14</v>
      </c>
      <c r="AV11" s="46" t="str">
        <f t="shared" si="8"/>
        <v>20-12-2024</v>
      </c>
      <c r="AW11" s="48">
        <f>Tableau1[[#This Row],[Date de Début]]-AU11</f>
        <v>45650</v>
      </c>
      <c r="AX11" s="41">
        <v>45652</v>
      </c>
      <c r="AY11" s="270" t="str">
        <f t="shared" si="9"/>
        <v>2024-12-26</v>
      </c>
      <c r="AZ11" s="50">
        <f>IF(Tableau1[[#This Row],[Date limite de fin de rédaction]]&lt;Tableau1[[#This Row],[Date de fin de rédaction]],1,0)</f>
        <v>0</v>
      </c>
      <c r="BA11" s="26">
        <f>IF(Tableau1[[#This Row],[Date limite de fin de vérification]]&lt;Tableau1[[#This Row],[Date de fin de vérification]],1,0)</f>
        <v>1</v>
      </c>
      <c r="BB11" s="26">
        <f>IF(Tableau1[[#This Row],[Date limite d''envoi a  l''exploitation]]&lt;Tableau1[[#This Row],[Date d''envoi à  l''exploitation
(Mettre en copier le demandeur et le rédacteur)]],1,0)</f>
        <v>1</v>
      </c>
      <c r="BC11" s="26">
        <f>IF(Tableau1[[#This Row],[Date limite de réception]]&lt;Tableau1[[#This Row],[Date de réception]],1,0)</f>
        <v>0</v>
      </c>
      <c r="BD11" s="52">
        <f>IF(Tableau1[[#This Row],[Date limite limite de dépose sur la GED]]&lt;Tableau1[[#This Row],[Date de dépose sur la GED]],1,0)</f>
        <v>1</v>
      </c>
      <c r="BE11" s="244"/>
      <c r="BF11" s="243"/>
      <c r="BG11" s="308"/>
      <c r="BH11" s="242"/>
      <c r="BI11" s="297"/>
      <c r="BJ11" s="300"/>
      <c r="BK11" s="242"/>
    </row>
    <row r="12" spans="1:63" x14ac:dyDescent="0.25">
      <c r="A12" s="223">
        <f t="shared" si="16"/>
        <v>3</v>
      </c>
      <c r="B12" s="90" t="s">
        <v>144</v>
      </c>
      <c r="C12" s="90"/>
      <c r="D12" s="54" t="str">
        <f>IF(Tableau1[[#This Row],[Date de Début]]=0,"Saisir date de début","S"&amp; _xlfn.ISOWEEKNUM(R12))</f>
        <v>S2</v>
      </c>
      <c r="E12" s="24" t="s">
        <v>169</v>
      </c>
      <c r="F12" s="39"/>
      <c r="G12" s="159" t="str">
        <f>"xxx-2025-"&amp;Tableau1[[#This Row],[N° de 
Ctx]]&amp;"-"&amp;Tableau1[[#This Row],[N° semaine]]&amp;"-"&amp; Tableau1[[#This Row],[Nature des travaux]]</f>
        <v>xxx-2025-3-S2-Contrat 3</v>
      </c>
      <c r="H12" s="68" t="str">
        <f>IF(Tableau1[[#This Row],[Nature des travaux]]=0,"Saisir nature des travaux",Tableau1[[#This Row],[Colonne1]])&amp;"-"&amp;Tableau1[[#This Row],[Jour]]</f>
        <v>xxx-2025-3-S2-Contrat 3-MeJe</v>
      </c>
      <c r="I12" s="33"/>
      <c r="J12" s="24"/>
      <c r="K12" s="24"/>
      <c r="L12" s="32" t="s">
        <v>79</v>
      </c>
      <c r="M12" s="91">
        <f>COUNTIF(Tableau1[[#This Row],[Secteur 1]:[Secteur 4]],"x")</f>
        <v>1</v>
      </c>
      <c r="N12" s="36" t="s">
        <v>80</v>
      </c>
      <c r="O12" s="144"/>
      <c r="P12" s="29"/>
      <c r="Q12" s="39"/>
      <c r="R12" s="116">
        <v>45665</v>
      </c>
      <c r="S12" s="94" t="str">
        <f t="shared" si="0"/>
        <v>2025-01-08</v>
      </c>
      <c r="T12" s="131">
        <v>45666</v>
      </c>
      <c r="U12" s="276" t="str">
        <f t="shared" si="1"/>
        <v>2025-01-09</v>
      </c>
      <c r="V12" s="210" t="str">
        <f>PROPER(LEFT(TEXT(Tableau1[[#This Row],[Date de Début]],"jjjj"),2))&amp; "" &amp; PROPER(LEFT(TEXT(Tableau1[[#This Row],[Date de Début]]+1,"jjjj"),2))</f>
        <v>MeJe</v>
      </c>
      <c r="W12" s="163" t="str">
        <f>IF(Tableau1[[#This Row],[Nb jours]]&gt;1,PROPER(LEFT(TEXT(Tableau1[[#This Row],[Date de Début]]+1,"jjjj"),2))&amp; "" &amp; PROPER(LEFT(TEXT(Tableau1[[#This Row],[Date de Début]]+2,"jjjj"),2)),"")</f>
        <v/>
      </c>
      <c r="X12" s="163" t="str">
        <f>IF(Tableau1[[#This Row],[Nb jours]]&gt;2,PROPER(LEFT(TEXT(Tableau1[[#This Row],[Date de Début]]+2,"jjjj"),2))&amp; "" &amp; PROPER(LEFT(TEXT(Tableau1[[#This Row],[Date de Début]]+3,"jjjj"),2)),"")</f>
        <v/>
      </c>
      <c r="Y12" s="164" t="str">
        <f>IF(Tableau1[[#This Row],[Nb jours]]&gt;3,PROPER(LEFT(TEXT(Tableau1[[#This Row],[Date de Début]]+3,"jjjj"),2))&amp; "" &amp; PROPER(LEFT(TEXT(Tableau1[[#This Row],[Date de Début]]+4,"jjjj"),2)),"")</f>
        <v/>
      </c>
      <c r="Z12" s="163" t="str">
        <f>IF(Tableau1[[#This Row],[Nb jours]]&gt;4,PROPER(LEFT(TEXT(Tableau1[[#This Row],[Date de Début]]+4,"jjjj"),2))&amp; "" &amp; PROPER(LEFT(TEXT(Tableau1[[#This Row],[Date de Début]]+5,"jjjj"),2)),"")</f>
        <v/>
      </c>
      <c r="AA12" s="164" t="str">
        <f>IF(Tableau1[[#This Row],[Nb jours]]&gt;5,PROPER(LEFT(TEXT(Tableau1[[#This Row],[Date de Début]]+5,"jjjj"),2))&amp; "" &amp; PROPER(LEFT(TEXT(Tableau1[[#This Row],[Date de Début]]+6,"jjjj"),2)),"")</f>
        <v/>
      </c>
      <c r="AB12" s="163">
        <f>Tableau1[[#This Row],[Date de Fin]]-Tableau1[[#This Row],[Date de Début]]</f>
        <v>1</v>
      </c>
      <c r="AC12" s="148" t="str">
        <f>Tableau1[[#This Row],[Nuit 1]]&amp;Tableau1[[#This Row],[Nuit 2]]&amp;Tableau1[[#This Row],[Nuit 3]]&amp;Tableau1[[#This Row],[Nuit 4]]&amp;Tableau1[[#This Row],[Nuit 5]]&amp;Tableau1[[#This Row],[Nuit 6]]</f>
        <v>MeJe</v>
      </c>
      <c r="AD12" s="40" t="s">
        <v>143</v>
      </c>
      <c r="AE12" s="25">
        <f t="shared" si="10"/>
        <v>28</v>
      </c>
      <c r="AF12" s="78">
        <f>Tableau1[[#This Row],[Date de Début]]-AE12</f>
        <v>45637</v>
      </c>
      <c r="AG12" s="41">
        <v>45636</v>
      </c>
      <c r="AH12" s="46">
        <f t="shared" si="11"/>
        <v>21</v>
      </c>
      <c r="AI12" s="46" t="str">
        <f t="shared" si="4"/>
        <v>2024-12-10</v>
      </c>
      <c r="AJ12" s="44" t="s">
        <v>155</v>
      </c>
      <c r="AK12" s="30">
        <f>Tableau1[[#This Row],[Date de Début]]-AH12</f>
        <v>45644</v>
      </c>
      <c r="AL12" s="41">
        <v>45645</v>
      </c>
      <c r="AM12" s="46">
        <f t="shared" si="12"/>
        <v>21</v>
      </c>
      <c r="AN12" s="262" t="str">
        <f>IF(AL12="","",TEXT(Tableau1[[#This Row],[Date de fin de vérification]],"AAAA-MM-JJ"))</f>
        <v>2024-12-19</v>
      </c>
      <c r="AO12" s="48">
        <f>Tableau1[[#This Row],[Date de Début]]-AM12</f>
        <v>45644</v>
      </c>
      <c r="AP12" s="41">
        <v>45646</v>
      </c>
      <c r="AQ12" s="46">
        <f t="shared" si="13"/>
        <v>14</v>
      </c>
      <c r="AR12" s="46" t="str">
        <f t="shared" si="14"/>
        <v>20/12/2024</v>
      </c>
      <c r="AS12" s="48">
        <f>Tableau1[[#This Row],[Date de Début]]-AQ12</f>
        <v>45651</v>
      </c>
      <c r="AT12" s="41">
        <v>45646</v>
      </c>
      <c r="AU12" s="46">
        <f t="shared" si="15"/>
        <v>14</v>
      </c>
      <c r="AV12" s="46" t="str">
        <f t="shared" si="8"/>
        <v>20-12-2024</v>
      </c>
      <c r="AW12" s="48">
        <f>Tableau1[[#This Row],[Date de Début]]-AU12</f>
        <v>45651</v>
      </c>
      <c r="AX12" s="41">
        <v>45652</v>
      </c>
      <c r="AY12" s="270" t="str">
        <f t="shared" si="9"/>
        <v>2024-12-26</v>
      </c>
      <c r="AZ12" s="50">
        <f>IF(Tableau1[[#This Row],[Date limite de fin de rédaction]]&lt;Tableau1[[#This Row],[Date de fin de rédaction]],1,0)</f>
        <v>0</v>
      </c>
      <c r="BA12" s="26">
        <f>IF(Tableau1[[#This Row],[Date limite de fin de vérification]]&lt;Tableau1[[#This Row],[Date de fin de vérification]],1,0)</f>
        <v>1</v>
      </c>
      <c r="BB12" s="26">
        <f>IF(Tableau1[[#This Row],[Date limite d''envoi a  l''exploitation]]&lt;Tableau1[[#This Row],[Date d''envoi à  l''exploitation
(Mettre en copier le demandeur et le rédacteur)]],1,0)</f>
        <v>1</v>
      </c>
      <c r="BC12" s="26">
        <f>IF(Tableau1[[#This Row],[Date limite de réception]]&lt;Tableau1[[#This Row],[Date de réception]],1,0)</f>
        <v>0</v>
      </c>
      <c r="BD12" s="52">
        <f>IF(Tableau1[[#This Row],[Date limite limite de dépose sur la GED]]&lt;Tableau1[[#This Row],[Date de dépose sur la GED]],1,0)</f>
        <v>1</v>
      </c>
      <c r="BE12" s="244"/>
      <c r="BF12" s="243"/>
      <c r="BG12" s="308"/>
      <c r="BH12" s="242"/>
      <c r="BI12" s="297"/>
      <c r="BJ12" s="300"/>
      <c r="BK12" s="242"/>
    </row>
    <row r="13" spans="1:63" x14ac:dyDescent="0.25">
      <c r="A13" s="223">
        <f t="shared" si="16"/>
        <v>4</v>
      </c>
      <c r="B13" s="90" t="s">
        <v>144</v>
      </c>
      <c r="C13" s="90"/>
      <c r="D13" s="54" t="str">
        <f>IF(Tableau1[[#This Row],[Date de Début]]=0,"Saisir date de début","S"&amp; _xlfn.ISOWEEKNUM(R13))</f>
        <v>S2</v>
      </c>
      <c r="E13" s="24" t="s">
        <v>170</v>
      </c>
      <c r="F13" s="39"/>
      <c r="G13" s="159" t="str">
        <f>"xxx-2025-"&amp;Tableau1[[#This Row],[N° de 
Ctx]]&amp;"-"&amp;Tableau1[[#This Row],[N° semaine]]&amp;"-"&amp; Tableau1[[#This Row],[Nature des travaux]]</f>
        <v>xxx-2025-4-S2-Contrat 4</v>
      </c>
      <c r="H13" s="68" t="str">
        <f>IF(Tableau1[[#This Row],[Nature des travaux]]=0,"Saisir nature des travaux",Tableau1[[#This Row],[Colonne1]])&amp;"-"&amp;Tableau1[[#This Row],[Jour]]</f>
        <v>xxx-2025-4-S2-Contrat 4-JeVe</v>
      </c>
      <c r="I13" s="33"/>
      <c r="J13" s="24"/>
      <c r="K13" s="24"/>
      <c r="L13" s="32" t="s">
        <v>79</v>
      </c>
      <c r="M13" s="91">
        <f>COUNTIF(Tableau1[[#This Row],[Secteur 1]:[Secteur 4]],"x")</f>
        <v>1</v>
      </c>
      <c r="N13" s="36" t="s">
        <v>80</v>
      </c>
      <c r="O13" s="144" t="str">
        <f>IF(Tableau1[[#This Row],[Date de Fin]]-Tableau1[[#This Row],[Date de Début]]&gt;1,"X"," ")</f>
        <v xml:space="preserve"> </v>
      </c>
      <c r="P13" s="29"/>
      <c r="Q13" s="39"/>
      <c r="R13" s="116">
        <v>45666</v>
      </c>
      <c r="S13" s="94" t="str">
        <f t="shared" si="0"/>
        <v>2025-01-09</v>
      </c>
      <c r="T13" s="131">
        <v>45667</v>
      </c>
      <c r="U13" s="276" t="str">
        <f t="shared" si="1"/>
        <v>2025-01-10</v>
      </c>
      <c r="V13" s="210" t="str">
        <f>PROPER(LEFT(TEXT(Tableau1[[#This Row],[Date de Début]],"jjjj"),2))&amp; "" &amp; PROPER(LEFT(TEXT(Tableau1[[#This Row],[Date de Début]]+1,"jjjj"),2))</f>
        <v>JeVe</v>
      </c>
      <c r="W13" s="163" t="str">
        <f>IF(Tableau1[[#This Row],[Nb jours]]&gt;1,PROPER(LEFT(TEXT(Tableau1[[#This Row],[Date de Début]]+1,"jjjj"),2))&amp; "" &amp; PROPER(LEFT(TEXT(Tableau1[[#This Row],[Date de Début]]+2,"jjjj"),2)),"")</f>
        <v/>
      </c>
      <c r="X13" s="163" t="str">
        <f>IF(Tableau1[[#This Row],[Nb jours]]&gt;2,PROPER(LEFT(TEXT(Tableau1[[#This Row],[Date de Début]]+2,"jjjj"),2))&amp; "" &amp; PROPER(LEFT(TEXT(Tableau1[[#This Row],[Date de Début]]+3,"jjjj"),2)),"")</f>
        <v/>
      </c>
      <c r="Y13" s="164" t="str">
        <f>IF(Tableau1[[#This Row],[Nb jours]]&gt;3,PROPER(LEFT(TEXT(Tableau1[[#This Row],[Date de Début]]+3,"jjjj"),2))&amp; "" &amp; PROPER(LEFT(TEXT(Tableau1[[#This Row],[Date de Début]]+4,"jjjj"),2)),"")</f>
        <v/>
      </c>
      <c r="Z13" s="163" t="str">
        <f>IF(Tableau1[[#This Row],[Nb jours]]&gt;4,PROPER(LEFT(TEXT(Tableau1[[#This Row],[Date de Début]]+4,"jjjj"),2))&amp; "" &amp; PROPER(LEFT(TEXT(Tableau1[[#This Row],[Date de Début]]+5,"jjjj"),2)),"")</f>
        <v/>
      </c>
      <c r="AA13" s="164" t="str">
        <f>IF(Tableau1[[#This Row],[Nb jours]]&gt;5,PROPER(LEFT(TEXT(Tableau1[[#This Row],[Date de Début]]+5,"jjjj"),2))&amp; "" &amp; PROPER(LEFT(TEXT(Tableau1[[#This Row],[Date de Début]]+6,"jjjj"),2)),"")</f>
        <v/>
      </c>
      <c r="AB13" s="163">
        <f>Tableau1[[#This Row],[Date de Fin]]-Tableau1[[#This Row],[Date de Début]]</f>
        <v>1</v>
      </c>
      <c r="AC13" s="148" t="str">
        <f>Tableau1[[#This Row],[Nuit 1]]&amp;Tableau1[[#This Row],[Nuit 2]]&amp;Tableau1[[#This Row],[Nuit 3]]&amp;Tableau1[[#This Row],[Nuit 4]]&amp;Tableau1[[#This Row],[Nuit 5]]&amp;Tableau1[[#This Row],[Nuit 6]]</f>
        <v>JeVe</v>
      </c>
      <c r="AD13" s="40" t="s">
        <v>143</v>
      </c>
      <c r="AE13" s="25">
        <f t="shared" si="10"/>
        <v>28</v>
      </c>
      <c r="AF13" s="30">
        <f>Tableau1[[#This Row],[Date de Début]]-AE13</f>
        <v>45638</v>
      </c>
      <c r="AG13" s="41">
        <v>45636</v>
      </c>
      <c r="AH13" s="46">
        <f t="shared" si="11"/>
        <v>21</v>
      </c>
      <c r="AI13" s="46" t="str">
        <f t="shared" si="4"/>
        <v>2024-12-10</v>
      </c>
      <c r="AJ13" s="44" t="s">
        <v>155</v>
      </c>
      <c r="AK13" s="30">
        <f>Tableau1[[#This Row],[Date de Début]]-AH13</f>
        <v>45645</v>
      </c>
      <c r="AL13" s="41">
        <v>45646</v>
      </c>
      <c r="AM13" s="46">
        <f t="shared" si="12"/>
        <v>21</v>
      </c>
      <c r="AN13" s="262" t="str">
        <f>IF(AL13="","",TEXT(Tableau1[[#This Row],[Date de fin de vérification]],"AAAA-MM-JJ"))</f>
        <v>2024-12-20</v>
      </c>
      <c r="AO13" s="48">
        <f>Tableau1[[#This Row],[Date de Début]]-AM13</f>
        <v>45645</v>
      </c>
      <c r="AP13" s="41">
        <v>45650</v>
      </c>
      <c r="AQ13" s="46">
        <f t="shared" si="13"/>
        <v>14</v>
      </c>
      <c r="AR13" s="46" t="str">
        <f t="shared" si="14"/>
        <v>24/12/2024</v>
      </c>
      <c r="AS13" s="48">
        <f>Tableau1[[#This Row],[Date de Début]]-AQ13</f>
        <v>45652</v>
      </c>
      <c r="AT13" s="41">
        <v>45652</v>
      </c>
      <c r="AU13" s="46">
        <f t="shared" si="15"/>
        <v>14</v>
      </c>
      <c r="AV13" s="46" t="str">
        <f t="shared" si="8"/>
        <v>26-12-2024</v>
      </c>
      <c r="AW13" s="48">
        <f>Tableau1[[#This Row],[Date de Début]]-AU13</f>
        <v>45652</v>
      </c>
      <c r="AX13" s="41">
        <v>45652</v>
      </c>
      <c r="AY13" s="270" t="str">
        <f t="shared" si="9"/>
        <v>2024-12-26</v>
      </c>
      <c r="AZ13" s="50">
        <f>IF(Tableau1[[#This Row],[Date limite de fin de rédaction]]&lt;Tableau1[[#This Row],[Date de fin de rédaction]],1,0)</f>
        <v>0</v>
      </c>
      <c r="BA13" s="26">
        <f>IF(Tableau1[[#This Row],[Date limite de fin de vérification]]&lt;Tableau1[[#This Row],[Date de fin de vérification]],1,0)</f>
        <v>1</v>
      </c>
      <c r="BB13" s="26">
        <f>IF(Tableau1[[#This Row],[Date limite d''envoi a  l''exploitation]]&lt;Tableau1[[#This Row],[Date d''envoi à  l''exploitation
(Mettre en copier le demandeur et le rédacteur)]],1,0)</f>
        <v>1</v>
      </c>
      <c r="BC13" s="26">
        <f>IF(Tableau1[[#This Row],[Date limite de réception]]&lt;Tableau1[[#This Row],[Date de réception]],1,0)</f>
        <v>0</v>
      </c>
      <c r="BD13" s="52">
        <f>IF(Tableau1[[#This Row],[Date limite limite de dépose sur la GED]]&lt;Tableau1[[#This Row],[Date de dépose sur la GED]],1,0)</f>
        <v>0</v>
      </c>
      <c r="BE13" s="244"/>
      <c r="BF13" s="243"/>
      <c r="BG13" s="308"/>
      <c r="BH13" s="242"/>
      <c r="BI13" s="297"/>
      <c r="BJ13" s="300"/>
      <c r="BK13" s="242"/>
    </row>
    <row r="14" spans="1:63" x14ac:dyDescent="0.25">
      <c r="A14" s="223">
        <f t="shared" si="16"/>
        <v>5</v>
      </c>
      <c r="B14" s="90" t="s">
        <v>144</v>
      </c>
      <c r="C14" s="90"/>
      <c r="D14" s="54" t="str">
        <f>IF(Tableau1[[#This Row],[Date de Début]]=0,"Saisir date de début","S"&amp; _xlfn.ISOWEEKNUM(R14))</f>
        <v>S2</v>
      </c>
      <c r="E14" s="24" t="s">
        <v>171</v>
      </c>
      <c r="F14" s="39"/>
      <c r="G14" s="159" t="str">
        <f>"xxx-2025-"&amp;Tableau1[[#This Row],[N° de 
Ctx]]&amp;"-"&amp;Tableau1[[#This Row],[N° semaine]]&amp;"-"&amp; Tableau1[[#This Row],[Nature des travaux]]</f>
        <v>xxx-2025-5-S2-Contrat 5</v>
      </c>
      <c r="H14" s="68" t="str">
        <f>IF(Tableau1[[#This Row],[Nature des travaux]]=0,"Saisir nature des travaux",Tableau1[[#This Row],[Colonne1]])&amp;"-"&amp;Tableau1[[#This Row],[Jour]]</f>
        <v>xxx-2025-5-S2-Contrat 5-VeSa</v>
      </c>
      <c r="I14" s="33"/>
      <c r="J14" s="24"/>
      <c r="K14" s="24"/>
      <c r="L14" s="32" t="s">
        <v>79</v>
      </c>
      <c r="M14" s="91">
        <f>COUNTIF(Tableau1[[#This Row],[Secteur 1]:[Secteur 4]],"x")</f>
        <v>1</v>
      </c>
      <c r="N14" s="36" t="s">
        <v>80</v>
      </c>
      <c r="O14" s="144" t="str">
        <f>IF(Tableau1[[#This Row],[Date de Fin]]-Tableau1[[#This Row],[Date de Début]]&gt;1,"X"," ")</f>
        <v xml:space="preserve"> </v>
      </c>
      <c r="P14" s="29"/>
      <c r="Q14" s="39"/>
      <c r="R14" s="116">
        <v>45667</v>
      </c>
      <c r="S14" s="94" t="str">
        <f t="shared" si="0"/>
        <v>2025-01-10</v>
      </c>
      <c r="T14" s="131">
        <v>45668</v>
      </c>
      <c r="U14" s="276" t="str">
        <f t="shared" si="1"/>
        <v>2025-01-11</v>
      </c>
      <c r="V14" s="210" t="str">
        <f>PROPER(LEFT(TEXT(Tableau1[[#This Row],[Date de Début]],"jjjj"),2))&amp; "" &amp; PROPER(LEFT(TEXT(Tableau1[[#This Row],[Date de Début]]+1,"jjjj"),2))</f>
        <v>VeSa</v>
      </c>
      <c r="W14" s="163" t="str">
        <f>IF(Tableau1[[#This Row],[Nb jours]]&gt;1,PROPER(LEFT(TEXT(Tableau1[[#This Row],[Date de Début]]+1,"jjjj"),2))&amp; "" &amp; PROPER(LEFT(TEXT(Tableau1[[#This Row],[Date de Début]]+2,"jjjj"),2)),"")</f>
        <v/>
      </c>
      <c r="X14" s="163" t="str">
        <f>IF(Tableau1[[#This Row],[Nb jours]]&gt;2,PROPER(LEFT(TEXT(Tableau1[[#This Row],[Date de Début]]+2,"jjjj"),2))&amp; "" &amp; PROPER(LEFT(TEXT(Tableau1[[#This Row],[Date de Début]]+3,"jjjj"),2)),"")</f>
        <v/>
      </c>
      <c r="Y14" s="164" t="str">
        <f>IF(Tableau1[[#This Row],[Nb jours]]&gt;3,PROPER(LEFT(TEXT(Tableau1[[#This Row],[Date de Début]]+3,"jjjj"),2))&amp; "" &amp; PROPER(LEFT(TEXT(Tableau1[[#This Row],[Date de Début]]+4,"jjjj"),2)),"")</f>
        <v/>
      </c>
      <c r="Z14" s="163" t="str">
        <f>IF(Tableau1[[#This Row],[Nb jours]]&gt;4,PROPER(LEFT(TEXT(Tableau1[[#This Row],[Date de Début]]+4,"jjjj"),2))&amp; "" &amp; PROPER(LEFT(TEXT(Tableau1[[#This Row],[Date de Début]]+5,"jjjj"),2)),"")</f>
        <v/>
      </c>
      <c r="AA14" s="164" t="str">
        <f>IF(Tableau1[[#This Row],[Nb jours]]&gt;5,PROPER(LEFT(TEXT(Tableau1[[#This Row],[Date de Début]]+5,"jjjj"),2))&amp; "" &amp; PROPER(LEFT(TEXT(Tableau1[[#This Row],[Date de Début]]+6,"jjjj"),2)),"")</f>
        <v/>
      </c>
      <c r="AB14" s="163">
        <f>Tableau1[[#This Row],[Date de Fin]]-Tableau1[[#This Row],[Date de Début]]</f>
        <v>1</v>
      </c>
      <c r="AC14" s="148" t="str">
        <f>Tableau1[[#This Row],[Nuit 1]]&amp;Tableau1[[#This Row],[Nuit 2]]&amp;Tableau1[[#This Row],[Nuit 3]]&amp;Tableau1[[#This Row],[Nuit 4]]&amp;Tableau1[[#This Row],[Nuit 5]]&amp;Tableau1[[#This Row],[Nuit 6]]</f>
        <v>VeSa</v>
      </c>
      <c r="AD14" s="40" t="s">
        <v>143</v>
      </c>
      <c r="AE14" s="25">
        <f t="shared" si="10"/>
        <v>28</v>
      </c>
      <c r="AF14" s="30">
        <f>Tableau1[[#This Row],[Date de Début]]-AE14</f>
        <v>45639</v>
      </c>
      <c r="AG14" s="41">
        <v>45636</v>
      </c>
      <c r="AH14" s="46">
        <f t="shared" si="11"/>
        <v>21</v>
      </c>
      <c r="AI14" s="46" t="str">
        <f t="shared" si="4"/>
        <v>2024-12-10</v>
      </c>
      <c r="AJ14" s="44" t="s">
        <v>155</v>
      </c>
      <c r="AK14" s="30">
        <f>Tableau1[[#This Row],[Date de Début]]-AH14</f>
        <v>45646</v>
      </c>
      <c r="AL14" s="41">
        <v>45646</v>
      </c>
      <c r="AM14" s="46">
        <f t="shared" si="12"/>
        <v>21</v>
      </c>
      <c r="AN14" s="262" t="str">
        <f>IF(AL14="","",TEXT(Tableau1[[#This Row],[Date de fin de vérification]],"AAAA-MM-JJ"))</f>
        <v>2024-12-20</v>
      </c>
      <c r="AO14" s="48">
        <f>Tableau1[[#This Row],[Date de Début]]-AM14</f>
        <v>45646</v>
      </c>
      <c r="AP14" s="41">
        <v>45650</v>
      </c>
      <c r="AQ14" s="46">
        <f t="shared" si="13"/>
        <v>14</v>
      </c>
      <c r="AR14" s="46" t="str">
        <f t="shared" si="14"/>
        <v>24/12/2024</v>
      </c>
      <c r="AS14" s="48">
        <f>Tableau1[[#This Row],[Date de Début]]-AQ14</f>
        <v>45653</v>
      </c>
      <c r="AT14" s="41">
        <v>45652</v>
      </c>
      <c r="AU14" s="46">
        <f t="shared" si="15"/>
        <v>14</v>
      </c>
      <c r="AV14" s="46" t="str">
        <f t="shared" si="8"/>
        <v>26-12-2024</v>
      </c>
      <c r="AW14" s="48">
        <f>Tableau1[[#This Row],[Date de Début]]-AU14</f>
        <v>45653</v>
      </c>
      <c r="AX14" s="41">
        <v>45652</v>
      </c>
      <c r="AY14" s="270" t="str">
        <f t="shared" si="9"/>
        <v>2024-12-26</v>
      </c>
      <c r="AZ14" s="50">
        <f>IF(Tableau1[[#This Row],[Date limite de fin de rédaction]]&lt;Tableau1[[#This Row],[Date de fin de rédaction]],1,0)</f>
        <v>0</v>
      </c>
      <c r="BA14" s="26">
        <f>IF(Tableau1[[#This Row],[Date limite de fin de vérification]]&lt;Tableau1[[#This Row],[Date de fin de vérification]],1,0)</f>
        <v>0</v>
      </c>
      <c r="BB14" s="26">
        <f>IF(Tableau1[[#This Row],[Date limite d''envoi a  l''exploitation]]&lt;Tableau1[[#This Row],[Date d''envoi à  l''exploitation
(Mettre en copier le demandeur et le rédacteur)]],1,0)</f>
        <v>1</v>
      </c>
      <c r="BC14" s="26">
        <f>IF(Tableau1[[#This Row],[Date limite de réception]]&lt;Tableau1[[#This Row],[Date de réception]],1,0)</f>
        <v>0</v>
      </c>
      <c r="BD14" s="52">
        <f>IF(Tableau1[[#This Row],[Date limite limite de dépose sur la GED]]&lt;Tableau1[[#This Row],[Date de dépose sur la GED]],1,0)</f>
        <v>0</v>
      </c>
      <c r="BE14" s="244"/>
      <c r="BF14" s="243"/>
      <c r="BG14" s="308"/>
      <c r="BH14" s="242"/>
      <c r="BI14" s="297"/>
      <c r="BJ14" s="300"/>
      <c r="BK14" s="242"/>
    </row>
    <row r="15" spans="1:63" x14ac:dyDescent="0.25">
      <c r="A15" s="223">
        <f t="shared" si="16"/>
        <v>6</v>
      </c>
      <c r="B15" s="90" t="s">
        <v>144</v>
      </c>
      <c r="C15" s="90"/>
      <c r="D15" s="54" t="str">
        <f>IF(Tableau1[[#This Row],[Date de Début]]=0,"Saisir date de début","S"&amp; _xlfn.ISOWEEKNUM(R15))</f>
        <v>S3</v>
      </c>
      <c r="E15" s="24" t="s">
        <v>172</v>
      </c>
      <c r="F15" s="39"/>
      <c r="G15" s="159" t="str">
        <f>"xxx-2025-"&amp;Tableau1[[#This Row],[N° de 
Ctx]]&amp;"-"&amp;Tableau1[[#This Row],[N° semaine]]&amp;"-"&amp; Tableau1[[#This Row],[Nature des travaux]]</f>
        <v>xxx-2025-6-S3-Contrat 6</v>
      </c>
      <c r="H15" s="68" t="str">
        <f>IF(Tableau1[[#This Row],[Nature des travaux]]=0,"Saisir nature des travaux",Tableau1[[#This Row],[Colonne1]])&amp;"-"&amp;Tableau1[[#This Row],[Jour]]</f>
        <v>xxx-2025-6-S3-Contrat 6-LuMa</v>
      </c>
      <c r="I15" s="33"/>
      <c r="J15" s="24"/>
      <c r="K15" s="24"/>
      <c r="L15" s="32" t="s">
        <v>79</v>
      </c>
      <c r="M15" s="91">
        <f>COUNTIF(Tableau1[[#This Row],[Secteur 1]:[Secteur 4]],"x")</f>
        <v>1</v>
      </c>
      <c r="N15" s="36" t="s">
        <v>80</v>
      </c>
      <c r="O15" s="144" t="str">
        <f>IF(Tableau1[[#This Row],[Date de Fin]]-Tableau1[[#This Row],[Date de Début]]&gt;1,"X"," ")</f>
        <v xml:space="preserve"> </v>
      </c>
      <c r="P15" s="29"/>
      <c r="Q15" s="39"/>
      <c r="R15" s="116">
        <v>45670</v>
      </c>
      <c r="S15" s="94" t="str">
        <f t="shared" si="0"/>
        <v>2025-01-13</v>
      </c>
      <c r="T15" s="131">
        <v>45671</v>
      </c>
      <c r="U15" s="276" t="str">
        <f t="shared" si="1"/>
        <v>2025-01-14</v>
      </c>
      <c r="V15" s="210" t="str">
        <f>PROPER(LEFT(TEXT(Tableau1[[#This Row],[Date de Début]],"jjjj"),2))&amp; "" &amp; PROPER(LEFT(TEXT(Tableau1[[#This Row],[Date de Début]]+1,"jjjj"),2))</f>
        <v>LuMa</v>
      </c>
      <c r="W15" s="163" t="str">
        <f>IF(Tableau1[[#This Row],[Nb jours]]&gt;1,PROPER(LEFT(TEXT(Tableau1[[#This Row],[Date de Début]]+1,"jjjj"),2))&amp; "" &amp; PROPER(LEFT(TEXT(Tableau1[[#This Row],[Date de Début]]+2,"jjjj"),2)),"")</f>
        <v/>
      </c>
      <c r="X15" s="163" t="str">
        <f>IF(Tableau1[[#This Row],[Nb jours]]&gt;2,PROPER(LEFT(TEXT(Tableau1[[#This Row],[Date de Début]]+2,"jjjj"),2))&amp; "" &amp; PROPER(LEFT(TEXT(Tableau1[[#This Row],[Date de Début]]+3,"jjjj"),2)),"")</f>
        <v/>
      </c>
      <c r="Y15" s="164" t="str">
        <f>IF(Tableau1[[#This Row],[Nb jours]]&gt;3,PROPER(LEFT(TEXT(Tableau1[[#This Row],[Date de Début]]+3,"jjjj"),2))&amp; "" &amp; PROPER(LEFT(TEXT(Tableau1[[#This Row],[Date de Début]]+4,"jjjj"),2)),"")</f>
        <v/>
      </c>
      <c r="Z15" s="163" t="str">
        <f>IF(Tableau1[[#This Row],[Nb jours]]&gt;4,PROPER(LEFT(TEXT(Tableau1[[#This Row],[Date de Début]]+4,"jjjj"),2))&amp; "" &amp; PROPER(LEFT(TEXT(Tableau1[[#This Row],[Date de Début]]+5,"jjjj"),2)),"")</f>
        <v/>
      </c>
      <c r="AA15" s="164" t="str">
        <f>IF(Tableau1[[#This Row],[Nb jours]]&gt;5,PROPER(LEFT(TEXT(Tableau1[[#This Row],[Date de Début]]+5,"jjjj"),2))&amp; "" &amp; PROPER(LEFT(TEXT(Tableau1[[#This Row],[Date de Début]]+6,"jjjj"),2)),"")</f>
        <v/>
      </c>
      <c r="AB15" s="163">
        <f>Tableau1[[#This Row],[Date de Fin]]-Tableau1[[#This Row],[Date de Début]]</f>
        <v>1</v>
      </c>
      <c r="AC15" s="148" t="str">
        <f>Tableau1[[#This Row],[Nuit 1]]&amp;Tableau1[[#This Row],[Nuit 2]]&amp;Tableau1[[#This Row],[Nuit 3]]&amp;Tableau1[[#This Row],[Nuit 4]]&amp;Tableau1[[#This Row],[Nuit 5]]&amp;Tableau1[[#This Row],[Nuit 6]]</f>
        <v>LuMa</v>
      </c>
      <c r="AD15" s="40" t="s">
        <v>143</v>
      </c>
      <c r="AE15" s="25">
        <f t="shared" si="10"/>
        <v>28</v>
      </c>
      <c r="AF15" s="30">
        <f>Tableau1[[#This Row],[Date de Début]]-AE15</f>
        <v>45642</v>
      </c>
      <c r="AG15" s="41">
        <v>45636</v>
      </c>
      <c r="AH15" s="46">
        <f t="shared" si="11"/>
        <v>21</v>
      </c>
      <c r="AI15" s="46" t="str">
        <f t="shared" si="4"/>
        <v>2024-12-10</v>
      </c>
      <c r="AJ15" s="44" t="s">
        <v>156</v>
      </c>
      <c r="AK15" s="30">
        <f>Tableau1[[#This Row],[Date de Début]]-AH15</f>
        <v>45649</v>
      </c>
      <c r="AL15" s="41">
        <v>45652</v>
      </c>
      <c r="AM15" s="46">
        <f t="shared" si="12"/>
        <v>21</v>
      </c>
      <c r="AN15" s="262" t="str">
        <f>IF(AL15="","",TEXT(Tableau1[[#This Row],[Date de fin de vérification]],"AAAA-MM-JJ"))</f>
        <v>2024-12-26</v>
      </c>
      <c r="AO15" s="48">
        <f>Tableau1[[#This Row],[Date de Début]]-AM15</f>
        <v>45649</v>
      </c>
      <c r="AP15" s="41">
        <v>45652</v>
      </c>
      <c r="AQ15" s="46">
        <f t="shared" si="13"/>
        <v>14</v>
      </c>
      <c r="AR15" s="46" t="str">
        <f t="shared" si="14"/>
        <v>26/12/2024</v>
      </c>
      <c r="AS15" s="48">
        <f>Tableau1[[#This Row],[Date de Début]]-AQ15</f>
        <v>45656</v>
      </c>
      <c r="AT15" s="41">
        <v>45652</v>
      </c>
      <c r="AU15" s="46">
        <f t="shared" si="15"/>
        <v>14</v>
      </c>
      <c r="AV15" s="46" t="str">
        <f t="shared" si="8"/>
        <v>26-12-2024</v>
      </c>
      <c r="AW15" s="48">
        <f>Tableau1[[#This Row],[Date de Début]]-AU15</f>
        <v>45656</v>
      </c>
      <c r="AX15" s="41">
        <v>45653</v>
      </c>
      <c r="AY15" s="270" t="str">
        <f t="shared" si="9"/>
        <v>2024-12-27</v>
      </c>
      <c r="AZ15" s="50">
        <f>IF(Tableau1[[#This Row],[Date limite de fin de rédaction]]&lt;Tableau1[[#This Row],[Date de fin de rédaction]],1,0)</f>
        <v>0</v>
      </c>
      <c r="BA15" s="26">
        <f>IF(Tableau1[[#This Row],[Date limite de fin de vérification]]&lt;Tableau1[[#This Row],[Date de fin de vérification]],1,0)</f>
        <v>1</v>
      </c>
      <c r="BB15" s="26">
        <f>IF(Tableau1[[#This Row],[Date limite d''envoi a  l''exploitation]]&lt;Tableau1[[#This Row],[Date d''envoi à  l''exploitation
(Mettre en copier le demandeur et le rédacteur)]],1,0)</f>
        <v>1</v>
      </c>
      <c r="BC15" s="26">
        <f>IF(Tableau1[[#This Row],[Date limite de réception]]&lt;Tableau1[[#This Row],[Date de réception]],1,0)</f>
        <v>0</v>
      </c>
      <c r="BD15" s="52">
        <f>IF(Tableau1[[#This Row],[Date limite limite de dépose sur la GED]]&lt;Tableau1[[#This Row],[Date de dépose sur la GED]],1,0)</f>
        <v>0</v>
      </c>
      <c r="BE15" s="244"/>
      <c r="BF15" s="243"/>
      <c r="BG15" s="308"/>
      <c r="BH15" s="242"/>
      <c r="BI15" s="297"/>
      <c r="BJ15" s="300"/>
      <c r="BK15" s="242"/>
    </row>
    <row r="16" spans="1:63" x14ac:dyDescent="0.25">
      <c r="A16" s="223">
        <f t="shared" si="16"/>
        <v>7</v>
      </c>
      <c r="B16" s="90" t="s">
        <v>144</v>
      </c>
      <c r="C16" s="90"/>
      <c r="D16" s="54" t="str">
        <f>IF(Tableau1[[#This Row],[Date de Début]]=0,"Saisir date de début","S"&amp; _xlfn.ISOWEEKNUM(R16))</f>
        <v>S3</v>
      </c>
      <c r="E16" s="24" t="s">
        <v>173</v>
      </c>
      <c r="F16" s="39"/>
      <c r="G16" s="159" t="str">
        <f>"xxx-2025-"&amp;Tableau1[[#This Row],[N° de 
Ctx]]&amp;"-"&amp;Tableau1[[#This Row],[N° semaine]]&amp;"-"&amp; Tableau1[[#This Row],[Nature des travaux]]</f>
        <v>xxx-2025-7-S3-Contrat 7</v>
      </c>
      <c r="H16" s="68" t="str">
        <f>IF(Tableau1[[#This Row],[Nature des travaux]]=0,"Saisir nature des travaux",Tableau1[[#This Row],[Colonne1]])&amp;"-"&amp;Tableau1[[#This Row],[Jour]]</f>
        <v>xxx-2025-7-S3-Contrat 7-MaMe</v>
      </c>
      <c r="I16" s="33"/>
      <c r="J16" s="24"/>
      <c r="K16" s="24"/>
      <c r="L16" s="32" t="s">
        <v>79</v>
      </c>
      <c r="M16" s="91">
        <f>COUNTIF(Tableau1[[#This Row],[Secteur 1]:[Secteur 4]],"x")</f>
        <v>1</v>
      </c>
      <c r="N16" s="36" t="s">
        <v>80</v>
      </c>
      <c r="O16" s="144" t="str">
        <f>IF(Tableau1[[#This Row],[Date de Fin]]-Tableau1[[#This Row],[Date de Début]]&gt;1,"X"," ")</f>
        <v xml:space="preserve"> </v>
      </c>
      <c r="P16" s="29"/>
      <c r="Q16" s="39"/>
      <c r="R16" s="116">
        <v>45671</v>
      </c>
      <c r="S16" s="94" t="str">
        <f t="shared" si="0"/>
        <v>2025-01-14</v>
      </c>
      <c r="T16" s="131">
        <v>45672</v>
      </c>
      <c r="U16" s="276" t="str">
        <f t="shared" si="1"/>
        <v>2025-01-15</v>
      </c>
      <c r="V16" s="210" t="str">
        <f>PROPER(LEFT(TEXT(Tableau1[[#This Row],[Date de Début]],"jjjj"),2))&amp; "" &amp; PROPER(LEFT(TEXT(Tableau1[[#This Row],[Date de Début]]+1,"jjjj"),2))</f>
        <v>MaMe</v>
      </c>
      <c r="W16" s="163" t="str">
        <f>IF(Tableau1[[#This Row],[Nb jours]]&gt;1,PROPER(LEFT(TEXT(Tableau1[[#This Row],[Date de Début]]+1,"jjjj"),2))&amp; "" &amp; PROPER(LEFT(TEXT(Tableau1[[#This Row],[Date de Début]]+2,"jjjj"),2)),"")</f>
        <v/>
      </c>
      <c r="X16" s="163" t="str">
        <f>IF(Tableau1[[#This Row],[Nb jours]]&gt;2,PROPER(LEFT(TEXT(Tableau1[[#This Row],[Date de Début]]+2,"jjjj"),2))&amp; "" &amp; PROPER(LEFT(TEXT(Tableau1[[#This Row],[Date de Début]]+3,"jjjj"),2)),"")</f>
        <v/>
      </c>
      <c r="Y16" s="164" t="str">
        <f>IF(Tableau1[[#This Row],[Nb jours]]&gt;3,PROPER(LEFT(TEXT(Tableau1[[#This Row],[Date de Début]]+3,"jjjj"),2))&amp; "" &amp; PROPER(LEFT(TEXT(Tableau1[[#This Row],[Date de Début]]+4,"jjjj"),2)),"")</f>
        <v/>
      </c>
      <c r="Z16" s="163" t="str">
        <f>IF(Tableau1[[#This Row],[Nb jours]]&gt;4,PROPER(LEFT(TEXT(Tableau1[[#This Row],[Date de Début]]+4,"jjjj"),2))&amp; "" &amp; PROPER(LEFT(TEXT(Tableau1[[#This Row],[Date de Début]]+5,"jjjj"),2)),"")</f>
        <v/>
      </c>
      <c r="AA16" s="164" t="str">
        <f>IF(Tableau1[[#This Row],[Nb jours]]&gt;5,PROPER(LEFT(TEXT(Tableau1[[#This Row],[Date de Début]]+5,"jjjj"),2))&amp; "" &amp; PROPER(LEFT(TEXT(Tableau1[[#This Row],[Date de Début]]+6,"jjjj"),2)),"")</f>
        <v/>
      </c>
      <c r="AB16" s="163">
        <f>Tableau1[[#This Row],[Date de Fin]]-Tableau1[[#This Row],[Date de Début]]</f>
        <v>1</v>
      </c>
      <c r="AC16" s="148" t="str">
        <f>Tableau1[[#This Row],[Nuit 1]]&amp;Tableau1[[#This Row],[Nuit 2]]&amp;Tableau1[[#This Row],[Nuit 3]]&amp;Tableau1[[#This Row],[Nuit 4]]&amp;Tableau1[[#This Row],[Nuit 5]]&amp;Tableau1[[#This Row],[Nuit 6]]</f>
        <v>MaMe</v>
      </c>
      <c r="AD16" s="40" t="s">
        <v>143</v>
      </c>
      <c r="AE16" s="25">
        <f t="shared" si="10"/>
        <v>28</v>
      </c>
      <c r="AF16" s="30">
        <f>Tableau1[[#This Row],[Date de Début]]-AE16</f>
        <v>45643</v>
      </c>
      <c r="AG16" s="41">
        <v>45636</v>
      </c>
      <c r="AH16" s="46">
        <f t="shared" si="11"/>
        <v>21</v>
      </c>
      <c r="AI16" s="46" t="str">
        <f t="shared" si="4"/>
        <v>2024-12-10</v>
      </c>
      <c r="AJ16" s="44" t="s">
        <v>156</v>
      </c>
      <c r="AK16" s="30">
        <f>Tableau1[[#This Row],[Date de Début]]-AH16</f>
        <v>45650</v>
      </c>
      <c r="AL16" s="41">
        <v>45652</v>
      </c>
      <c r="AM16" s="46">
        <f t="shared" si="12"/>
        <v>21</v>
      </c>
      <c r="AN16" s="262" t="str">
        <f>IF(AL16="","",TEXT(Tableau1[[#This Row],[Date de fin de vérification]],"AAAA-MM-JJ"))</f>
        <v>2024-12-26</v>
      </c>
      <c r="AO16" s="48">
        <f>Tableau1[[#This Row],[Date de Début]]-AM16</f>
        <v>45650</v>
      </c>
      <c r="AP16" s="41">
        <v>45652</v>
      </c>
      <c r="AQ16" s="46">
        <f t="shared" si="13"/>
        <v>14</v>
      </c>
      <c r="AR16" s="46" t="str">
        <f t="shared" si="14"/>
        <v>26/12/2024</v>
      </c>
      <c r="AS16" s="48">
        <f>Tableau1[[#This Row],[Date de Début]]-AQ16</f>
        <v>45657</v>
      </c>
      <c r="AT16" s="41">
        <v>45652</v>
      </c>
      <c r="AU16" s="46">
        <f t="shared" si="15"/>
        <v>14</v>
      </c>
      <c r="AV16" s="46" t="str">
        <f t="shared" si="8"/>
        <v>26-12-2024</v>
      </c>
      <c r="AW16" s="48">
        <f>Tableau1[[#This Row],[Date de Début]]-AU16</f>
        <v>45657</v>
      </c>
      <c r="AX16" s="41">
        <v>45653</v>
      </c>
      <c r="AY16" s="270" t="str">
        <f t="shared" si="9"/>
        <v>2024-12-27</v>
      </c>
      <c r="AZ16" s="50">
        <f>IF(Tableau1[[#This Row],[Date limite de fin de rédaction]]&lt;Tableau1[[#This Row],[Date de fin de rédaction]],1,0)</f>
        <v>0</v>
      </c>
      <c r="BA16" s="26">
        <f>IF(Tableau1[[#This Row],[Date limite de fin de vérification]]&lt;Tableau1[[#This Row],[Date de fin de vérification]],1,0)</f>
        <v>1</v>
      </c>
      <c r="BB16" s="26">
        <f>IF(Tableau1[[#This Row],[Date limite d''envoi a  l''exploitation]]&lt;Tableau1[[#This Row],[Date d''envoi à  l''exploitation
(Mettre en copier le demandeur et le rédacteur)]],1,0)</f>
        <v>1</v>
      </c>
      <c r="BC16" s="26">
        <f>IF(Tableau1[[#This Row],[Date limite de réception]]&lt;Tableau1[[#This Row],[Date de réception]],1,0)</f>
        <v>0</v>
      </c>
      <c r="BD16" s="52">
        <f>IF(Tableau1[[#This Row],[Date limite limite de dépose sur la GED]]&lt;Tableau1[[#This Row],[Date de dépose sur la GED]],1,0)</f>
        <v>0</v>
      </c>
      <c r="BE16" s="244"/>
      <c r="BF16" s="243"/>
      <c r="BG16" s="308"/>
      <c r="BH16" s="242"/>
      <c r="BI16" s="297"/>
      <c r="BJ16" s="300"/>
      <c r="BK16" s="242"/>
    </row>
    <row r="17" spans="1:63" x14ac:dyDescent="0.25">
      <c r="A17" s="223">
        <f t="shared" si="16"/>
        <v>8</v>
      </c>
      <c r="B17" s="90" t="s">
        <v>144</v>
      </c>
      <c r="C17" s="90"/>
      <c r="D17" s="54" t="str">
        <f>IF(Tableau1[[#This Row],[Date de Début]]=0,"Saisir date de début","S"&amp; _xlfn.ISOWEEKNUM(R17))</f>
        <v>S3</v>
      </c>
      <c r="E17" s="24" t="s">
        <v>174</v>
      </c>
      <c r="F17" s="39"/>
      <c r="G17" s="159" t="str">
        <f>"xxx-2025-"&amp;Tableau1[[#This Row],[N° de 
Ctx]]&amp;"-"&amp;Tableau1[[#This Row],[N° semaine]]&amp;"-"&amp; Tableau1[[#This Row],[Nature des travaux]]</f>
        <v>xxx-2025-8-S3-Contrat 8</v>
      </c>
      <c r="H17" s="68" t="str">
        <f>IF(Tableau1[[#This Row],[Nature des travaux]]=0,"Saisir nature des travaux",Tableau1[[#This Row],[Colonne1]])&amp;"-"&amp;Tableau1[[#This Row],[Jour]]</f>
        <v>xxx-2025-8-S3-Contrat 8-MeJe</v>
      </c>
      <c r="I17" s="33"/>
      <c r="J17" s="24"/>
      <c r="K17" s="24"/>
      <c r="L17" s="32" t="s">
        <v>79</v>
      </c>
      <c r="M17" s="91">
        <f>COUNTIF(Tableau1[[#This Row],[Secteur 1]:[Secteur 4]],"x")</f>
        <v>1</v>
      </c>
      <c r="N17" s="36" t="s">
        <v>80</v>
      </c>
      <c r="O17" s="144" t="str">
        <f>IF(Tableau1[[#This Row],[Date de Fin]]-Tableau1[[#This Row],[Date de Début]]&gt;1,"X"," ")</f>
        <v xml:space="preserve"> </v>
      </c>
      <c r="P17" s="29"/>
      <c r="Q17" s="39"/>
      <c r="R17" s="116">
        <v>45672</v>
      </c>
      <c r="S17" s="94" t="str">
        <f t="shared" si="0"/>
        <v>2025-01-15</v>
      </c>
      <c r="T17" s="131">
        <v>45673</v>
      </c>
      <c r="U17" s="276" t="str">
        <f t="shared" si="1"/>
        <v>2025-01-16</v>
      </c>
      <c r="V17" s="210" t="str">
        <f>PROPER(LEFT(TEXT(Tableau1[[#This Row],[Date de Début]],"jjjj"),2))&amp; "" &amp; PROPER(LEFT(TEXT(Tableau1[[#This Row],[Date de Début]]+1,"jjjj"),2))</f>
        <v>MeJe</v>
      </c>
      <c r="W17" s="163" t="str">
        <f>IF(Tableau1[[#This Row],[Nb jours]]&gt;1,PROPER(LEFT(TEXT(Tableau1[[#This Row],[Date de Début]]+1,"jjjj"),2))&amp; "" &amp; PROPER(LEFT(TEXT(Tableau1[[#This Row],[Date de Début]]+2,"jjjj"),2)),"")</f>
        <v/>
      </c>
      <c r="X17" s="163" t="str">
        <f>IF(Tableau1[[#This Row],[Nb jours]]&gt;2,PROPER(LEFT(TEXT(Tableau1[[#This Row],[Date de Début]]+2,"jjjj"),2))&amp; "" &amp; PROPER(LEFT(TEXT(Tableau1[[#This Row],[Date de Début]]+3,"jjjj"),2)),"")</f>
        <v/>
      </c>
      <c r="Y17" s="164" t="str">
        <f>IF(Tableau1[[#This Row],[Nb jours]]&gt;3,PROPER(LEFT(TEXT(Tableau1[[#This Row],[Date de Début]]+3,"jjjj"),2))&amp; "" &amp; PROPER(LEFT(TEXT(Tableau1[[#This Row],[Date de Début]]+4,"jjjj"),2)),"")</f>
        <v/>
      </c>
      <c r="Z17" s="163" t="str">
        <f>IF(Tableau1[[#This Row],[Nb jours]]&gt;4,PROPER(LEFT(TEXT(Tableau1[[#This Row],[Date de Début]]+4,"jjjj"),2))&amp; "" &amp; PROPER(LEFT(TEXT(Tableau1[[#This Row],[Date de Début]]+5,"jjjj"),2)),"")</f>
        <v/>
      </c>
      <c r="AA17" s="164" t="str">
        <f>IF(Tableau1[[#This Row],[Nb jours]]&gt;5,PROPER(LEFT(TEXT(Tableau1[[#This Row],[Date de Début]]+5,"jjjj"),2))&amp; "" &amp; PROPER(LEFT(TEXT(Tableau1[[#This Row],[Date de Début]]+6,"jjjj"),2)),"")</f>
        <v/>
      </c>
      <c r="AB17" s="163">
        <f>Tableau1[[#This Row],[Date de Fin]]-Tableau1[[#This Row],[Date de Début]]</f>
        <v>1</v>
      </c>
      <c r="AC17" s="149" t="str">
        <f>Tableau1[[#This Row],[Nuit 1]]&amp;Tableau1[[#This Row],[Nuit 2]]&amp;Tableau1[[#This Row],[Nuit 3]]&amp;Tableau1[[#This Row],[Nuit 4]]&amp;Tableau1[[#This Row],[Nuit 5]]&amp;Tableau1[[#This Row],[Nuit 6]]</f>
        <v>MeJe</v>
      </c>
      <c r="AD17" s="40" t="s">
        <v>143</v>
      </c>
      <c r="AE17" s="25">
        <f t="shared" si="10"/>
        <v>28</v>
      </c>
      <c r="AF17" s="30">
        <f>Tableau1[[#This Row],[Date de Début]]-AE17</f>
        <v>45644</v>
      </c>
      <c r="AG17" s="41">
        <v>45636</v>
      </c>
      <c r="AH17" s="46">
        <f t="shared" si="11"/>
        <v>21</v>
      </c>
      <c r="AI17" s="46" t="str">
        <f t="shared" si="4"/>
        <v>2024-12-10</v>
      </c>
      <c r="AJ17" s="44" t="s">
        <v>156</v>
      </c>
      <c r="AK17" s="30">
        <f>Tableau1[[#This Row],[Date de Début]]-AH17</f>
        <v>45651</v>
      </c>
      <c r="AL17" s="41">
        <v>45652</v>
      </c>
      <c r="AM17" s="46">
        <f t="shared" si="12"/>
        <v>21</v>
      </c>
      <c r="AN17" s="262" t="str">
        <f>IF(AL17="","",TEXT(Tableau1[[#This Row],[Date de fin de vérification]],"AAAA-MM-JJ"))</f>
        <v>2024-12-26</v>
      </c>
      <c r="AO17" s="48">
        <f>Tableau1[[#This Row],[Date de Début]]-AM17</f>
        <v>45651</v>
      </c>
      <c r="AP17" s="41">
        <v>45652</v>
      </c>
      <c r="AQ17" s="46">
        <f t="shared" si="13"/>
        <v>14</v>
      </c>
      <c r="AR17" s="46" t="str">
        <f t="shared" si="14"/>
        <v>26/12/2024</v>
      </c>
      <c r="AS17" s="48">
        <f>Tableau1[[#This Row],[Date de Début]]-AQ17</f>
        <v>45658</v>
      </c>
      <c r="AT17" s="41">
        <v>45652</v>
      </c>
      <c r="AU17" s="46">
        <f t="shared" si="15"/>
        <v>14</v>
      </c>
      <c r="AV17" s="46" t="str">
        <f t="shared" si="8"/>
        <v>26-12-2024</v>
      </c>
      <c r="AW17" s="48">
        <f>Tableau1[[#This Row],[Date de Début]]-AU17</f>
        <v>45658</v>
      </c>
      <c r="AX17" s="41">
        <v>45653</v>
      </c>
      <c r="AY17" s="270" t="str">
        <f t="shared" si="9"/>
        <v>2024-12-27</v>
      </c>
      <c r="AZ17" s="50">
        <f>IF(Tableau1[[#This Row],[Date limite de fin de rédaction]]&lt;Tableau1[[#This Row],[Date de fin de rédaction]],1,0)</f>
        <v>0</v>
      </c>
      <c r="BA17" s="26">
        <f>IF(Tableau1[[#This Row],[Date limite de fin de vérification]]&lt;Tableau1[[#This Row],[Date de fin de vérification]],1,0)</f>
        <v>1</v>
      </c>
      <c r="BB17" s="26">
        <f>IF(Tableau1[[#This Row],[Date limite d''envoi a  l''exploitation]]&lt;Tableau1[[#This Row],[Date d''envoi à  l''exploitation
(Mettre en copier le demandeur et le rédacteur)]],1,0)</f>
        <v>1</v>
      </c>
      <c r="BC17" s="26">
        <f>IF(Tableau1[[#This Row],[Date limite de réception]]&lt;Tableau1[[#This Row],[Date de réception]],1,0)</f>
        <v>0</v>
      </c>
      <c r="BD17" s="52">
        <f>IF(Tableau1[[#This Row],[Date limite limite de dépose sur la GED]]&lt;Tableau1[[#This Row],[Date de dépose sur la GED]],1,0)</f>
        <v>0</v>
      </c>
      <c r="BE17" s="244"/>
      <c r="BF17" s="243"/>
      <c r="BG17" s="308"/>
      <c r="BH17" s="242"/>
      <c r="BI17" s="297"/>
      <c r="BJ17" s="300"/>
      <c r="BK17" s="242"/>
    </row>
    <row r="18" spans="1:63" x14ac:dyDescent="0.25">
      <c r="A18" s="223">
        <f t="shared" si="16"/>
        <v>9</v>
      </c>
      <c r="B18" s="90" t="s">
        <v>144</v>
      </c>
      <c r="C18" s="90"/>
      <c r="D18" s="54" t="str">
        <f>IF(Tableau1[[#This Row],[Date de Début]]=0,"Saisir date de début","S"&amp; _xlfn.ISOWEEKNUM(R18))</f>
        <v>S3</v>
      </c>
      <c r="E18" s="24" t="s">
        <v>175</v>
      </c>
      <c r="F18" s="39"/>
      <c r="G18" s="159" t="str">
        <f>"xxx-2025-"&amp;Tableau1[[#This Row],[N° de 
Ctx]]&amp;"-"&amp;Tableau1[[#This Row],[N° semaine]]&amp;"-"&amp; Tableau1[[#This Row],[Nature des travaux]]</f>
        <v>xxx-2025-9-S3-Contrat 9</v>
      </c>
      <c r="H18" s="68" t="str">
        <f>IF(Tableau1[[#This Row],[Nature des travaux]]=0,"Saisir nature des travaux",Tableau1[[#This Row],[Colonne1]])&amp;"-"&amp;Tableau1[[#This Row],[Jour]]</f>
        <v>xxx-2025-9-S3-Contrat 9-JeVe</v>
      </c>
      <c r="I18" s="33"/>
      <c r="J18" s="24"/>
      <c r="K18" s="24"/>
      <c r="L18" s="32" t="s">
        <v>79</v>
      </c>
      <c r="M18" s="91">
        <f>COUNTIF(Tableau1[[#This Row],[Secteur 1]:[Secteur 4]],"x")</f>
        <v>1</v>
      </c>
      <c r="N18" s="36" t="s">
        <v>80</v>
      </c>
      <c r="O18" s="144" t="str">
        <f>IF(Tableau1[[#This Row],[Date de Fin]]-Tableau1[[#This Row],[Date de Début]]&gt;1,"X"," ")</f>
        <v xml:space="preserve"> </v>
      </c>
      <c r="P18" s="29"/>
      <c r="Q18" s="39"/>
      <c r="R18" s="116">
        <v>45673</v>
      </c>
      <c r="S18" s="94" t="str">
        <f t="shared" si="0"/>
        <v>2025-01-16</v>
      </c>
      <c r="T18" s="131">
        <v>45674</v>
      </c>
      <c r="U18" s="276" t="str">
        <f t="shared" si="1"/>
        <v>2025-01-17</v>
      </c>
      <c r="V18" s="210" t="str">
        <f>PROPER(LEFT(TEXT(Tableau1[[#This Row],[Date de Début]],"jjjj"),2))&amp; "" &amp; PROPER(LEFT(TEXT(Tableau1[[#This Row],[Date de Début]]+1,"jjjj"),2))</f>
        <v>JeVe</v>
      </c>
      <c r="W18" s="163" t="str">
        <f>IF(Tableau1[[#This Row],[Nb jours]]&gt;1,PROPER(LEFT(TEXT(Tableau1[[#This Row],[Date de Début]]+1,"jjjj"),2))&amp; "" &amp; PROPER(LEFT(TEXT(Tableau1[[#This Row],[Date de Début]]+2,"jjjj"),2)),"")</f>
        <v/>
      </c>
      <c r="X18" s="163" t="str">
        <f>IF(Tableau1[[#This Row],[Nb jours]]&gt;2,PROPER(LEFT(TEXT(Tableau1[[#This Row],[Date de Début]]+2,"jjjj"),2))&amp; "" &amp; PROPER(LEFT(TEXT(Tableau1[[#This Row],[Date de Début]]+3,"jjjj"),2)),"")</f>
        <v/>
      </c>
      <c r="Y18" s="164" t="str">
        <f>IF(Tableau1[[#This Row],[Nb jours]]&gt;3,PROPER(LEFT(TEXT(Tableau1[[#This Row],[Date de Début]]+3,"jjjj"),2))&amp; "" &amp; PROPER(LEFT(TEXT(Tableau1[[#This Row],[Date de Début]]+4,"jjjj"),2)),"")</f>
        <v/>
      </c>
      <c r="Z18" s="163" t="str">
        <f>IF(Tableau1[[#This Row],[Nb jours]]&gt;4,PROPER(LEFT(TEXT(Tableau1[[#This Row],[Date de Début]]+4,"jjjj"),2))&amp; "" &amp; PROPER(LEFT(TEXT(Tableau1[[#This Row],[Date de Début]]+5,"jjjj"),2)),"")</f>
        <v/>
      </c>
      <c r="AA18" s="164" t="str">
        <f>IF(Tableau1[[#This Row],[Nb jours]]&gt;5,PROPER(LEFT(TEXT(Tableau1[[#This Row],[Date de Début]]+5,"jjjj"),2))&amp; "" &amp; PROPER(LEFT(TEXT(Tableau1[[#This Row],[Date de Début]]+6,"jjjj"),2)),"")</f>
        <v/>
      </c>
      <c r="AB18" s="163">
        <f>Tableau1[[#This Row],[Date de Fin]]-Tableau1[[#This Row],[Date de Début]]</f>
        <v>1</v>
      </c>
      <c r="AC18" s="149" t="str">
        <f>Tableau1[[#This Row],[Nuit 1]]&amp;Tableau1[[#This Row],[Nuit 2]]&amp;Tableau1[[#This Row],[Nuit 3]]&amp;Tableau1[[#This Row],[Nuit 4]]&amp;Tableau1[[#This Row],[Nuit 5]]&amp;Tableau1[[#This Row],[Nuit 6]]</f>
        <v>JeVe</v>
      </c>
      <c r="AD18" s="40" t="s">
        <v>143</v>
      </c>
      <c r="AE18" s="25">
        <f t="shared" si="10"/>
        <v>28</v>
      </c>
      <c r="AF18" s="30">
        <f>Tableau1[[#This Row],[Date de Début]]-AE18</f>
        <v>45645</v>
      </c>
      <c r="AG18" s="41">
        <v>45636</v>
      </c>
      <c r="AH18" s="46">
        <f t="shared" si="11"/>
        <v>21</v>
      </c>
      <c r="AI18" s="46" t="str">
        <f t="shared" si="4"/>
        <v>2024-12-10</v>
      </c>
      <c r="AJ18" s="44" t="s">
        <v>156</v>
      </c>
      <c r="AK18" s="30">
        <f>Tableau1[[#This Row],[Date de Début]]-AH18</f>
        <v>45652</v>
      </c>
      <c r="AL18" s="41">
        <v>45652</v>
      </c>
      <c r="AM18" s="46">
        <f t="shared" si="12"/>
        <v>21</v>
      </c>
      <c r="AN18" s="262" t="str">
        <f>IF(AL18="","",TEXT(Tableau1[[#This Row],[Date de fin de vérification]],"AAAA-MM-JJ"))</f>
        <v>2024-12-26</v>
      </c>
      <c r="AO18" s="48">
        <f>Tableau1[[#This Row],[Date de Début]]-AM18</f>
        <v>45652</v>
      </c>
      <c r="AP18" s="41">
        <v>45652</v>
      </c>
      <c r="AQ18" s="46">
        <f t="shared" si="13"/>
        <v>14</v>
      </c>
      <c r="AR18" s="46" t="str">
        <f t="shared" si="14"/>
        <v>26/12/2024</v>
      </c>
      <c r="AS18" s="48">
        <f>Tableau1[[#This Row],[Date de Début]]-AQ18</f>
        <v>45659</v>
      </c>
      <c r="AT18" s="41">
        <v>45652</v>
      </c>
      <c r="AU18" s="46">
        <f t="shared" si="15"/>
        <v>14</v>
      </c>
      <c r="AV18" s="46" t="str">
        <f t="shared" si="8"/>
        <v>26-12-2024</v>
      </c>
      <c r="AW18" s="48">
        <f>Tableau1[[#This Row],[Date de Début]]-AU18</f>
        <v>45659</v>
      </c>
      <c r="AX18" s="41">
        <v>45653</v>
      </c>
      <c r="AY18" s="270" t="str">
        <f t="shared" si="9"/>
        <v>2024-12-27</v>
      </c>
      <c r="AZ18" s="50">
        <f>IF(Tableau1[[#This Row],[Date limite de fin de rédaction]]&lt;Tableau1[[#This Row],[Date de fin de rédaction]],1,0)</f>
        <v>0</v>
      </c>
      <c r="BA18" s="26">
        <f>IF(Tableau1[[#This Row],[Date limite de fin de vérification]]&lt;Tableau1[[#This Row],[Date de fin de vérification]],1,0)</f>
        <v>0</v>
      </c>
      <c r="BB18" s="26">
        <f>IF(Tableau1[[#This Row],[Date limite d''envoi a  l''exploitation]]&lt;Tableau1[[#This Row],[Date d''envoi à  l''exploitation
(Mettre en copier le demandeur et le rédacteur)]],1,0)</f>
        <v>0</v>
      </c>
      <c r="BC18" s="26">
        <f>IF(Tableau1[[#This Row],[Date limite de réception]]&lt;Tableau1[[#This Row],[Date de réception]],1,0)</f>
        <v>0</v>
      </c>
      <c r="BD18" s="52">
        <f>IF(Tableau1[[#This Row],[Date limite limite de dépose sur la GED]]&lt;Tableau1[[#This Row],[Date de dépose sur la GED]],1,0)</f>
        <v>0</v>
      </c>
      <c r="BE18" s="244"/>
      <c r="BF18" s="243"/>
      <c r="BG18" s="308"/>
      <c r="BH18" s="242"/>
      <c r="BI18" s="297"/>
      <c r="BJ18" s="300"/>
      <c r="BK18" s="242"/>
    </row>
    <row r="19" spans="1:63" x14ac:dyDescent="0.25">
      <c r="A19" s="223">
        <f t="shared" si="16"/>
        <v>10</v>
      </c>
      <c r="B19" s="90" t="s">
        <v>144</v>
      </c>
      <c r="C19" s="90"/>
      <c r="D19" s="54" t="str">
        <f>IF(Tableau1[[#This Row],[Date de Début]]=0,"Saisir date de début","S"&amp; _xlfn.ISOWEEKNUM(R19))</f>
        <v>S3</v>
      </c>
      <c r="E19" s="24" t="s">
        <v>176</v>
      </c>
      <c r="F19" s="39"/>
      <c r="G19" s="159" t="str">
        <f>"xxx-2025-"&amp;Tableau1[[#This Row],[N° de 
Ctx]]&amp;"-"&amp;Tableau1[[#This Row],[N° semaine]]&amp;"-"&amp; Tableau1[[#This Row],[Nature des travaux]]</f>
        <v>xxx-2025-10-S3-Contrat 10</v>
      </c>
      <c r="H19" s="68" t="str">
        <f>IF(Tableau1[[#This Row],[Nature des travaux]]=0,"Saisir nature des travaux",Tableau1[[#This Row],[Colonne1]])&amp;"-"&amp;Tableau1[[#This Row],[Jour]]</f>
        <v>xxx-2025-10-S3-Contrat 10-VeSa</v>
      </c>
      <c r="I19" s="33"/>
      <c r="J19" s="24"/>
      <c r="K19" s="24"/>
      <c r="L19" s="32" t="s">
        <v>79</v>
      </c>
      <c r="M19" s="91">
        <f>COUNTIF(Tableau1[[#This Row],[Secteur 1]:[Secteur 4]],"x")</f>
        <v>1</v>
      </c>
      <c r="N19" s="36" t="s">
        <v>80</v>
      </c>
      <c r="O19" s="144" t="str">
        <f>IF(Tableau1[[#This Row],[Date de Fin]]-Tableau1[[#This Row],[Date de Début]]&gt;1,"X"," ")</f>
        <v xml:space="preserve"> </v>
      </c>
      <c r="P19" s="29"/>
      <c r="Q19" s="39"/>
      <c r="R19" s="116">
        <v>45674</v>
      </c>
      <c r="S19" s="94" t="str">
        <f t="shared" si="0"/>
        <v>2025-01-17</v>
      </c>
      <c r="T19" s="131">
        <v>45675</v>
      </c>
      <c r="U19" s="276" t="str">
        <f t="shared" si="1"/>
        <v>2025-01-18</v>
      </c>
      <c r="V19" s="210" t="str">
        <f>PROPER(LEFT(TEXT(Tableau1[[#This Row],[Date de Début]],"jjjj"),2))&amp; "" &amp; PROPER(LEFT(TEXT(Tableau1[[#This Row],[Date de Début]]+1,"jjjj"),2))</f>
        <v>VeSa</v>
      </c>
      <c r="W19" s="163" t="str">
        <f>IF(Tableau1[[#This Row],[Nb jours]]&gt;1,PROPER(LEFT(TEXT(Tableau1[[#This Row],[Date de Début]]+1,"jjjj"),2))&amp; "" &amp; PROPER(LEFT(TEXT(Tableau1[[#This Row],[Date de Début]]+2,"jjjj"),2)),"")</f>
        <v/>
      </c>
      <c r="X19" s="163" t="str">
        <f>IF(Tableau1[[#This Row],[Nb jours]]&gt;2,PROPER(LEFT(TEXT(Tableau1[[#This Row],[Date de Début]]+2,"jjjj"),2))&amp; "" &amp; PROPER(LEFT(TEXT(Tableau1[[#This Row],[Date de Début]]+3,"jjjj"),2)),"")</f>
        <v/>
      </c>
      <c r="Y19" s="164" t="str">
        <f>IF(Tableau1[[#This Row],[Nb jours]]&gt;3,PROPER(LEFT(TEXT(Tableau1[[#This Row],[Date de Début]]+3,"jjjj"),2))&amp; "" &amp; PROPER(LEFT(TEXT(Tableau1[[#This Row],[Date de Début]]+4,"jjjj"),2)),"")</f>
        <v/>
      </c>
      <c r="Z19" s="163" t="str">
        <f>IF(Tableau1[[#This Row],[Nb jours]]&gt;4,PROPER(LEFT(TEXT(Tableau1[[#This Row],[Date de Début]]+4,"jjjj"),2))&amp; "" &amp; PROPER(LEFT(TEXT(Tableau1[[#This Row],[Date de Début]]+5,"jjjj"),2)),"")</f>
        <v/>
      </c>
      <c r="AA19" s="164" t="str">
        <f>IF(Tableau1[[#This Row],[Nb jours]]&gt;5,PROPER(LEFT(TEXT(Tableau1[[#This Row],[Date de Début]]+5,"jjjj"),2))&amp; "" &amp; PROPER(LEFT(TEXT(Tableau1[[#This Row],[Date de Début]]+6,"jjjj"),2)),"")</f>
        <v/>
      </c>
      <c r="AB19" s="163">
        <f>Tableau1[[#This Row],[Date de Fin]]-Tableau1[[#This Row],[Date de Début]]</f>
        <v>1</v>
      </c>
      <c r="AC19" s="149" t="str">
        <f>Tableau1[[#This Row],[Nuit 1]]&amp;Tableau1[[#This Row],[Nuit 2]]&amp;Tableau1[[#This Row],[Nuit 3]]&amp;Tableau1[[#This Row],[Nuit 4]]&amp;Tableau1[[#This Row],[Nuit 5]]&amp;Tableau1[[#This Row],[Nuit 6]]</f>
        <v>VeSa</v>
      </c>
      <c r="AD19" s="40" t="s">
        <v>143</v>
      </c>
      <c r="AE19" s="25">
        <f t="shared" si="10"/>
        <v>28</v>
      </c>
      <c r="AF19" s="30">
        <f>Tableau1[[#This Row],[Date de Début]]-AE19</f>
        <v>45646</v>
      </c>
      <c r="AG19" s="41">
        <v>45636</v>
      </c>
      <c r="AH19" s="46">
        <f t="shared" si="11"/>
        <v>21</v>
      </c>
      <c r="AI19" s="46" t="str">
        <f t="shared" si="4"/>
        <v>2024-12-10</v>
      </c>
      <c r="AJ19" s="44" t="s">
        <v>156</v>
      </c>
      <c r="AK19" s="30">
        <f>Tableau1[[#This Row],[Date de Début]]-AH19</f>
        <v>45653</v>
      </c>
      <c r="AL19" s="41">
        <v>45652</v>
      </c>
      <c r="AM19" s="46">
        <f t="shared" si="12"/>
        <v>21</v>
      </c>
      <c r="AN19" s="262" t="str">
        <f>IF(AL19="","",TEXT(Tableau1[[#This Row],[Date de fin de vérification]],"AAAA-MM-JJ"))</f>
        <v>2024-12-26</v>
      </c>
      <c r="AO19" s="48">
        <f>Tableau1[[#This Row],[Date de Début]]-AM19</f>
        <v>45653</v>
      </c>
      <c r="AP19" s="41">
        <v>45652</v>
      </c>
      <c r="AQ19" s="46">
        <f t="shared" si="13"/>
        <v>14</v>
      </c>
      <c r="AR19" s="46" t="str">
        <f t="shared" si="14"/>
        <v>26/12/2024</v>
      </c>
      <c r="AS19" s="48">
        <f>Tableau1[[#This Row],[Date de Début]]-AQ19</f>
        <v>45660</v>
      </c>
      <c r="AT19" s="41">
        <v>45652</v>
      </c>
      <c r="AU19" s="46">
        <f t="shared" si="15"/>
        <v>14</v>
      </c>
      <c r="AV19" s="46" t="str">
        <f t="shared" si="8"/>
        <v>26-12-2024</v>
      </c>
      <c r="AW19" s="48">
        <f>Tableau1[[#This Row],[Date de Début]]-AU19</f>
        <v>45660</v>
      </c>
      <c r="AX19" s="41">
        <v>45653</v>
      </c>
      <c r="AY19" s="270" t="str">
        <f t="shared" si="9"/>
        <v>2024-12-27</v>
      </c>
      <c r="AZ19" s="50">
        <f>IF(Tableau1[[#This Row],[Date limite de fin de rédaction]]&lt;Tableau1[[#This Row],[Date de fin de rédaction]],1,0)</f>
        <v>0</v>
      </c>
      <c r="BA19" s="26">
        <f>IF(Tableau1[[#This Row],[Date limite de fin de vérification]]&lt;Tableau1[[#This Row],[Date de fin de vérification]],1,0)</f>
        <v>0</v>
      </c>
      <c r="BB19" s="26">
        <f>IF(Tableau1[[#This Row],[Date limite d''envoi a  l''exploitation]]&lt;Tableau1[[#This Row],[Date d''envoi à  l''exploitation
(Mettre en copier le demandeur et le rédacteur)]],1,0)</f>
        <v>0</v>
      </c>
      <c r="BC19" s="26">
        <f>IF(Tableau1[[#This Row],[Date limite de réception]]&lt;Tableau1[[#This Row],[Date de réception]],1,0)</f>
        <v>0</v>
      </c>
      <c r="BD19" s="52">
        <f>IF(Tableau1[[#This Row],[Date limite limite de dépose sur la GED]]&lt;Tableau1[[#This Row],[Date de dépose sur la GED]],1,0)</f>
        <v>0</v>
      </c>
      <c r="BE19" s="244"/>
      <c r="BF19" s="243"/>
      <c r="BG19" s="308"/>
      <c r="BH19" s="242"/>
      <c r="BI19" s="297"/>
      <c r="BJ19" s="300"/>
      <c r="BK19" s="242"/>
    </row>
    <row r="20" spans="1:63" x14ac:dyDescent="0.25">
      <c r="A20" s="223">
        <f t="shared" si="16"/>
        <v>11</v>
      </c>
      <c r="B20" s="90" t="s">
        <v>144</v>
      </c>
      <c r="C20" s="90"/>
      <c r="D20" s="54" t="str">
        <f>IF(Tableau1[[#This Row],[Date de Début]]=0,"Saisir date de début","S"&amp; _xlfn.ISOWEEKNUM(R20))</f>
        <v>S4</v>
      </c>
      <c r="E20" s="24" t="s">
        <v>177</v>
      </c>
      <c r="F20" s="39"/>
      <c r="G20" s="159" t="str">
        <f>"xxx-2025-"&amp;Tableau1[[#This Row],[N° de 
Ctx]]&amp;"-"&amp;Tableau1[[#This Row],[N° semaine]]&amp;"-"&amp; Tableau1[[#This Row],[Nature des travaux]]</f>
        <v>xxx-2025-11-S4-Contrat 11</v>
      </c>
      <c r="H20" s="68" t="str">
        <f>IF(Tableau1[[#This Row],[Nature des travaux]]=0,"Saisir nature des travaux",Tableau1[[#This Row],[Colonne1]])&amp;"-"&amp;Tableau1[[#This Row],[Jour]]</f>
        <v>xxx-2025-11-S4-Contrat 11-LuMa</v>
      </c>
      <c r="I20" s="33"/>
      <c r="J20" s="24"/>
      <c r="K20" s="24"/>
      <c r="L20" s="32" t="s">
        <v>79</v>
      </c>
      <c r="M20" s="91">
        <f>COUNTIF(Tableau1[[#This Row],[Secteur 1]:[Secteur 4]],"x")</f>
        <v>1</v>
      </c>
      <c r="N20" s="36" t="s">
        <v>80</v>
      </c>
      <c r="O20" s="144" t="str">
        <f>IF(Tableau1[[#This Row],[Date de Fin]]-Tableau1[[#This Row],[Date de Début]]&gt;1,"X"," ")</f>
        <v xml:space="preserve"> </v>
      </c>
      <c r="P20" s="29"/>
      <c r="Q20" s="39"/>
      <c r="R20" s="116">
        <v>45677</v>
      </c>
      <c r="S20" s="94" t="str">
        <f t="shared" si="0"/>
        <v>2025-01-20</v>
      </c>
      <c r="T20" s="131">
        <v>45678</v>
      </c>
      <c r="U20" s="276" t="str">
        <f t="shared" si="1"/>
        <v>2025-01-21</v>
      </c>
      <c r="V20" s="210" t="str">
        <f>PROPER(LEFT(TEXT(Tableau1[[#This Row],[Date de Début]],"jjjj"),2))&amp; "" &amp; PROPER(LEFT(TEXT(Tableau1[[#This Row],[Date de Début]]+1,"jjjj"),2))</f>
        <v>LuMa</v>
      </c>
      <c r="W20" s="163" t="str">
        <f>IF(Tableau1[[#This Row],[Nb jours]]&gt;1,PROPER(LEFT(TEXT(Tableau1[[#This Row],[Date de Début]]+1,"jjjj"),2))&amp; "" &amp; PROPER(LEFT(TEXT(Tableau1[[#This Row],[Date de Début]]+2,"jjjj"),2)),"")</f>
        <v/>
      </c>
      <c r="X20" s="163" t="str">
        <f>IF(Tableau1[[#This Row],[Nb jours]]&gt;2,PROPER(LEFT(TEXT(Tableau1[[#This Row],[Date de Début]]+2,"jjjj"),2))&amp; "" &amp; PROPER(LEFT(TEXT(Tableau1[[#This Row],[Date de Début]]+3,"jjjj"),2)),"")</f>
        <v/>
      </c>
      <c r="Y20" s="164" t="str">
        <f>IF(Tableau1[[#This Row],[Nb jours]]&gt;3,PROPER(LEFT(TEXT(Tableau1[[#This Row],[Date de Début]]+3,"jjjj"),2))&amp; "" &amp; PROPER(LEFT(TEXT(Tableau1[[#This Row],[Date de Début]]+4,"jjjj"),2)),"")</f>
        <v/>
      </c>
      <c r="Z20" s="163" t="str">
        <f>IF(Tableau1[[#This Row],[Nb jours]]&gt;4,PROPER(LEFT(TEXT(Tableau1[[#This Row],[Date de Début]]+4,"jjjj"),2))&amp; "" &amp; PROPER(LEFT(TEXT(Tableau1[[#This Row],[Date de Début]]+5,"jjjj"),2)),"")</f>
        <v/>
      </c>
      <c r="AA20" s="164" t="str">
        <f>IF(Tableau1[[#This Row],[Nb jours]]&gt;5,PROPER(LEFT(TEXT(Tableau1[[#This Row],[Date de Début]]+5,"jjjj"),2))&amp; "" &amp; PROPER(LEFT(TEXT(Tableau1[[#This Row],[Date de Début]]+6,"jjjj"),2)),"")</f>
        <v/>
      </c>
      <c r="AB20" s="163">
        <f>Tableau1[[#This Row],[Date de Fin]]-Tableau1[[#This Row],[Date de Début]]</f>
        <v>1</v>
      </c>
      <c r="AC20" s="149" t="str">
        <f>Tableau1[[#This Row],[Nuit 1]]&amp;Tableau1[[#This Row],[Nuit 2]]&amp;Tableau1[[#This Row],[Nuit 3]]&amp;Tableau1[[#This Row],[Nuit 4]]&amp;Tableau1[[#This Row],[Nuit 5]]&amp;Tableau1[[#This Row],[Nuit 6]]</f>
        <v>LuMa</v>
      </c>
      <c r="AD20" s="40" t="s">
        <v>143</v>
      </c>
      <c r="AE20" s="25">
        <f t="shared" si="10"/>
        <v>28</v>
      </c>
      <c r="AF20" s="30">
        <f>Tableau1[[#This Row],[Date de Début]]-AE20</f>
        <v>45649</v>
      </c>
      <c r="AG20" s="41">
        <v>45644</v>
      </c>
      <c r="AH20" s="46">
        <f t="shared" si="11"/>
        <v>21</v>
      </c>
      <c r="AI20" s="46" t="str">
        <f t="shared" si="4"/>
        <v>2024-12-18</v>
      </c>
      <c r="AJ20" s="44" t="s">
        <v>156</v>
      </c>
      <c r="AK20" s="30">
        <f>Tableau1[[#This Row],[Date de Début]]-AH20</f>
        <v>45656</v>
      </c>
      <c r="AL20" s="41">
        <v>45652</v>
      </c>
      <c r="AM20" s="46">
        <f t="shared" si="12"/>
        <v>21</v>
      </c>
      <c r="AN20" s="262" t="str">
        <f>IF(AL20="","",TEXT(Tableau1[[#This Row],[Date de fin de vérification]],"AAAA-MM-JJ"))</f>
        <v>2024-12-26</v>
      </c>
      <c r="AO20" s="48">
        <f>Tableau1[[#This Row],[Date de Début]]-AM20</f>
        <v>45656</v>
      </c>
      <c r="AP20" s="41">
        <v>45652</v>
      </c>
      <c r="AQ20" s="46">
        <f t="shared" si="13"/>
        <v>14</v>
      </c>
      <c r="AR20" s="46" t="str">
        <f t="shared" si="14"/>
        <v>26/12/2024</v>
      </c>
      <c r="AS20" s="48">
        <f>Tableau1[[#This Row],[Date de Début]]-AQ20</f>
        <v>45663</v>
      </c>
      <c r="AT20" s="41">
        <v>45653</v>
      </c>
      <c r="AU20" s="46">
        <f t="shared" si="15"/>
        <v>14</v>
      </c>
      <c r="AV20" s="46" t="str">
        <f t="shared" si="8"/>
        <v>27-12-2024</v>
      </c>
      <c r="AW20" s="48">
        <f>Tableau1[[#This Row],[Date de Début]]-AU20</f>
        <v>45663</v>
      </c>
      <c r="AX20" s="41">
        <v>45673</v>
      </c>
      <c r="AY20" s="270" t="str">
        <f t="shared" si="9"/>
        <v>2025-01-16</v>
      </c>
      <c r="AZ20" s="50">
        <f>IF(Tableau1[[#This Row],[Date limite de fin de rédaction]]&lt;Tableau1[[#This Row],[Date de fin de rédaction]],1,0)</f>
        <v>0</v>
      </c>
      <c r="BA20" s="26">
        <f>IF(Tableau1[[#This Row],[Date limite de fin de vérification]]&lt;Tableau1[[#This Row],[Date de fin de vérification]],1,0)</f>
        <v>0</v>
      </c>
      <c r="BB20" s="26">
        <f>IF(Tableau1[[#This Row],[Date limite d''envoi a  l''exploitation]]&lt;Tableau1[[#This Row],[Date d''envoi à  l''exploitation
(Mettre en copier le demandeur et le rédacteur)]],1,0)</f>
        <v>0</v>
      </c>
      <c r="BC20" s="26">
        <f>IF(Tableau1[[#This Row],[Date limite de réception]]&lt;Tableau1[[#This Row],[Date de réception]],1,0)</f>
        <v>0</v>
      </c>
      <c r="BD20" s="52">
        <f>IF(Tableau1[[#This Row],[Date limite limite de dépose sur la GED]]&lt;Tableau1[[#This Row],[Date de dépose sur la GED]],1,0)</f>
        <v>1</v>
      </c>
      <c r="BE20" s="244"/>
      <c r="BF20" s="243"/>
      <c r="BG20" s="308"/>
      <c r="BH20" s="242"/>
      <c r="BI20" s="297"/>
      <c r="BJ20" s="300"/>
      <c r="BK20" s="242"/>
    </row>
    <row r="21" spans="1:63" x14ac:dyDescent="0.25">
      <c r="A21" s="223">
        <f t="shared" si="16"/>
        <v>12</v>
      </c>
      <c r="B21" s="90" t="s">
        <v>144</v>
      </c>
      <c r="C21" s="90"/>
      <c r="D21" s="54" t="str">
        <f>IF(Tableau1[[#This Row],[Date de Début]]=0,"Saisir date de début","S"&amp; _xlfn.ISOWEEKNUM(R21))</f>
        <v>S4</v>
      </c>
      <c r="E21" s="24" t="s">
        <v>178</v>
      </c>
      <c r="F21" s="39"/>
      <c r="G21" s="159" t="str">
        <f>"xxx-2025-"&amp;Tableau1[[#This Row],[N° de 
Ctx]]&amp;"-"&amp;Tableau1[[#This Row],[N° semaine]]&amp;"-"&amp; Tableau1[[#This Row],[Nature des travaux]]</f>
        <v>xxx-2025-12-S4-Contrat 12</v>
      </c>
      <c r="H21" s="68" t="str">
        <f>IF(Tableau1[[#This Row],[Nature des travaux]]=0,"Saisir nature des travaux",Tableau1[[#This Row],[Colonne1]])&amp;"-"&amp;Tableau1[[#This Row],[Jour]]</f>
        <v>xxx-2025-12-S4-Contrat 12-MaMe</v>
      </c>
      <c r="I21" s="33"/>
      <c r="J21" s="24"/>
      <c r="K21" s="24"/>
      <c r="L21" s="32" t="s">
        <v>79</v>
      </c>
      <c r="M21" s="91">
        <f>COUNTIF(Tableau1[[#This Row],[Secteur 1]:[Secteur 4]],"x")</f>
        <v>1</v>
      </c>
      <c r="N21" s="36" t="s">
        <v>80</v>
      </c>
      <c r="O21" s="144" t="str">
        <f>IF(Tableau1[[#This Row],[Date de Fin]]-Tableau1[[#This Row],[Date de Début]]&gt;1,"X"," ")</f>
        <v xml:space="preserve"> </v>
      </c>
      <c r="P21" s="29"/>
      <c r="Q21" s="39"/>
      <c r="R21" s="116">
        <v>45678</v>
      </c>
      <c r="S21" s="94" t="str">
        <f t="shared" si="0"/>
        <v>2025-01-21</v>
      </c>
      <c r="T21" s="131">
        <v>45679</v>
      </c>
      <c r="U21" s="276" t="str">
        <f t="shared" si="1"/>
        <v>2025-01-22</v>
      </c>
      <c r="V21" s="210" t="str">
        <f>PROPER(LEFT(TEXT(Tableau1[[#This Row],[Date de Début]],"jjjj"),2))&amp; "" &amp; PROPER(LEFT(TEXT(Tableau1[[#This Row],[Date de Début]]+1,"jjjj"),2))</f>
        <v>MaMe</v>
      </c>
      <c r="W21" s="163" t="str">
        <f>IF(Tableau1[[#This Row],[Nb jours]]&gt;1,PROPER(LEFT(TEXT(Tableau1[[#This Row],[Date de Début]]+1,"jjjj"),2))&amp; "" &amp; PROPER(LEFT(TEXT(Tableau1[[#This Row],[Date de Début]]+2,"jjjj"),2)),"")</f>
        <v/>
      </c>
      <c r="X21" s="163" t="str">
        <f>IF(Tableau1[[#This Row],[Nb jours]]&gt;2,PROPER(LEFT(TEXT(Tableau1[[#This Row],[Date de Début]]+2,"jjjj"),2))&amp; "" &amp; PROPER(LEFT(TEXT(Tableau1[[#This Row],[Date de Début]]+3,"jjjj"),2)),"")</f>
        <v/>
      </c>
      <c r="Y21" s="164" t="str">
        <f>IF(Tableau1[[#This Row],[Nb jours]]&gt;3,PROPER(LEFT(TEXT(Tableau1[[#This Row],[Date de Début]]+3,"jjjj"),2))&amp; "" &amp; PROPER(LEFT(TEXT(Tableau1[[#This Row],[Date de Début]]+4,"jjjj"),2)),"")</f>
        <v/>
      </c>
      <c r="Z21" s="163" t="str">
        <f>IF(Tableau1[[#This Row],[Nb jours]]&gt;4,PROPER(LEFT(TEXT(Tableau1[[#This Row],[Date de Début]]+4,"jjjj"),2))&amp; "" &amp; PROPER(LEFT(TEXT(Tableau1[[#This Row],[Date de Début]]+5,"jjjj"),2)),"")</f>
        <v/>
      </c>
      <c r="AA21" s="164" t="str">
        <f>IF(Tableau1[[#This Row],[Nb jours]]&gt;5,PROPER(LEFT(TEXT(Tableau1[[#This Row],[Date de Début]]+5,"jjjj"),2))&amp; "" &amp; PROPER(LEFT(TEXT(Tableau1[[#This Row],[Date de Début]]+6,"jjjj"),2)),"")</f>
        <v/>
      </c>
      <c r="AB21" s="163">
        <f>Tableau1[[#This Row],[Date de Fin]]-Tableau1[[#This Row],[Date de Début]]</f>
        <v>1</v>
      </c>
      <c r="AC21" s="149" t="str">
        <f>Tableau1[[#This Row],[Nuit 1]]&amp;Tableau1[[#This Row],[Nuit 2]]&amp;Tableau1[[#This Row],[Nuit 3]]&amp;Tableau1[[#This Row],[Nuit 4]]&amp;Tableau1[[#This Row],[Nuit 5]]&amp;Tableau1[[#This Row],[Nuit 6]]</f>
        <v>MaMe</v>
      </c>
      <c r="AD21" s="40" t="s">
        <v>143</v>
      </c>
      <c r="AE21" s="25">
        <f t="shared" si="10"/>
        <v>28</v>
      </c>
      <c r="AF21" s="30">
        <f>Tableau1[[#This Row],[Date de Début]]-AE21</f>
        <v>45650</v>
      </c>
      <c r="AG21" s="41">
        <v>45644</v>
      </c>
      <c r="AH21" s="46">
        <f t="shared" si="11"/>
        <v>21</v>
      </c>
      <c r="AI21" s="46" t="str">
        <f t="shared" si="4"/>
        <v>2024-12-18</v>
      </c>
      <c r="AJ21" s="44" t="s">
        <v>156</v>
      </c>
      <c r="AK21" s="30">
        <f>Tableau1[[#This Row],[Date de Début]]-AH21</f>
        <v>45657</v>
      </c>
      <c r="AL21" s="41">
        <v>45652</v>
      </c>
      <c r="AM21" s="46">
        <f t="shared" si="12"/>
        <v>21</v>
      </c>
      <c r="AN21" s="262" t="str">
        <f>IF(AL21="","",TEXT(Tableau1[[#This Row],[Date de fin de vérification]],"AAAA-MM-JJ"))</f>
        <v>2024-12-26</v>
      </c>
      <c r="AO21" s="48">
        <f>Tableau1[[#This Row],[Date de Début]]-AM21</f>
        <v>45657</v>
      </c>
      <c r="AP21" s="41">
        <v>45652</v>
      </c>
      <c r="AQ21" s="46">
        <f t="shared" si="13"/>
        <v>14</v>
      </c>
      <c r="AR21" s="46" t="str">
        <f t="shared" si="14"/>
        <v>26/12/2024</v>
      </c>
      <c r="AS21" s="48">
        <f>Tableau1[[#This Row],[Date de Début]]-AQ21</f>
        <v>45664</v>
      </c>
      <c r="AT21" s="41">
        <v>45653</v>
      </c>
      <c r="AU21" s="46">
        <f t="shared" si="15"/>
        <v>14</v>
      </c>
      <c r="AV21" s="46" t="str">
        <f t="shared" si="8"/>
        <v>27-12-2024</v>
      </c>
      <c r="AW21" s="48">
        <f>Tableau1[[#This Row],[Date de Début]]-AU21</f>
        <v>45664</v>
      </c>
      <c r="AX21" s="41">
        <v>45673</v>
      </c>
      <c r="AY21" s="270" t="str">
        <f t="shared" si="9"/>
        <v>2025-01-16</v>
      </c>
      <c r="AZ21" s="50">
        <f>IF(Tableau1[[#This Row],[Date limite de fin de rédaction]]&lt;Tableau1[[#This Row],[Date de fin de rédaction]],1,0)</f>
        <v>0</v>
      </c>
      <c r="BA21" s="26">
        <f>IF(Tableau1[[#This Row],[Date limite de fin de vérification]]&lt;Tableau1[[#This Row],[Date de fin de vérification]],1,0)</f>
        <v>0</v>
      </c>
      <c r="BB21" s="26">
        <f>IF(Tableau1[[#This Row],[Date limite d''envoi a  l''exploitation]]&lt;Tableau1[[#This Row],[Date d''envoi à  l''exploitation
(Mettre en copier le demandeur et le rédacteur)]],1,0)</f>
        <v>0</v>
      </c>
      <c r="BC21" s="26">
        <f>IF(Tableau1[[#This Row],[Date limite de réception]]&lt;Tableau1[[#This Row],[Date de réception]],1,0)</f>
        <v>0</v>
      </c>
      <c r="BD21" s="52">
        <f>IF(Tableau1[[#This Row],[Date limite limite de dépose sur la GED]]&lt;Tableau1[[#This Row],[Date de dépose sur la GED]],1,0)</f>
        <v>1</v>
      </c>
      <c r="BE21" s="244"/>
      <c r="BF21" s="243"/>
      <c r="BG21" s="308"/>
      <c r="BH21" s="242"/>
      <c r="BI21" s="297"/>
      <c r="BJ21" s="300"/>
      <c r="BK21" s="242"/>
    </row>
    <row r="22" spans="1:63" x14ac:dyDescent="0.25">
      <c r="A22" s="223">
        <f t="shared" si="16"/>
        <v>13</v>
      </c>
      <c r="B22" s="90" t="s">
        <v>144</v>
      </c>
      <c r="C22" s="90"/>
      <c r="D22" s="54" t="str">
        <f>IF(Tableau1[[#This Row],[Date de Début]]=0,"Saisir date de début","S"&amp; _xlfn.ISOWEEKNUM(R22))</f>
        <v>S4</v>
      </c>
      <c r="E22" s="24" t="s">
        <v>179</v>
      </c>
      <c r="F22" s="39"/>
      <c r="G22" s="159" t="str">
        <f>"xxx-2025-"&amp;Tableau1[[#This Row],[N° de 
Ctx]]&amp;"-"&amp;Tableau1[[#This Row],[N° semaine]]&amp;"-"&amp; Tableau1[[#This Row],[Nature des travaux]]</f>
        <v>xxx-2025-13-S4-Contrat 13</v>
      </c>
      <c r="H22" s="68" t="str">
        <f>IF(Tableau1[[#This Row],[Nature des travaux]]=0,"Saisir nature des travaux",Tableau1[[#This Row],[Colonne1]])&amp;"-"&amp;Tableau1[[#This Row],[Jour]]</f>
        <v>xxx-2025-13-S4-Contrat 13-MeJe</v>
      </c>
      <c r="I22" s="33"/>
      <c r="J22" s="24"/>
      <c r="K22" s="24"/>
      <c r="L22" s="32" t="s">
        <v>79</v>
      </c>
      <c r="M22" s="91">
        <f>COUNTIF(Tableau1[[#This Row],[Secteur 1]:[Secteur 4]],"x")</f>
        <v>1</v>
      </c>
      <c r="N22" s="36" t="s">
        <v>80</v>
      </c>
      <c r="O22" s="144" t="str">
        <f>IF(Tableau1[[#This Row],[Date de Fin]]-Tableau1[[#This Row],[Date de Début]]&gt;1,"X"," ")</f>
        <v xml:space="preserve"> </v>
      </c>
      <c r="P22" s="29"/>
      <c r="Q22" s="39"/>
      <c r="R22" s="116">
        <v>45679</v>
      </c>
      <c r="S22" s="94" t="str">
        <f t="shared" si="0"/>
        <v>2025-01-22</v>
      </c>
      <c r="T22" s="131">
        <v>45680</v>
      </c>
      <c r="U22" s="276" t="str">
        <f t="shared" si="1"/>
        <v>2025-01-23</v>
      </c>
      <c r="V22" s="210" t="str">
        <f>PROPER(LEFT(TEXT(Tableau1[[#This Row],[Date de Début]],"jjjj"),2))&amp; "" &amp; PROPER(LEFT(TEXT(Tableau1[[#This Row],[Date de Début]]+1,"jjjj"),2))</f>
        <v>MeJe</v>
      </c>
      <c r="W22" s="163" t="str">
        <f>IF(Tableau1[[#This Row],[Nb jours]]&gt;1,PROPER(LEFT(TEXT(Tableau1[[#This Row],[Date de Début]]+1,"jjjj"),2))&amp; "" &amp; PROPER(LEFT(TEXT(Tableau1[[#This Row],[Date de Début]]+2,"jjjj"),2)),"")</f>
        <v/>
      </c>
      <c r="X22" s="163" t="str">
        <f>IF(Tableau1[[#This Row],[Nb jours]]&gt;2,PROPER(LEFT(TEXT(Tableau1[[#This Row],[Date de Début]]+2,"jjjj"),2))&amp; "" &amp; PROPER(LEFT(TEXT(Tableau1[[#This Row],[Date de Début]]+3,"jjjj"),2)),"")</f>
        <v/>
      </c>
      <c r="Y22" s="164" t="str">
        <f>IF(Tableau1[[#This Row],[Nb jours]]&gt;3,PROPER(LEFT(TEXT(Tableau1[[#This Row],[Date de Début]]+3,"jjjj"),2))&amp; "" &amp; PROPER(LEFT(TEXT(Tableau1[[#This Row],[Date de Début]]+4,"jjjj"),2)),"")</f>
        <v/>
      </c>
      <c r="Z22" s="163" t="str">
        <f>IF(Tableau1[[#This Row],[Nb jours]]&gt;4,PROPER(LEFT(TEXT(Tableau1[[#This Row],[Date de Début]]+4,"jjjj"),2))&amp; "" &amp; PROPER(LEFT(TEXT(Tableau1[[#This Row],[Date de Début]]+5,"jjjj"),2)),"")</f>
        <v/>
      </c>
      <c r="AA22" s="164" t="str">
        <f>IF(Tableau1[[#This Row],[Nb jours]]&gt;5,PROPER(LEFT(TEXT(Tableau1[[#This Row],[Date de Début]]+5,"jjjj"),2))&amp; "" &amp; PROPER(LEFT(TEXT(Tableau1[[#This Row],[Date de Début]]+6,"jjjj"),2)),"")</f>
        <v/>
      </c>
      <c r="AB22" s="163">
        <f>Tableau1[[#This Row],[Date de Fin]]-Tableau1[[#This Row],[Date de Début]]</f>
        <v>1</v>
      </c>
      <c r="AC22" s="149" t="str">
        <f>Tableau1[[#This Row],[Nuit 1]]&amp;Tableau1[[#This Row],[Nuit 2]]&amp;Tableau1[[#This Row],[Nuit 3]]&amp;Tableau1[[#This Row],[Nuit 4]]&amp;Tableau1[[#This Row],[Nuit 5]]&amp;Tableau1[[#This Row],[Nuit 6]]</f>
        <v>MeJe</v>
      </c>
      <c r="AD22" s="40" t="s">
        <v>143</v>
      </c>
      <c r="AE22" s="25">
        <f t="shared" si="10"/>
        <v>28</v>
      </c>
      <c r="AF22" s="30">
        <f>Tableau1[[#This Row],[Date de Début]]-AE22</f>
        <v>45651</v>
      </c>
      <c r="AG22" s="41">
        <v>45644</v>
      </c>
      <c r="AH22" s="46">
        <f t="shared" si="11"/>
        <v>21</v>
      </c>
      <c r="AI22" s="46" t="str">
        <f t="shared" si="4"/>
        <v>2024-12-18</v>
      </c>
      <c r="AJ22" s="44" t="s">
        <v>156</v>
      </c>
      <c r="AK22" s="30">
        <f>Tableau1[[#This Row],[Date de Début]]-AH22</f>
        <v>45658</v>
      </c>
      <c r="AL22" s="41">
        <v>45652</v>
      </c>
      <c r="AM22" s="46">
        <f t="shared" si="12"/>
        <v>21</v>
      </c>
      <c r="AN22" s="262" t="str">
        <f>IF(AL22="","",TEXT(Tableau1[[#This Row],[Date de fin de vérification]],"AAAA-MM-JJ"))</f>
        <v>2024-12-26</v>
      </c>
      <c r="AO22" s="48">
        <f>Tableau1[[#This Row],[Date de Début]]-AM22</f>
        <v>45658</v>
      </c>
      <c r="AP22" s="41">
        <v>45652</v>
      </c>
      <c r="AQ22" s="46">
        <f t="shared" si="13"/>
        <v>14</v>
      </c>
      <c r="AR22" s="46" t="str">
        <f t="shared" si="14"/>
        <v>26/12/2024</v>
      </c>
      <c r="AS22" s="48">
        <f>Tableau1[[#This Row],[Date de Début]]-AQ22</f>
        <v>45665</v>
      </c>
      <c r="AT22" s="41">
        <v>45653</v>
      </c>
      <c r="AU22" s="46">
        <f t="shared" si="15"/>
        <v>14</v>
      </c>
      <c r="AV22" s="46" t="str">
        <f t="shared" si="8"/>
        <v>27-12-2024</v>
      </c>
      <c r="AW22" s="48">
        <f>Tableau1[[#This Row],[Date de Début]]-AU22</f>
        <v>45665</v>
      </c>
      <c r="AX22" s="41">
        <v>45673</v>
      </c>
      <c r="AY22" s="270" t="str">
        <f t="shared" si="9"/>
        <v>2025-01-16</v>
      </c>
      <c r="AZ22" s="50">
        <f>IF(Tableau1[[#This Row],[Date limite de fin de rédaction]]&lt;Tableau1[[#This Row],[Date de fin de rédaction]],1,0)</f>
        <v>0</v>
      </c>
      <c r="BA22" s="26">
        <f>IF(Tableau1[[#This Row],[Date limite de fin de vérification]]&lt;Tableau1[[#This Row],[Date de fin de vérification]],1,0)</f>
        <v>0</v>
      </c>
      <c r="BB22" s="26">
        <f>IF(Tableau1[[#This Row],[Date limite d''envoi a  l''exploitation]]&lt;Tableau1[[#This Row],[Date d''envoi à  l''exploitation
(Mettre en copier le demandeur et le rédacteur)]],1,0)</f>
        <v>0</v>
      </c>
      <c r="BC22" s="26">
        <f>IF(Tableau1[[#This Row],[Date limite de réception]]&lt;Tableau1[[#This Row],[Date de réception]],1,0)</f>
        <v>0</v>
      </c>
      <c r="BD22" s="52">
        <f>IF(Tableau1[[#This Row],[Date limite limite de dépose sur la GED]]&lt;Tableau1[[#This Row],[Date de dépose sur la GED]],1,0)</f>
        <v>1</v>
      </c>
      <c r="BE22" s="244"/>
      <c r="BF22" s="243"/>
      <c r="BG22" s="308"/>
      <c r="BH22" s="242"/>
      <c r="BI22" s="297"/>
      <c r="BJ22" s="300"/>
      <c r="BK22" s="242"/>
    </row>
    <row r="23" spans="1:63" x14ac:dyDescent="0.25">
      <c r="A23" s="223">
        <f t="shared" si="16"/>
        <v>14</v>
      </c>
      <c r="B23" s="90" t="s">
        <v>144</v>
      </c>
      <c r="C23" s="90"/>
      <c r="D23" s="54" t="str">
        <f>IF(Tableau1[[#This Row],[Date de Début]]=0,"Saisir date de début","S"&amp; _xlfn.ISOWEEKNUM(R23))</f>
        <v>S4</v>
      </c>
      <c r="E23" s="24" t="s">
        <v>180</v>
      </c>
      <c r="F23" s="39"/>
      <c r="G23" s="159" t="str">
        <f>"xxx-2025-"&amp;Tableau1[[#This Row],[N° de 
Ctx]]&amp;"-"&amp;Tableau1[[#This Row],[N° semaine]]&amp;"-"&amp; Tableau1[[#This Row],[Nature des travaux]]</f>
        <v>xxx-2025-14-S4-Contrat 14</v>
      </c>
      <c r="H23" s="68" t="str">
        <f>IF(Tableau1[[#This Row],[Nature des travaux]]=0,"Saisir nature des travaux",Tableau1[[#This Row],[Colonne1]])&amp;"-"&amp;Tableau1[[#This Row],[Jour]]</f>
        <v>xxx-2025-14-S4-Contrat 14-JeVe</v>
      </c>
      <c r="I23" s="33"/>
      <c r="J23" s="24"/>
      <c r="K23" s="24"/>
      <c r="L23" s="32" t="s">
        <v>79</v>
      </c>
      <c r="M23" s="91">
        <f>COUNTIF(Tableau1[[#This Row],[Secteur 1]:[Secteur 4]],"x")</f>
        <v>1</v>
      </c>
      <c r="N23" s="36" t="s">
        <v>80</v>
      </c>
      <c r="O23" s="144" t="str">
        <f>IF(Tableau1[[#This Row],[Date de Fin]]-Tableau1[[#This Row],[Date de Début]]&gt;1,"X"," ")</f>
        <v xml:space="preserve"> </v>
      </c>
      <c r="P23" s="29"/>
      <c r="Q23" s="39"/>
      <c r="R23" s="116">
        <v>45680</v>
      </c>
      <c r="S23" s="94" t="str">
        <f t="shared" si="0"/>
        <v>2025-01-23</v>
      </c>
      <c r="T23" s="131">
        <v>45681</v>
      </c>
      <c r="U23" s="276" t="str">
        <f t="shared" si="1"/>
        <v>2025-01-24</v>
      </c>
      <c r="V23" s="210" t="str">
        <f>PROPER(LEFT(TEXT(Tableau1[[#This Row],[Date de Début]],"jjjj"),2))&amp; "" &amp; PROPER(LEFT(TEXT(Tableau1[[#This Row],[Date de Début]]+1,"jjjj"),2))</f>
        <v>JeVe</v>
      </c>
      <c r="W23" s="163" t="str">
        <f>IF(Tableau1[[#This Row],[Nb jours]]&gt;1,PROPER(LEFT(TEXT(Tableau1[[#This Row],[Date de Début]]+1,"jjjj"),2))&amp; "" &amp; PROPER(LEFT(TEXT(Tableau1[[#This Row],[Date de Début]]+2,"jjjj"),2)),"")</f>
        <v/>
      </c>
      <c r="X23" s="163" t="str">
        <f>IF(Tableau1[[#This Row],[Nb jours]]&gt;2,PROPER(LEFT(TEXT(Tableau1[[#This Row],[Date de Début]]+2,"jjjj"),2))&amp; "" &amp; PROPER(LEFT(TEXT(Tableau1[[#This Row],[Date de Début]]+3,"jjjj"),2)),"")</f>
        <v/>
      </c>
      <c r="Y23" s="164" t="str">
        <f>IF(Tableau1[[#This Row],[Nb jours]]&gt;3,PROPER(LEFT(TEXT(Tableau1[[#This Row],[Date de Début]]+3,"jjjj"),2))&amp; "" &amp; PROPER(LEFT(TEXT(Tableau1[[#This Row],[Date de Début]]+4,"jjjj"),2)),"")</f>
        <v/>
      </c>
      <c r="Z23" s="163" t="str">
        <f>IF(Tableau1[[#This Row],[Nb jours]]&gt;4,PROPER(LEFT(TEXT(Tableau1[[#This Row],[Date de Début]]+4,"jjjj"),2))&amp; "" &amp; PROPER(LEFT(TEXT(Tableau1[[#This Row],[Date de Début]]+5,"jjjj"),2)),"")</f>
        <v/>
      </c>
      <c r="AA23" s="164" t="str">
        <f>IF(Tableau1[[#This Row],[Nb jours]]&gt;5,PROPER(LEFT(TEXT(Tableau1[[#This Row],[Date de Début]]+5,"jjjj"),2))&amp; "" &amp; PROPER(LEFT(TEXT(Tableau1[[#This Row],[Date de Début]]+6,"jjjj"),2)),"")</f>
        <v/>
      </c>
      <c r="AB23" s="163">
        <f>Tableau1[[#This Row],[Date de Fin]]-Tableau1[[#This Row],[Date de Début]]</f>
        <v>1</v>
      </c>
      <c r="AC23" s="149" t="str">
        <f>Tableau1[[#This Row],[Nuit 1]]&amp;Tableau1[[#This Row],[Nuit 2]]&amp;Tableau1[[#This Row],[Nuit 3]]&amp;Tableau1[[#This Row],[Nuit 4]]&amp;Tableau1[[#This Row],[Nuit 5]]&amp;Tableau1[[#This Row],[Nuit 6]]</f>
        <v>JeVe</v>
      </c>
      <c r="AD23" s="40" t="s">
        <v>143</v>
      </c>
      <c r="AE23" s="25">
        <f t="shared" si="10"/>
        <v>28</v>
      </c>
      <c r="AF23" s="30">
        <f>Tableau1[[#This Row],[Date de Début]]-AE23</f>
        <v>45652</v>
      </c>
      <c r="AG23" s="41">
        <v>45644</v>
      </c>
      <c r="AH23" s="46">
        <f t="shared" si="11"/>
        <v>21</v>
      </c>
      <c r="AI23" s="46" t="str">
        <f t="shared" si="4"/>
        <v>2024-12-18</v>
      </c>
      <c r="AJ23" s="44" t="s">
        <v>156</v>
      </c>
      <c r="AK23" s="30">
        <f>Tableau1[[#This Row],[Date de Début]]-AH23</f>
        <v>45659</v>
      </c>
      <c r="AL23" s="41">
        <v>45652</v>
      </c>
      <c r="AM23" s="46">
        <f t="shared" si="12"/>
        <v>21</v>
      </c>
      <c r="AN23" s="262" t="str">
        <f>IF(AL23="","",TEXT(Tableau1[[#This Row],[Date de fin de vérification]],"AAAA-MM-JJ"))</f>
        <v>2024-12-26</v>
      </c>
      <c r="AO23" s="48">
        <f>Tableau1[[#This Row],[Date de Début]]-AM23</f>
        <v>45659</v>
      </c>
      <c r="AP23" s="41">
        <v>45652</v>
      </c>
      <c r="AQ23" s="46">
        <f t="shared" si="13"/>
        <v>14</v>
      </c>
      <c r="AR23" s="46" t="str">
        <f t="shared" si="14"/>
        <v>26/12/2024</v>
      </c>
      <c r="AS23" s="48">
        <f>Tableau1[[#This Row],[Date de Début]]-AQ23</f>
        <v>45666</v>
      </c>
      <c r="AT23" s="41">
        <v>45653</v>
      </c>
      <c r="AU23" s="46">
        <f t="shared" si="15"/>
        <v>14</v>
      </c>
      <c r="AV23" s="46" t="str">
        <f t="shared" si="8"/>
        <v>27-12-2024</v>
      </c>
      <c r="AW23" s="48">
        <f>Tableau1[[#This Row],[Date de Début]]-AU23</f>
        <v>45666</v>
      </c>
      <c r="AX23" s="41">
        <v>45673</v>
      </c>
      <c r="AY23" s="270" t="str">
        <f t="shared" si="9"/>
        <v>2025-01-16</v>
      </c>
      <c r="AZ23" s="50">
        <f>IF(Tableau1[[#This Row],[Date limite de fin de rédaction]]&lt;Tableau1[[#This Row],[Date de fin de rédaction]],1,0)</f>
        <v>0</v>
      </c>
      <c r="BA23" s="26">
        <f>IF(Tableau1[[#This Row],[Date limite de fin de vérification]]&lt;Tableau1[[#This Row],[Date de fin de vérification]],1,0)</f>
        <v>0</v>
      </c>
      <c r="BB23" s="26">
        <f>IF(Tableau1[[#This Row],[Date limite d''envoi a  l''exploitation]]&lt;Tableau1[[#This Row],[Date d''envoi à  l''exploitation
(Mettre en copier le demandeur et le rédacteur)]],1,0)</f>
        <v>0</v>
      </c>
      <c r="BC23" s="26">
        <f>IF(Tableau1[[#This Row],[Date limite de réception]]&lt;Tableau1[[#This Row],[Date de réception]],1,0)</f>
        <v>0</v>
      </c>
      <c r="BD23" s="52">
        <f>IF(Tableau1[[#This Row],[Date limite limite de dépose sur la GED]]&lt;Tableau1[[#This Row],[Date de dépose sur la GED]],1,0)</f>
        <v>1</v>
      </c>
      <c r="BE23" s="244"/>
      <c r="BF23" s="243"/>
      <c r="BG23" s="308"/>
      <c r="BH23" s="242"/>
      <c r="BI23" s="297"/>
      <c r="BJ23" s="300"/>
      <c r="BK23" s="242"/>
    </row>
    <row r="24" spans="1:63" x14ac:dyDescent="0.25">
      <c r="A24" s="223">
        <f t="shared" si="16"/>
        <v>15</v>
      </c>
      <c r="B24" s="90" t="s">
        <v>144</v>
      </c>
      <c r="C24" s="90"/>
      <c r="D24" s="54" t="str">
        <f>IF(Tableau1[[#This Row],[Date de Début]]=0,"Saisir date de début","S"&amp; _xlfn.ISOWEEKNUM(R24))</f>
        <v>S4</v>
      </c>
      <c r="E24" s="24" t="s">
        <v>181</v>
      </c>
      <c r="F24" s="39"/>
      <c r="G24" s="159" t="str">
        <f>"xxx-2025-"&amp;Tableau1[[#This Row],[N° de 
Ctx]]&amp;"-"&amp;Tableau1[[#This Row],[N° semaine]]&amp;"-"&amp; Tableau1[[#This Row],[Nature des travaux]]</f>
        <v>xxx-2025-15-S4-Contrat 15</v>
      </c>
      <c r="H24" s="68" t="str">
        <f>IF(Tableau1[[#This Row],[Nature des travaux]]=0,"Saisir nature des travaux",Tableau1[[#This Row],[Colonne1]])&amp;"-"&amp;Tableau1[[#This Row],[Jour]]</f>
        <v>xxx-2025-15-S4-Contrat 15-VeSa</v>
      </c>
      <c r="I24" s="33"/>
      <c r="J24" s="24"/>
      <c r="K24" s="24"/>
      <c r="L24" s="32" t="s">
        <v>79</v>
      </c>
      <c r="M24" s="91">
        <f>COUNTIF(Tableau1[[#This Row],[Secteur 1]:[Secteur 4]],"x")</f>
        <v>1</v>
      </c>
      <c r="N24" s="36" t="s">
        <v>80</v>
      </c>
      <c r="O24" s="144" t="str">
        <f>IF(Tableau1[[#This Row],[Date de Fin]]-Tableau1[[#This Row],[Date de Début]]&gt;1,"X"," ")</f>
        <v xml:space="preserve"> </v>
      </c>
      <c r="P24" s="29"/>
      <c r="Q24" s="39"/>
      <c r="R24" s="116">
        <v>45681</v>
      </c>
      <c r="S24" s="94" t="str">
        <f t="shared" si="0"/>
        <v>2025-01-24</v>
      </c>
      <c r="T24" s="131">
        <v>45682</v>
      </c>
      <c r="U24" s="276" t="str">
        <f t="shared" si="1"/>
        <v>2025-01-25</v>
      </c>
      <c r="V24" s="210" t="str">
        <f>PROPER(LEFT(TEXT(Tableau1[[#This Row],[Date de Début]],"jjjj"),2))&amp; "" &amp; PROPER(LEFT(TEXT(Tableau1[[#This Row],[Date de Début]]+1,"jjjj"),2))</f>
        <v>VeSa</v>
      </c>
      <c r="W24" s="163" t="str">
        <f>IF(Tableau1[[#This Row],[Nb jours]]&gt;1,PROPER(LEFT(TEXT(Tableau1[[#This Row],[Date de Début]]+1,"jjjj"),2))&amp; "" &amp; PROPER(LEFT(TEXT(Tableau1[[#This Row],[Date de Début]]+2,"jjjj"),2)),"")</f>
        <v/>
      </c>
      <c r="X24" s="163" t="str">
        <f>IF(Tableau1[[#This Row],[Nb jours]]&gt;2,PROPER(LEFT(TEXT(Tableau1[[#This Row],[Date de Début]]+2,"jjjj"),2))&amp; "" &amp; PROPER(LEFT(TEXT(Tableau1[[#This Row],[Date de Début]]+3,"jjjj"),2)),"")</f>
        <v/>
      </c>
      <c r="Y24" s="164" t="str">
        <f>IF(Tableau1[[#This Row],[Nb jours]]&gt;3,PROPER(LEFT(TEXT(Tableau1[[#This Row],[Date de Début]]+3,"jjjj"),2))&amp; "" &amp; PROPER(LEFT(TEXT(Tableau1[[#This Row],[Date de Début]]+4,"jjjj"),2)),"")</f>
        <v/>
      </c>
      <c r="Z24" s="163" t="str">
        <f>IF(Tableau1[[#This Row],[Nb jours]]&gt;4,PROPER(LEFT(TEXT(Tableau1[[#This Row],[Date de Début]]+4,"jjjj"),2))&amp; "" &amp; PROPER(LEFT(TEXT(Tableau1[[#This Row],[Date de Début]]+5,"jjjj"),2)),"")</f>
        <v/>
      </c>
      <c r="AA24" s="164" t="str">
        <f>IF(Tableau1[[#This Row],[Nb jours]]&gt;5,PROPER(LEFT(TEXT(Tableau1[[#This Row],[Date de Début]]+5,"jjjj"),2))&amp; "" &amp; PROPER(LEFT(TEXT(Tableau1[[#This Row],[Date de Début]]+6,"jjjj"),2)),"")</f>
        <v/>
      </c>
      <c r="AB24" s="163">
        <f>Tableau1[[#This Row],[Date de Fin]]-Tableau1[[#This Row],[Date de Début]]</f>
        <v>1</v>
      </c>
      <c r="AC24" s="149" t="str">
        <f>Tableau1[[#This Row],[Nuit 1]]&amp;Tableau1[[#This Row],[Nuit 2]]&amp;Tableau1[[#This Row],[Nuit 3]]&amp;Tableau1[[#This Row],[Nuit 4]]&amp;Tableau1[[#This Row],[Nuit 5]]&amp;Tableau1[[#This Row],[Nuit 6]]</f>
        <v>VeSa</v>
      </c>
      <c r="AD24" s="40" t="s">
        <v>143</v>
      </c>
      <c r="AE24" s="25">
        <f t="shared" si="10"/>
        <v>28</v>
      </c>
      <c r="AF24" s="30">
        <f>Tableau1[[#This Row],[Date de Début]]-AE24</f>
        <v>45653</v>
      </c>
      <c r="AG24" s="41">
        <v>45644</v>
      </c>
      <c r="AH24" s="46">
        <f t="shared" si="11"/>
        <v>21</v>
      </c>
      <c r="AI24" s="46" t="str">
        <f t="shared" si="4"/>
        <v>2024-12-18</v>
      </c>
      <c r="AJ24" s="44" t="s">
        <v>156</v>
      </c>
      <c r="AK24" s="30">
        <f>Tableau1[[#This Row],[Date de Début]]-AH24</f>
        <v>45660</v>
      </c>
      <c r="AL24" s="41">
        <v>45652</v>
      </c>
      <c r="AM24" s="46">
        <f t="shared" si="12"/>
        <v>21</v>
      </c>
      <c r="AN24" s="262" t="str">
        <f>IF(AL24="","",TEXT(Tableau1[[#This Row],[Date de fin de vérification]],"AAAA-MM-JJ"))</f>
        <v>2024-12-26</v>
      </c>
      <c r="AO24" s="48">
        <f>Tableau1[[#This Row],[Date de Début]]-AM24</f>
        <v>45660</v>
      </c>
      <c r="AP24" s="41">
        <v>45652</v>
      </c>
      <c r="AQ24" s="46">
        <f t="shared" si="13"/>
        <v>14</v>
      </c>
      <c r="AR24" s="46" t="str">
        <f t="shared" si="14"/>
        <v>26/12/2024</v>
      </c>
      <c r="AS24" s="48">
        <f>Tableau1[[#This Row],[Date de Début]]-AQ24</f>
        <v>45667</v>
      </c>
      <c r="AT24" s="41">
        <v>45653</v>
      </c>
      <c r="AU24" s="46">
        <f t="shared" si="15"/>
        <v>14</v>
      </c>
      <c r="AV24" s="46" t="str">
        <f t="shared" si="8"/>
        <v>27-12-2024</v>
      </c>
      <c r="AW24" s="48">
        <f>Tableau1[[#This Row],[Date de Début]]-AU24</f>
        <v>45667</v>
      </c>
      <c r="AX24" s="41">
        <v>45673</v>
      </c>
      <c r="AY24" s="270" t="str">
        <f t="shared" si="9"/>
        <v>2025-01-16</v>
      </c>
      <c r="AZ24" s="50">
        <f>IF(Tableau1[[#This Row],[Date limite de fin de rédaction]]&lt;Tableau1[[#This Row],[Date de fin de rédaction]],1,0)</f>
        <v>0</v>
      </c>
      <c r="BA24" s="26">
        <f>IF(Tableau1[[#This Row],[Date limite de fin de vérification]]&lt;Tableau1[[#This Row],[Date de fin de vérification]],1,0)</f>
        <v>0</v>
      </c>
      <c r="BB24" s="26">
        <f>IF(Tableau1[[#This Row],[Date limite d''envoi a  l''exploitation]]&lt;Tableau1[[#This Row],[Date d''envoi à  l''exploitation
(Mettre en copier le demandeur et le rédacteur)]],1,0)</f>
        <v>0</v>
      </c>
      <c r="BC24" s="26">
        <f>IF(Tableau1[[#This Row],[Date limite de réception]]&lt;Tableau1[[#This Row],[Date de réception]],1,0)</f>
        <v>0</v>
      </c>
      <c r="BD24" s="52">
        <f>IF(Tableau1[[#This Row],[Date limite limite de dépose sur la GED]]&lt;Tableau1[[#This Row],[Date de dépose sur la GED]],1,0)</f>
        <v>1</v>
      </c>
      <c r="BE24" s="244"/>
      <c r="BF24" s="243"/>
      <c r="BG24" s="308"/>
      <c r="BH24" s="242"/>
      <c r="BI24" s="297"/>
      <c r="BJ24" s="300"/>
      <c r="BK24" s="242"/>
    </row>
    <row r="25" spans="1:63" x14ac:dyDescent="0.25">
      <c r="A25" s="223">
        <f t="shared" si="16"/>
        <v>16</v>
      </c>
      <c r="B25" s="90" t="s">
        <v>148</v>
      </c>
      <c r="C25" s="90"/>
      <c r="D25" s="54" t="str">
        <f>IF(Tableau1[[#This Row],[Date de Début]]=0,"Saisir date de début","S"&amp; _xlfn.ISOWEEKNUM(R25))</f>
        <v>S4</v>
      </c>
      <c r="E25" s="24" t="s">
        <v>182</v>
      </c>
      <c r="F25" s="39"/>
      <c r="G25" s="159" t="str">
        <f>"xxx-2025-"&amp;Tableau1[[#This Row],[N° de 
Ctx]]&amp;"-"&amp;Tableau1[[#This Row],[N° semaine]]&amp;"-"&amp; Tableau1[[#This Row],[Nature des travaux]]</f>
        <v>xxx-2025-16-S4-Contrat 16</v>
      </c>
      <c r="H25" s="68" t="str">
        <f>IF(Tableau1[[#This Row],[Nature des travaux]]=0,"Saisir nature des travaux",Tableau1[[#This Row],[Colonne1]])&amp;"-"&amp;Tableau1[[#This Row],[Jour]]</f>
        <v>xxx-2025-16-S4-Contrat 16-MeJe</v>
      </c>
      <c r="I25" s="33"/>
      <c r="J25" s="24"/>
      <c r="K25" s="24" t="s">
        <v>79</v>
      </c>
      <c r="L25" s="32"/>
      <c r="M25" s="91">
        <f>COUNTIF(Tableau1[[#This Row],[Secteur 1]:[Secteur 4]],"x")</f>
        <v>1</v>
      </c>
      <c r="N25" s="37" t="s">
        <v>81</v>
      </c>
      <c r="O25" s="144" t="str">
        <f>IF(Tableau1[[#This Row],[Date de Fin]]-Tableau1[[#This Row],[Date de Début]]&gt;1,"X"," ")</f>
        <v xml:space="preserve"> </v>
      </c>
      <c r="P25" s="29"/>
      <c r="Q25" s="39"/>
      <c r="R25" s="132">
        <v>45679</v>
      </c>
      <c r="S25" s="278" t="str">
        <f t="shared" si="0"/>
        <v>2025-01-22</v>
      </c>
      <c r="T25" s="131">
        <v>45680</v>
      </c>
      <c r="U25" s="276" t="str">
        <f t="shared" si="1"/>
        <v>2025-01-23</v>
      </c>
      <c r="V25" s="210" t="str">
        <f>PROPER(LEFT(TEXT(Tableau1[[#This Row],[Date de Début]],"jjjj"),2))&amp; "" &amp; PROPER(LEFT(TEXT(Tableau1[[#This Row],[Date de Début]]+1,"jjjj"),2))</f>
        <v>MeJe</v>
      </c>
      <c r="W25" s="165" t="str">
        <f>IF(Tableau1[[#This Row],[Nb jours]]&gt;1,PROPER(LEFT(TEXT(Tableau1[[#This Row],[Date de Début]]+1,"jjjj"),2))&amp; "" &amp; PROPER(LEFT(TEXT(Tableau1[[#This Row],[Date de Début]]+2,"jjjj"),2)),"")</f>
        <v/>
      </c>
      <c r="X25" s="166" t="str">
        <f>IF(Tableau1[[#This Row],[Nb jours]]&gt;2,PROPER(LEFT(TEXT(Tableau1[[#This Row],[Date de Début]]+2,"jjjj"),2))&amp; "" &amp; PROPER(LEFT(TEXT(Tableau1[[#This Row],[Date de Début]]+3,"jjjj"),2)),"")</f>
        <v/>
      </c>
      <c r="Y25" s="167" t="str">
        <f>IF(Tableau1[[#This Row],[Nb jours]]&gt;3,PROPER(LEFT(TEXT(Tableau1[[#This Row],[Date de Début]]+3,"jjjj"),2))&amp; "" &amp; PROPER(LEFT(TEXT(Tableau1[[#This Row],[Date de Début]]+4,"jjjj"),2)),"")</f>
        <v/>
      </c>
      <c r="Z25" s="166" t="str">
        <f>IF(Tableau1[[#This Row],[Nb jours]]&gt;4,PROPER(LEFT(TEXT(Tableau1[[#This Row],[Date de Début]]+4,"jjjj"),2))&amp; "" &amp; PROPER(LEFT(TEXT(Tableau1[[#This Row],[Date de Début]]+5,"jjjj"),2)),"")</f>
        <v/>
      </c>
      <c r="AA25" s="167" t="str">
        <f>IF(Tableau1[[#This Row],[Nb jours]]&gt;5,PROPER(LEFT(TEXT(Tableau1[[#This Row],[Date de Début]]+5,"jjjj"),2))&amp; "" &amp; PROPER(LEFT(TEXT(Tableau1[[#This Row],[Date de Début]]+6,"jjjj"),2)),"")</f>
        <v/>
      </c>
      <c r="AB25" s="168">
        <f>Tableau1[[#This Row],[Date de Fin]]-Tableau1[[#This Row],[Date de Début]]</f>
        <v>1</v>
      </c>
      <c r="AC25" s="150" t="str">
        <f>Tableau1[[#This Row],[Nuit 1]]&amp;Tableau1[[#This Row],[Nuit 2]]&amp;Tableau1[[#This Row],[Nuit 3]]&amp;Tableau1[[#This Row],[Nuit 4]]&amp;Tableau1[[#This Row],[Nuit 5]]&amp;Tableau1[[#This Row],[Nuit 6]]</f>
        <v>MeJe</v>
      </c>
      <c r="AD25" s="40" t="s">
        <v>155</v>
      </c>
      <c r="AE25" s="25">
        <f t="shared" si="10"/>
        <v>28</v>
      </c>
      <c r="AF25" s="30">
        <f>Tableau1[[#This Row],[Date de Début]]-AE25</f>
        <v>45651</v>
      </c>
      <c r="AG25" s="41">
        <v>45635</v>
      </c>
      <c r="AH25" s="46">
        <f t="shared" si="11"/>
        <v>21</v>
      </c>
      <c r="AI25" s="46" t="str">
        <f t="shared" si="4"/>
        <v>2024-12-09</v>
      </c>
      <c r="AJ25" s="44" t="s">
        <v>156</v>
      </c>
      <c r="AK25" s="30">
        <f>Tableau1[[#This Row],[Date de Début]]-AH25</f>
        <v>45658</v>
      </c>
      <c r="AL25" s="41">
        <v>45656</v>
      </c>
      <c r="AM25" s="46">
        <f t="shared" si="12"/>
        <v>21</v>
      </c>
      <c r="AN25" s="262" t="str">
        <f>IF(AL25="","",TEXT(Tableau1[[#This Row],[Date de fin de vérification]],"AAAA-MM-JJ"))</f>
        <v>2024-12-30</v>
      </c>
      <c r="AO25" s="48">
        <f>Tableau1[[#This Row],[Date de Début]]-AM25</f>
        <v>45658</v>
      </c>
      <c r="AP25" s="41">
        <v>45657</v>
      </c>
      <c r="AQ25" s="46">
        <f t="shared" si="13"/>
        <v>14</v>
      </c>
      <c r="AR25" s="46" t="str">
        <f t="shared" si="14"/>
        <v>31/12/2024</v>
      </c>
      <c r="AS25" s="48">
        <f>Tableau1[[#This Row],[Date de Début]]-AQ25</f>
        <v>45665</v>
      </c>
      <c r="AT25" s="41">
        <v>45657</v>
      </c>
      <c r="AU25" s="46">
        <f t="shared" si="15"/>
        <v>14</v>
      </c>
      <c r="AV25" s="46" t="str">
        <f t="shared" si="8"/>
        <v>31-12-2024</v>
      </c>
      <c r="AW25" s="48">
        <f>Tableau1[[#This Row],[Date de Début]]-AU25</f>
        <v>45665</v>
      </c>
      <c r="AX25" s="41">
        <v>45657</v>
      </c>
      <c r="AY25" s="270" t="str">
        <f t="shared" si="9"/>
        <v>2024-12-31</v>
      </c>
      <c r="AZ25" s="50">
        <f>IF(Tableau1[[#This Row],[Date limite de fin de rédaction]]&lt;Tableau1[[#This Row],[Date de fin de rédaction]],1,0)</f>
        <v>0</v>
      </c>
      <c r="BA25" s="26">
        <f>IF(Tableau1[[#This Row],[Date limite de fin de vérification]]&lt;Tableau1[[#This Row],[Date de fin de vérification]],1,0)</f>
        <v>0</v>
      </c>
      <c r="BB25" s="26">
        <f>IF(Tableau1[[#This Row],[Date limite d''envoi a  l''exploitation]]&lt;Tableau1[[#This Row],[Date d''envoi à  l''exploitation
(Mettre en copier le demandeur et le rédacteur)]],1,0)</f>
        <v>0</v>
      </c>
      <c r="BC25" s="26">
        <f>IF(Tableau1[[#This Row],[Date limite de réception]]&lt;Tableau1[[#This Row],[Date de réception]],1,0)</f>
        <v>0</v>
      </c>
      <c r="BD25" s="52">
        <f>IF(Tableau1[[#This Row],[Date limite limite de dépose sur la GED]]&lt;Tableau1[[#This Row],[Date de dépose sur la GED]],1,0)</f>
        <v>0</v>
      </c>
      <c r="BE25" s="244"/>
      <c r="BF25" s="243"/>
      <c r="BG25" s="309">
        <v>45705</v>
      </c>
      <c r="BH25" s="295"/>
      <c r="BI25" s="297"/>
      <c r="BJ25" s="300"/>
      <c r="BK25" s="242" t="s">
        <v>82</v>
      </c>
    </row>
    <row r="26" spans="1:63" x14ac:dyDescent="0.25">
      <c r="A26" s="223">
        <f t="shared" si="16"/>
        <v>17</v>
      </c>
      <c r="B26" s="90" t="s">
        <v>148</v>
      </c>
      <c r="C26" s="90"/>
      <c r="D26" s="54" t="str">
        <f>IF(Tableau1[[#This Row],[Date de Début]]=0,"Saisir date de début","S"&amp; _xlfn.ISOWEEKNUM(R26))</f>
        <v>S3</v>
      </c>
      <c r="E26" s="24" t="s">
        <v>183</v>
      </c>
      <c r="F26" s="39"/>
      <c r="G26" s="159" t="str">
        <f>"xxx-2025-"&amp;Tableau1[[#This Row],[N° de 
Ctx]]&amp;"-"&amp;Tableau1[[#This Row],[N° semaine]]&amp;"-"&amp; Tableau1[[#This Row],[Nature des travaux]]</f>
        <v>xxx-2025-17-S3-Contrat 17</v>
      </c>
      <c r="H26" s="68" t="str">
        <f>IF(Tableau1[[#This Row],[Nature des travaux]]=0,"Saisir nature des travaux",Tableau1[[#This Row],[Colonne1]])&amp;"-"&amp;Tableau1[[#This Row],[Jour]]</f>
        <v>xxx-2025-17-S3-Contrat 17-MeJe</v>
      </c>
      <c r="I26" s="33"/>
      <c r="J26" s="24"/>
      <c r="K26" s="24" t="s">
        <v>79</v>
      </c>
      <c r="L26" s="32"/>
      <c r="M26" s="91">
        <f>COUNTIF(Tableau1[[#This Row],[Secteur 1]:[Secteur 4]],"x")</f>
        <v>1</v>
      </c>
      <c r="N26" s="37" t="s">
        <v>81</v>
      </c>
      <c r="O26" s="144" t="str">
        <f>IF(Tableau1[[#This Row],[Date de Fin]]-Tableau1[[#This Row],[Date de Début]]&gt;1,"X"," ")</f>
        <v xml:space="preserve"> </v>
      </c>
      <c r="P26" s="29"/>
      <c r="Q26" s="39"/>
      <c r="R26" s="132">
        <v>45672</v>
      </c>
      <c r="S26" s="278" t="str">
        <f t="shared" si="0"/>
        <v>2025-01-15</v>
      </c>
      <c r="T26" s="131">
        <v>45673</v>
      </c>
      <c r="U26" s="276" t="str">
        <f t="shared" si="1"/>
        <v>2025-01-16</v>
      </c>
      <c r="V26" s="210" t="str">
        <f>PROPER(LEFT(TEXT(Tableau1[[#This Row],[Date de Début]],"jjjj"),2))&amp; "" &amp; PROPER(LEFT(TEXT(Tableau1[[#This Row],[Date de Début]]+1,"jjjj"),2))</f>
        <v>MeJe</v>
      </c>
      <c r="W26" s="165" t="str">
        <f>IF(Tableau1[[#This Row],[Nb jours]]&gt;1,PROPER(LEFT(TEXT(Tableau1[[#This Row],[Date de Début]]+1,"jjjj"),2))&amp; "" &amp; PROPER(LEFT(TEXT(Tableau1[[#This Row],[Date de Début]]+2,"jjjj"),2)),"")</f>
        <v/>
      </c>
      <c r="X26" s="166" t="str">
        <f>IF(Tableau1[[#This Row],[Nb jours]]&gt;2,PROPER(LEFT(TEXT(Tableau1[[#This Row],[Date de Début]]+2,"jjjj"),2))&amp; "" &amp; PROPER(LEFT(TEXT(Tableau1[[#This Row],[Date de Début]]+3,"jjjj"),2)),"")</f>
        <v/>
      </c>
      <c r="Y26" s="167" t="str">
        <f>IF(Tableau1[[#This Row],[Nb jours]]&gt;3,PROPER(LEFT(TEXT(Tableau1[[#This Row],[Date de Début]]+3,"jjjj"),2))&amp; "" &amp; PROPER(LEFT(TEXT(Tableau1[[#This Row],[Date de Début]]+4,"jjjj"),2)),"")</f>
        <v/>
      </c>
      <c r="Z26" s="166" t="str">
        <f>IF(Tableau1[[#This Row],[Nb jours]]&gt;4,PROPER(LEFT(TEXT(Tableau1[[#This Row],[Date de Début]]+4,"jjjj"),2))&amp; "" &amp; PROPER(LEFT(TEXT(Tableau1[[#This Row],[Date de Début]]+5,"jjjj"),2)),"")</f>
        <v/>
      </c>
      <c r="AA26" s="167" t="str">
        <f>IF(Tableau1[[#This Row],[Nb jours]]&gt;5,PROPER(LEFT(TEXT(Tableau1[[#This Row],[Date de Début]]+5,"jjjj"),2))&amp; "" &amp; PROPER(LEFT(TEXT(Tableau1[[#This Row],[Date de Début]]+6,"jjjj"),2)),"")</f>
        <v/>
      </c>
      <c r="AB26" s="168">
        <f>Tableau1[[#This Row],[Date de Fin]]-Tableau1[[#This Row],[Date de Début]]</f>
        <v>1</v>
      </c>
      <c r="AC26" s="150" t="str">
        <f>Tableau1[[#This Row],[Nuit 1]]&amp;Tableau1[[#This Row],[Nuit 2]]&amp;Tableau1[[#This Row],[Nuit 3]]&amp;Tableau1[[#This Row],[Nuit 4]]&amp;Tableau1[[#This Row],[Nuit 5]]&amp;Tableau1[[#This Row],[Nuit 6]]</f>
        <v>MeJe</v>
      </c>
      <c r="AD26" s="40" t="s">
        <v>155</v>
      </c>
      <c r="AE26" s="25">
        <f t="shared" si="10"/>
        <v>28</v>
      </c>
      <c r="AF26" s="30">
        <f>Tableau1[[#This Row],[Date de Début]]-AE26</f>
        <v>45644</v>
      </c>
      <c r="AG26" s="41">
        <v>45635</v>
      </c>
      <c r="AH26" s="46">
        <f t="shared" si="11"/>
        <v>21</v>
      </c>
      <c r="AI26" s="46" t="str">
        <f t="shared" si="4"/>
        <v>2024-12-09</v>
      </c>
      <c r="AJ26" s="44" t="s">
        <v>158</v>
      </c>
      <c r="AK26" s="30">
        <f>Tableau1[[#This Row],[Date de Début]]-AH26</f>
        <v>45651</v>
      </c>
      <c r="AL26" s="41">
        <v>45653</v>
      </c>
      <c r="AM26" s="46">
        <f t="shared" si="12"/>
        <v>21</v>
      </c>
      <c r="AN26" s="262" t="str">
        <f>IF(AL26="","",TEXT(Tableau1[[#This Row],[Date de fin de vérification]],"AAAA-MM-JJ"))</f>
        <v>2024-12-27</v>
      </c>
      <c r="AO26" s="48">
        <f>Tableau1[[#This Row],[Date de Début]]-AM26</f>
        <v>45651</v>
      </c>
      <c r="AP26" s="41">
        <v>45653</v>
      </c>
      <c r="AQ26" s="46">
        <f t="shared" si="13"/>
        <v>14</v>
      </c>
      <c r="AR26" s="46" t="str">
        <f t="shared" si="14"/>
        <v>27/12/2024</v>
      </c>
      <c r="AS26" s="48">
        <f>Tableau1[[#This Row],[Date de Début]]-AQ26</f>
        <v>45658</v>
      </c>
      <c r="AT26" s="41">
        <v>45656</v>
      </c>
      <c r="AU26" s="46">
        <f t="shared" si="15"/>
        <v>14</v>
      </c>
      <c r="AV26" s="46" t="str">
        <f t="shared" si="8"/>
        <v>30-12-2024</v>
      </c>
      <c r="AW26" s="48">
        <f>Tableau1[[#This Row],[Date de Début]]-AU26</f>
        <v>45658</v>
      </c>
      <c r="AX26" s="41">
        <v>45656</v>
      </c>
      <c r="AY26" s="270" t="str">
        <f t="shared" si="9"/>
        <v>2024-12-30</v>
      </c>
      <c r="AZ26" s="50">
        <f>IF(Tableau1[[#This Row],[Date limite de fin de rédaction]]&lt;Tableau1[[#This Row],[Date de fin de rédaction]],1,0)</f>
        <v>0</v>
      </c>
      <c r="BA26" s="26">
        <f>IF(Tableau1[[#This Row],[Date limite de fin de vérification]]&lt;Tableau1[[#This Row],[Date de fin de vérification]],1,0)</f>
        <v>1</v>
      </c>
      <c r="BB26" s="26">
        <f>IF(Tableau1[[#This Row],[Date limite d''envoi a  l''exploitation]]&lt;Tableau1[[#This Row],[Date d''envoi à  l''exploitation
(Mettre en copier le demandeur et le rédacteur)]],1,0)</f>
        <v>1</v>
      </c>
      <c r="BC26" s="26">
        <f>IF(Tableau1[[#This Row],[Date limite de réception]]&lt;Tableau1[[#This Row],[Date de réception]],1,0)</f>
        <v>0</v>
      </c>
      <c r="BD26" s="52">
        <f>IF(Tableau1[[#This Row],[Date limite limite de dépose sur la GED]]&lt;Tableau1[[#This Row],[Date de dépose sur la GED]],1,0)</f>
        <v>0</v>
      </c>
      <c r="BE26" s="244"/>
      <c r="BF26" s="243"/>
      <c r="BG26" s="309">
        <v>45705</v>
      </c>
      <c r="BH26" s="295"/>
      <c r="BI26" s="297"/>
      <c r="BJ26" s="300"/>
      <c r="BK26" s="242" t="s">
        <v>82</v>
      </c>
    </row>
    <row r="27" spans="1:63" x14ac:dyDescent="0.25">
      <c r="A27" s="223">
        <f t="shared" si="16"/>
        <v>18</v>
      </c>
      <c r="B27" s="90" t="s">
        <v>148</v>
      </c>
      <c r="C27" s="90"/>
      <c r="D27" s="54" t="str">
        <f>IF(Tableau1[[#This Row],[Date de Début]]=0,"Saisir date de début","S"&amp; _xlfn.ISOWEEKNUM(R27))</f>
        <v>S3</v>
      </c>
      <c r="E27" s="24" t="s">
        <v>184</v>
      </c>
      <c r="F27" s="39"/>
      <c r="G27" s="159" t="str">
        <f>"xxx-2025-"&amp;Tableau1[[#This Row],[N° de 
Ctx]]&amp;"-"&amp;Tableau1[[#This Row],[N° semaine]]&amp;"-"&amp; Tableau1[[#This Row],[Nature des travaux]]</f>
        <v>xxx-2025-18-S3-Contrat 18</v>
      </c>
      <c r="H27" s="68" t="str">
        <f>IF(Tableau1[[#This Row],[Nature des travaux]]=0,"Saisir nature des travaux",Tableau1[[#This Row],[Colonne1]])&amp;"-"&amp;Tableau1[[#This Row],[Jour]]</f>
        <v>xxx-2025-18-S3-Contrat 18-JeVe</v>
      </c>
      <c r="I27" s="33"/>
      <c r="J27" s="24"/>
      <c r="K27" s="24" t="s">
        <v>79</v>
      </c>
      <c r="L27" s="32"/>
      <c r="M27" s="91">
        <f>COUNTIF(Tableau1[[#This Row],[Secteur 1]:[Secteur 4]],"x")</f>
        <v>1</v>
      </c>
      <c r="N27" s="37" t="s">
        <v>81</v>
      </c>
      <c r="O27" s="144" t="str">
        <f>IF(Tableau1[[#This Row],[Date de Fin]]-Tableau1[[#This Row],[Date de Début]]&gt;1,"X"," ")</f>
        <v xml:space="preserve"> </v>
      </c>
      <c r="P27" s="29"/>
      <c r="Q27" s="39"/>
      <c r="R27" s="132">
        <v>45673</v>
      </c>
      <c r="S27" s="278" t="str">
        <f t="shared" si="0"/>
        <v>2025-01-16</v>
      </c>
      <c r="T27" s="131">
        <v>45674</v>
      </c>
      <c r="U27" s="276" t="str">
        <f t="shared" si="1"/>
        <v>2025-01-17</v>
      </c>
      <c r="V27" s="210" t="str">
        <f>PROPER(LEFT(TEXT(Tableau1[[#This Row],[Date de Début]],"jjjj"),2))&amp; "" &amp; PROPER(LEFT(TEXT(Tableau1[[#This Row],[Date de Début]]+1,"jjjj"),2))</f>
        <v>JeVe</v>
      </c>
      <c r="W27" s="165" t="str">
        <f>IF(Tableau1[[#This Row],[Nb jours]]&gt;1,PROPER(LEFT(TEXT(Tableau1[[#This Row],[Date de Début]]+1,"jjjj"),2))&amp; "" &amp; PROPER(LEFT(TEXT(Tableau1[[#This Row],[Date de Début]]+2,"jjjj"),2)),"")</f>
        <v/>
      </c>
      <c r="X27" s="166" t="str">
        <f>IF(Tableau1[[#This Row],[Nb jours]]&gt;2,PROPER(LEFT(TEXT(Tableau1[[#This Row],[Date de Début]]+2,"jjjj"),2))&amp; "" &amp; PROPER(LEFT(TEXT(Tableau1[[#This Row],[Date de Début]]+3,"jjjj"),2)),"")</f>
        <v/>
      </c>
      <c r="Y27" s="167" t="str">
        <f>IF(Tableau1[[#This Row],[Nb jours]]&gt;3,PROPER(LEFT(TEXT(Tableau1[[#This Row],[Date de Début]]+3,"jjjj"),2))&amp; "" &amp; PROPER(LEFT(TEXT(Tableau1[[#This Row],[Date de Début]]+4,"jjjj"),2)),"")</f>
        <v/>
      </c>
      <c r="Z27" s="166" t="str">
        <f>IF(Tableau1[[#This Row],[Nb jours]]&gt;4,PROPER(LEFT(TEXT(Tableau1[[#This Row],[Date de Début]]+4,"jjjj"),2))&amp; "" &amp; PROPER(LEFT(TEXT(Tableau1[[#This Row],[Date de Début]]+5,"jjjj"),2)),"")</f>
        <v/>
      </c>
      <c r="AA27" s="167" t="str">
        <f>IF(Tableau1[[#This Row],[Nb jours]]&gt;5,PROPER(LEFT(TEXT(Tableau1[[#This Row],[Date de Début]]+5,"jjjj"),2))&amp; "" &amp; PROPER(LEFT(TEXT(Tableau1[[#This Row],[Date de Début]]+6,"jjjj"),2)),"")</f>
        <v/>
      </c>
      <c r="AB27" s="168">
        <f>Tableau1[[#This Row],[Date de Fin]]-Tableau1[[#This Row],[Date de Début]]</f>
        <v>1</v>
      </c>
      <c r="AC27" s="150" t="str">
        <f>Tableau1[[#This Row],[Nuit 1]]&amp;Tableau1[[#This Row],[Nuit 2]]&amp;Tableau1[[#This Row],[Nuit 3]]&amp;Tableau1[[#This Row],[Nuit 4]]&amp;Tableau1[[#This Row],[Nuit 5]]&amp;Tableau1[[#This Row],[Nuit 6]]</f>
        <v>JeVe</v>
      </c>
      <c r="AD27" s="40" t="s">
        <v>155</v>
      </c>
      <c r="AE27" s="25">
        <f t="shared" si="10"/>
        <v>28</v>
      </c>
      <c r="AF27" s="30">
        <f>Tableau1[[#This Row],[Date de Début]]-AE27</f>
        <v>45645</v>
      </c>
      <c r="AG27" s="41">
        <v>45635</v>
      </c>
      <c r="AH27" s="46">
        <f t="shared" si="11"/>
        <v>21</v>
      </c>
      <c r="AI27" s="46" t="str">
        <f t="shared" si="4"/>
        <v>2024-12-09</v>
      </c>
      <c r="AJ27" s="44" t="s">
        <v>158</v>
      </c>
      <c r="AK27" s="30">
        <f>Tableau1[[#This Row],[Date de Début]]-AH27</f>
        <v>45652</v>
      </c>
      <c r="AL27" s="41">
        <v>45653</v>
      </c>
      <c r="AM27" s="46">
        <f t="shared" si="12"/>
        <v>21</v>
      </c>
      <c r="AN27" s="262" t="str">
        <f>IF(AL27="","",TEXT(Tableau1[[#This Row],[Date de fin de vérification]],"AAAA-MM-JJ"))</f>
        <v>2024-12-27</v>
      </c>
      <c r="AO27" s="48">
        <f>Tableau1[[#This Row],[Date de Début]]-AM27</f>
        <v>45652</v>
      </c>
      <c r="AP27" s="41">
        <v>45653</v>
      </c>
      <c r="AQ27" s="46">
        <f t="shared" si="13"/>
        <v>14</v>
      </c>
      <c r="AR27" s="46" t="str">
        <f t="shared" si="14"/>
        <v>27/12/2024</v>
      </c>
      <c r="AS27" s="48">
        <f>Tableau1[[#This Row],[Date de Début]]-AQ27</f>
        <v>45659</v>
      </c>
      <c r="AT27" s="41">
        <v>45656</v>
      </c>
      <c r="AU27" s="46">
        <f t="shared" si="15"/>
        <v>14</v>
      </c>
      <c r="AV27" s="46" t="str">
        <f t="shared" si="8"/>
        <v>30-12-2024</v>
      </c>
      <c r="AW27" s="48">
        <f>Tableau1[[#This Row],[Date de Début]]-AU27</f>
        <v>45659</v>
      </c>
      <c r="AX27" s="41">
        <v>45656</v>
      </c>
      <c r="AY27" s="270" t="str">
        <f t="shared" si="9"/>
        <v>2024-12-30</v>
      </c>
      <c r="AZ27" s="50">
        <f>IF(Tableau1[[#This Row],[Date limite de fin de rédaction]]&lt;Tableau1[[#This Row],[Date de fin de rédaction]],1,0)</f>
        <v>0</v>
      </c>
      <c r="BA27" s="26">
        <f>IF(Tableau1[[#This Row],[Date limite de fin de vérification]]&lt;Tableau1[[#This Row],[Date de fin de vérification]],1,0)</f>
        <v>1</v>
      </c>
      <c r="BB27" s="26">
        <f>IF(Tableau1[[#This Row],[Date limite d''envoi a  l''exploitation]]&lt;Tableau1[[#This Row],[Date d''envoi à  l''exploitation
(Mettre en copier le demandeur et le rédacteur)]],1,0)</f>
        <v>1</v>
      </c>
      <c r="BC27" s="26">
        <f>IF(Tableau1[[#This Row],[Date limite de réception]]&lt;Tableau1[[#This Row],[Date de réception]],1,0)</f>
        <v>0</v>
      </c>
      <c r="BD27" s="52">
        <f>IF(Tableau1[[#This Row],[Date limite limite de dépose sur la GED]]&lt;Tableau1[[#This Row],[Date de dépose sur la GED]],1,0)</f>
        <v>0</v>
      </c>
      <c r="BE27" s="244"/>
      <c r="BF27" s="243"/>
      <c r="BG27" s="309">
        <v>45705</v>
      </c>
      <c r="BH27" s="295"/>
      <c r="BI27" s="297"/>
      <c r="BJ27" s="300"/>
      <c r="BK27" s="242" t="s">
        <v>82</v>
      </c>
    </row>
    <row r="28" spans="1:63" x14ac:dyDescent="0.25">
      <c r="A28" s="223">
        <f t="shared" si="16"/>
        <v>19</v>
      </c>
      <c r="B28" s="90" t="s">
        <v>148</v>
      </c>
      <c r="C28" s="90"/>
      <c r="D28" s="54" t="str">
        <f>IF(Tableau1[[#This Row],[Date de Début]]=0,"Saisir date de début","S"&amp; _xlfn.ISOWEEKNUM(R28))</f>
        <v>S6</v>
      </c>
      <c r="E28" s="24" t="s">
        <v>185</v>
      </c>
      <c r="F28" s="39"/>
      <c r="G28" s="159" t="str">
        <f>"xxx-2025-"&amp;Tableau1[[#This Row],[N° de 
Ctx]]&amp;"-"&amp;Tableau1[[#This Row],[N° semaine]]&amp;"-"&amp; Tableau1[[#This Row],[Nature des travaux]]</f>
        <v>xxx-2025-19-S6-Contrat 19</v>
      </c>
      <c r="H28" s="68" t="str">
        <f>IF(Tableau1[[#This Row],[Nature des travaux]]=0,"Saisir nature des travaux",Tableau1[[#This Row],[Colonne1]])&amp;"-"&amp;Tableau1[[#This Row],[Jour]]</f>
        <v>xxx-2025-19-S6-Contrat 19-LuMa</v>
      </c>
      <c r="I28" s="33"/>
      <c r="J28" s="24"/>
      <c r="K28" s="24" t="s">
        <v>79</v>
      </c>
      <c r="L28" s="32"/>
      <c r="M28" s="91">
        <f>COUNTIF(Tableau1[[#This Row],[Secteur 1]:[Secteur 4]],"x")</f>
        <v>1</v>
      </c>
      <c r="N28" s="37" t="s">
        <v>81</v>
      </c>
      <c r="O28" s="144" t="str">
        <f>IF(Tableau1[[#This Row],[Date de Fin]]-Tableau1[[#This Row],[Date de Début]]&gt;1,"X"," ")</f>
        <v xml:space="preserve"> </v>
      </c>
      <c r="P28" s="29"/>
      <c r="Q28" s="39"/>
      <c r="R28" s="132">
        <v>45691</v>
      </c>
      <c r="S28" s="278" t="str">
        <f t="shared" si="0"/>
        <v>2025-02-03</v>
      </c>
      <c r="T28" s="131">
        <v>45692</v>
      </c>
      <c r="U28" s="276" t="str">
        <f t="shared" si="1"/>
        <v>2025-02-04</v>
      </c>
      <c r="V28" s="210" t="str">
        <f>PROPER(LEFT(TEXT(Tableau1[[#This Row],[Date de Début]],"jjjj"),2))&amp; "" &amp; PROPER(LEFT(TEXT(Tableau1[[#This Row],[Date de Début]]+1,"jjjj"),2))</f>
        <v>LuMa</v>
      </c>
      <c r="W28" s="165" t="str">
        <f>IF(Tableau1[[#This Row],[Nb jours]]&gt;1,PROPER(LEFT(TEXT(Tableau1[[#This Row],[Date de Début]]+1,"jjjj"),2))&amp; "" &amp; PROPER(LEFT(TEXT(Tableau1[[#This Row],[Date de Début]]+2,"jjjj"),2)),"")</f>
        <v/>
      </c>
      <c r="X28" s="166" t="str">
        <f>IF(Tableau1[[#This Row],[Nb jours]]&gt;2,PROPER(LEFT(TEXT(Tableau1[[#This Row],[Date de Début]]+2,"jjjj"),2))&amp; "" &amp; PROPER(LEFT(TEXT(Tableau1[[#This Row],[Date de Début]]+3,"jjjj"),2)),"")</f>
        <v/>
      </c>
      <c r="Y28" s="167" t="str">
        <f>IF(Tableau1[[#This Row],[Nb jours]]&gt;3,PROPER(LEFT(TEXT(Tableau1[[#This Row],[Date de Début]]+3,"jjjj"),2))&amp; "" &amp; PROPER(LEFT(TEXT(Tableau1[[#This Row],[Date de Début]]+4,"jjjj"),2)),"")</f>
        <v/>
      </c>
      <c r="Z28" s="166" t="str">
        <f>IF(Tableau1[[#This Row],[Nb jours]]&gt;4,PROPER(LEFT(TEXT(Tableau1[[#This Row],[Date de Début]]+4,"jjjj"),2))&amp; "" &amp; PROPER(LEFT(TEXT(Tableau1[[#This Row],[Date de Début]]+5,"jjjj"),2)),"")</f>
        <v/>
      </c>
      <c r="AA28" s="167" t="str">
        <f>IF(Tableau1[[#This Row],[Nb jours]]&gt;5,PROPER(LEFT(TEXT(Tableau1[[#This Row],[Date de Début]]+5,"jjjj"),2))&amp; "" &amp; PROPER(LEFT(TEXT(Tableau1[[#This Row],[Date de Début]]+6,"jjjj"),2)),"")</f>
        <v/>
      </c>
      <c r="AB28" s="168">
        <f>Tableau1[[#This Row],[Date de Fin]]-Tableau1[[#This Row],[Date de Début]]</f>
        <v>1</v>
      </c>
      <c r="AC28" s="150" t="str">
        <f>Tableau1[[#This Row],[Nuit 1]]&amp;Tableau1[[#This Row],[Nuit 2]]&amp;Tableau1[[#This Row],[Nuit 3]]&amp;Tableau1[[#This Row],[Nuit 4]]&amp;Tableau1[[#This Row],[Nuit 5]]&amp;Tableau1[[#This Row],[Nuit 6]]</f>
        <v>LuMa</v>
      </c>
      <c r="AD28" s="40" t="s">
        <v>155</v>
      </c>
      <c r="AE28" s="25">
        <f t="shared" si="10"/>
        <v>28</v>
      </c>
      <c r="AF28" s="30">
        <f>Tableau1[[#This Row],[Date de Début]]-AE28</f>
        <v>45663</v>
      </c>
      <c r="AG28" s="41">
        <v>45635</v>
      </c>
      <c r="AH28" s="46">
        <f t="shared" si="11"/>
        <v>21</v>
      </c>
      <c r="AI28" s="46" t="str">
        <f t="shared" si="4"/>
        <v>2024-12-09</v>
      </c>
      <c r="AJ28" s="44" t="s">
        <v>156</v>
      </c>
      <c r="AK28" s="30">
        <f>Tableau1[[#This Row],[Date de Début]]-AH28</f>
        <v>45670</v>
      </c>
      <c r="AL28" s="41">
        <v>45656</v>
      </c>
      <c r="AM28" s="46">
        <f t="shared" si="12"/>
        <v>21</v>
      </c>
      <c r="AN28" s="262" t="str">
        <f>IF(AL28="","",TEXT(Tableau1[[#This Row],[Date de fin de vérification]],"AAAA-MM-JJ"))</f>
        <v>2024-12-30</v>
      </c>
      <c r="AO28" s="48">
        <f>Tableau1[[#This Row],[Date de Début]]-AM28</f>
        <v>45670</v>
      </c>
      <c r="AP28" s="43">
        <v>45657</v>
      </c>
      <c r="AQ28" s="46">
        <f t="shared" si="13"/>
        <v>14</v>
      </c>
      <c r="AR28" s="46" t="str">
        <f t="shared" si="14"/>
        <v>31/12/2024</v>
      </c>
      <c r="AS28" s="48">
        <f>Tableau1[[#This Row],[Date de Début]]-AQ28</f>
        <v>45677</v>
      </c>
      <c r="AT28" s="43">
        <v>45657</v>
      </c>
      <c r="AU28" s="46">
        <f t="shared" si="15"/>
        <v>14</v>
      </c>
      <c r="AV28" s="46" t="str">
        <f t="shared" si="8"/>
        <v>31-12-2024</v>
      </c>
      <c r="AW28" s="48">
        <f>Tableau1[[#This Row],[Date de Début]]-AU28</f>
        <v>45677</v>
      </c>
      <c r="AX28" s="41">
        <v>45657</v>
      </c>
      <c r="AY28" s="270" t="str">
        <f t="shared" si="9"/>
        <v>2024-12-31</v>
      </c>
      <c r="AZ28" s="50">
        <f>IF(Tableau1[[#This Row],[Date limite de fin de rédaction]]&lt;Tableau1[[#This Row],[Date de fin de rédaction]],1,0)</f>
        <v>0</v>
      </c>
      <c r="BA28" s="26">
        <f>IF(Tableau1[[#This Row],[Date limite de fin de vérification]]&lt;Tableau1[[#This Row],[Date de fin de vérification]],1,0)</f>
        <v>0</v>
      </c>
      <c r="BB28" s="26">
        <f>IF(Tableau1[[#This Row],[Date limite d''envoi a  l''exploitation]]&lt;Tableau1[[#This Row],[Date d''envoi à  l''exploitation
(Mettre en copier le demandeur et le rédacteur)]],1,0)</f>
        <v>0</v>
      </c>
      <c r="BC28" s="26">
        <f>IF(Tableau1[[#This Row],[Date limite de réception]]&lt;Tableau1[[#This Row],[Date de réception]],1,0)</f>
        <v>0</v>
      </c>
      <c r="BD28" s="52">
        <f>IF(Tableau1[[#This Row],[Date limite limite de dépose sur la GED]]&lt;Tableau1[[#This Row],[Date de dépose sur la GED]],1,0)</f>
        <v>0</v>
      </c>
      <c r="BE28" s="244"/>
      <c r="BF28" s="243"/>
      <c r="BG28" s="309">
        <v>45705</v>
      </c>
      <c r="BH28" s="295"/>
      <c r="BI28" s="297"/>
      <c r="BJ28" s="300"/>
      <c r="BK28" s="242" t="s">
        <v>82</v>
      </c>
    </row>
    <row r="29" spans="1:63" x14ac:dyDescent="0.25">
      <c r="A29" s="223">
        <f t="shared" si="16"/>
        <v>20</v>
      </c>
      <c r="B29" s="90" t="s">
        <v>148</v>
      </c>
      <c r="C29" s="90"/>
      <c r="D29" s="54" t="str">
        <f>IF(Tableau1[[#This Row],[Date de Début]]=0,"Saisir date de début","S"&amp; _xlfn.ISOWEEKNUM(R29))</f>
        <v>S3</v>
      </c>
      <c r="E29" s="24" t="s">
        <v>186</v>
      </c>
      <c r="F29" s="39"/>
      <c r="G29" s="159" t="str">
        <f>"xxx-2025-"&amp;Tableau1[[#This Row],[N° de 
Ctx]]&amp;"-"&amp;Tableau1[[#This Row],[N° semaine]]&amp;"-"&amp; Tableau1[[#This Row],[Nature des travaux]]</f>
        <v>xxx-2025-20-S3-Contrat 20</v>
      </c>
      <c r="H29" s="68" t="str">
        <f>IF(Tableau1[[#This Row],[Nature des travaux]]=0,"Saisir nature des travaux",Tableau1[[#This Row],[Colonne1]])&amp;"-"&amp;Tableau1[[#This Row],[Jour]]</f>
        <v>xxx-2025-20-S3-Contrat 20-MaMe</v>
      </c>
      <c r="I29" s="33"/>
      <c r="J29" s="24"/>
      <c r="K29" s="24" t="s">
        <v>79</v>
      </c>
      <c r="L29" s="32"/>
      <c r="M29" s="91">
        <f>COUNTIF(Tableau1[[#This Row],[Secteur 1]:[Secteur 4]],"x")</f>
        <v>1</v>
      </c>
      <c r="N29" s="37" t="s">
        <v>81</v>
      </c>
      <c r="O29" s="144" t="str">
        <f>IF(Tableau1[[#This Row],[Date de Fin]]-Tableau1[[#This Row],[Date de Début]]&gt;1,"X"," ")</f>
        <v xml:space="preserve"> </v>
      </c>
      <c r="P29" s="29"/>
      <c r="Q29" s="39"/>
      <c r="R29" s="132">
        <v>45671</v>
      </c>
      <c r="S29" s="278" t="str">
        <f t="shared" si="0"/>
        <v>2025-01-14</v>
      </c>
      <c r="T29" s="131">
        <v>45672</v>
      </c>
      <c r="U29" s="276" t="str">
        <f t="shared" si="1"/>
        <v>2025-01-15</v>
      </c>
      <c r="V29" s="210" t="str">
        <f>PROPER(LEFT(TEXT(Tableau1[[#This Row],[Date de Début]],"jjjj"),2))&amp; "" &amp; PROPER(LEFT(TEXT(Tableau1[[#This Row],[Date de Début]]+1,"jjjj"),2))</f>
        <v>MaMe</v>
      </c>
      <c r="W29" s="165" t="str">
        <f>IF(Tableau1[[#This Row],[Nb jours]]&gt;1,PROPER(LEFT(TEXT(Tableau1[[#This Row],[Date de Début]]+1,"jjjj"),2))&amp; "" &amp; PROPER(LEFT(TEXT(Tableau1[[#This Row],[Date de Début]]+2,"jjjj"),2)),"")</f>
        <v/>
      </c>
      <c r="X29" s="166" t="str">
        <f>IF(Tableau1[[#This Row],[Nb jours]]&gt;2,PROPER(LEFT(TEXT(Tableau1[[#This Row],[Date de Début]]+2,"jjjj"),2))&amp; "" &amp; PROPER(LEFT(TEXT(Tableau1[[#This Row],[Date de Début]]+3,"jjjj"),2)),"")</f>
        <v/>
      </c>
      <c r="Y29" s="167" t="str">
        <f>IF(Tableau1[[#This Row],[Nb jours]]&gt;3,PROPER(LEFT(TEXT(Tableau1[[#This Row],[Date de Début]]+3,"jjjj"),2))&amp; "" &amp; PROPER(LEFT(TEXT(Tableau1[[#This Row],[Date de Début]]+4,"jjjj"),2)),"")</f>
        <v/>
      </c>
      <c r="Z29" s="166" t="str">
        <f>IF(Tableau1[[#This Row],[Nb jours]]&gt;4,PROPER(LEFT(TEXT(Tableau1[[#This Row],[Date de Début]]+4,"jjjj"),2))&amp; "" &amp; PROPER(LEFT(TEXT(Tableau1[[#This Row],[Date de Début]]+5,"jjjj"),2)),"")</f>
        <v/>
      </c>
      <c r="AA29" s="167" t="str">
        <f>IF(Tableau1[[#This Row],[Nb jours]]&gt;5,PROPER(LEFT(TEXT(Tableau1[[#This Row],[Date de Début]]+5,"jjjj"),2))&amp; "" &amp; PROPER(LEFT(TEXT(Tableau1[[#This Row],[Date de Début]]+6,"jjjj"),2)),"")</f>
        <v/>
      </c>
      <c r="AB29" s="168">
        <f>Tableau1[[#This Row],[Date de Fin]]-Tableau1[[#This Row],[Date de Début]]</f>
        <v>1</v>
      </c>
      <c r="AC29" s="150" t="str">
        <f>Tableau1[[#This Row],[Nuit 1]]&amp;Tableau1[[#This Row],[Nuit 2]]&amp;Tableau1[[#This Row],[Nuit 3]]&amp;Tableau1[[#This Row],[Nuit 4]]&amp;Tableau1[[#This Row],[Nuit 5]]&amp;Tableau1[[#This Row],[Nuit 6]]</f>
        <v>MaMe</v>
      </c>
      <c r="AD29" s="40" t="s">
        <v>155</v>
      </c>
      <c r="AE29" s="25">
        <f t="shared" si="10"/>
        <v>28</v>
      </c>
      <c r="AF29" s="30">
        <f>Tableau1[[#This Row],[Date de Début]]-AE29</f>
        <v>45643</v>
      </c>
      <c r="AG29" s="41">
        <v>45635</v>
      </c>
      <c r="AH29" s="46">
        <f t="shared" si="11"/>
        <v>21</v>
      </c>
      <c r="AI29" s="46" t="str">
        <f t="shared" si="4"/>
        <v>2024-12-09</v>
      </c>
      <c r="AJ29" s="44" t="s">
        <v>158</v>
      </c>
      <c r="AK29" s="30">
        <f>Tableau1[[#This Row],[Date de Début]]-AH29</f>
        <v>45650</v>
      </c>
      <c r="AL29" s="41">
        <v>45653</v>
      </c>
      <c r="AM29" s="46">
        <f t="shared" si="12"/>
        <v>21</v>
      </c>
      <c r="AN29" s="262" t="str">
        <f>IF(AL29="","",TEXT(Tableau1[[#This Row],[Date de fin de vérification]],"AAAA-MM-JJ"))</f>
        <v>2024-12-27</v>
      </c>
      <c r="AO29" s="48">
        <f>Tableau1[[#This Row],[Date de Début]]-AM29</f>
        <v>45650</v>
      </c>
      <c r="AP29" s="41">
        <v>45653</v>
      </c>
      <c r="AQ29" s="46">
        <f t="shared" si="13"/>
        <v>14</v>
      </c>
      <c r="AR29" s="46" t="str">
        <f t="shared" si="14"/>
        <v>27/12/2024</v>
      </c>
      <c r="AS29" s="48">
        <f>Tableau1[[#This Row],[Date de Début]]-AQ29</f>
        <v>45657</v>
      </c>
      <c r="AT29" s="41">
        <v>45656</v>
      </c>
      <c r="AU29" s="46">
        <f t="shared" si="15"/>
        <v>14</v>
      </c>
      <c r="AV29" s="46" t="str">
        <f t="shared" si="8"/>
        <v>30-12-2024</v>
      </c>
      <c r="AW29" s="48">
        <f>Tableau1[[#This Row],[Date de Début]]-AU29</f>
        <v>45657</v>
      </c>
      <c r="AX29" s="41">
        <v>45656</v>
      </c>
      <c r="AY29" s="270" t="str">
        <f t="shared" si="9"/>
        <v>2024-12-30</v>
      </c>
      <c r="AZ29" s="50">
        <f>IF(Tableau1[[#This Row],[Date limite de fin de rédaction]]&lt;Tableau1[[#This Row],[Date de fin de rédaction]],1,0)</f>
        <v>0</v>
      </c>
      <c r="BA29" s="26">
        <f>IF(Tableau1[[#This Row],[Date limite de fin de vérification]]&lt;Tableau1[[#This Row],[Date de fin de vérification]],1,0)</f>
        <v>1</v>
      </c>
      <c r="BB29" s="26">
        <f>IF(Tableau1[[#This Row],[Date limite d''envoi a  l''exploitation]]&lt;Tableau1[[#This Row],[Date d''envoi à  l''exploitation
(Mettre en copier le demandeur et le rédacteur)]],1,0)</f>
        <v>1</v>
      </c>
      <c r="BC29" s="26">
        <f>IF(Tableau1[[#This Row],[Date limite de réception]]&lt;Tableau1[[#This Row],[Date de réception]],1,0)</f>
        <v>0</v>
      </c>
      <c r="BD29" s="52">
        <f>IF(Tableau1[[#This Row],[Date limite limite de dépose sur la GED]]&lt;Tableau1[[#This Row],[Date de dépose sur la GED]],1,0)</f>
        <v>0</v>
      </c>
      <c r="BE29" s="244"/>
      <c r="BF29" s="243"/>
      <c r="BG29" s="309">
        <v>45705</v>
      </c>
      <c r="BH29" s="295"/>
      <c r="BI29" s="297"/>
      <c r="BJ29" s="300"/>
      <c r="BK29" s="242" t="s">
        <v>82</v>
      </c>
    </row>
    <row r="30" spans="1:63" x14ac:dyDescent="0.25">
      <c r="A30" s="223">
        <f t="shared" si="16"/>
        <v>21</v>
      </c>
      <c r="B30" s="90" t="s">
        <v>148</v>
      </c>
      <c r="C30" s="90"/>
      <c r="D30" s="54" t="str">
        <f>IF(Tableau1[[#This Row],[Date de Début]]=0,"Saisir date de début","S"&amp; _xlfn.ISOWEEKNUM(R30))</f>
        <v>S3</v>
      </c>
      <c r="E30" s="24" t="s">
        <v>187</v>
      </c>
      <c r="F30" s="39"/>
      <c r="G30" s="159" t="str">
        <f>"xxx-2025-"&amp;Tableau1[[#This Row],[N° de 
Ctx]]&amp;"-"&amp;Tableau1[[#This Row],[N° semaine]]&amp;"-"&amp; Tableau1[[#This Row],[Nature des travaux]]</f>
        <v>xxx-2025-21-S3-Contrat 21</v>
      </c>
      <c r="H30" s="68" t="str">
        <f>IF(Tableau1[[#This Row],[Nature des travaux]]=0,"Saisir nature des travaux",Tableau1[[#This Row],[Colonne1]])&amp;"-"&amp;Tableau1[[#This Row],[Jour]]</f>
        <v>xxx-2025-21-S3-Contrat 21-LuMa</v>
      </c>
      <c r="I30" s="33"/>
      <c r="J30" s="24"/>
      <c r="K30" s="24" t="s">
        <v>79</v>
      </c>
      <c r="L30" s="32"/>
      <c r="M30" s="91">
        <f>COUNTIF(Tableau1[[#This Row],[Secteur 1]:[Secteur 4]],"x")</f>
        <v>1</v>
      </c>
      <c r="N30" s="37" t="s">
        <v>81</v>
      </c>
      <c r="O30" s="144" t="str">
        <f>IF(Tableau1[[#This Row],[Date de Fin]]-Tableau1[[#This Row],[Date de Début]]&gt;1,"X"," ")</f>
        <v xml:space="preserve"> </v>
      </c>
      <c r="P30" s="29"/>
      <c r="Q30" s="39"/>
      <c r="R30" s="132">
        <v>45670</v>
      </c>
      <c r="S30" s="278" t="str">
        <f t="shared" si="0"/>
        <v>2025-01-13</v>
      </c>
      <c r="T30" s="131">
        <v>45671</v>
      </c>
      <c r="U30" s="276" t="str">
        <f t="shared" si="1"/>
        <v>2025-01-14</v>
      </c>
      <c r="V30" s="210" t="str">
        <f>PROPER(LEFT(TEXT(Tableau1[[#This Row],[Date de Début]],"jjjj"),2))&amp; "" &amp; PROPER(LEFT(TEXT(Tableau1[[#This Row],[Date de Début]]+1,"jjjj"),2))</f>
        <v>LuMa</v>
      </c>
      <c r="W30" s="165" t="str">
        <f>IF(Tableau1[[#This Row],[Nb jours]]&gt;1,PROPER(LEFT(TEXT(Tableau1[[#This Row],[Date de Début]]+1,"jjjj"),2))&amp; "" &amp; PROPER(LEFT(TEXT(Tableau1[[#This Row],[Date de Début]]+2,"jjjj"),2)),"")</f>
        <v/>
      </c>
      <c r="X30" s="166" t="str">
        <f>IF(Tableau1[[#This Row],[Nb jours]]&gt;2,PROPER(LEFT(TEXT(Tableau1[[#This Row],[Date de Début]]+2,"jjjj"),2))&amp; "" &amp; PROPER(LEFT(TEXT(Tableau1[[#This Row],[Date de Début]]+3,"jjjj"),2)),"")</f>
        <v/>
      </c>
      <c r="Y30" s="167" t="str">
        <f>IF(Tableau1[[#This Row],[Nb jours]]&gt;3,PROPER(LEFT(TEXT(Tableau1[[#This Row],[Date de Début]]+3,"jjjj"),2))&amp; "" &amp; PROPER(LEFT(TEXT(Tableau1[[#This Row],[Date de Début]]+4,"jjjj"),2)),"")</f>
        <v/>
      </c>
      <c r="Z30" s="166" t="str">
        <f>IF(Tableau1[[#This Row],[Nb jours]]&gt;4,PROPER(LEFT(TEXT(Tableau1[[#This Row],[Date de Début]]+4,"jjjj"),2))&amp; "" &amp; PROPER(LEFT(TEXT(Tableau1[[#This Row],[Date de Début]]+5,"jjjj"),2)),"")</f>
        <v/>
      </c>
      <c r="AA30" s="167" t="str">
        <f>IF(Tableau1[[#This Row],[Nb jours]]&gt;5,PROPER(LEFT(TEXT(Tableau1[[#This Row],[Date de Début]]+5,"jjjj"),2))&amp; "" &amp; PROPER(LEFT(TEXT(Tableau1[[#This Row],[Date de Début]]+6,"jjjj"),2)),"")</f>
        <v/>
      </c>
      <c r="AB30" s="168">
        <f>Tableau1[[#This Row],[Date de Fin]]-Tableau1[[#This Row],[Date de Début]]</f>
        <v>1</v>
      </c>
      <c r="AC30" s="150" t="str">
        <f>Tableau1[[#This Row],[Nuit 1]]&amp;Tableau1[[#This Row],[Nuit 2]]&amp;Tableau1[[#This Row],[Nuit 3]]&amp;Tableau1[[#This Row],[Nuit 4]]&amp;Tableau1[[#This Row],[Nuit 5]]&amp;Tableau1[[#This Row],[Nuit 6]]</f>
        <v>LuMa</v>
      </c>
      <c r="AD30" s="40" t="s">
        <v>155</v>
      </c>
      <c r="AE30" s="25">
        <f t="shared" si="10"/>
        <v>28</v>
      </c>
      <c r="AF30" s="30">
        <f>Tableau1[[#This Row],[Date de Début]]-AE30</f>
        <v>45642</v>
      </c>
      <c r="AG30" s="41">
        <v>45635</v>
      </c>
      <c r="AH30" s="46">
        <f t="shared" si="11"/>
        <v>21</v>
      </c>
      <c r="AI30" s="46" t="str">
        <f t="shared" si="4"/>
        <v>2024-12-09</v>
      </c>
      <c r="AJ30" s="44" t="s">
        <v>158</v>
      </c>
      <c r="AK30" s="30">
        <f>Tableau1[[#This Row],[Date de Début]]-AH30</f>
        <v>45649</v>
      </c>
      <c r="AL30" s="41">
        <v>45653</v>
      </c>
      <c r="AM30" s="46">
        <f t="shared" si="12"/>
        <v>21</v>
      </c>
      <c r="AN30" s="262" t="str">
        <f>IF(AL30="","",TEXT(Tableau1[[#This Row],[Date de fin de vérification]],"AAAA-MM-JJ"))</f>
        <v>2024-12-27</v>
      </c>
      <c r="AO30" s="48">
        <f>Tableau1[[#This Row],[Date de Début]]-AM30</f>
        <v>45649</v>
      </c>
      <c r="AP30" s="41">
        <v>45653</v>
      </c>
      <c r="AQ30" s="46">
        <f t="shared" si="13"/>
        <v>14</v>
      </c>
      <c r="AR30" s="46" t="str">
        <f t="shared" si="14"/>
        <v>27/12/2024</v>
      </c>
      <c r="AS30" s="48">
        <f>Tableau1[[#This Row],[Date de Début]]-AQ30</f>
        <v>45656</v>
      </c>
      <c r="AT30" s="41">
        <v>45656</v>
      </c>
      <c r="AU30" s="46">
        <f t="shared" si="15"/>
        <v>14</v>
      </c>
      <c r="AV30" s="46" t="str">
        <f t="shared" si="8"/>
        <v>30-12-2024</v>
      </c>
      <c r="AW30" s="48">
        <f>Tableau1[[#This Row],[Date de Début]]-AU30</f>
        <v>45656</v>
      </c>
      <c r="AX30" s="41">
        <v>45656</v>
      </c>
      <c r="AY30" s="270" t="str">
        <f t="shared" si="9"/>
        <v>2024-12-30</v>
      </c>
      <c r="AZ30" s="50">
        <f>IF(Tableau1[[#This Row],[Date limite de fin de rédaction]]&lt;Tableau1[[#This Row],[Date de fin de rédaction]],1,0)</f>
        <v>0</v>
      </c>
      <c r="BA30" s="26">
        <f>IF(Tableau1[[#This Row],[Date limite de fin de vérification]]&lt;Tableau1[[#This Row],[Date de fin de vérification]],1,0)</f>
        <v>1</v>
      </c>
      <c r="BB30" s="26">
        <f>IF(Tableau1[[#This Row],[Date limite d''envoi a  l''exploitation]]&lt;Tableau1[[#This Row],[Date d''envoi à  l''exploitation
(Mettre en copier le demandeur et le rédacteur)]],1,0)</f>
        <v>1</v>
      </c>
      <c r="BC30" s="26">
        <f>IF(Tableau1[[#This Row],[Date limite de réception]]&lt;Tableau1[[#This Row],[Date de réception]],1,0)</f>
        <v>0</v>
      </c>
      <c r="BD30" s="52">
        <f>IF(Tableau1[[#This Row],[Date limite limite de dépose sur la GED]]&lt;Tableau1[[#This Row],[Date de dépose sur la GED]],1,0)</f>
        <v>0</v>
      </c>
      <c r="BE30" s="244"/>
      <c r="BF30" s="243"/>
      <c r="BG30" s="309">
        <v>45705</v>
      </c>
      <c r="BH30" s="295"/>
      <c r="BI30" s="297"/>
      <c r="BJ30" s="300"/>
      <c r="BK30" s="242" t="s">
        <v>82</v>
      </c>
    </row>
    <row r="31" spans="1:63" x14ac:dyDescent="0.25">
      <c r="A31" s="223">
        <f t="shared" si="16"/>
        <v>22</v>
      </c>
      <c r="B31" s="90" t="s">
        <v>148</v>
      </c>
      <c r="C31" s="90"/>
      <c r="D31" s="54" t="str">
        <f>IF(Tableau1[[#This Row],[Date de Début]]=0,"Saisir date de début","S"&amp; _xlfn.ISOWEEKNUM(R31))</f>
        <v>S4</v>
      </c>
      <c r="E31" s="24" t="s">
        <v>188</v>
      </c>
      <c r="F31" s="39"/>
      <c r="G31" s="159" t="str">
        <f>"xxx-2025-"&amp;Tableau1[[#This Row],[N° de 
Ctx]]&amp;"-"&amp;Tableau1[[#This Row],[N° semaine]]&amp;"-"&amp; Tableau1[[#This Row],[Nature des travaux]]</f>
        <v>xxx-2025-22-S4-Contrat 22</v>
      </c>
      <c r="H31" s="68" t="str">
        <f>IF(Tableau1[[#This Row],[Nature des travaux]]=0,"Saisir nature des travaux",Tableau1[[#This Row],[Colonne1]])&amp;"-"&amp;Tableau1[[#This Row],[Jour]]</f>
        <v>xxx-2025-22-S4-Contrat 22-JeVe</v>
      </c>
      <c r="I31" s="33"/>
      <c r="J31" s="24"/>
      <c r="K31" s="24" t="s">
        <v>79</v>
      </c>
      <c r="L31" s="32"/>
      <c r="M31" s="91">
        <f>COUNTIF(Tableau1[[#This Row],[Secteur 1]:[Secteur 4]],"x")</f>
        <v>1</v>
      </c>
      <c r="N31" s="37" t="s">
        <v>81</v>
      </c>
      <c r="O31" s="144" t="str">
        <f>IF(Tableau1[[#This Row],[Date de Fin]]-Tableau1[[#This Row],[Date de Début]]&gt;1,"X"," ")</f>
        <v xml:space="preserve"> </v>
      </c>
      <c r="P31" s="29"/>
      <c r="Q31" s="39"/>
      <c r="R31" s="132">
        <v>45680</v>
      </c>
      <c r="S31" s="278" t="str">
        <f t="shared" si="0"/>
        <v>2025-01-23</v>
      </c>
      <c r="T31" s="131">
        <v>45681</v>
      </c>
      <c r="U31" s="276" t="str">
        <f t="shared" si="1"/>
        <v>2025-01-24</v>
      </c>
      <c r="V31" s="210" t="str">
        <f>PROPER(LEFT(TEXT(Tableau1[[#This Row],[Date de Début]],"jjjj"),2))&amp; "" &amp; PROPER(LEFT(TEXT(Tableau1[[#This Row],[Date de Début]]+1,"jjjj"),2))</f>
        <v>JeVe</v>
      </c>
      <c r="W31" s="165" t="str">
        <f>IF(Tableau1[[#This Row],[Nb jours]]&gt;1,PROPER(LEFT(TEXT(Tableau1[[#This Row],[Date de Début]]+1,"jjjj"),2))&amp; "" &amp; PROPER(LEFT(TEXT(Tableau1[[#This Row],[Date de Début]]+2,"jjjj"),2)),"")</f>
        <v/>
      </c>
      <c r="X31" s="166" t="str">
        <f>IF(Tableau1[[#This Row],[Nb jours]]&gt;2,PROPER(LEFT(TEXT(Tableau1[[#This Row],[Date de Début]]+2,"jjjj"),2))&amp; "" &amp; PROPER(LEFT(TEXT(Tableau1[[#This Row],[Date de Début]]+3,"jjjj"),2)),"")</f>
        <v/>
      </c>
      <c r="Y31" s="167" t="str">
        <f>IF(Tableau1[[#This Row],[Nb jours]]&gt;3,PROPER(LEFT(TEXT(Tableau1[[#This Row],[Date de Début]]+3,"jjjj"),2))&amp; "" &amp; PROPER(LEFT(TEXT(Tableau1[[#This Row],[Date de Début]]+4,"jjjj"),2)),"")</f>
        <v/>
      </c>
      <c r="Z31" s="166" t="str">
        <f>IF(Tableau1[[#This Row],[Nb jours]]&gt;4,PROPER(LEFT(TEXT(Tableau1[[#This Row],[Date de Début]]+4,"jjjj"),2))&amp; "" &amp; PROPER(LEFT(TEXT(Tableau1[[#This Row],[Date de Début]]+5,"jjjj"),2)),"")</f>
        <v/>
      </c>
      <c r="AA31" s="167" t="str">
        <f>IF(Tableau1[[#This Row],[Nb jours]]&gt;5,PROPER(LEFT(TEXT(Tableau1[[#This Row],[Date de Début]]+5,"jjjj"),2))&amp; "" &amp; PROPER(LEFT(TEXT(Tableau1[[#This Row],[Date de Début]]+6,"jjjj"),2)),"")</f>
        <v/>
      </c>
      <c r="AB31" s="168">
        <f>Tableau1[[#This Row],[Date de Fin]]-Tableau1[[#This Row],[Date de Début]]</f>
        <v>1</v>
      </c>
      <c r="AC31" s="150" t="str">
        <f>Tableau1[[#This Row],[Nuit 1]]&amp;Tableau1[[#This Row],[Nuit 2]]&amp;Tableau1[[#This Row],[Nuit 3]]&amp;Tableau1[[#This Row],[Nuit 4]]&amp;Tableau1[[#This Row],[Nuit 5]]&amp;Tableau1[[#This Row],[Nuit 6]]</f>
        <v>JeVe</v>
      </c>
      <c r="AD31" s="40" t="s">
        <v>155</v>
      </c>
      <c r="AE31" s="25">
        <f t="shared" si="10"/>
        <v>28</v>
      </c>
      <c r="AF31" s="30">
        <f>Tableau1[[#This Row],[Date de Début]]-AE31</f>
        <v>45652</v>
      </c>
      <c r="AG31" s="41">
        <v>45635</v>
      </c>
      <c r="AH31" s="46">
        <f t="shared" si="11"/>
        <v>21</v>
      </c>
      <c r="AI31" s="46" t="str">
        <f t="shared" si="4"/>
        <v>2024-12-09</v>
      </c>
      <c r="AJ31" s="44" t="s">
        <v>156</v>
      </c>
      <c r="AK31" s="30">
        <f>Tableau1[[#This Row],[Date de Début]]-AH31</f>
        <v>45659</v>
      </c>
      <c r="AL31" s="41">
        <v>45656</v>
      </c>
      <c r="AM31" s="46">
        <f t="shared" si="12"/>
        <v>21</v>
      </c>
      <c r="AN31" s="262" t="str">
        <f>IF(AL31="","",TEXT(Tableau1[[#This Row],[Date de fin de vérification]],"AAAA-MM-JJ"))</f>
        <v>2024-12-30</v>
      </c>
      <c r="AO31" s="48">
        <f>Tableau1[[#This Row],[Date de Début]]-AM31</f>
        <v>45659</v>
      </c>
      <c r="AP31" s="43">
        <v>45657</v>
      </c>
      <c r="AQ31" s="46">
        <f t="shared" si="13"/>
        <v>14</v>
      </c>
      <c r="AR31" s="46" t="str">
        <f t="shared" si="14"/>
        <v>31/12/2024</v>
      </c>
      <c r="AS31" s="48">
        <f>Tableau1[[#This Row],[Date de Début]]-AQ31</f>
        <v>45666</v>
      </c>
      <c r="AT31" s="41">
        <v>45657</v>
      </c>
      <c r="AU31" s="46">
        <f t="shared" si="15"/>
        <v>14</v>
      </c>
      <c r="AV31" s="46" t="str">
        <f t="shared" si="8"/>
        <v>31-12-2024</v>
      </c>
      <c r="AW31" s="48">
        <f>Tableau1[[#This Row],[Date de Début]]-AU31</f>
        <v>45666</v>
      </c>
      <c r="AX31" s="41">
        <v>45657</v>
      </c>
      <c r="AY31" s="270" t="str">
        <f t="shared" si="9"/>
        <v>2024-12-31</v>
      </c>
      <c r="AZ31" s="50">
        <f>IF(Tableau1[[#This Row],[Date limite de fin de rédaction]]&lt;Tableau1[[#This Row],[Date de fin de rédaction]],1,0)</f>
        <v>0</v>
      </c>
      <c r="BA31" s="26">
        <f>IF(Tableau1[[#This Row],[Date limite de fin de vérification]]&lt;Tableau1[[#This Row],[Date de fin de vérification]],1,0)</f>
        <v>0</v>
      </c>
      <c r="BB31" s="26">
        <f>IF(Tableau1[[#This Row],[Date limite d''envoi a  l''exploitation]]&lt;Tableau1[[#This Row],[Date d''envoi à  l''exploitation
(Mettre en copier le demandeur et le rédacteur)]],1,0)</f>
        <v>0</v>
      </c>
      <c r="BC31" s="26">
        <f>IF(Tableau1[[#This Row],[Date limite de réception]]&lt;Tableau1[[#This Row],[Date de réception]],1,0)</f>
        <v>0</v>
      </c>
      <c r="BD31" s="52">
        <f>IF(Tableau1[[#This Row],[Date limite limite de dépose sur la GED]]&lt;Tableau1[[#This Row],[Date de dépose sur la GED]],1,0)</f>
        <v>0</v>
      </c>
      <c r="BE31" s="244"/>
      <c r="BF31" s="243"/>
      <c r="BG31" s="309">
        <v>45705</v>
      </c>
      <c r="BH31" s="295"/>
      <c r="BI31" s="297"/>
      <c r="BJ31" s="300"/>
      <c r="BK31" s="242" t="s">
        <v>82</v>
      </c>
    </row>
    <row r="32" spans="1:63" ht="25.5" x14ac:dyDescent="0.25">
      <c r="A32" s="223">
        <f t="shared" si="16"/>
        <v>23</v>
      </c>
      <c r="B32" s="90" t="s">
        <v>148</v>
      </c>
      <c r="C32" s="90"/>
      <c r="D32" s="54" t="str">
        <f>IF(Tableau1[[#This Row],[Date de Début]]=0,"Saisir date de début","S"&amp; _xlfn.ISOWEEKNUM(R32))</f>
        <v>S6</v>
      </c>
      <c r="E32" s="24" t="s">
        <v>189</v>
      </c>
      <c r="F32" s="39" t="s">
        <v>83</v>
      </c>
      <c r="G32" s="159" t="str">
        <f>"xxx-2025-"&amp;Tableau1[[#This Row],[N° de 
Ctx]]&amp;"-"&amp;Tableau1[[#This Row],[N° semaine]]&amp;"-"&amp; Tableau1[[#This Row],[Nature des travaux]]</f>
        <v>xxx-2025-23-S6-Contrat 23</v>
      </c>
      <c r="H32" s="68" t="str">
        <f>IF(Tableau1[[#This Row],[Nature des travaux]]=0,"Saisir nature des travaux",Tableau1[[#This Row],[Colonne1]])&amp;"-"&amp;Tableau1[[#This Row],[Jour]]</f>
        <v>xxx-2025-23-S6-Contrat 23-MaMe</v>
      </c>
      <c r="I32" s="33"/>
      <c r="J32" s="24"/>
      <c r="K32" s="24" t="s">
        <v>79</v>
      </c>
      <c r="L32" s="32"/>
      <c r="M32" s="91">
        <f>COUNTIF(Tableau1[[#This Row],[Secteur 1]:[Secteur 4]],"x")</f>
        <v>1</v>
      </c>
      <c r="N32" s="37" t="s">
        <v>81</v>
      </c>
      <c r="O32" s="144" t="str">
        <f>IF(Tableau1[[#This Row],[Date de Fin]]-Tableau1[[#This Row],[Date de Début]]&gt;1,"X"," ")</f>
        <v xml:space="preserve"> </v>
      </c>
      <c r="P32" s="29"/>
      <c r="Q32" s="39"/>
      <c r="R32" s="157">
        <v>45692</v>
      </c>
      <c r="S32" s="279" t="str">
        <f t="shared" si="0"/>
        <v>2025-02-04</v>
      </c>
      <c r="T32" s="131">
        <v>45693</v>
      </c>
      <c r="U32" s="276" t="str">
        <f t="shared" si="1"/>
        <v>2025-02-05</v>
      </c>
      <c r="V32" s="210" t="str">
        <f>PROPER(LEFT(TEXT(Tableau1[[#This Row],[Date de Début]],"jjjj"),2))&amp; "" &amp; PROPER(LEFT(TEXT(Tableau1[[#This Row],[Date de Début]]+1,"jjjj"),2))</f>
        <v>MaMe</v>
      </c>
      <c r="W32" s="165" t="str">
        <f>IF(Tableau1[[#This Row],[Nb jours]]&gt;1,PROPER(LEFT(TEXT(Tableau1[[#This Row],[Date de Début]]+1,"jjjj"),2))&amp; "" &amp; PROPER(LEFT(TEXT(Tableau1[[#This Row],[Date de Début]]+2,"jjjj"),2)),"")</f>
        <v/>
      </c>
      <c r="X32" s="166" t="str">
        <f>IF(Tableau1[[#This Row],[Nb jours]]&gt;2,PROPER(LEFT(TEXT(Tableau1[[#This Row],[Date de Début]]+2,"jjjj"),2))&amp; "" &amp; PROPER(LEFT(TEXT(Tableau1[[#This Row],[Date de Début]]+3,"jjjj"),2)),"")</f>
        <v/>
      </c>
      <c r="Y32" s="167" t="str">
        <f>IF(Tableau1[[#This Row],[Nb jours]]&gt;3,PROPER(LEFT(TEXT(Tableau1[[#This Row],[Date de Début]]+3,"jjjj"),2))&amp; "" &amp; PROPER(LEFT(TEXT(Tableau1[[#This Row],[Date de Début]]+4,"jjjj"),2)),"")</f>
        <v/>
      </c>
      <c r="Z32" s="166" t="str">
        <f>IF(Tableau1[[#This Row],[Nb jours]]&gt;4,PROPER(LEFT(TEXT(Tableau1[[#This Row],[Date de Début]]+4,"jjjj"),2))&amp; "" &amp; PROPER(LEFT(TEXT(Tableau1[[#This Row],[Date de Début]]+5,"jjjj"),2)),"")</f>
        <v/>
      </c>
      <c r="AA32" s="167" t="str">
        <f>IF(Tableau1[[#This Row],[Nb jours]]&gt;5,PROPER(LEFT(TEXT(Tableau1[[#This Row],[Date de Début]]+5,"jjjj"),2))&amp; "" &amp; PROPER(LEFT(TEXT(Tableau1[[#This Row],[Date de Début]]+6,"jjjj"),2)),"")</f>
        <v/>
      </c>
      <c r="AB32" s="168">
        <f>Tableau1[[#This Row],[Date de Fin]]-Tableau1[[#This Row],[Date de Début]]</f>
        <v>1</v>
      </c>
      <c r="AC32" s="156" t="str">
        <f>Tableau1[[#This Row],[Nuit 1]]&amp;Tableau1[[#This Row],[Nuit 2]]&amp;Tableau1[[#This Row],[Nuit 3]]&amp;Tableau1[[#This Row],[Nuit 4]]&amp;Tableau1[[#This Row],[Nuit 5]]&amp;Tableau1[[#This Row],[Nuit 6]]</f>
        <v>MaMe</v>
      </c>
      <c r="AD32" s="40" t="s">
        <v>155</v>
      </c>
      <c r="AE32" s="25">
        <f t="shared" si="10"/>
        <v>28</v>
      </c>
      <c r="AF32" s="30">
        <f>Tableau1[[#This Row],[Date de Début]]-AE32</f>
        <v>45664</v>
      </c>
      <c r="AG32" s="41">
        <v>45685</v>
      </c>
      <c r="AH32" s="46">
        <f t="shared" si="11"/>
        <v>21</v>
      </c>
      <c r="AI32" s="46" t="str">
        <f t="shared" si="4"/>
        <v>2025-01-28</v>
      </c>
      <c r="AJ32" s="44" t="s">
        <v>156</v>
      </c>
      <c r="AK32" s="30">
        <f>Tableau1[[#This Row],[Date de Début]]-AH32</f>
        <v>45671</v>
      </c>
      <c r="AL32" s="41">
        <v>45691</v>
      </c>
      <c r="AM32" s="46">
        <f t="shared" si="12"/>
        <v>21</v>
      </c>
      <c r="AN32" s="262" t="str">
        <f>IF(AL32="","",TEXT(Tableau1[[#This Row],[Date de fin de vérification]],"AAAA-MM-JJ"))</f>
        <v>2025-02-03</v>
      </c>
      <c r="AO32" s="48">
        <f>Tableau1[[#This Row],[Date de Début]]-AM32</f>
        <v>45671</v>
      </c>
      <c r="AP32" s="43">
        <v>45691</v>
      </c>
      <c r="AQ32" s="46">
        <f t="shared" si="13"/>
        <v>14</v>
      </c>
      <c r="AR32" s="46" t="str">
        <f t="shared" si="14"/>
        <v>03/02/2025</v>
      </c>
      <c r="AS32" s="48">
        <f>Tableau1[[#This Row],[Date de Début]]-AQ32</f>
        <v>45678</v>
      </c>
      <c r="AT32" s="43">
        <v>45692</v>
      </c>
      <c r="AU32" s="46">
        <f t="shared" si="15"/>
        <v>14</v>
      </c>
      <c r="AV32" s="46" t="str">
        <f t="shared" si="8"/>
        <v>04-02-2025</v>
      </c>
      <c r="AW32" s="48">
        <f>Tableau1[[#This Row],[Date de Début]]-AU32</f>
        <v>45678</v>
      </c>
      <c r="AX32" s="41">
        <v>45692</v>
      </c>
      <c r="AY32" s="270" t="str">
        <f t="shared" si="9"/>
        <v>2025-02-04</v>
      </c>
      <c r="AZ32" s="50">
        <f>IF(Tableau1[[#This Row],[Date limite de fin de rédaction]]&lt;Tableau1[[#This Row],[Date de fin de rédaction]],1,0)</f>
        <v>1</v>
      </c>
      <c r="BA32" s="26">
        <f>IF(Tableau1[[#This Row],[Date limite de fin de vérification]]&lt;Tableau1[[#This Row],[Date de fin de vérification]],1,0)</f>
        <v>1</v>
      </c>
      <c r="BB32" s="26">
        <f>IF(Tableau1[[#This Row],[Date limite d''envoi a  l''exploitation]]&lt;Tableau1[[#This Row],[Date d''envoi à  l''exploitation
(Mettre en copier le demandeur et le rédacteur)]],1,0)</f>
        <v>1</v>
      </c>
      <c r="BC32" s="26">
        <f>IF(Tableau1[[#This Row],[Date limite de réception]]&lt;Tableau1[[#This Row],[Date de réception]],1,0)</f>
        <v>1</v>
      </c>
      <c r="BD32" s="52">
        <f>IF(Tableau1[[#This Row],[Date limite limite de dépose sur la GED]]&lt;Tableau1[[#This Row],[Date de dépose sur la GED]],1,0)</f>
        <v>1</v>
      </c>
      <c r="BE32" s="244"/>
      <c r="BF32" s="243"/>
      <c r="BG32" s="309">
        <v>45705</v>
      </c>
      <c r="BH32" s="295"/>
      <c r="BI32" s="297"/>
      <c r="BJ32" s="300"/>
      <c r="BK32" s="242" t="s">
        <v>82</v>
      </c>
    </row>
    <row r="33" spans="1:63" x14ac:dyDescent="0.25">
      <c r="A33" s="223">
        <f t="shared" si="16"/>
        <v>24</v>
      </c>
      <c r="B33" s="90" t="s">
        <v>148</v>
      </c>
      <c r="C33" s="90"/>
      <c r="D33" s="54" t="str">
        <f>IF(Tableau1[[#This Row],[Date de Début]]=0,"Saisir date de début","S"&amp; _xlfn.ISOWEEKNUM(R33))</f>
        <v>S2</v>
      </c>
      <c r="E33" s="24" t="s">
        <v>190</v>
      </c>
      <c r="F33" s="39"/>
      <c r="G33" s="159" t="str">
        <f>"xxx-2025-"&amp;Tableau1[[#This Row],[N° de 
Ctx]]&amp;"-"&amp;Tableau1[[#This Row],[N° semaine]]&amp;"-"&amp; Tableau1[[#This Row],[Nature des travaux]]</f>
        <v>xxx-2025-24-S2-Contrat 24</v>
      </c>
      <c r="H33" s="68" t="str">
        <f>IF(Tableau1[[#This Row],[Nature des travaux]]=0,"Saisir nature des travaux",Tableau1[[#This Row],[Colonne1]])&amp;"-"&amp;Tableau1[[#This Row],[Jour]]</f>
        <v>xxx-2025-24-S2-Contrat 24-LuMa</v>
      </c>
      <c r="I33" s="33"/>
      <c r="J33" s="24"/>
      <c r="K33" s="24" t="s">
        <v>79</v>
      </c>
      <c r="L33" s="32"/>
      <c r="M33" s="91">
        <f>COUNTIF(Tableau1[[#This Row],[Secteur 1]:[Secteur 4]],"x")</f>
        <v>1</v>
      </c>
      <c r="N33" s="37" t="s">
        <v>81</v>
      </c>
      <c r="O33" s="144" t="str">
        <f>IF(Tableau1[[#This Row],[Date de Fin]]-Tableau1[[#This Row],[Date de Début]]&gt;1,"X"," ")</f>
        <v xml:space="preserve"> </v>
      </c>
      <c r="P33" s="29"/>
      <c r="Q33" s="39"/>
      <c r="R33" s="132">
        <v>45663</v>
      </c>
      <c r="S33" s="278" t="str">
        <f t="shared" si="0"/>
        <v>2025-01-06</v>
      </c>
      <c r="T33" s="131">
        <v>45664</v>
      </c>
      <c r="U33" s="276" t="str">
        <f t="shared" si="1"/>
        <v>2025-01-07</v>
      </c>
      <c r="V33" s="210" t="str">
        <f>PROPER(LEFT(TEXT(Tableau1[[#This Row],[Date de Début]],"jjjj"),2))&amp; "" &amp; PROPER(LEFT(TEXT(Tableau1[[#This Row],[Date de Début]]+1,"jjjj"),2))</f>
        <v>LuMa</v>
      </c>
      <c r="W33" s="165" t="str">
        <f>IF(Tableau1[[#This Row],[Nb jours]]&gt;1,PROPER(LEFT(TEXT(Tableau1[[#This Row],[Date de Début]]+1,"jjjj"),2))&amp; "" &amp; PROPER(LEFT(TEXT(Tableau1[[#This Row],[Date de Début]]+2,"jjjj"),2)),"")</f>
        <v/>
      </c>
      <c r="X33" s="166" t="str">
        <f>IF(Tableau1[[#This Row],[Nb jours]]&gt;2,PROPER(LEFT(TEXT(Tableau1[[#This Row],[Date de Début]]+2,"jjjj"),2))&amp; "" &amp; PROPER(LEFT(TEXT(Tableau1[[#This Row],[Date de Début]]+3,"jjjj"),2)),"")</f>
        <v/>
      </c>
      <c r="Y33" s="167" t="str">
        <f>IF(Tableau1[[#This Row],[Nb jours]]&gt;3,PROPER(LEFT(TEXT(Tableau1[[#This Row],[Date de Début]]+3,"jjjj"),2))&amp; "" &amp; PROPER(LEFT(TEXT(Tableau1[[#This Row],[Date de Début]]+4,"jjjj"),2)),"")</f>
        <v/>
      </c>
      <c r="Z33" s="166" t="str">
        <f>IF(Tableau1[[#This Row],[Nb jours]]&gt;4,PROPER(LEFT(TEXT(Tableau1[[#This Row],[Date de Début]]+4,"jjjj"),2))&amp; "" &amp; PROPER(LEFT(TEXT(Tableau1[[#This Row],[Date de Début]]+5,"jjjj"),2)),"")</f>
        <v/>
      </c>
      <c r="AA33" s="167" t="str">
        <f>IF(Tableau1[[#This Row],[Nb jours]]&gt;5,PROPER(LEFT(TEXT(Tableau1[[#This Row],[Date de Début]]+5,"jjjj"),2))&amp; "" &amp; PROPER(LEFT(TEXT(Tableau1[[#This Row],[Date de Début]]+6,"jjjj"),2)),"")</f>
        <v/>
      </c>
      <c r="AB33" s="168">
        <f>Tableau1[[#This Row],[Date de Fin]]-Tableau1[[#This Row],[Date de Début]]</f>
        <v>1</v>
      </c>
      <c r="AC33" s="150" t="str">
        <f>Tableau1[[#This Row],[Nuit 1]]&amp;Tableau1[[#This Row],[Nuit 2]]&amp;Tableau1[[#This Row],[Nuit 3]]&amp;Tableau1[[#This Row],[Nuit 4]]&amp;Tableau1[[#This Row],[Nuit 5]]&amp;Tableau1[[#This Row],[Nuit 6]]</f>
        <v>LuMa</v>
      </c>
      <c r="AD33" s="40" t="s">
        <v>155</v>
      </c>
      <c r="AE33" s="25">
        <f t="shared" si="10"/>
        <v>28</v>
      </c>
      <c r="AF33" s="30">
        <f>Tableau1[[#This Row],[Date de Début]]-AE33</f>
        <v>45635</v>
      </c>
      <c r="AG33" s="41">
        <v>45635</v>
      </c>
      <c r="AH33" s="46">
        <f t="shared" si="11"/>
        <v>21</v>
      </c>
      <c r="AI33" s="46" t="str">
        <f t="shared" si="4"/>
        <v>2024-12-09</v>
      </c>
      <c r="AJ33" s="44" t="s">
        <v>158</v>
      </c>
      <c r="AK33" s="30">
        <f>Tableau1[[#This Row],[Date de Début]]-AH33</f>
        <v>45642</v>
      </c>
      <c r="AL33" s="41">
        <v>45652</v>
      </c>
      <c r="AM33" s="46">
        <f t="shared" si="12"/>
        <v>21</v>
      </c>
      <c r="AN33" s="262" t="str">
        <f>IF(AL33="","",TEXT(Tableau1[[#This Row],[Date de fin de vérification]],"AAAA-MM-JJ"))</f>
        <v>2024-12-26</v>
      </c>
      <c r="AO33" s="48">
        <f>Tableau1[[#This Row],[Date de Début]]-AM33</f>
        <v>45642</v>
      </c>
      <c r="AP33" s="41">
        <v>45652</v>
      </c>
      <c r="AQ33" s="46">
        <f t="shared" si="13"/>
        <v>14</v>
      </c>
      <c r="AR33" s="46" t="str">
        <f t="shared" si="14"/>
        <v>26/12/2024</v>
      </c>
      <c r="AS33" s="48">
        <f>Tableau1[[#This Row],[Date de Début]]-AQ33</f>
        <v>45649</v>
      </c>
      <c r="AT33" s="41">
        <v>45652</v>
      </c>
      <c r="AU33" s="46">
        <f t="shared" si="15"/>
        <v>14</v>
      </c>
      <c r="AV33" s="46" t="str">
        <f t="shared" si="8"/>
        <v>26-12-2024</v>
      </c>
      <c r="AW33" s="48">
        <f>Tableau1[[#This Row],[Date de Début]]-AU33</f>
        <v>45649</v>
      </c>
      <c r="AX33" s="41">
        <v>45653</v>
      </c>
      <c r="AY33" s="270" t="str">
        <f t="shared" si="9"/>
        <v>2024-12-27</v>
      </c>
      <c r="AZ33" s="50">
        <f>IF(Tableau1[[#This Row],[Date limite de fin de rédaction]]&lt;Tableau1[[#This Row],[Date de fin de rédaction]],1,0)</f>
        <v>0</v>
      </c>
      <c r="BA33" s="26">
        <f>IF(Tableau1[[#This Row],[Date limite de fin de vérification]]&lt;Tableau1[[#This Row],[Date de fin de vérification]],1,0)</f>
        <v>1</v>
      </c>
      <c r="BB33" s="26">
        <f>IF(Tableau1[[#This Row],[Date limite d''envoi a  l''exploitation]]&lt;Tableau1[[#This Row],[Date d''envoi à  l''exploitation
(Mettre en copier le demandeur et le rédacteur)]],1,0)</f>
        <v>1</v>
      </c>
      <c r="BC33" s="26">
        <f>IF(Tableau1[[#This Row],[Date limite de réception]]&lt;Tableau1[[#This Row],[Date de réception]],1,0)</f>
        <v>1</v>
      </c>
      <c r="BD33" s="52">
        <f>IF(Tableau1[[#This Row],[Date limite limite de dépose sur la GED]]&lt;Tableau1[[#This Row],[Date de dépose sur la GED]],1,0)</f>
        <v>1</v>
      </c>
      <c r="BE33" s="244"/>
      <c r="BF33" s="243"/>
      <c r="BG33" s="309">
        <v>45705</v>
      </c>
      <c r="BH33" s="295"/>
      <c r="BI33" s="297"/>
      <c r="BJ33" s="300"/>
      <c r="BK33" s="242" t="s">
        <v>82</v>
      </c>
    </row>
    <row r="34" spans="1:63" x14ac:dyDescent="0.25">
      <c r="A34" s="223">
        <f t="shared" si="16"/>
        <v>25</v>
      </c>
      <c r="B34" s="90" t="s">
        <v>148</v>
      </c>
      <c r="C34" s="90"/>
      <c r="D34" s="54" t="str">
        <f>IF(Tableau1[[#This Row],[Date de Début]]=0,"Saisir date de début","S"&amp; _xlfn.ISOWEEKNUM(R34))</f>
        <v>S4</v>
      </c>
      <c r="E34" s="24" t="s">
        <v>191</v>
      </c>
      <c r="F34" s="39"/>
      <c r="G34" s="159" t="str">
        <f>"xxx-2025-"&amp;Tableau1[[#This Row],[N° de 
Ctx]]&amp;"-"&amp;Tableau1[[#This Row],[N° semaine]]&amp;"-"&amp; Tableau1[[#This Row],[Nature des travaux]]</f>
        <v>xxx-2025-25-S4-Contrat 25</v>
      </c>
      <c r="H34" s="68" t="str">
        <f>IF(Tableau1[[#This Row],[Nature des travaux]]=0,"Saisir nature des travaux",Tableau1[[#This Row],[Colonne1]])&amp;"-"&amp;Tableau1[[#This Row],[Jour]]</f>
        <v>xxx-2025-25-S4-Contrat 25-LuMa</v>
      </c>
      <c r="I34" s="33"/>
      <c r="J34" s="24"/>
      <c r="K34" s="24" t="s">
        <v>79</v>
      </c>
      <c r="L34" s="32"/>
      <c r="M34" s="91">
        <f>COUNTIF(Tableau1[[#This Row],[Secteur 1]:[Secteur 4]],"x")</f>
        <v>1</v>
      </c>
      <c r="N34" s="37" t="s">
        <v>81</v>
      </c>
      <c r="O34" s="144" t="str">
        <f>IF(Tableau1[[#This Row],[Date de Fin]]-Tableau1[[#This Row],[Date de Début]]&gt;1,"X"," ")</f>
        <v xml:space="preserve"> </v>
      </c>
      <c r="P34" s="29"/>
      <c r="Q34" s="39"/>
      <c r="R34" s="132">
        <v>45677</v>
      </c>
      <c r="S34" s="278" t="str">
        <f t="shared" si="0"/>
        <v>2025-01-20</v>
      </c>
      <c r="T34" s="131">
        <v>45678</v>
      </c>
      <c r="U34" s="276" t="str">
        <f t="shared" si="1"/>
        <v>2025-01-21</v>
      </c>
      <c r="V34" s="210" t="str">
        <f>PROPER(LEFT(TEXT(Tableau1[[#This Row],[Date de Début]],"jjjj"),2))&amp; "" &amp; PROPER(LEFT(TEXT(Tableau1[[#This Row],[Date de Début]]+1,"jjjj"),2))</f>
        <v>LuMa</v>
      </c>
      <c r="W34" s="165" t="str">
        <f>IF(Tableau1[[#This Row],[Nb jours]]&gt;1,PROPER(LEFT(TEXT(Tableau1[[#This Row],[Date de Début]]+1,"jjjj"),2))&amp; "" &amp; PROPER(LEFT(TEXT(Tableau1[[#This Row],[Date de Début]]+2,"jjjj"),2)),"")</f>
        <v/>
      </c>
      <c r="X34" s="166" t="str">
        <f>IF(Tableau1[[#This Row],[Nb jours]]&gt;2,PROPER(LEFT(TEXT(Tableau1[[#This Row],[Date de Début]]+2,"jjjj"),2))&amp; "" &amp; PROPER(LEFT(TEXT(Tableau1[[#This Row],[Date de Début]]+3,"jjjj"),2)),"")</f>
        <v/>
      </c>
      <c r="Y34" s="167" t="str">
        <f>IF(Tableau1[[#This Row],[Nb jours]]&gt;3,PROPER(LEFT(TEXT(Tableau1[[#This Row],[Date de Début]]+3,"jjjj"),2))&amp; "" &amp; PROPER(LEFT(TEXT(Tableau1[[#This Row],[Date de Début]]+4,"jjjj"),2)),"")</f>
        <v/>
      </c>
      <c r="Z34" s="166" t="str">
        <f>IF(Tableau1[[#This Row],[Nb jours]]&gt;4,PROPER(LEFT(TEXT(Tableau1[[#This Row],[Date de Début]]+4,"jjjj"),2))&amp; "" &amp; PROPER(LEFT(TEXT(Tableau1[[#This Row],[Date de Début]]+5,"jjjj"),2)),"")</f>
        <v/>
      </c>
      <c r="AA34" s="167" t="str">
        <f>IF(Tableau1[[#This Row],[Nb jours]]&gt;5,PROPER(LEFT(TEXT(Tableau1[[#This Row],[Date de Début]]+5,"jjjj"),2))&amp; "" &amp; PROPER(LEFT(TEXT(Tableau1[[#This Row],[Date de Début]]+6,"jjjj"),2)),"")</f>
        <v/>
      </c>
      <c r="AB34" s="168">
        <f>Tableau1[[#This Row],[Date de Fin]]-Tableau1[[#This Row],[Date de Début]]</f>
        <v>1</v>
      </c>
      <c r="AC34" s="150" t="str">
        <f>Tableau1[[#This Row],[Nuit 1]]&amp;Tableau1[[#This Row],[Nuit 2]]&amp;Tableau1[[#This Row],[Nuit 3]]&amp;Tableau1[[#This Row],[Nuit 4]]&amp;Tableau1[[#This Row],[Nuit 5]]&amp;Tableau1[[#This Row],[Nuit 6]]</f>
        <v>LuMa</v>
      </c>
      <c r="AD34" s="40" t="s">
        <v>155</v>
      </c>
      <c r="AE34" s="25">
        <f t="shared" si="10"/>
        <v>28</v>
      </c>
      <c r="AF34" s="30">
        <f>Tableau1[[#This Row],[Date de Début]]-AE34</f>
        <v>45649</v>
      </c>
      <c r="AG34" s="41">
        <v>45635</v>
      </c>
      <c r="AH34" s="46">
        <f t="shared" si="11"/>
        <v>21</v>
      </c>
      <c r="AI34" s="46" t="str">
        <f t="shared" si="4"/>
        <v>2024-12-09</v>
      </c>
      <c r="AJ34" s="44" t="s">
        <v>156</v>
      </c>
      <c r="AK34" s="30">
        <f>Tableau1[[#This Row],[Date de Début]]-AH34</f>
        <v>45656</v>
      </c>
      <c r="AL34" s="41">
        <v>45656</v>
      </c>
      <c r="AM34" s="46">
        <f t="shared" si="12"/>
        <v>21</v>
      </c>
      <c r="AN34" s="262" t="str">
        <f>IF(AL34="","",TEXT(Tableau1[[#This Row],[Date de fin de vérification]],"AAAA-MM-JJ"))</f>
        <v>2024-12-30</v>
      </c>
      <c r="AO34" s="48">
        <f>Tableau1[[#This Row],[Date de Début]]-AM34</f>
        <v>45656</v>
      </c>
      <c r="AP34" s="43">
        <v>45657</v>
      </c>
      <c r="AQ34" s="46">
        <f t="shared" si="13"/>
        <v>14</v>
      </c>
      <c r="AR34" s="46" t="str">
        <f t="shared" si="14"/>
        <v>31/12/2024</v>
      </c>
      <c r="AS34" s="48">
        <f>Tableau1[[#This Row],[Date de Début]]-AQ34</f>
        <v>45663</v>
      </c>
      <c r="AT34" s="41">
        <v>45657</v>
      </c>
      <c r="AU34" s="46">
        <f t="shared" si="15"/>
        <v>14</v>
      </c>
      <c r="AV34" s="46" t="str">
        <f t="shared" si="8"/>
        <v>31-12-2024</v>
      </c>
      <c r="AW34" s="48">
        <f>Tableau1[[#This Row],[Date de Début]]-AU34</f>
        <v>45663</v>
      </c>
      <c r="AX34" s="41">
        <v>45657</v>
      </c>
      <c r="AY34" s="270" t="str">
        <f t="shared" si="9"/>
        <v>2024-12-31</v>
      </c>
      <c r="AZ34" s="50">
        <f>IF(Tableau1[[#This Row],[Date limite de fin de rédaction]]&lt;Tableau1[[#This Row],[Date de fin de rédaction]],1,0)</f>
        <v>0</v>
      </c>
      <c r="BA34" s="26">
        <f>IF(Tableau1[[#This Row],[Date limite de fin de vérification]]&lt;Tableau1[[#This Row],[Date de fin de vérification]],1,0)</f>
        <v>0</v>
      </c>
      <c r="BB34" s="26">
        <f>IF(Tableau1[[#This Row],[Date limite d''envoi a  l''exploitation]]&lt;Tableau1[[#This Row],[Date d''envoi à  l''exploitation
(Mettre en copier le demandeur et le rédacteur)]],1,0)</f>
        <v>1</v>
      </c>
      <c r="BC34" s="26">
        <f>IF(Tableau1[[#This Row],[Date limite de réception]]&lt;Tableau1[[#This Row],[Date de réception]],1,0)</f>
        <v>0</v>
      </c>
      <c r="BD34" s="52">
        <f>IF(Tableau1[[#This Row],[Date limite limite de dépose sur la GED]]&lt;Tableau1[[#This Row],[Date de dépose sur la GED]],1,0)</f>
        <v>0</v>
      </c>
      <c r="BE34" s="244"/>
      <c r="BF34" s="243"/>
      <c r="BG34" s="309">
        <v>45705</v>
      </c>
      <c r="BH34" s="295"/>
      <c r="BI34" s="297"/>
      <c r="BJ34" s="300"/>
      <c r="BK34" s="242" t="s">
        <v>82</v>
      </c>
    </row>
    <row r="35" spans="1:63" x14ac:dyDescent="0.25">
      <c r="A35" s="223">
        <f t="shared" si="16"/>
        <v>26</v>
      </c>
      <c r="B35" s="90" t="s">
        <v>148</v>
      </c>
      <c r="C35" s="90"/>
      <c r="D35" s="54" t="str">
        <f>IF(Tableau1[[#This Row],[Date de Début]]=0,"Saisir date de début","S"&amp; _xlfn.ISOWEEKNUM(R35))</f>
        <v>S5</v>
      </c>
      <c r="E35" s="24" t="s">
        <v>192</v>
      </c>
      <c r="F35" s="39"/>
      <c r="G35" s="159" t="str">
        <f>"xxx-2025-"&amp;Tableau1[[#This Row],[N° de 
Ctx]]&amp;"-"&amp;Tableau1[[#This Row],[N° semaine]]&amp;"-"&amp; Tableau1[[#This Row],[Nature des travaux]]</f>
        <v>xxx-2025-26-S5-Contrat 26</v>
      </c>
      <c r="H35" s="68" t="str">
        <f>IF(Tableau1[[#This Row],[Nature des travaux]]=0,"Saisir nature des travaux",Tableau1[[#This Row],[Colonne1]])&amp;"-"&amp;Tableau1[[#This Row],[Jour]]</f>
        <v>xxx-2025-26-S5-Contrat 26-JeVe</v>
      </c>
      <c r="I35" s="33"/>
      <c r="J35" s="24"/>
      <c r="K35" s="24" t="s">
        <v>79</v>
      </c>
      <c r="L35" s="32"/>
      <c r="M35" s="91">
        <f>COUNTIF(Tableau1[[#This Row],[Secteur 1]:[Secteur 4]],"x")</f>
        <v>1</v>
      </c>
      <c r="N35" s="37" t="s">
        <v>81</v>
      </c>
      <c r="O35" s="144" t="str">
        <f>IF(Tableau1[[#This Row],[Date de Fin]]-Tableau1[[#This Row],[Date de Début]]&gt;1,"X"," ")</f>
        <v xml:space="preserve"> </v>
      </c>
      <c r="P35" s="29"/>
      <c r="Q35" s="39"/>
      <c r="R35" s="132">
        <v>45687</v>
      </c>
      <c r="S35" s="278" t="str">
        <f t="shared" si="0"/>
        <v>2025-01-30</v>
      </c>
      <c r="T35" s="131">
        <v>45688</v>
      </c>
      <c r="U35" s="276" t="str">
        <f t="shared" si="1"/>
        <v>2025-01-31</v>
      </c>
      <c r="V35" s="210" t="str">
        <f>PROPER(LEFT(TEXT(Tableau1[[#This Row],[Date de Début]],"jjjj"),2))&amp; "" &amp; PROPER(LEFT(TEXT(Tableau1[[#This Row],[Date de Début]]+1,"jjjj"),2))</f>
        <v>JeVe</v>
      </c>
      <c r="W35" s="165" t="str">
        <f>IF(Tableau1[[#This Row],[Nb jours]]&gt;1,PROPER(LEFT(TEXT(Tableau1[[#This Row],[Date de Début]]+1,"jjjj"),2))&amp; "" &amp; PROPER(LEFT(TEXT(Tableau1[[#This Row],[Date de Début]]+2,"jjjj"),2)),"")</f>
        <v/>
      </c>
      <c r="X35" s="166" t="str">
        <f>IF(Tableau1[[#This Row],[Nb jours]]&gt;2,PROPER(LEFT(TEXT(Tableau1[[#This Row],[Date de Début]]+2,"jjjj"),2))&amp; "" &amp; PROPER(LEFT(TEXT(Tableau1[[#This Row],[Date de Début]]+3,"jjjj"),2)),"")</f>
        <v/>
      </c>
      <c r="Y35" s="167" t="str">
        <f>IF(Tableau1[[#This Row],[Nb jours]]&gt;3,PROPER(LEFT(TEXT(Tableau1[[#This Row],[Date de Début]]+3,"jjjj"),2))&amp; "" &amp; PROPER(LEFT(TEXT(Tableau1[[#This Row],[Date de Début]]+4,"jjjj"),2)),"")</f>
        <v/>
      </c>
      <c r="Z35" s="166" t="str">
        <f>IF(Tableau1[[#This Row],[Nb jours]]&gt;4,PROPER(LEFT(TEXT(Tableau1[[#This Row],[Date de Début]]+4,"jjjj"),2))&amp; "" &amp; PROPER(LEFT(TEXT(Tableau1[[#This Row],[Date de Début]]+5,"jjjj"),2)),"")</f>
        <v/>
      </c>
      <c r="AA35" s="167" t="str">
        <f>IF(Tableau1[[#This Row],[Nb jours]]&gt;5,PROPER(LEFT(TEXT(Tableau1[[#This Row],[Date de Début]]+5,"jjjj"),2))&amp; "" &amp; PROPER(LEFT(TEXT(Tableau1[[#This Row],[Date de Début]]+6,"jjjj"),2)),"")</f>
        <v/>
      </c>
      <c r="AB35" s="168">
        <f>Tableau1[[#This Row],[Date de Fin]]-Tableau1[[#This Row],[Date de Début]]</f>
        <v>1</v>
      </c>
      <c r="AC35" s="150" t="str">
        <f>Tableau1[[#This Row],[Nuit 1]]&amp;Tableau1[[#This Row],[Nuit 2]]&amp;Tableau1[[#This Row],[Nuit 3]]&amp;Tableau1[[#This Row],[Nuit 4]]&amp;Tableau1[[#This Row],[Nuit 5]]&amp;Tableau1[[#This Row],[Nuit 6]]</f>
        <v>JeVe</v>
      </c>
      <c r="AD35" s="40" t="s">
        <v>155</v>
      </c>
      <c r="AE35" s="25">
        <f t="shared" si="10"/>
        <v>28</v>
      </c>
      <c r="AF35" s="30">
        <f>Tableau1[[#This Row],[Date de Début]]-AE35</f>
        <v>45659</v>
      </c>
      <c r="AG35" s="41">
        <v>45635</v>
      </c>
      <c r="AH35" s="46">
        <f t="shared" si="11"/>
        <v>21</v>
      </c>
      <c r="AI35" s="46" t="str">
        <f t="shared" si="4"/>
        <v>2024-12-09</v>
      </c>
      <c r="AJ35" s="44" t="s">
        <v>156</v>
      </c>
      <c r="AK35" s="30">
        <f>Tableau1[[#This Row],[Date de Début]]-AH35</f>
        <v>45666</v>
      </c>
      <c r="AL35" s="41">
        <v>45656</v>
      </c>
      <c r="AM35" s="46">
        <f t="shared" si="12"/>
        <v>21</v>
      </c>
      <c r="AN35" s="262" t="str">
        <f>IF(AL35="","",TEXT(Tableau1[[#This Row],[Date de fin de vérification]],"AAAA-MM-JJ"))</f>
        <v>2024-12-30</v>
      </c>
      <c r="AO35" s="48">
        <f>Tableau1[[#This Row],[Date de Début]]-AM35</f>
        <v>45666</v>
      </c>
      <c r="AP35" s="43">
        <v>45657</v>
      </c>
      <c r="AQ35" s="46">
        <f t="shared" si="13"/>
        <v>14</v>
      </c>
      <c r="AR35" s="46" t="str">
        <f t="shared" si="14"/>
        <v>31/12/2024</v>
      </c>
      <c r="AS35" s="48">
        <f>Tableau1[[#This Row],[Date de Début]]-AQ35</f>
        <v>45673</v>
      </c>
      <c r="AT35" s="43">
        <v>45657</v>
      </c>
      <c r="AU35" s="46">
        <f t="shared" si="15"/>
        <v>14</v>
      </c>
      <c r="AV35" s="46" t="str">
        <f t="shared" si="8"/>
        <v>31-12-2024</v>
      </c>
      <c r="AW35" s="48">
        <f>Tableau1[[#This Row],[Date de Début]]-AU35</f>
        <v>45673</v>
      </c>
      <c r="AX35" s="41">
        <v>45657</v>
      </c>
      <c r="AY35" s="270" t="str">
        <f t="shared" si="9"/>
        <v>2024-12-31</v>
      </c>
      <c r="AZ35" s="50">
        <f>IF(Tableau1[[#This Row],[Date limite de fin de rédaction]]&lt;Tableau1[[#This Row],[Date de fin de rédaction]],1,0)</f>
        <v>0</v>
      </c>
      <c r="BA35" s="26">
        <f>IF(Tableau1[[#This Row],[Date limite de fin de vérification]]&lt;Tableau1[[#This Row],[Date de fin de vérification]],1,0)</f>
        <v>0</v>
      </c>
      <c r="BB35" s="26">
        <f>IF(Tableau1[[#This Row],[Date limite d''envoi a  l''exploitation]]&lt;Tableau1[[#This Row],[Date d''envoi à  l''exploitation
(Mettre en copier le demandeur et le rédacteur)]],1,0)</f>
        <v>0</v>
      </c>
      <c r="BC35" s="26">
        <f>IF(Tableau1[[#This Row],[Date limite de réception]]&lt;Tableau1[[#This Row],[Date de réception]],1,0)</f>
        <v>0</v>
      </c>
      <c r="BD35" s="52">
        <f>IF(Tableau1[[#This Row],[Date limite limite de dépose sur la GED]]&lt;Tableau1[[#This Row],[Date de dépose sur la GED]],1,0)</f>
        <v>0</v>
      </c>
      <c r="BE35" s="244"/>
      <c r="BF35" s="243"/>
      <c r="BG35" s="309">
        <v>45705</v>
      </c>
      <c r="BH35" s="295"/>
      <c r="BI35" s="297"/>
      <c r="BJ35" s="300"/>
      <c r="BK35" s="242" t="s">
        <v>82</v>
      </c>
    </row>
    <row r="36" spans="1:63" x14ac:dyDescent="0.25">
      <c r="A36" s="223">
        <f t="shared" si="16"/>
        <v>27</v>
      </c>
      <c r="B36" s="90" t="s">
        <v>148</v>
      </c>
      <c r="C36" s="90"/>
      <c r="D36" s="54" t="str">
        <f>IF(Tableau1[[#This Row],[Date de Début]]=0,"Saisir date de début","S"&amp; _xlfn.ISOWEEKNUM(R36))</f>
        <v>S5</v>
      </c>
      <c r="E36" s="24" t="s">
        <v>193</v>
      </c>
      <c r="F36" s="39"/>
      <c r="G36" s="159" t="str">
        <f>"xxx-2025-"&amp;Tableau1[[#This Row],[N° de 
Ctx]]&amp;"-"&amp;Tableau1[[#This Row],[N° semaine]]&amp;"-"&amp; Tableau1[[#This Row],[Nature des travaux]]</f>
        <v>xxx-2025-27-S5-Contrat 27</v>
      </c>
      <c r="H36" s="68" t="str">
        <f>IF(Tableau1[[#This Row],[Nature des travaux]]=0,"Saisir nature des travaux",Tableau1[[#This Row],[Colonne1]])&amp;"-"&amp;Tableau1[[#This Row],[Jour]]</f>
        <v>xxx-2025-27-S5-Contrat 27-MaMe</v>
      </c>
      <c r="I36" s="33"/>
      <c r="J36" s="24"/>
      <c r="K36" s="24" t="s">
        <v>79</v>
      </c>
      <c r="L36" s="32"/>
      <c r="M36" s="91">
        <f>COUNTIF(Tableau1[[#This Row],[Secteur 1]:[Secteur 4]],"x")</f>
        <v>1</v>
      </c>
      <c r="N36" s="37" t="s">
        <v>81</v>
      </c>
      <c r="O36" s="144" t="str">
        <f>IF(Tableau1[[#This Row],[Date de Fin]]-Tableau1[[#This Row],[Date de Début]]&gt;1,"X"," ")</f>
        <v xml:space="preserve"> </v>
      </c>
      <c r="P36" s="29"/>
      <c r="Q36" s="39"/>
      <c r="R36" s="132">
        <v>45685</v>
      </c>
      <c r="S36" s="278" t="str">
        <f t="shared" si="0"/>
        <v>2025-01-28</v>
      </c>
      <c r="T36" s="133">
        <v>45686</v>
      </c>
      <c r="U36" s="287" t="str">
        <f t="shared" si="1"/>
        <v>2025-01-29</v>
      </c>
      <c r="V36" s="210" t="str">
        <f>PROPER(LEFT(TEXT(Tableau1[[#This Row],[Date de Début]],"jjjj"),2))&amp; "" &amp; PROPER(LEFT(TEXT(Tableau1[[#This Row],[Date de Début]]+1,"jjjj"),2))</f>
        <v>MaMe</v>
      </c>
      <c r="W36" s="165" t="str">
        <f>IF(Tableau1[[#This Row],[Nb jours]]&gt;1,PROPER(LEFT(TEXT(Tableau1[[#This Row],[Date de Début]]+1,"jjjj"),2))&amp; "" &amp; PROPER(LEFT(TEXT(Tableau1[[#This Row],[Date de Début]]+2,"jjjj"),2)),"")</f>
        <v/>
      </c>
      <c r="X36" s="166" t="str">
        <f>IF(Tableau1[[#This Row],[Nb jours]]&gt;2,PROPER(LEFT(TEXT(Tableau1[[#This Row],[Date de Début]]+2,"jjjj"),2))&amp; "" &amp; PROPER(LEFT(TEXT(Tableau1[[#This Row],[Date de Début]]+3,"jjjj"),2)),"")</f>
        <v/>
      </c>
      <c r="Y36" s="167" t="str">
        <f>IF(Tableau1[[#This Row],[Nb jours]]&gt;3,PROPER(LEFT(TEXT(Tableau1[[#This Row],[Date de Début]]+3,"jjjj"),2))&amp; "" &amp; PROPER(LEFT(TEXT(Tableau1[[#This Row],[Date de Début]]+4,"jjjj"),2)),"")</f>
        <v/>
      </c>
      <c r="Z36" s="166" t="str">
        <f>IF(Tableau1[[#This Row],[Nb jours]]&gt;4,PROPER(LEFT(TEXT(Tableau1[[#This Row],[Date de Début]]+4,"jjjj"),2))&amp; "" &amp; PROPER(LEFT(TEXT(Tableau1[[#This Row],[Date de Début]]+5,"jjjj"),2)),"")</f>
        <v/>
      </c>
      <c r="AA36" s="167" t="str">
        <f>IF(Tableau1[[#This Row],[Nb jours]]&gt;5,PROPER(LEFT(TEXT(Tableau1[[#This Row],[Date de Début]]+5,"jjjj"),2))&amp; "" &amp; PROPER(LEFT(TEXT(Tableau1[[#This Row],[Date de Début]]+6,"jjjj"),2)),"")</f>
        <v/>
      </c>
      <c r="AB36" s="168">
        <f>Tableau1[[#This Row],[Date de Fin]]-Tableau1[[#This Row],[Date de Début]]</f>
        <v>1</v>
      </c>
      <c r="AC36" s="150" t="str">
        <f>Tableau1[[#This Row],[Nuit 1]]&amp;Tableau1[[#This Row],[Nuit 2]]&amp;Tableau1[[#This Row],[Nuit 3]]&amp;Tableau1[[#This Row],[Nuit 4]]&amp;Tableau1[[#This Row],[Nuit 5]]&amp;Tableau1[[#This Row],[Nuit 6]]</f>
        <v>MaMe</v>
      </c>
      <c r="AD36" s="40" t="s">
        <v>155</v>
      </c>
      <c r="AE36" s="25">
        <f t="shared" si="10"/>
        <v>28</v>
      </c>
      <c r="AF36" s="30">
        <f>Tableau1[[#This Row],[Date de Début]]-AE36</f>
        <v>45657</v>
      </c>
      <c r="AG36" s="41">
        <v>45635</v>
      </c>
      <c r="AH36" s="46">
        <f t="shared" si="11"/>
        <v>21</v>
      </c>
      <c r="AI36" s="46" t="str">
        <f t="shared" si="4"/>
        <v>2024-12-09</v>
      </c>
      <c r="AJ36" s="44" t="s">
        <v>156</v>
      </c>
      <c r="AK36" s="30">
        <f>Tableau1[[#This Row],[Date de Début]]-AH36</f>
        <v>45664</v>
      </c>
      <c r="AL36" s="41">
        <v>45656</v>
      </c>
      <c r="AM36" s="46">
        <f t="shared" si="12"/>
        <v>21</v>
      </c>
      <c r="AN36" s="262" t="str">
        <f>IF(AL36="","",TEXT(Tableau1[[#This Row],[Date de fin de vérification]],"AAAA-MM-JJ"))</f>
        <v>2024-12-30</v>
      </c>
      <c r="AO36" s="48">
        <f>Tableau1[[#This Row],[Date de Début]]-AM36</f>
        <v>45664</v>
      </c>
      <c r="AP36" s="43">
        <v>45657</v>
      </c>
      <c r="AQ36" s="46">
        <f t="shared" si="13"/>
        <v>14</v>
      </c>
      <c r="AR36" s="46" t="str">
        <f t="shared" si="14"/>
        <v>31/12/2024</v>
      </c>
      <c r="AS36" s="48">
        <f>Tableau1[[#This Row],[Date de Début]]-AQ36</f>
        <v>45671</v>
      </c>
      <c r="AT36" s="43">
        <v>45657</v>
      </c>
      <c r="AU36" s="46">
        <f t="shared" si="15"/>
        <v>14</v>
      </c>
      <c r="AV36" s="46" t="str">
        <f t="shared" si="8"/>
        <v>31-12-2024</v>
      </c>
      <c r="AW36" s="48">
        <f>Tableau1[[#This Row],[Date de Début]]-AU36</f>
        <v>45671</v>
      </c>
      <c r="AX36" s="41">
        <v>45657</v>
      </c>
      <c r="AY36" s="270" t="str">
        <f t="shared" si="9"/>
        <v>2024-12-31</v>
      </c>
      <c r="AZ36" s="50">
        <f>IF(Tableau1[[#This Row],[Date limite de fin de rédaction]]&lt;Tableau1[[#This Row],[Date de fin de rédaction]],1,0)</f>
        <v>0</v>
      </c>
      <c r="BA36" s="26">
        <f>IF(Tableau1[[#This Row],[Date limite de fin de vérification]]&lt;Tableau1[[#This Row],[Date de fin de vérification]],1,0)</f>
        <v>0</v>
      </c>
      <c r="BB36" s="26">
        <f>IF(Tableau1[[#This Row],[Date limite d''envoi a  l''exploitation]]&lt;Tableau1[[#This Row],[Date d''envoi à  l''exploitation
(Mettre en copier le demandeur et le rédacteur)]],1,0)</f>
        <v>0</v>
      </c>
      <c r="BC36" s="26">
        <f>IF(Tableau1[[#This Row],[Date limite de réception]]&lt;Tableau1[[#This Row],[Date de réception]],1,0)</f>
        <v>0</v>
      </c>
      <c r="BD36" s="52">
        <f>IF(Tableau1[[#This Row],[Date limite limite de dépose sur la GED]]&lt;Tableau1[[#This Row],[Date de dépose sur la GED]],1,0)</f>
        <v>0</v>
      </c>
      <c r="BE36" s="244"/>
      <c r="BF36" s="243"/>
      <c r="BG36" s="309">
        <v>45705</v>
      </c>
      <c r="BH36" s="295"/>
      <c r="BI36" s="297"/>
      <c r="BJ36" s="300"/>
      <c r="BK36" s="242" t="s">
        <v>82</v>
      </c>
    </row>
    <row r="37" spans="1:63" x14ac:dyDescent="0.25">
      <c r="A37" s="223">
        <f t="shared" si="16"/>
        <v>28</v>
      </c>
      <c r="B37" s="90" t="s">
        <v>148</v>
      </c>
      <c r="C37" s="90"/>
      <c r="D37" s="54" t="str">
        <f>IF(Tableau1[[#This Row],[Date de Début]]=0,"Saisir date de début","S"&amp; _xlfn.ISOWEEKNUM(R37))</f>
        <v>S5</v>
      </c>
      <c r="E37" s="24" t="s">
        <v>194</v>
      </c>
      <c r="F37" s="39"/>
      <c r="G37" s="159" t="str">
        <f>"xxx-2025-"&amp;Tableau1[[#This Row],[N° de 
Ctx]]&amp;"-"&amp;Tableau1[[#This Row],[N° semaine]]&amp;"-"&amp; Tableau1[[#This Row],[Nature des travaux]]</f>
        <v>xxx-2025-28-S5-Contrat 28</v>
      </c>
      <c r="H37" s="68" t="str">
        <f>IF(Tableau1[[#This Row],[Nature des travaux]]=0,"Saisir nature des travaux",Tableau1[[#This Row],[Colonne1]])&amp;"-"&amp;Tableau1[[#This Row],[Jour]]</f>
        <v>xxx-2025-28-S5-Contrat 28-MeJe</v>
      </c>
      <c r="I37" s="33"/>
      <c r="J37" s="24"/>
      <c r="K37" s="24" t="s">
        <v>79</v>
      </c>
      <c r="L37" s="32"/>
      <c r="M37" s="91">
        <f>COUNTIF(Tableau1[[#This Row],[Secteur 1]:[Secteur 4]],"x")</f>
        <v>1</v>
      </c>
      <c r="N37" s="37" t="s">
        <v>81</v>
      </c>
      <c r="O37" s="144" t="str">
        <f>IF(Tableau1[[#This Row],[Date de Fin]]-Tableau1[[#This Row],[Date de Début]]&gt;1,"X"," ")</f>
        <v xml:space="preserve"> </v>
      </c>
      <c r="P37" s="29"/>
      <c r="Q37" s="39"/>
      <c r="R37" s="132">
        <v>45686</v>
      </c>
      <c r="S37" s="278" t="str">
        <f t="shared" si="0"/>
        <v>2025-01-29</v>
      </c>
      <c r="T37" s="133">
        <v>45687</v>
      </c>
      <c r="U37" s="287" t="str">
        <f t="shared" si="1"/>
        <v>2025-01-30</v>
      </c>
      <c r="V37" s="210" t="str">
        <f>PROPER(LEFT(TEXT(Tableau1[[#This Row],[Date de Début]],"jjjj"),2))&amp; "" &amp; PROPER(LEFT(TEXT(Tableau1[[#This Row],[Date de Début]]+1,"jjjj"),2))</f>
        <v>MeJe</v>
      </c>
      <c r="W37" s="165" t="str">
        <f>IF(Tableau1[[#This Row],[Nb jours]]&gt;1,PROPER(LEFT(TEXT(Tableau1[[#This Row],[Date de Début]]+1,"jjjj"),2))&amp; "" &amp; PROPER(LEFT(TEXT(Tableau1[[#This Row],[Date de Début]]+2,"jjjj"),2)),"")</f>
        <v/>
      </c>
      <c r="X37" s="166" t="str">
        <f>IF(Tableau1[[#This Row],[Nb jours]]&gt;2,PROPER(LEFT(TEXT(Tableau1[[#This Row],[Date de Début]]+2,"jjjj"),2))&amp; "" &amp; PROPER(LEFT(TEXT(Tableau1[[#This Row],[Date de Début]]+3,"jjjj"),2)),"")</f>
        <v/>
      </c>
      <c r="Y37" s="167" t="str">
        <f>IF(Tableau1[[#This Row],[Nb jours]]&gt;3,PROPER(LEFT(TEXT(Tableau1[[#This Row],[Date de Début]]+3,"jjjj"),2))&amp; "" &amp; PROPER(LEFT(TEXT(Tableau1[[#This Row],[Date de Début]]+4,"jjjj"),2)),"")</f>
        <v/>
      </c>
      <c r="Z37" s="166" t="str">
        <f>IF(Tableau1[[#This Row],[Nb jours]]&gt;4,PROPER(LEFT(TEXT(Tableau1[[#This Row],[Date de Début]]+4,"jjjj"),2))&amp; "" &amp; PROPER(LEFT(TEXT(Tableau1[[#This Row],[Date de Début]]+5,"jjjj"),2)),"")</f>
        <v/>
      </c>
      <c r="AA37" s="167" t="str">
        <f>IF(Tableau1[[#This Row],[Nb jours]]&gt;5,PROPER(LEFT(TEXT(Tableau1[[#This Row],[Date de Début]]+5,"jjjj"),2))&amp; "" &amp; PROPER(LEFT(TEXT(Tableau1[[#This Row],[Date de Début]]+6,"jjjj"),2)),"")</f>
        <v/>
      </c>
      <c r="AB37" s="168">
        <f>Tableau1[[#This Row],[Date de Fin]]-Tableau1[[#This Row],[Date de Début]]</f>
        <v>1</v>
      </c>
      <c r="AC37" s="150" t="str">
        <f>Tableau1[[#This Row],[Nuit 1]]&amp;Tableau1[[#This Row],[Nuit 2]]&amp;Tableau1[[#This Row],[Nuit 3]]&amp;Tableau1[[#This Row],[Nuit 4]]&amp;Tableau1[[#This Row],[Nuit 5]]&amp;Tableau1[[#This Row],[Nuit 6]]</f>
        <v>MeJe</v>
      </c>
      <c r="AD37" s="40" t="s">
        <v>155</v>
      </c>
      <c r="AE37" s="25">
        <f t="shared" si="10"/>
        <v>28</v>
      </c>
      <c r="AF37" s="30">
        <f>Tableau1[[#This Row],[Date de Début]]-AE37</f>
        <v>45658</v>
      </c>
      <c r="AG37" s="41">
        <v>45635</v>
      </c>
      <c r="AH37" s="46">
        <f t="shared" si="11"/>
        <v>21</v>
      </c>
      <c r="AI37" s="46" t="str">
        <f t="shared" si="4"/>
        <v>2024-12-09</v>
      </c>
      <c r="AJ37" s="44" t="s">
        <v>156</v>
      </c>
      <c r="AK37" s="30">
        <f>Tableau1[[#This Row],[Date de Début]]-AH37</f>
        <v>45665</v>
      </c>
      <c r="AL37" s="41">
        <v>45656</v>
      </c>
      <c r="AM37" s="46">
        <f t="shared" si="12"/>
        <v>21</v>
      </c>
      <c r="AN37" s="262" t="str">
        <f>IF(AL37="","",TEXT(Tableau1[[#This Row],[Date de fin de vérification]],"AAAA-MM-JJ"))</f>
        <v>2024-12-30</v>
      </c>
      <c r="AO37" s="48">
        <f>Tableau1[[#This Row],[Date de Début]]-AM37</f>
        <v>45665</v>
      </c>
      <c r="AP37" s="43">
        <v>45657</v>
      </c>
      <c r="AQ37" s="46">
        <f t="shared" si="13"/>
        <v>14</v>
      </c>
      <c r="AR37" s="46" t="str">
        <f t="shared" si="14"/>
        <v>31/12/2024</v>
      </c>
      <c r="AS37" s="48">
        <f>Tableau1[[#This Row],[Date de Début]]-AQ37</f>
        <v>45672</v>
      </c>
      <c r="AT37" s="43">
        <v>45657</v>
      </c>
      <c r="AU37" s="46">
        <f t="shared" si="15"/>
        <v>14</v>
      </c>
      <c r="AV37" s="46" t="str">
        <f t="shared" si="8"/>
        <v>31-12-2024</v>
      </c>
      <c r="AW37" s="48">
        <f>Tableau1[[#This Row],[Date de Début]]-AU37</f>
        <v>45672</v>
      </c>
      <c r="AX37" s="41">
        <v>45657</v>
      </c>
      <c r="AY37" s="270" t="str">
        <f t="shared" si="9"/>
        <v>2024-12-31</v>
      </c>
      <c r="AZ37" s="50">
        <f>IF(Tableau1[[#This Row],[Date limite de fin de rédaction]]&lt;Tableau1[[#This Row],[Date de fin de rédaction]],1,0)</f>
        <v>0</v>
      </c>
      <c r="BA37" s="26">
        <f>IF(Tableau1[[#This Row],[Date limite de fin de vérification]]&lt;Tableau1[[#This Row],[Date de fin de vérification]],1,0)</f>
        <v>0</v>
      </c>
      <c r="BB37" s="26">
        <f>IF(Tableau1[[#This Row],[Date limite d''envoi a  l''exploitation]]&lt;Tableau1[[#This Row],[Date d''envoi à  l''exploitation
(Mettre en copier le demandeur et le rédacteur)]],1,0)</f>
        <v>0</v>
      </c>
      <c r="BC37" s="26">
        <f>IF(Tableau1[[#This Row],[Date limite de réception]]&lt;Tableau1[[#This Row],[Date de réception]],1,0)</f>
        <v>0</v>
      </c>
      <c r="BD37" s="52">
        <f>IF(Tableau1[[#This Row],[Date limite limite de dépose sur la GED]]&lt;Tableau1[[#This Row],[Date de dépose sur la GED]],1,0)</f>
        <v>0</v>
      </c>
      <c r="BE37" s="244"/>
      <c r="BF37" s="243"/>
      <c r="BG37" s="309">
        <v>45705</v>
      </c>
      <c r="BH37" s="295"/>
      <c r="BI37" s="297"/>
      <c r="BJ37" s="300"/>
      <c r="BK37" s="242" t="s">
        <v>82</v>
      </c>
    </row>
    <row r="38" spans="1:63" x14ac:dyDescent="0.25">
      <c r="A38" s="223">
        <f t="shared" si="16"/>
        <v>29</v>
      </c>
      <c r="B38" s="90" t="s">
        <v>148</v>
      </c>
      <c r="C38" s="90"/>
      <c r="D38" s="54" t="str">
        <f>IF(Tableau1[[#This Row],[Date de Début]]=0,"Saisir date de début","S"&amp; _xlfn.ISOWEEKNUM(R38))</f>
        <v>S5</v>
      </c>
      <c r="E38" s="24" t="s">
        <v>195</v>
      </c>
      <c r="F38" s="39"/>
      <c r="G38" s="159" t="str">
        <f>"xxx-2025-"&amp;Tableau1[[#This Row],[N° de 
Ctx]]&amp;"-"&amp;Tableau1[[#This Row],[N° semaine]]&amp;"-"&amp; Tableau1[[#This Row],[Nature des travaux]]</f>
        <v>xxx-2025-29-S5-Contrat 29</v>
      </c>
      <c r="H38" s="68" t="str">
        <f>IF(Tableau1[[#This Row],[Nature des travaux]]=0,"Saisir nature des travaux",Tableau1[[#This Row],[Colonne1]])&amp;"-"&amp;Tableau1[[#This Row],[Jour]]</f>
        <v>xxx-2025-29-S5-Contrat 29-LuMa</v>
      </c>
      <c r="I38" s="33"/>
      <c r="J38" s="24"/>
      <c r="K38" s="24" t="s">
        <v>79</v>
      </c>
      <c r="L38" s="32"/>
      <c r="M38" s="91">
        <f>COUNTIF(Tableau1[[#This Row],[Secteur 1]:[Secteur 4]],"x")</f>
        <v>1</v>
      </c>
      <c r="N38" s="37" t="s">
        <v>81</v>
      </c>
      <c r="O38" s="144" t="str">
        <f>IF(Tableau1[[#This Row],[Date de Fin]]-Tableau1[[#This Row],[Date de Début]]&gt;1,"X"," ")</f>
        <v xml:space="preserve"> </v>
      </c>
      <c r="P38" s="29"/>
      <c r="Q38" s="39"/>
      <c r="R38" s="132">
        <v>45684</v>
      </c>
      <c r="S38" s="278" t="str">
        <f t="shared" si="0"/>
        <v>2025-01-27</v>
      </c>
      <c r="T38" s="131">
        <v>45685</v>
      </c>
      <c r="U38" s="276" t="str">
        <f t="shared" si="1"/>
        <v>2025-01-28</v>
      </c>
      <c r="V38" s="210" t="str">
        <f>PROPER(LEFT(TEXT(Tableau1[[#This Row],[Date de Début]],"jjjj"),2))&amp; "" &amp; PROPER(LEFT(TEXT(Tableau1[[#This Row],[Date de Début]]+1,"jjjj"),2))</f>
        <v>LuMa</v>
      </c>
      <c r="W38" s="165" t="str">
        <f>IF(Tableau1[[#This Row],[Nb jours]]&gt;1,PROPER(LEFT(TEXT(Tableau1[[#This Row],[Date de Début]]+1,"jjjj"),2))&amp; "" &amp; PROPER(LEFT(TEXT(Tableau1[[#This Row],[Date de Début]]+2,"jjjj"),2)),"")</f>
        <v/>
      </c>
      <c r="X38" s="166" t="str">
        <f>IF(Tableau1[[#This Row],[Nb jours]]&gt;2,PROPER(LEFT(TEXT(Tableau1[[#This Row],[Date de Début]]+2,"jjjj"),2))&amp; "" &amp; PROPER(LEFT(TEXT(Tableau1[[#This Row],[Date de Début]]+3,"jjjj"),2)),"")</f>
        <v/>
      </c>
      <c r="Y38" s="167" t="str">
        <f>IF(Tableau1[[#This Row],[Nb jours]]&gt;3,PROPER(LEFT(TEXT(Tableau1[[#This Row],[Date de Début]]+3,"jjjj"),2))&amp; "" &amp; PROPER(LEFT(TEXT(Tableau1[[#This Row],[Date de Début]]+4,"jjjj"),2)),"")</f>
        <v/>
      </c>
      <c r="Z38" s="166" t="str">
        <f>IF(Tableau1[[#This Row],[Nb jours]]&gt;4,PROPER(LEFT(TEXT(Tableau1[[#This Row],[Date de Début]]+4,"jjjj"),2))&amp; "" &amp; PROPER(LEFT(TEXT(Tableau1[[#This Row],[Date de Début]]+5,"jjjj"),2)),"")</f>
        <v/>
      </c>
      <c r="AA38" s="167" t="str">
        <f>IF(Tableau1[[#This Row],[Nb jours]]&gt;5,PROPER(LEFT(TEXT(Tableau1[[#This Row],[Date de Début]]+5,"jjjj"),2))&amp; "" &amp; PROPER(LEFT(TEXT(Tableau1[[#This Row],[Date de Début]]+6,"jjjj"),2)),"")</f>
        <v/>
      </c>
      <c r="AB38" s="168">
        <f>Tableau1[[#This Row],[Date de Fin]]-Tableau1[[#This Row],[Date de Début]]</f>
        <v>1</v>
      </c>
      <c r="AC38" s="150" t="str">
        <f>Tableau1[[#This Row],[Nuit 1]]&amp;Tableau1[[#This Row],[Nuit 2]]&amp;Tableau1[[#This Row],[Nuit 3]]&amp;Tableau1[[#This Row],[Nuit 4]]&amp;Tableau1[[#This Row],[Nuit 5]]&amp;Tableau1[[#This Row],[Nuit 6]]</f>
        <v>LuMa</v>
      </c>
      <c r="AD38" s="40" t="s">
        <v>155</v>
      </c>
      <c r="AE38" s="25">
        <f t="shared" si="10"/>
        <v>28</v>
      </c>
      <c r="AF38" s="30">
        <f>Tableau1[[#This Row],[Date de Début]]-AE38</f>
        <v>45656</v>
      </c>
      <c r="AG38" s="41">
        <v>45635</v>
      </c>
      <c r="AH38" s="46">
        <f t="shared" si="11"/>
        <v>21</v>
      </c>
      <c r="AI38" s="46" t="str">
        <f t="shared" si="4"/>
        <v>2024-12-09</v>
      </c>
      <c r="AJ38" s="44" t="s">
        <v>156</v>
      </c>
      <c r="AK38" s="30">
        <f>Tableau1[[#This Row],[Date de Début]]-AH38</f>
        <v>45663</v>
      </c>
      <c r="AL38" s="41">
        <v>45656</v>
      </c>
      <c r="AM38" s="46">
        <f t="shared" si="12"/>
        <v>21</v>
      </c>
      <c r="AN38" s="262" t="str">
        <f>IF(AL38="","",TEXT(Tableau1[[#This Row],[Date de fin de vérification]],"AAAA-MM-JJ"))</f>
        <v>2024-12-30</v>
      </c>
      <c r="AO38" s="48">
        <f>Tableau1[[#This Row],[Date de Début]]-AM38</f>
        <v>45663</v>
      </c>
      <c r="AP38" s="43">
        <v>45657</v>
      </c>
      <c r="AQ38" s="46">
        <f t="shared" si="13"/>
        <v>14</v>
      </c>
      <c r="AR38" s="46" t="str">
        <f t="shared" si="14"/>
        <v>31/12/2024</v>
      </c>
      <c r="AS38" s="48">
        <f>Tableau1[[#This Row],[Date de Début]]-AQ38</f>
        <v>45670</v>
      </c>
      <c r="AT38" s="43">
        <v>45657</v>
      </c>
      <c r="AU38" s="46">
        <f t="shared" si="15"/>
        <v>14</v>
      </c>
      <c r="AV38" s="46" t="str">
        <f t="shared" si="8"/>
        <v>31-12-2024</v>
      </c>
      <c r="AW38" s="48">
        <f>Tableau1[[#This Row],[Date de Début]]-AU38</f>
        <v>45670</v>
      </c>
      <c r="AX38" s="41">
        <v>45657</v>
      </c>
      <c r="AY38" s="270" t="str">
        <f t="shared" si="9"/>
        <v>2024-12-31</v>
      </c>
      <c r="AZ38" s="50">
        <f>IF(Tableau1[[#This Row],[Date limite de fin de rédaction]]&lt;Tableau1[[#This Row],[Date de fin de rédaction]],1,0)</f>
        <v>0</v>
      </c>
      <c r="BA38" s="26">
        <f>IF(Tableau1[[#This Row],[Date limite de fin de vérification]]&lt;Tableau1[[#This Row],[Date de fin de vérification]],1,0)</f>
        <v>0</v>
      </c>
      <c r="BB38" s="26">
        <f>IF(Tableau1[[#This Row],[Date limite d''envoi a  l''exploitation]]&lt;Tableau1[[#This Row],[Date d''envoi à  l''exploitation
(Mettre en copier le demandeur et le rédacteur)]],1,0)</f>
        <v>0</v>
      </c>
      <c r="BC38" s="26">
        <f>IF(Tableau1[[#This Row],[Date limite de réception]]&lt;Tableau1[[#This Row],[Date de réception]],1,0)</f>
        <v>0</v>
      </c>
      <c r="BD38" s="52">
        <f>IF(Tableau1[[#This Row],[Date limite limite de dépose sur la GED]]&lt;Tableau1[[#This Row],[Date de dépose sur la GED]],1,0)</f>
        <v>0</v>
      </c>
      <c r="BE38" s="244"/>
      <c r="BF38" s="243"/>
      <c r="BG38" s="309">
        <v>45705</v>
      </c>
      <c r="BH38" s="295"/>
      <c r="BI38" s="297"/>
      <c r="BJ38" s="300"/>
      <c r="BK38" s="242" t="s">
        <v>82</v>
      </c>
    </row>
    <row r="39" spans="1:63" x14ac:dyDescent="0.25">
      <c r="A39" s="223">
        <f t="shared" si="16"/>
        <v>30</v>
      </c>
      <c r="B39" s="90" t="s">
        <v>148</v>
      </c>
      <c r="C39" s="90"/>
      <c r="D39" s="54" t="str">
        <f>IF(Tableau1[[#This Row],[Date de Début]]=0,"Saisir date de début","S"&amp; _xlfn.ISOWEEKNUM(R39))</f>
        <v>S2</v>
      </c>
      <c r="E39" s="24" t="s">
        <v>196</v>
      </c>
      <c r="F39" s="39"/>
      <c r="G39" s="159" t="str">
        <f>"xxx-2025-"&amp;Tableau1[[#This Row],[N° de 
Ctx]]&amp;"-"&amp;Tableau1[[#This Row],[N° semaine]]&amp;"-"&amp; Tableau1[[#This Row],[Nature des travaux]]</f>
        <v>xxx-2025-30-S2-Contrat 30</v>
      </c>
      <c r="H39" s="68" t="str">
        <f>IF(Tableau1[[#This Row],[Nature des travaux]]=0,"Saisir nature des travaux",Tableau1[[#This Row],[Colonne1]])&amp;"-"&amp;Tableau1[[#This Row],[Jour]]</f>
        <v>xxx-2025-30-S2-Contrat 30-JeVe</v>
      </c>
      <c r="I39" s="33"/>
      <c r="J39" s="24"/>
      <c r="K39" s="24" t="s">
        <v>79</v>
      </c>
      <c r="L39" s="32"/>
      <c r="M39" s="91">
        <f>COUNTIF(Tableau1[[#This Row],[Secteur 1]:[Secteur 4]],"x")</f>
        <v>1</v>
      </c>
      <c r="N39" s="37" t="s">
        <v>81</v>
      </c>
      <c r="O39" s="144" t="str">
        <f>IF(Tableau1[[#This Row],[Date de Fin]]-Tableau1[[#This Row],[Date de Début]]&gt;1,"X"," ")</f>
        <v xml:space="preserve"> </v>
      </c>
      <c r="P39" s="29"/>
      <c r="Q39" s="39"/>
      <c r="R39" s="132">
        <v>45666</v>
      </c>
      <c r="S39" s="278" t="str">
        <f t="shared" si="0"/>
        <v>2025-01-09</v>
      </c>
      <c r="T39" s="131">
        <v>45667</v>
      </c>
      <c r="U39" s="276" t="str">
        <f t="shared" si="1"/>
        <v>2025-01-10</v>
      </c>
      <c r="V39" s="210" t="str">
        <f>PROPER(LEFT(TEXT(Tableau1[[#This Row],[Date de Début]],"jjjj"),2))&amp; "" &amp; PROPER(LEFT(TEXT(Tableau1[[#This Row],[Date de Début]]+1,"jjjj"),2))</f>
        <v>JeVe</v>
      </c>
      <c r="W39" s="165" t="str">
        <f>IF(Tableau1[[#This Row],[Nb jours]]&gt;1,PROPER(LEFT(TEXT(Tableau1[[#This Row],[Date de Début]]+1,"jjjj"),2))&amp; "" &amp; PROPER(LEFT(TEXT(Tableau1[[#This Row],[Date de Début]]+2,"jjjj"),2)),"")</f>
        <v/>
      </c>
      <c r="X39" s="166" t="str">
        <f>IF(Tableau1[[#This Row],[Nb jours]]&gt;2,PROPER(LEFT(TEXT(Tableau1[[#This Row],[Date de Début]]+2,"jjjj"),2))&amp; "" &amp; PROPER(LEFT(TEXT(Tableau1[[#This Row],[Date de Début]]+3,"jjjj"),2)),"")</f>
        <v/>
      </c>
      <c r="Y39" s="167" t="str">
        <f>IF(Tableau1[[#This Row],[Nb jours]]&gt;3,PROPER(LEFT(TEXT(Tableau1[[#This Row],[Date de Début]]+3,"jjjj"),2))&amp; "" &amp; PROPER(LEFT(TEXT(Tableau1[[#This Row],[Date de Début]]+4,"jjjj"),2)),"")</f>
        <v/>
      </c>
      <c r="Z39" s="166" t="str">
        <f>IF(Tableau1[[#This Row],[Nb jours]]&gt;4,PROPER(LEFT(TEXT(Tableau1[[#This Row],[Date de Début]]+4,"jjjj"),2))&amp; "" &amp; PROPER(LEFT(TEXT(Tableau1[[#This Row],[Date de Début]]+5,"jjjj"),2)),"")</f>
        <v/>
      </c>
      <c r="AA39" s="167" t="str">
        <f>IF(Tableau1[[#This Row],[Nb jours]]&gt;5,PROPER(LEFT(TEXT(Tableau1[[#This Row],[Date de Début]]+5,"jjjj"),2))&amp; "" &amp; PROPER(LEFT(TEXT(Tableau1[[#This Row],[Date de Début]]+6,"jjjj"),2)),"")</f>
        <v/>
      </c>
      <c r="AB39" s="168">
        <f>Tableau1[[#This Row],[Date de Fin]]-Tableau1[[#This Row],[Date de Début]]</f>
        <v>1</v>
      </c>
      <c r="AC39" s="150" t="str">
        <f>Tableau1[[#This Row],[Nuit 1]]&amp;Tableau1[[#This Row],[Nuit 2]]&amp;Tableau1[[#This Row],[Nuit 3]]&amp;Tableau1[[#This Row],[Nuit 4]]&amp;Tableau1[[#This Row],[Nuit 5]]&amp;Tableau1[[#This Row],[Nuit 6]]</f>
        <v>JeVe</v>
      </c>
      <c r="AD39" s="40" t="s">
        <v>155</v>
      </c>
      <c r="AE39" s="25">
        <f t="shared" si="10"/>
        <v>28</v>
      </c>
      <c r="AF39" s="30">
        <f>Tableau1[[#This Row],[Date de Début]]-AE39</f>
        <v>45638</v>
      </c>
      <c r="AG39" s="41">
        <v>45635</v>
      </c>
      <c r="AH39" s="46">
        <f t="shared" si="11"/>
        <v>21</v>
      </c>
      <c r="AI39" s="46" t="str">
        <f t="shared" si="4"/>
        <v>2024-12-09</v>
      </c>
      <c r="AJ39" s="44" t="s">
        <v>158</v>
      </c>
      <c r="AK39" s="30">
        <f>Tableau1[[#This Row],[Date de Début]]-AH39</f>
        <v>45645</v>
      </c>
      <c r="AL39" s="41">
        <v>45652</v>
      </c>
      <c r="AM39" s="46">
        <f t="shared" si="12"/>
        <v>21</v>
      </c>
      <c r="AN39" s="262" t="str">
        <f>IF(AL39="","",TEXT(Tableau1[[#This Row],[Date de fin de vérification]],"AAAA-MM-JJ"))</f>
        <v>2024-12-26</v>
      </c>
      <c r="AO39" s="48">
        <f>Tableau1[[#This Row],[Date de Début]]-AM39</f>
        <v>45645</v>
      </c>
      <c r="AP39" s="41">
        <v>45652</v>
      </c>
      <c r="AQ39" s="46">
        <f t="shared" si="13"/>
        <v>14</v>
      </c>
      <c r="AR39" s="46" t="str">
        <f t="shared" si="14"/>
        <v>26/12/2024</v>
      </c>
      <c r="AS39" s="48">
        <f>Tableau1[[#This Row],[Date de Début]]-AQ39</f>
        <v>45652</v>
      </c>
      <c r="AT39" s="41">
        <v>45652</v>
      </c>
      <c r="AU39" s="46">
        <f t="shared" si="15"/>
        <v>14</v>
      </c>
      <c r="AV39" s="46" t="str">
        <f t="shared" si="8"/>
        <v>26-12-2024</v>
      </c>
      <c r="AW39" s="48">
        <f>Tableau1[[#This Row],[Date de Début]]-AU39</f>
        <v>45652</v>
      </c>
      <c r="AX39" s="41">
        <v>45653</v>
      </c>
      <c r="AY39" s="270" t="str">
        <f t="shared" si="9"/>
        <v>2024-12-27</v>
      </c>
      <c r="AZ39" s="50">
        <f>IF(Tableau1[[#This Row],[Date limite de fin de rédaction]]&lt;Tableau1[[#This Row],[Date de fin de rédaction]],1,0)</f>
        <v>0</v>
      </c>
      <c r="BA39" s="26">
        <f>IF(Tableau1[[#This Row],[Date limite de fin de vérification]]&lt;Tableau1[[#This Row],[Date de fin de vérification]],1,0)</f>
        <v>1</v>
      </c>
      <c r="BB39" s="26">
        <f>IF(Tableau1[[#This Row],[Date limite d''envoi a  l''exploitation]]&lt;Tableau1[[#This Row],[Date d''envoi à  l''exploitation
(Mettre en copier le demandeur et le rédacteur)]],1,0)</f>
        <v>1</v>
      </c>
      <c r="BC39" s="26">
        <f>IF(Tableau1[[#This Row],[Date limite de réception]]&lt;Tableau1[[#This Row],[Date de réception]],1,0)</f>
        <v>0</v>
      </c>
      <c r="BD39" s="52">
        <f>IF(Tableau1[[#This Row],[Date limite limite de dépose sur la GED]]&lt;Tableau1[[#This Row],[Date de dépose sur la GED]],1,0)</f>
        <v>1</v>
      </c>
      <c r="BE39" s="244"/>
      <c r="BF39" s="243"/>
      <c r="BG39" s="309">
        <v>45705</v>
      </c>
      <c r="BH39" s="295"/>
      <c r="BI39" s="297"/>
      <c r="BJ39" s="300"/>
      <c r="BK39" s="242" t="s">
        <v>82</v>
      </c>
    </row>
    <row r="40" spans="1:63" x14ac:dyDescent="0.25">
      <c r="A40" s="223">
        <f t="shared" si="16"/>
        <v>31</v>
      </c>
      <c r="B40" s="90" t="s">
        <v>148</v>
      </c>
      <c r="C40" s="90"/>
      <c r="D40" s="54" t="str">
        <f>IF(Tableau1[[#This Row],[Date de Début]]=0,"Saisir date de début","S"&amp; _xlfn.ISOWEEKNUM(R40))</f>
        <v>S2</v>
      </c>
      <c r="E40" s="24" t="s">
        <v>197</v>
      </c>
      <c r="F40" s="39"/>
      <c r="G40" s="159" t="str">
        <f>"xxx-2025-"&amp;Tableau1[[#This Row],[N° de 
Ctx]]&amp;"-"&amp;Tableau1[[#This Row],[N° semaine]]&amp;"-"&amp; Tableau1[[#This Row],[Nature des travaux]]</f>
        <v>xxx-2025-31-S2-Contrat 31</v>
      </c>
      <c r="H40" s="68" t="str">
        <f>IF(Tableau1[[#This Row],[Nature des travaux]]=0,"Saisir nature des travaux",Tableau1[[#This Row],[Colonne1]])&amp;"-"&amp;Tableau1[[#This Row],[Jour]]</f>
        <v>xxx-2025-31-S2-Contrat 31-MeJe</v>
      </c>
      <c r="I40" s="33"/>
      <c r="J40" s="24"/>
      <c r="K40" s="24" t="s">
        <v>79</v>
      </c>
      <c r="L40" s="32"/>
      <c r="M40" s="91">
        <f>COUNTIF(Tableau1[[#This Row],[Secteur 1]:[Secteur 4]],"x")</f>
        <v>1</v>
      </c>
      <c r="N40" s="37" t="s">
        <v>81</v>
      </c>
      <c r="O40" s="144" t="str">
        <f>IF(Tableau1[[#This Row],[Date de Fin]]-Tableau1[[#This Row],[Date de Début]]&gt;1,"X"," ")</f>
        <v xml:space="preserve"> </v>
      </c>
      <c r="P40" s="29"/>
      <c r="Q40" s="39"/>
      <c r="R40" s="132">
        <v>45665</v>
      </c>
      <c r="S40" s="278" t="str">
        <f t="shared" si="0"/>
        <v>2025-01-08</v>
      </c>
      <c r="T40" s="131">
        <v>45666</v>
      </c>
      <c r="U40" s="276" t="str">
        <f t="shared" si="1"/>
        <v>2025-01-09</v>
      </c>
      <c r="V40" s="210" t="str">
        <f>PROPER(LEFT(TEXT(Tableau1[[#This Row],[Date de Début]],"jjjj"),2))&amp; "" &amp; PROPER(LEFT(TEXT(Tableau1[[#This Row],[Date de Début]]+1,"jjjj"),2))</f>
        <v>MeJe</v>
      </c>
      <c r="W40" s="165" t="str">
        <f>IF(Tableau1[[#This Row],[Nb jours]]&gt;1,PROPER(LEFT(TEXT(Tableau1[[#This Row],[Date de Début]]+1,"jjjj"),2))&amp; "" &amp; PROPER(LEFT(TEXT(Tableau1[[#This Row],[Date de Début]]+2,"jjjj"),2)),"")</f>
        <v/>
      </c>
      <c r="X40" s="166" t="str">
        <f>IF(Tableau1[[#This Row],[Nb jours]]&gt;2,PROPER(LEFT(TEXT(Tableau1[[#This Row],[Date de Début]]+2,"jjjj"),2))&amp; "" &amp; PROPER(LEFT(TEXT(Tableau1[[#This Row],[Date de Début]]+3,"jjjj"),2)),"")</f>
        <v/>
      </c>
      <c r="Y40" s="167" t="str">
        <f>IF(Tableau1[[#This Row],[Nb jours]]&gt;3,PROPER(LEFT(TEXT(Tableau1[[#This Row],[Date de Début]]+3,"jjjj"),2))&amp; "" &amp; PROPER(LEFT(TEXT(Tableau1[[#This Row],[Date de Début]]+4,"jjjj"),2)),"")</f>
        <v/>
      </c>
      <c r="Z40" s="166" t="str">
        <f>IF(Tableau1[[#This Row],[Nb jours]]&gt;4,PROPER(LEFT(TEXT(Tableau1[[#This Row],[Date de Début]]+4,"jjjj"),2))&amp; "" &amp; PROPER(LEFT(TEXT(Tableau1[[#This Row],[Date de Début]]+5,"jjjj"),2)),"")</f>
        <v/>
      </c>
      <c r="AA40" s="167" t="str">
        <f>IF(Tableau1[[#This Row],[Nb jours]]&gt;5,PROPER(LEFT(TEXT(Tableau1[[#This Row],[Date de Début]]+5,"jjjj"),2))&amp; "" &amp; PROPER(LEFT(TEXT(Tableau1[[#This Row],[Date de Début]]+6,"jjjj"),2)),"")</f>
        <v/>
      </c>
      <c r="AB40" s="168">
        <f>Tableau1[[#This Row],[Date de Fin]]-Tableau1[[#This Row],[Date de Début]]</f>
        <v>1</v>
      </c>
      <c r="AC40" s="150" t="str">
        <f>Tableau1[[#This Row],[Nuit 1]]&amp;Tableau1[[#This Row],[Nuit 2]]&amp;Tableau1[[#This Row],[Nuit 3]]&amp;Tableau1[[#This Row],[Nuit 4]]&amp;Tableau1[[#This Row],[Nuit 5]]&amp;Tableau1[[#This Row],[Nuit 6]]</f>
        <v>MeJe</v>
      </c>
      <c r="AD40" s="40" t="s">
        <v>155</v>
      </c>
      <c r="AE40" s="25">
        <f t="shared" si="10"/>
        <v>28</v>
      </c>
      <c r="AF40" s="30">
        <f>Tableau1[[#This Row],[Date de Début]]-AE40</f>
        <v>45637</v>
      </c>
      <c r="AG40" s="41">
        <v>45635</v>
      </c>
      <c r="AH40" s="46">
        <f t="shared" si="11"/>
        <v>21</v>
      </c>
      <c r="AI40" s="46" t="str">
        <f t="shared" si="4"/>
        <v>2024-12-09</v>
      </c>
      <c r="AJ40" s="44" t="s">
        <v>158</v>
      </c>
      <c r="AK40" s="30">
        <f>Tableau1[[#This Row],[Date de Début]]-AH40</f>
        <v>45644</v>
      </c>
      <c r="AL40" s="41">
        <v>45652</v>
      </c>
      <c r="AM40" s="46">
        <f t="shared" si="12"/>
        <v>21</v>
      </c>
      <c r="AN40" s="262" t="str">
        <f>IF(AL40="","",TEXT(Tableau1[[#This Row],[Date de fin de vérification]],"AAAA-MM-JJ"))</f>
        <v>2024-12-26</v>
      </c>
      <c r="AO40" s="48">
        <f>Tableau1[[#This Row],[Date de Début]]-AM40</f>
        <v>45644</v>
      </c>
      <c r="AP40" s="41">
        <v>45652</v>
      </c>
      <c r="AQ40" s="46">
        <f t="shared" si="13"/>
        <v>14</v>
      </c>
      <c r="AR40" s="46" t="str">
        <f t="shared" si="14"/>
        <v>26/12/2024</v>
      </c>
      <c r="AS40" s="48">
        <f>Tableau1[[#This Row],[Date de Début]]-AQ40</f>
        <v>45651</v>
      </c>
      <c r="AT40" s="41">
        <v>45652</v>
      </c>
      <c r="AU40" s="46">
        <f t="shared" si="15"/>
        <v>14</v>
      </c>
      <c r="AV40" s="46" t="str">
        <f t="shared" si="8"/>
        <v>26-12-2024</v>
      </c>
      <c r="AW40" s="48">
        <f>Tableau1[[#This Row],[Date de Début]]-AU40</f>
        <v>45651</v>
      </c>
      <c r="AX40" s="41">
        <v>45653</v>
      </c>
      <c r="AY40" s="270" t="str">
        <f t="shared" si="9"/>
        <v>2024-12-27</v>
      </c>
      <c r="AZ40" s="50">
        <f>IF(Tableau1[[#This Row],[Date limite de fin de rédaction]]&lt;Tableau1[[#This Row],[Date de fin de rédaction]],1,0)</f>
        <v>0</v>
      </c>
      <c r="BA40" s="26">
        <f>IF(Tableau1[[#This Row],[Date limite de fin de vérification]]&lt;Tableau1[[#This Row],[Date de fin de vérification]],1,0)</f>
        <v>1</v>
      </c>
      <c r="BB40" s="26">
        <f>IF(Tableau1[[#This Row],[Date limite d''envoi a  l''exploitation]]&lt;Tableau1[[#This Row],[Date d''envoi à  l''exploitation
(Mettre en copier le demandeur et le rédacteur)]],1,0)</f>
        <v>1</v>
      </c>
      <c r="BC40" s="26">
        <f>IF(Tableau1[[#This Row],[Date limite de réception]]&lt;Tableau1[[#This Row],[Date de réception]],1,0)</f>
        <v>1</v>
      </c>
      <c r="BD40" s="52">
        <f>IF(Tableau1[[#This Row],[Date limite limite de dépose sur la GED]]&lt;Tableau1[[#This Row],[Date de dépose sur la GED]],1,0)</f>
        <v>1</v>
      </c>
      <c r="BE40" s="244"/>
      <c r="BF40" s="243"/>
      <c r="BG40" s="309">
        <v>45705</v>
      </c>
      <c r="BH40" s="295"/>
      <c r="BI40" s="297"/>
      <c r="BJ40" s="300"/>
      <c r="BK40" s="242" t="s">
        <v>82</v>
      </c>
    </row>
    <row r="41" spans="1:63" x14ac:dyDescent="0.25">
      <c r="A41" s="223">
        <f t="shared" si="16"/>
        <v>32</v>
      </c>
      <c r="B41" s="90" t="s">
        <v>148</v>
      </c>
      <c r="C41" s="90"/>
      <c r="D41" s="54" t="str">
        <f>IF(Tableau1[[#This Row],[Date de Début]]=0,"Saisir date de début","S"&amp; _xlfn.ISOWEEKNUM(R41))</f>
        <v>S2</v>
      </c>
      <c r="E41" s="24" t="s">
        <v>198</v>
      </c>
      <c r="F41" s="39"/>
      <c r="G41" s="159" t="str">
        <f>"xxx-2025-"&amp;Tableau1[[#This Row],[N° de 
Ctx]]&amp;"-"&amp;Tableau1[[#This Row],[N° semaine]]&amp;"-"&amp; Tableau1[[#This Row],[Nature des travaux]]</f>
        <v>xxx-2025-32-S2-Contrat 32</v>
      </c>
      <c r="H41" s="68" t="str">
        <f>IF(Tableau1[[#This Row],[Nature des travaux]]=0,"Saisir nature des travaux",Tableau1[[#This Row],[Colonne1]])&amp;"-"&amp;Tableau1[[#This Row],[Jour]]</f>
        <v>xxx-2025-32-S2-Contrat 32-MaMe</v>
      </c>
      <c r="I41" s="33"/>
      <c r="J41" s="24"/>
      <c r="K41" s="24" t="s">
        <v>79</v>
      </c>
      <c r="L41" s="32"/>
      <c r="M41" s="91">
        <f>COUNTIF(Tableau1[[#This Row],[Secteur 1]:[Secteur 4]],"x")</f>
        <v>1</v>
      </c>
      <c r="N41" s="37" t="s">
        <v>81</v>
      </c>
      <c r="O41" s="144" t="str">
        <f>IF(Tableau1[[#This Row],[Date de Fin]]-Tableau1[[#This Row],[Date de Début]]&gt;1,"X"," ")</f>
        <v xml:space="preserve"> </v>
      </c>
      <c r="P41" s="29"/>
      <c r="Q41" s="39"/>
      <c r="R41" s="132">
        <v>45664</v>
      </c>
      <c r="S41" s="278" t="str">
        <f t="shared" ref="S41:S72" si="17">TEXT(R41,"AAAA-MM-JJ")</f>
        <v>2025-01-07</v>
      </c>
      <c r="T41" s="131">
        <v>45665</v>
      </c>
      <c r="U41" s="276" t="str">
        <f t="shared" ref="U41:U72" si="18">TEXT(T41,"AAAA-MM-JJ")</f>
        <v>2025-01-08</v>
      </c>
      <c r="V41" s="210" t="str">
        <f>PROPER(LEFT(TEXT(Tableau1[[#This Row],[Date de Début]],"jjjj"),2))&amp; "" &amp; PROPER(LEFT(TEXT(Tableau1[[#This Row],[Date de Début]]+1,"jjjj"),2))</f>
        <v>MaMe</v>
      </c>
      <c r="W41" s="165" t="str">
        <f>IF(Tableau1[[#This Row],[Nb jours]]&gt;1,PROPER(LEFT(TEXT(Tableau1[[#This Row],[Date de Début]]+1,"jjjj"),2))&amp; "" &amp; PROPER(LEFT(TEXT(Tableau1[[#This Row],[Date de Début]]+2,"jjjj"),2)),"")</f>
        <v/>
      </c>
      <c r="X41" s="166" t="str">
        <f>IF(Tableau1[[#This Row],[Nb jours]]&gt;2,PROPER(LEFT(TEXT(Tableau1[[#This Row],[Date de Début]]+2,"jjjj"),2))&amp; "" &amp; PROPER(LEFT(TEXT(Tableau1[[#This Row],[Date de Début]]+3,"jjjj"),2)),"")</f>
        <v/>
      </c>
      <c r="Y41" s="167" t="str">
        <f>IF(Tableau1[[#This Row],[Nb jours]]&gt;3,PROPER(LEFT(TEXT(Tableau1[[#This Row],[Date de Début]]+3,"jjjj"),2))&amp; "" &amp; PROPER(LEFT(TEXT(Tableau1[[#This Row],[Date de Début]]+4,"jjjj"),2)),"")</f>
        <v/>
      </c>
      <c r="Z41" s="166" t="str">
        <f>IF(Tableau1[[#This Row],[Nb jours]]&gt;4,PROPER(LEFT(TEXT(Tableau1[[#This Row],[Date de Début]]+4,"jjjj"),2))&amp; "" &amp; PROPER(LEFT(TEXT(Tableau1[[#This Row],[Date de Début]]+5,"jjjj"),2)),"")</f>
        <v/>
      </c>
      <c r="AA41" s="167" t="str">
        <f>IF(Tableau1[[#This Row],[Nb jours]]&gt;5,PROPER(LEFT(TEXT(Tableau1[[#This Row],[Date de Début]]+5,"jjjj"),2))&amp; "" &amp; PROPER(LEFT(TEXT(Tableau1[[#This Row],[Date de Début]]+6,"jjjj"),2)),"")</f>
        <v/>
      </c>
      <c r="AB41" s="168">
        <f>Tableau1[[#This Row],[Date de Fin]]-Tableau1[[#This Row],[Date de Début]]</f>
        <v>1</v>
      </c>
      <c r="AC41" s="150" t="str">
        <f>Tableau1[[#This Row],[Nuit 1]]&amp;Tableau1[[#This Row],[Nuit 2]]&amp;Tableau1[[#This Row],[Nuit 3]]&amp;Tableau1[[#This Row],[Nuit 4]]&amp;Tableau1[[#This Row],[Nuit 5]]&amp;Tableau1[[#This Row],[Nuit 6]]</f>
        <v>MaMe</v>
      </c>
      <c r="AD41" s="40" t="s">
        <v>155</v>
      </c>
      <c r="AE41" s="25">
        <f t="shared" si="10"/>
        <v>28</v>
      </c>
      <c r="AF41" s="30">
        <f>Tableau1[[#This Row],[Date de Début]]-AE41</f>
        <v>45636</v>
      </c>
      <c r="AG41" s="41">
        <v>45635</v>
      </c>
      <c r="AH41" s="46">
        <f t="shared" si="11"/>
        <v>21</v>
      </c>
      <c r="AI41" s="46" t="str">
        <f t="shared" ref="AI41:AI72" si="19">TEXT(AG41,"AAAA-MM-JJ")</f>
        <v>2024-12-09</v>
      </c>
      <c r="AJ41" s="44" t="s">
        <v>158</v>
      </c>
      <c r="AK41" s="30">
        <f>Tableau1[[#This Row],[Date de Début]]-AH41</f>
        <v>45643</v>
      </c>
      <c r="AL41" s="41">
        <v>45652</v>
      </c>
      <c r="AM41" s="46">
        <f t="shared" si="12"/>
        <v>21</v>
      </c>
      <c r="AN41" s="262" t="str">
        <f>IF(AL41="","",TEXT(Tableau1[[#This Row],[Date de fin de vérification]],"AAAA-MM-JJ"))</f>
        <v>2024-12-26</v>
      </c>
      <c r="AO41" s="48">
        <f>Tableau1[[#This Row],[Date de Début]]-AM41</f>
        <v>45643</v>
      </c>
      <c r="AP41" s="41">
        <v>45652</v>
      </c>
      <c r="AQ41" s="46">
        <f t="shared" si="13"/>
        <v>14</v>
      </c>
      <c r="AR41" s="46" t="str">
        <f t="shared" ref="AR41:AR72" si="20">TEXT(AP41,"JJ/MM/AAAA")</f>
        <v>26/12/2024</v>
      </c>
      <c r="AS41" s="48">
        <f>Tableau1[[#This Row],[Date de Début]]-AQ41</f>
        <v>45650</v>
      </c>
      <c r="AT41" s="41">
        <v>45652</v>
      </c>
      <c r="AU41" s="46">
        <f t="shared" si="15"/>
        <v>14</v>
      </c>
      <c r="AV41" s="46" t="str">
        <f t="shared" ref="AV41:AV72" si="21">TEXT(AT41,"JJ-MM-AAAA")</f>
        <v>26-12-2024</v>
      </c>
      <c r="AW41" s="48">
        <f>Tableau1[[#This Row],[Date de Début]]-AU41</f>
        <v>45650</v>
      </c>
      <c r="AX41" s="41">
        <v>45653</v>
      </c>
      <c r="AY41" s="270" t="str">
        <f t="shared" ref="AY41:AY72" si="22">TEXT(AX41,"AAAA-MM-JJ")</f>
        <v>2024-12-27</v>
      </c>
      <c r="AZ41" s="50">
        <f>IF(Tableau1[[#This Row],[Date limite de fin de rédaction]]&lt;Tableau1[[#This Row],[Date de fin de rédaction]],1,0)</f>
        <v>0</v>
      </c>
      <c r="BA41" s="26">
        <f>IF(Tableau1[[#This Row],[Date limite de fin de vérification]]&lt;Tableau1[[#This Row],[Date de fin de vérification]],1,0)</f>
        <v>1</v>
      </c>
      <c r="BB41" s="26">
        <f>IF(Tableau1[[#This Row],[Date limite d''envoi a  l''exploitation]]&lt;Tableau1[[#This Row],[Date d''envoi à  l''exploitation
(Mettre en copier le demandeur et le rédacteur)]],1,0)</f>
        <v>1</v>
      </c>
      <c r="BC41" s="26">
        <f>IF(Tableau1[[#This Row],[Date limite de réception]]&lt;Tableau1[[#This Row],[Date de réception]],1,0)</f>
        <v>1</v>
      </c>
      <c r="BD41" s="52">
        <f>IF(Tableau1[[#This Row],[Date limite limite de dépose sur la GED]]&lt;Tableau1[[#This Row],[Date de dépose sur la GED]],1,0)</f>
        <v>1</v>
      </c>
      <c r="BE41" s="244"/>
      <c r="BF41" s="243"/>
      <c r="BG41" s="309">
        <v>45705</v>
      </c>
      <c r="BH41" s="295"/>
      <c r="BI41" s="297"/>
      <c r="BJ41" s="300"/>
      <c r="BK41" s="242" t="s">
        <v>82</v>
      </c>
    </row>
    <row r="42" spans="1:63" x14ac:dyDescent="0.25">
      <c r="A42" s="223">
        <f t="shared" si="16"/>
        <v>33</v>
      </c>
      <c r="B42" s="90" t="s">
        <v>148</v>
      </c>
      <c r="C42" s="90"/>
      <c r="D42" s="54" t="str">
        <f>IF(Tableau1[[#This Row],[Date de Début]]=0,"Saisir date de début","S"&amp; _xlfn.ISOWEEKNUM(R42))</f>
        <v>S4</v>
      </c>
      <c r="E42" s="24" t="s">
        <v>199</v>
      </c>
      <c r="F42" s="136"/>
      <c r="G42" s="159" t="str">
        <f>"xxx-2025-"&amp;Tableau1[[#This Row],[N° de 
Ctx]]&amp;"-"&amp;Tableau1[[#This Row],[N° semaine]]&amp;"-"&amp; Tableau1[[#This Row],[Nature des travaux]]</f>
        <v>xxx-2025-33-S4-Contrat 33</v>
      </c>
      <c r="H42" s="68" t="str">
        <f>IF(Tableau1[[#This Row],[Nature des travaux]]=0,"Saisir nature des travaux",Tableau1[[#This Row],[Colonne1]])&amp;"-"&amp;Tableau1[[#This Row],[Jour]]</f>
        <v>xxx-2025-33-S4-Contrat 33-MaMe</v>
      </c>
      <c r="I42" s="34"/>
      <c r="J42" s="21"/>
      <c r="K42" s="21" t="s">
        <v>79</v>
      </c>
      <c r="L42" s="22"/>
      <c r="M42" s="91">
        <f>COUNTIF(Tableau1[[#This Row],[Secteur 1]:[Secteur 4]],"x")</f>
        <v>1</v>
      </c>
      <c r="N42" s="38" t="s">
        <v>81</v>
      </c>
      <c r="O42" s="145" t="str">
        <f>IF(Tableau1[[#This Row],[Date de Fin]]-Tableau1[[#This Row],[Date de Début]]&gt;1,"X"," ")</f>
        <v xml:space="preserve"> </v>
      </c>
      <c r="P42" s="20"/>
      <c r="Q42" s="136"/>
      <c r="R42" s="132">
        <v>45678</v>
      </c>
      <c r="S42" s="278" t="str">
        <f t="shared" si="17"/>
        <v>2025-01-21</v>
      </c>
      <c r="T42" s="131">
        <v>45679</v>
      </c>
      <c r="U42" s="276" t="str">
        <f t="shared" si="18"/>
        <v>2025-01-22</v>
      </c>
      <c r="V42" s="210" t="str">
        <f>PROPER(LEFT(TEXT(Tableau1[[#This Row],[Date de Début]],"jjjj"),2))&amp; "" &amp; PROPER(LEFT(TEXT(Tableau1[[#This Row],[Date de Début]]+1,"jjjj"),2))</f>
        <v>MaMe</v>
      </c>
      <c r="W42" s="169" t="str">
        <f>IF(Tableau1[[#This Row],[Nb jours]]&gt;1,PROPER(LEFT(TEXT(Tableau1[[#This Row],[Date de Début]]+1,"jjjj"),2))&amp; "" &amp; PROPER(LEFT(TEXT(Tableau1[[#This Row],[Date de Début]]+2,"jjjj"),2)),"")</f>
        <v/>
      </c>
      <c r="X42" s="170" t="str">
        <f>IF(Tableau1[[#This Row],[Nb jours]]&gt;2,PROPER(LEFT(TEXT(Tableau1[[#This Row],[Date de Début]]+2,"jjjj"),2))&amp; "" &amp; PROPER(LEFT(TEXT(Tableau1[[#This Row],[Date de Début]]+3,"jjjj"),2)),"")</f>
        <v/>
      </c>
      <c r="Y42" s="171" t="str">
        <f>IF(Tableau1[[#This Row],[Nb jours]]&gt;3,PROPER(LEFT(TEXT(Tableau1[[#This Row],[Date de Début]]+3,"jjjj"),2))&amp; "" &amp; PROPER(LEFT(TEXT(Tableau1[[#This Row],[Date de Début]]+4,"jjjj"),2)),"")</f>
        <v/>
      </c>
      <c r="Z42" s="170" t="str">
        <f>IF(Tableau1[[#This Row],[Nb jours]]&gt;4,PROPER(LEFT(TEXT(Tableau1[[#This Row],[Date de Début]]+4,"jjjj"),2))&amp; "" &amp; PROPER(LEFT(TEXT(Tableau1[[#This Row],[Date de Début]]+5,"jjjj"),2)),"")</f>
        <v/>
      </c>
      <c r="AA42" s="171" t="str">
        <f>IF(Tableau1[[#This Row],[Nb jours]]&gt;5,PROPER(LEFT(TEXT(Tableau1[[#This Row],[Date de Début]]+5,"jjjj"),2))&amp; "" &amp; PROPER(LEFT(TEXT(Tableau1[[#This Row],[Date de Début]]+6,"jjjj"),2)),"")</f>
        <v/>
      </c>
      <c r="AB42" s="172">
        <f>Tableau1[[#This Row],[Date de Fin]]-Tableau1[[#This Row],[Date de Début]]</f>
        <v>1</v>
      </c>
      <c r="AC42" s="150" t="str">
        <f>Tableau1[[#This Row],[Nuit 1]]&amp;Tableau1[[#This Row],[Nuit 2]]&amp;Tableau1[[#This Row],[Nuit 3]]&amp;Tableau1[[#This Row],[Nuit 4]]&amp;Tableau1[[#This Row],[Nuit 5]]&amp;Tableau1[[#This Row],[Nuit 6]]</f>
        <v>MaMe</v>
      </c>
      <c r="AD42" s="42" t="s">
        <v>155</v>
      </c>
      <c r="AE42" s="27">
        <f t="shared" ref="AE42" si="23">Tolérances_1</f>
        <v>28</v>
      </c>
      <c r="AF42" s="31">
        <f>Tableau1[[#This Row],[Date de Début]]-AE42</f>
        <v>45650</v>
      </c>
      <c r="AG42" s="41">
        <v>45635</v>
      </c>
      <c r="AH42" s="47">
        <f t="shared" ref="AH42" si="24">Tolérances_2</f>
        <v>21</v>
      </c>
      <c r="AI42" s="47" t="str">
        <f t="shared" si="19"/>
        <v>2024-12-09</v>
      </c>
      <c r="AJ42" s="45" t="s">
        <v>156</v>
      </c>
      <c r="AK42" s="31">
        <f>Tableau1[[#This Row],[Date de Début]]-AH42</f>
        <v>45657</v>
      </c>
      <c r="AL42" s="43">
        <v>45656</v>
      </c>
      <c r="AM42" s="47">
        <f t="shared" ref="AM42" si="25">Tolérances_3</f>
        <v>21</v>
      </c>
      <c r="AN42" s="263" t="str">
        <f>IF(AL42="","",TEXT(Tableau1[[#This Row],[Date de fin de vérification]],"AAAA-MM-JJ"))</f>
        <v>2024-12-30</v>
      </c>
      <c r="AO42" s="49">
        <f>Tableau1[[#This Row],[Date de Début]]-AM42</f>
        <v>45657</v>
      </c>
      <c r="AP42" s="43">
        <v>45657</v>
      </c>
      <c r="AQ42" s="47">
        <f t="shared" ref="AQ42" si="26">Tolérances_4</f>
        <v>14</v>
      </c>
      <c r="AR42" s="47" t="str">
        <f t="shared" si="20"/>
        <v>31/12/2024</v>
      </c>
      <c r="AS42" s="49">
        <f>Tableau1[[#This Row],[Date de Début]]-AQ42</f>
        <v>45664</v>
      </c>
      <c r="AT42" s="43">
        <v>45657</v>
      </c>
      <c r="AU42" s="47">
        <f t="shared" ref="AU42" si="27">Tolérances_5</f>
        <v>14</v>
      </c>
      <c r="AV42" s="47" t="str">
        <f t="shared" si="21"/>
        <v>31-12-2024</v>
      </c>
      <c r="AW42" s="49">
        <f>Tableau1[[#This Row],[Date de Début]]-AU42</f>
        <v>45664</v>
      </c>
      <c r="AX42" s="41">
        <v>45657</v>
      </c>
      <c r="AY42" s="271" t="str">
        <f t="shared" si="22"/>
        <v>2024-12-31</v>
      </c>
      <c r="AZ42" s="51">
        <f>IF(Tableau1[[#This Row],[Date limite de fin de rédaction]]&lt;Tableau1[[#This Row],[Date de fin de rédaction]],1,0)</f>
        <v>0</v>
      </c>
      <c r="BA42" s="28">
        <f>IF(Tableau1[[#This Row],[Date limite de fin de vérification]]&lt;Tableau1[[#This Row],[Date de fin de vérification]],1,0)</f>
        <v>0</v>
      </c>
      <c r="BB42" s="28">
        <f>IF(Tableau1[[#This Row],[Date limite d''envoi a  l''exploitation]]&lt;Tableau1[[#This Row],[Date d''envoi à  l''exploitation
(Mettre en copier le demandeur et le rédacteur)]],1,0)</f>
        <v>0</v>
      </c>
      <c r="BC42" s="28">
        <f>IF(Tableau1[[#This Row],[Date limite de réception]]&lt;Tableau1[[#This Row],[Date de réception]],1,0)</f>
        <v>0</v>
      </c>
      <c r="BD42" s="53">
        <f>IF(Tableau1[[#This Row],[Date limite limite de dépose sur la GED]]&lt;Tableau1[[#This Row],[Date de dépose sur la GED]],1,0)</f>
        <v>0</v>
      </c>
      <c r="BE42" s="245"/>
      <c r="BF42" s="243"/>
      <c r="BG42" s="309">
        <v>45705</v>
      </c>
      <c r="BH42" s="295"/>
      <c r="BI42" s="297"/>
      <c r="BJ42" s="300"/>
      <c r="BK42" s="242" t="s">
        <v>82</v>
      </c>
    </row>
    <row r="43" spans="1:63" x14ac:dyDescent="0.25">
      <c r="A43" s="223">
        <f t="shared" si="16"/>
        <v>34</v>
      </c>
      <c r="B43" s="90" t="s">
        <v>148</v>
      </c>
      <c r="C43" s="90"/>
      <c r="D43" s="54" t="str">
        <f>IF(Tableau1[[#This Row],[Date de Début]]=0,"Saisir date de début","S"&amp; _xlfn.ISOWEEKNUM(R43))</f>
        <v>S3</v>
      </c>
      <c r="E43" s="24" t="s">
        <v>200</v>
      </c>
      <c r="F43" s="21"/>
      <c r="G43" s="159" t="str">
        <f>"xxx-2025-"&amp;Tableau1[[#This Row],[N° de 
Ctx]]&amp;"-"&amp;Tableau1[[#This Row],[N° semaine]]&amp;"-"&amp; Tableau1[[#This Row],[Nature des travaux]]</f>
        <v>xxx-2025-34-S3-Contrat 34</v>
      </c>
      <c r="H43" s="68" t="str">
        <f>IF(Tableau1[[#This Row],[Nature des travaux]]=0,"Saisir nature des travaux",Tableau1[[#This Row],[Colonne1]])&amp;"-"&amp;Tableau1[[#This Row],[Jour]]</f>
        <v>xxx-2025-34-S3-Contrat 34-LuMaMaMeMeJeJeVe</v>
      </c>
      <c r="I43" s="20"/>
      <c r="J43" s="21"/>
      <c r="K43" s="21" t="s">
        <v>79</v>
      </c>
      <c r="L43" s="21"/>
      <c r="M43" s="91">
        <f>COUNTIF(Tableau1[[#This Row],[Secteur 1]:[Secteur 4]],"x")</f>
        <v>1</v>
      </c>
      <c r="N43" s="92" t="s">
        <v>81</v>
      </c>
      <c r="O43" s="146" t="str">
        <f>IF(Tableau1[[#This Row],[Date de Fin]]-Tableau1[[#This Row],[Date de Début]]&gt;1,"X"," ")</f>
        <v>X</v>
      </c>
      <c r="P43" s="20"/>
      <c r="Q43" s="136"/>
      <c r="R43" s="132">
        <v>45670</v>
      </c>
      <c r="S43" s="278" t="str">
        <f t="shared" si="17"/>
        <v>2025-01-13</v>
      </c>
      <c r="T43" s="131">
        <v>45674</v>
      </c>
      <c r="U43" s="276" t="str">
        <f t="shared" si="18"/>
        <v>2025-01-17</v>
      </c>
      <c r="V43" s="210" t="str">
        <f>PROPER(LEFT(TEXT(Tableau1[[#This Row],[Date de Début]],"jjjj"),2))&amp; "" &amp; PROPER(LEFT(TEXT(Tableau1[[#This Row],[Date de Début]]+1,"jjjj"),2))</f>
        <v>LuMa</v>
      </c>
      <c r="W43" s="173" t="str">
        <f>IF(Tableau1[[#This Row],[Nb jours]]&gt;1,PROPER(LEFT(TEXT(Tableau1[[#This Row],[Date de Début]]+1,"jjjj"),2))&amp; "" &amp; PROPER(LEFT(TEXT(Tableau1[[#This Row],[Date de Début]]+2,"jjjj"),2)),"")</f>
        <v>MaMe</v>
      </c>
      <c r="X43" s="173" t="str">
        <f>IF(Tableau1[[#This Row],[Nb jours]]&gt;2,PROPER(LEFT(TEXT(Tableau1[[#This Row],[Date de Début]]+2,"jjjj"),2))&amp; "" &amp; PROPER(LEFT(TEXT(Tableau1[[#This Row],[Date de Début]]+3,"jjjj"),2)),"")</f>
        <v>MeJe</v>
      </c>
      <c r="Y43" s="174" t="str">
        <f>IF(Tableau1[[#This Row],[Nb jours]]&gt;3,PROPER(LEFT(TEXT(Tableau1[[#This Row],[Date de Début]]+3,"jjjj"),2))&amp; "" &amp; PROPER(LEFT(TEXT(Tableau1[[#This Row],[Date de Début]]+4,"jjjj"),2)),"")</f>
        <v>JeVe</v>
      </c>
      <c r="Z43" s="173" t="str">
        <f>IF(Tableau1[[#This Row],[Nb jours]]&gt;4,PROPER(LEFT(TEXT(Tableau1[[#This Row],[Date de Début]]+4,"jjjj"),2))&amp; "" &amp; PROPER(LEFT(TEXT(Tableau1[[#This Row],[Date de Début]]+5,"jjjj"),2)),"")</f>
        <v/>
      </c>
      <c r="AA43" s="174" t="str">
        <f>IF(Tableau1[[#This Row],[Nb jours]]&gt;5,PROPER(LEFT(TEXT(Tableau1[[#This Row],[Date de Début]]+5,"jjjj"),2))&amp; "" &amp; PROPER(LEFT(TEXT(Tableau1[[#This Row],[Date de Début]]+6,"jjjj"),2)),"")</f>
        <v/>
      </c>
      <c r="AB43" s="173">
        <f>Tableau1[[#This Row],[Date de Fin]]-Tableau1[[#This Row],[Date de Début]]</f>
        <v>4</v>
      </c>
      <c r="AC43" s="150" t="str">
        <f>Tableau1[[#This Row],[Nuit 1]]&amp;Tableau1[[#This Row],[Nuit 2]]&amp;Tableau1[[#This Row],[Nuit 3]]&amp;Tableau1[[#This Row],[Nuit 4]]&amp;Tableau1[[#This Row],[Nuit 5]]&amp;Tableau1[[#This Row],[Nuit 6]]</f>
        <v>LuMaMaMeMeJeJeVe</v>
      </c>
      <c r="AD43" s="42" t="s">
        <v>155</v>
      </c>
      <c r="AE43" s="27">
        <f t="shared" ref="AE43:AE68" si="28">Tolérances_1</f>
        <v>28</v>
      </c>
      <c r="AF43" s="31">
        <f>Tableau1[[#This Row],[Date de Début]]-AE43</f>
        <v>45642</v>
      </c>
      <c r="AG43" s="93">
        <v>45638</v>
      </c>
      <c r="AH43" s="27">
        <f t="shared" ref="AH43:AH68" si="29">Tolérances_2</f>
        <v>21</v>
      </c>
      <c r="AI43" s="254" t="str">
        <f t="shared" si="19"/>
        <v>2024-12-12</v>
      </c>
      <c r="AJ43" s="45" t="s">
        <v>156</v>
      </c>
      <c r="AK43" s="31">
        <f>Tableau1[[#This Row],[Date de Début]]-AH43</f>
        <v>45649</v>
      </c>
      <c r="AL43" s="93">
        <v>45656</v>
      </c>
      <c r="AM43" s="27">
        <f t="shared" ref="AM43:AM68" si="30">Tolérances_3</f>
        <v>21</v>
      </c>
      <c r="AN43" s="264" t="str">
        <f>IF(AL43="","",TEXT(Tableau1[[#This Row],[Date de fin de vérification]],"AAAA-MM-JJ"))</f>
        <v>2024-12-30</v>
      </c>
      <c r="AO43" s="49">
        <f>Tableau1[[#This Row],[Date de Début]]-AM43</f>
        <v>45649</v>
      </c>
      <c r="AP43" s="43">
        <v>45657</v>
      </c>
      <c r="AQ43" s="27">
        <f t="shared" ref="AQ43:AQ68" si="31">Tolérances_4</f>
        <v>14</v>
      </c>
      <c r="AR43" s="254" t="str">
        <f t="shared" si="20"/>
        <v>31/12/2024</v>
      </c>
      <c r="AS43" s="49">
        <f>Tableau1[[#This Row],[Date de Début]]-AQ43</f>
        <v>45656</v>
      </c>
      <c r="AT43" s="93">
        <v>45657</v>
      </c>
      <c r="AU43" s="27">
        <f t="shared" ref="AU43:AU68" si="32">Tolérances_5</f>
        <v>14</v>
      </c>
      <c r="AV43" s="254" t="str">
        <f t="shared" si="21"/>
        <v>31-12-2024</v>
      </c>
      <c r="AW43" s="49">
        <f>Tableau1[[#This Row],[Date de Début]]-AU43</f>
        <v>45656</v>
      </c>
      <c r="AX43" s="41">
        <v>45657</v>
      </c>
      <c r="AY43" s="272" t="str">
        <f t="shared" si="22"/>
        <v>2024-12-31</v>
      </c>
      <c r="AZ43" s="28">
        <f>IF(Tableau1[[#This Row],[Date limite de fin de rédaction]]&lt;Tableau1[[#This Row],[Date de fin de rédaction]],1,0)</f>
        <v>0</v>
      </c>
      <c r="BA43" s="28">
        <f>IF(Tableau1[[#This Row],[Date limite de fin de vérification]]&lt;Tableau1[[#This Row],[Date de fin de vérification]],1,0)</f>
        <v>1</v>
      </c>
      <c r="BB43" s="28">
        <f>IF(Tableau1[[#This Row],[Date limite d''envoi a  l''exploitation]]&lt;Tableau1[[#This Row],[Date d''envoi à  l''exploitation
(Mettre en copier le demandeur et le rédacteur)]],1,0)</f>
        <v>1</v>
      </c>
      <c r="BC43" s="28">
        <f>IF(Tableau1[[#This Row],[Date limite de réception]]&lt;Tableau1[[#This Row],[Date de réception]],1,0)</f>
        <v>1</v>
      </c>
      <c r="BD43" s="53">
        <f>IF(Tableau1[[#This Row],[Date limite limite de dépose sur la GED]]&lt;Tableau1[[#This Row],[Date de dépose sur la GED]],1,0)</f>
        <v>1</v>
      </c>
      <c r="BE43" s="245"/>
      <c r="BF43" s="243"/>
      <c r="BG43" s="308"/>
      <c r="BH43" s="242"/>
      <c r="BI43" s="297"/>
      <c r="BJ43" s="300"/>
      <c r="BK43" s="242"/>
    </row>
    <row r="44" spans="1:63" x14ac:dyDescent="0.25">
      <c r="A44" s="223">
        <f t="shared" si="16"/>
        <v>35</v>
      </c>
      <c r="B44" s="90" t="s">
        <v>145</v>
      </c>
      <c r="C44" s="90">
        <v>14998</v>
      </c>
      <c r="D44" s="98" t="str">
        <f>IF(Tableau1[[#This Row],[Date de Début]]=0,"Saisir date de début","S"&amp; _xlfn.ISOWEEKNUM(R44))</f>
        <v>S6</v>
      </c>
      <c r="E44" s="24" t="s">
        <v>201</v>
      </c>
      <c r="F44" s="21"/>
      <c r="G44" s="159" t="str">
        <f>"xxx-2025-"&amp;Tableau1[[#This Row],[N° de 
Ctx]]&amp;"-"&amp;Tableau1[[#This Row],[N° semaine]]&amp;"-"&amp; Tableau1[[#This Row],[Nature des travaux]]</f>
        <v>xxx-2025-35-S6-Contrat 35</v>
      </c>
      <c r="H44" s="68" t="str">
        <f>IF(Tableau1[[#This Row],[Nature des travaux]]=0,"Saisir nature des travaux",Tableau1[[#This Row],[Colonne1]])&amp;"-"&amp;Tableau1[[#This Row],[Jour]]</f>
        <v>xxx-2025-35-S6-Contrat 35-MeJeJeVe</v>
      </c>
      <c r="I44" s="20"/>
      <c r="J44" s="21"/>
      <c r="K44" s="21" t="s">
        <v>79</v>
      </c>
      <c r="L44" s="21"/>
      <c r="M44" s="91">
        <f>COUNTIF(Tableau1[[#This Row],[Secteur 1]:[Secteur 4]],"x")</f>
        <v>1</v>
      </c>
      <c r="N44" s="92" t="s">
        <v>81</v>
      </c>
      <c r="O44" s="146" t="str">
        <f>IF(Tableau1[[#This Row],[Date de Fin]]-Tableau1[[#This Row],[Date de Début]]&gt;1,"X"," ")</f>
        <v>X</v>
      </c>
      <c r="P44" s="20"/>
      <c r="Q44" s="136"/>
      <c r="R44" s="99">
        <v>45693</v>
      </c>
      <c r="S44" s="280" t="str">
        <f t="shared" si="17"/>
        <v>2025-02-05</v>
      </c>
      <c r="T44" s="134">
        <v>45695</v>
      </c>
      <c r="U44" s="276" t="str">
        <f t="shared" si="18"/>
        <v>2025-02-07</v>
      </c>
      <c r="V44" s="210" t="str">
        <f>PROPER(LEFT(TEXT(Tableau1[[#This Row],[Date de Début]],"jjjj"),2))&amp; "" &amp; PROPER(LEFT(TEXT(Tableau1[[#This Row],[Date de Début]]+1,"jjjj"),2))</f>
        <v>MeJe</v>
      </c>
      <c r="W44" s="175" t="str">
        <f>IF(Tableau1[[#This Row],[Nb jours]]&gt;1,PROPER(LEFT(TEXT(Tableau1[[#This Row],[Date de Début]]+1,"jjjj"),2))&amp; "" &amp; PROPER(LEFT(TEXT(Tableau1[[#This Row],[Date de Début]]+2,"jjjj"),2)),"")</f>
        <v>JeVe</v>
      </c>
      <c r="X44" s="175" t="str">
        <f>IF(Tableau1[[#This Row],[Nb jours]]&gt;2,PROPER(LEFT(TEXT(Tableau1[[#This Row],[Date de Début]]+2,"jjjj"),2))&amp; "" &amp; PROPER(LEFT(TEXT(Tableau1[[#This Row],[Date de Début]]+3,"jjjj"),2)),"")</f>
        <v/>
      </c>
      <c r="Y44" s="176" t="str">
        <f>IF(Tableau1[[#This Row],[Nb jours]]&gt;3,PROPER(LEFT(TEXT(Tableau1[[#This Row],[Date de Début]]+3,"jjjj"),2))&amp; "" &amp; PROPER(LEFT(TEXT(Tableau1[[#This Row],[Date de Début]]+4,"jjjj"),2)),"")</f>
        <v/>
      </c>
      <c r="Z44" s="175" t="str">
        <f>IF(Tableau1[[#This Row],[Nb jours]]&gt;4,PROPER(LEFT(TEXT(Tableau1[[#This Row],[Date de Début]]+4,"jjjj"),2))&amp; "" &amp; PROPER(LEFT(TEXT(Tableau1[[#This Row],[Date de Début]]+5,"jjjj"),2)),"")</f>
        <v/>
      </c>
      <c r="AA44" s="176" t="str">
        <f>IF(Tableau1[[#This Row],[Nb jours]]&gt;5,PROPER(LEFT(TEXT(Tableau1[[#This Row],[Date de Début]]+5,"jjjj"),2))&amp; "" &amp; PROPER(LEFT(TEXT(Tableau1[[#This Row],[Date de Début]]+6,"jjjj"),2)),"")</f>
        <v/>
      </c>
      <c r="AB44" s="177">
        <f>Tableau1[[#This Row],[Date de Fin]]-Tableau1[[#This Row],[Date de Début]]</f>
        <v>2</v>
      </c>
      <c r="AC44" s="150" t="str">
        <f>Tableau1[[#This Row],[Nuit 1]]&amp;Tableau1[[#This Row],[Nuit 2]]&amp;Tableau1[[#This Row],[Nuit 3]]&amp;Tableau1[[#This Row],[Nuit 4]]&amp;Tableau1[[#This Row],[Nuit 5]]&amp;Tableau1[[#This Row],[Nuit 6]]</f>
        <v>MeJeJeVe</v>
      </c>
      <c r="AD44" s="42" t="s">
        <v>155</v>
      </c>
      <c r="AE44" s="27">
        <f t="shared" si="28"/>
        <v>28</v>
      </c>
      <c r="AF44" s="31">
        <f>Tableau1[[#This Row],[Date de Début]]-AE44</f>
        <v>45665</v>
      </c>
      <c r="AG44" s="93">
        <v>45666</v>
      </c>
      <c r="AH44" s="27">
        <f t="shared" si="29"/>
        <v>21</v>
      </c>
      <c r="AI44" s="254" t="str">
        <f t="shared" si="19"/>
        <v>2025-01-09</v>
      </c>
      <c r="AJ44" s="44" t="s">
        <v>158</v>
      </c>
      <c r="AK44" s="31">
        <f>Tableau1[[#This Row],[Date de Début]]-AH44</f>
        <v>45672</v>
      </c>
      <c r="AL44" s="93">
        <v>45666</v>
      </c>
      <c r="AM44" s="27">
        <f t="shared" si="30"/>
        <v>21</v>
      </c>
      <c r="AN44" s="264" t="str">
        <f>IF(AL44="","",TEXT(Tableau1[[#This Row],[Date de fin de vérification]],"AAAA-MM-JJ"))</f>
        <v>2025-01-09</v>
      </c>
      <c r="AO44" s="49">
        <f>Tableau1[[#This Row],[Date de Début]]-AM44</f>
        <v>45672</v>
      </c>
      <c r="AP44" s="93">
        <v>45678</v>
      </c>
      <c r="AQ44" s="27">
        <f t="shared" si="31"/>
        <v>14</v>
      </c>
      <c r="AR44" s="254" t="str">
        <f t="shared" si="20"/>
        <v>21/01/2025</v>
      </c>
      <c r="AS44" s="49">
        <f>Tableau1[[#This Row],[Date de Début]]-AQ44</f>
        <v>45679</v>
      </c>
      <c r="AT44" s="93">
        <v>45678</v>
      </c>
      <c r="AU44" s="27">
        <f t="shared" si="32"/>
        <v>14</v>
      </c>
      <c r="AV44" s="254" t="str">
        <f t="shared" si="21"/>
        <v>21-01-2025</v>
      </c>
      <c r="AW44" s="49">
        <f>Tableau1[[#This Row],[Date de Début]]-AU44</f>
        <v>45679</v>
      </c>
      <c r="AX44" s="93">
        <v>45678</v>
      </c>
      <c r="AY44" s="93" t="str">
        <f t="shared" si="22"/>
        <v>2025-01-21</v>
      </c>
      <c r="AZ44" s="28">
        <f>IF(Tableau1[[#This Row],[Date limite de fin de rédaction]]&lt;Tableau1[[#This Row],[Date de fin de rédaction]],1,0)</f>
        <v>1</v>
      </c>
      <c r="BA44" s="28">
        <f>IF(Tableau1[[#This Row],[Date limite de fin de vérification]]&lt;Tableau1[[#This Row],[Date de fin de vérification]],1,0)</f>
        <v>0</v>
      </c>
      <c r="BB44" s="28">
        <f>IF(Tableau1[[#This Row],[Date limite d''envoi a  l''exploitation]]&lt;Tableau1[[#This Row],[Date d''envoi à  l''exploitation
(Mettre en copier le demandeur et le rédacteur)]],1,0)</f>
        <v>1</v>
      </c>
      <c r="BC44" s="28">
        <f>IF(Tableau1[[#This Row],[Date limite de réception]]&lt;Tableau1[[#This Row],[Date de réception]],1,0)</f>
        <v>0</v>
      </c>
      <c r="BD44" s="53">
        <f>IF(Tableau1[[#This Row],[Date limite limite de dépose sur la GED]]&lt;Tableau1[[#This Row],[Date de dépose sur la GED]],1,0)</f>
        <v>0</v>
      </c>
      <c r="BE44" s="245"/>
      <c r="BF44" s="243"/>
      <c r="BG44" s="308"/>
      <c r="BH44" s="242"/>
      <c r="BI44" s="297"/>
      <c r="BJ44" s="300"/>
      <c r="BK44" s="242"/>
    </row>
    <row r="45" spans="1:63" x14ac:dyDescent="0.25">
      <c r="A45" s="223">
        <f t="shared" si="16"/>
        <v>36</v>
      </c>
      <c r="B45" s="90" t="s">
        <v>145</v>
      </c>
      <c r="C45" s="90">
        <v>15036</v>
      </c>
      <c r="D45" s="98" t="str">
        <f>IF(Tableau1[[#This Row],[Date de Début]]=0,"Saisir date de début","S"&amp; _xlfn.ISOWEEKNUM(R45))</f>
        <v>S7</v>
      </c>
      <c r="E45" s="24" t="s">
        <v>202</v>
      </c>
      <c r="F45" s="21"/>
      <c r="G45" s="159" t="str">
        <f>"xxx-2025-"&amp;Tableau1[[#This Row],[N° de 
Ctx]]&amp;"-"&amp;Tableau1[[#This Row],[N° semaine]]&amp;"-"&amp; Tableau1[[#This Row],[Nature des travaux]]</f>
        <v>xxx-2025-36-S7-Contrat 36</v>
      </c>
      <c r="H45" s="68" t="str">
        <f>IF(Tableau1[[#This Row],[Nature des travaux]]=0,"Saisir nature des travaux",Tableau1[[#This Row],[Colonne1]])&amp;"-"&amp;Tableau1[[#This Row],[Jour]]</f>
        <v>xxx-2025-36-S7-Contrat 36-LuMa</v>
      </c>
      <c r="I45" s="20"/>
      <c r="J45" s="21"/>
      <c r="K45" s="21" t="s">
        <v>79</v>
      </c>
      <c r="L45" s="21"/>
      <c r="M45" s="91">
        <f>COUNTIF(Tableau1[[#This Row],[Secteur 1]:[Secteur 4]],"x")</f>
        <v>1</v>
      </c>
      <c r="N45" s="92" t="s">
        <v>81</v>
      </c>
      <c r="O45" s="146" t="str">
        <f>IF(Tableau1[[#This Row],[Date de Fin]]-Tableau1[[#This Row],[Date de Début]]&gt;1,"X"," ")</f>
        <v xml:space="preserve"> </v>
      </c>
      <c r="P45" s="20"/>
      <c r="Q45" s="136"/>
      <c r="R45" s="99">
        <v>45698</v>
      </c>
      <c r="S45" s="280" t="str">
        <f t="shared" si="17"/>
        <v>2025-02-10</v>
      </c>
      <c r="T45" s="134">
        <v>45699</v>
      </c>
      <c r="U45" s="276" t="str">
        <f t="shared" si="18"/>
        <v>2025-02-11</v>
      </c>
      <c r="V45" s="210" t="str">
        <f>PROPER(LEFT(TEXT(Tableau1[[#This Row],[Date de Début]],"jjjj"),2))&amp; "" &amp; PROPER(LEFT(TEXT(Tableau1[[#This Row],[Date de Début]]+1,"jjjj"),2))</f>
        <v>LuMa</v>
      </c>
      <c r="W45" s="175" t="str">
        <f>IF(Tableau1[[#This Row],[Nb jours]]&gt;1,PROPER(LEFT(TEXT(Tableau1[[#This Row],[Date de Début]]+1,"jjjj"),2))&amp; "" &amp; PROPER(LEFT(TEXT(Tableau1[[#This Row],[Date de Début]]+2,"jjjj"),2)),"")</f>
        <v/>
      </c>
      <c r="X45" s="175" t="str">
        <f>IF(Tableau1[[#This Row],[Nb jours]]&gt;2,PROPER(LEFT(TEXT(Tableau1[[#This Row],[Date de Début]]+2,"jjjj"),2))&amp; "" &amp; PROPER(LEFT(TEXT(Tableau1[[#This Row],[Date de Début]]+3,"jjjj"),2)),"")</f>
        <v/>
      </c>
      <c r="Y45" s="176" t="str">
        <f>IF(Tableau1[[#This Row],[Nb jours]]&gt;3,PROPER(LEFT(TEXT(Tableau1[[#This Row],[Date de Début]]+3,"jjjj"),2))&amp; "" &amp; PROPER(LEFT(TEXT(Tableau1[[#This Row],[Date de Début]]+4,"jjjj"),2)),"")</f>
        <v/>
      </c>
      <c r="Z45" s="175" t="str">
        <f>IF(Tableau1[[#This Row],[Nb jours]]&gt;4,PROPER(LEFT(TEXT(Tableau1[[#This Row],[Date de Début]]+4,"jjjj"),2))&amp; "" &amp; PROPER(LEFT(TEXT(Tableau1[[#This Row],[Date de Début]]+5,"jjjj"),2)),"")</f>
        <v/>
      </c>
      <c r="AA45" s="176" t="str">
        <f>IF(Tableau1[[#This Row],[Nb jours]]&gt;5,PROPER(LEFT(TEXT(Tableau1[[#This Row],[Date de Début]]+5,"jjjj"),2))&amp; "" &amp; PROPER(LEFT(TEXT(Tableau1[[#This Row],[Date de Début]]+6,"jjjj"),2)),"")</f>
        <v/>
      </c>
      <c r="AB45" s="177">
        <f>Tableau1[[#This Row],[Date de Fin]]-Tableau1[[#This Row],[Date de Début]]</f>
        <v>1</v>
      </c>
      <c r="AC45" s="150" t="str">
        <f>Tableau1[[#This Row],[Nuit 1]]&amp;Tableau1[[#This Row],[Nuit 2]]&amp;Tableau1[[#This Row],[Nuit 3]]&amp;Tableau1[[#This Row],[Nuit 4]]&amp;Tableau1[[#This Row],[Nuit 5]]&amp;Tableau1[[#This Row],[Nuit 6]]</f>
        <v>LuMa</v>
      </c>
      <c r="AD45" s="42" t="s">
        <v>155</v>
      </c>
      <c r="AE45" s="27">
        <f t="shared" si="28"/>
        <v>28</v>
      </c>
      <c r="AF45" s="31">
        <f>Tableau1[[#This Row],[Date de Début]]-AE45</f>
        <v>45670</v>
      </c>
      <c r="AG45" s="93">
        <v>45666</v>
      </c>
      <c r="AH45" s="27">
        <f t="shared" si="29"/>
        <v>21</v>
      </c>
      <c r="AI45" s="254" t="str">
        <f t="shared" si="19"/>
        <v>2025-01-09</v>
      </c>
      <c r="AJ45" s="45" t="s">
        <v>156</v>
      </c>
      <c r="AK45" s="31">
        <f>Tableau1[[#This Row],[Date de Début]]-AH45</f>
        <v>45677</v>
      </c>
      <c r="AL45" s="93">
        <v>45670</v>
      </c>
      <c r="AM45" s="27">
        <f t="shared" si="30"/>
        <v>21</v>
      </c>
      <c r="AN45" s="264" t="str">
        <f>IF(AL45="","",TEXT(Tableau1[[#This Row],[Date de fin de vérification]],"AAAA-MM-JJ"))</f>
        <v>2025-01-13</v>
      </c>
      <c r="AO45" s="49">
        <f>Tableau1[[#This Row],[Date de Début]]-AM45</f>
        <v>45677</v>
      </c>
      <c r="AP45" s="93">
        <v>45677</v>
      </c>
      <c r="AQ45" s="27">
        <f t="shared" si="31"/>
        <v>14</v>
      </c>
      <c r="AR45" s="254" t="str">
        <f t="shared" si="20"/>
        <v>20/01/2025</v>
      </c>
      <c r="AS45" s="49">
        <f>Tableau1[[#This Row],[Date de Début]]-AQ45</f>
        <v>45684</v>
      </c>
      <c r="AT45" s="93">
        <v>45678</v>
      </c>
      <c r="AU45" s="27">
        <f t="shared" si="32"/>
        <v>14</v>
      </c>
      <c r="AV45" s="254" t="str">
        <f t="shared" si="21"/>
        <v>21-01-2025</v>
      </c>
      <c r="AW45" s="49">
        <f>Tableau1[[#This Row],[Date de Début]]-AU45</f>
        <v>45684</v>
      </c>
      <c r="AX45" s="93">
        <v>45678</v>
      </c>
      <c r="AY45" s="93" t="str">
        <f t="shared" si="22"/>
        <v>2025-01-21</v>
      </c>
      <c r="AZ45" s="28">
        <f>IF(Tableau1[[#This Row],[Date limite de fin de rédaction]]&lt;Tableau1[[#This Row],[Date de fin de rédaction]],1,0)</f>
        <v>0</v>
      </c>
      <c r="BA45" s="28">
        <f>IF(Tableau1[[#This Row],[Date limite de fin de vérification]]&lt;Tableau1[[#This Row],[Date de fin de vérification]],1,0)</f>
        <v>0</v>
      </c>
      <c r="BB45" s="28">
        <f>IF(Tableau1[[#This Row],[Date limite d''envoi a  l''exploitation]]&lt;Tableau1[[#This Row],[Date d''envoi à  l''exploitation
(Mettre en copier le demandeur et le rédacteur)]],1,0)</f>
        <v>0</v>
      </c>
      <c r="BC45" s="28">
        <f>IF(Tableau1[[#This Row],[Date limite de réception]]&lt;Tableau1[[#This Row],[Date de réception]],1,0)</f>
        <v>0</v>
      </c>
      <c r="BD45" s="53">
        <f>IF(Tableau1[[#This Row],[Date limite limite de dépose sur la GED]]&lt;Tableau1[[#This Row],[Date de dépose sur la GED]],1,0)</f>
        <v>0</v>
      </c>
      <c r="BE45" s="245"/>
      <c r="BF45" s="243"/>
      <c r="BG45" s="308"/>
      <c r="BH45" s="242"/>
      <c r="BI45" s="297"/>
      <c r="BJ45" s="300"/>
      <c r="BK45" s="242"/>
    </row>
    <row r="46" spans="1:63" x14ac:dyDescent="0.25">
      <c r="A46" s="223">
        <f t="shared" si="16"/>
        <v>37</v>
      </c>
      <c r="B46" s="90" t="s">
        <v>151</v>
      </c>
      <c r="C46" s="90">
        <v>15211</v>
      </c>
      <c r="D46" s="98" t="str">
        <f>IF(Tableau1[[#This Row],[Date de Début]]=0,"Saisir date de début","S"&amp; _xlfn.ISOWEEKNUM(R46))</f>
        <v>S8</v>
      </c>
      <c r="E46" s="24" t="s">
        <v>203</v>
      </c>
      <c r="F46" s="21"/>
      <c r="G46" s="159" t="str">
        <f>"xxx-2025-"&amp;Tableau1[[#This Row],[N° de 
Ctx]]&amp;"-"&amp;Tableau1[[#This Row],[N° semaine]]&amp;"-"&amp; Tableau1[[#This Row],[Nature des travaux]]</f>
        <v>xxx-2025-37-S8-Contrat 37</v>
      </c>
      <c r="H46" s="68" t="str">
        <f>IF(Tableau1[[#This Row],[Nature des travaux]]=0,"Saisir nature des travaux",Tableau1[[#This Row],[Colonne1]])&amp;"-"&amp;Tableau1[[#This Row],[Jour]]</f>
        <v>xxx-2025-37-S8-Contrat 37-LuMaMaMeMeJeJeVe</v>
      </c>
      <c r="I46" s="20"/>
      <c r="J46" s="21"/>
      <c r="K46" s="21" t="s">
        <v>79</v>
      </c>
      <c r="L46" s="21"/>
      <c r="M46" s="91">
        <f>COUNTIF(Tableau1[[#This Row],[Secteur 1]:[Secteur 4]],"x")</f>
        <v>1</v>
      </c>
      <c r="N46" s="92" t="s">
        <v>81</v>
      </c>
      <c r="O46" s="146" t="str">
        <f>IF(Tableau1[[#This Row],[Date de Fin]]-Tableau1[[#This Row],[Date de Début]]&gt;1,"X"," ")</f>
        <v>X</v>
      </c>
      <c r="P46" s="20"/>
      <c r="Q46" s="136"/>
      <c r="R46" s="99">
        <v>45705</v>
      </c>
      <c r="S46" s="280" t="str">
        <f t="shared" si="17"/>
        <v>2025-02-17</v>
      </c>
      <c r="T46" s="134">
        <v>45709</v>
      </c>
      <c r="U46" s="276" t="str">
        <f t="shared" si="18"/>
        <v>2025-02-21</v>
      </c>
      <c r="V46" s="210" t="str">
        <f>PROPER(LEFT(TEXT(Tableau1[[#This Row],[Date de Début]],"jjjj"),2))&amp; "" &amp; PROPER(LEFT(TEXT(Tableau1[[#This Row],[Date de Début]]+1,"jjjj"),2))</f>
        <v>LuMa</v>
      </c>
      <c r="W46" s="175" t="str">
        <f>IF(Tableau1[[#This Row],[Nb jours]]&gt;1,PROPER(LEFT(TEXT(Tableau1[[#This Row],[Date de Début]]+1,"jjjj"),2))&amp; "" &amp; PROPER(LEFT(TEXT(Tableau1[[#This Row],[Date de Début]]+2,"jjjj"),2)),"")</f>
        <v>MaMe</v>
      </c>
      <c r="X46" s="175" t="str">
        <f>IF(Tableau1[[#This Row],[Nb jours]]&gt;2,PROPER(LEFT(TEXT(Tableau1[[#This Row],[Date de Début]]+2,"jjjj"),2))&amp; "" &amp; PROPER(LEFT(TEXT(Tableau1[[#This Row],[Date de Début]]+3,"jjjj"),2)),"")</f>
        <v>MeJe</v>
      </c>
      <c r="Y46" s="176" t="str">
        <f>IF(Tableau1[[#This Row],[Nb jours]]&gt;3,PROPER(LEFT(TEXT(Tableau1[[#This Row],[Date de Début]]+3,"jjjj"),2))&amp; "" &amp; PROPER(LEFT(TEXT(Tableau1[[#This Row],[Date de Début]]+4,"jjjj"),2)),"")</f>
        <v>JeVe</v>
      </c>
      <c r="Z46" s="175" t="str">
        <f>IF(Tableau1[[#This Row],[Nb jours]]&gt;4,PROPER(LEFT(TEXT(Tableau1[[#This Row],[Date de Début]]+4,"jjjj"),2))&amp; "" &amp; PROPER(LEFT(TEXT(Tableau1[[#This Row],[Date de Début]]+5,"jjjj"),2)),"")</f>
        <v/>
      </c>
      <c r="AA46" s="176" t="str">
        <f>IF(Tableau1[[#This Row],[Nb jours]]&gt;5,PROPER(LEFT(TEXT(Tableau1[[#This Row],[Date de Début]]+5,"jjjj"),2))&amp; "" &amp; PROPER(LEFT(TEXT(Tableau1[[#This Row],[Date de Début]]+6,"jjjj"),2)),"")</f>
        <v/>
      </c>
      <c r="AB46" s="177">
        <f>Tableau1[[#This Row],[Date de Fin]]-Tableau1[[#This Row],[Date de Début]]</f>
        <v>4</v>
      </c>
      <c r="AC46" s="150" t="str">
        <f>Tableau1[[#This Row],[Nuit 1]]&amp;Tableau1[[#This Row],[Nuit 2]]&amp;Tableau1[[#This Row],[Nuit 3]]&amp;Tableau1[[#This Row],[Nuit 4]]&amp;Tableau1[[#This Row],[Nuit 5]]&amp;Tableau1[[#This Row],[Nuit 6]]</f>
        <v>LuMaMaMeMeJeJeVe</v>
      </c>
      <c r="AD46" s="42" t="s">
        <v>155</v>
      </c>
      <c r="AE46" s="27">
        <f t="shared" si="28"/>
        <v>28</v>
      </c>
      <c r="AF46" s="31">
        <f>Tableau1[[#This Row],[Date de Début]]-AE46</f>
        <v>45677</v>
      </c>
      <c r="AG46" s="93">
        <v>45687</v>
      </c>
      <c r="AH46" s="27">
        <f t="shared" si="29"/>
        <v>21</v>
      </c>
      <c r="AI46" s="254" t="str">
        <f t="shared" si="19"/>
        <v>2025-01-30</v>
      </c>
      <c r="AJ46" s="45" t="s">
        <v>156</v>
      </c>
      <c r="AK46" s="31">
        <f>Tableau1[[#This Row],[Date de Début]]-AH46</f>
        <v>45684</v>
      </c>
      <c r="AL46" s="93">
        <v>45692</v>
      </c>
      <c r="AM46" s="27">
        <f t="shared" si="30"/>
        <v>21</v>
      </c>
      <c r="AN46" s="264" t="str">
        <f>IF(AL46="","",TEXT(Tableau1[[#This Row],[Date de fin de vérification]],"AAAA-MM-JJ"))</f>
        <v>2025-02-04</v>
      </c>
      <c r="AO46" s="49">
        <f>Tableau1[[#This Row],[Date de Début]]-AM46</f>
        <v>45684</v>
      </c>
      <c r="AP46" s="93">
        <v>45694</v>
      </c>
      <c r="AQ46" s="27">
        <f t="shared" si="31"/>
        <v>14</v>
      </c>
      <c r="AR46" s="254" t="str">
        <f t="shared" si="20"/>
        <v>06/02/2025</v>
      </c>
      <c r="AS46" s="49">
        <f>Tableau1[[#This Row],[Date de Début]]-AQ46</f>
        <v>45691</v>
      </c>
      <c r="AT46" s="93">
        <v>45694</v>
      </c>
      <c r="AU46" s="27">
        <f t="shared" si="32"/>
        <v>14</v>
      </c>
      <c r="AV46" s="254" t="str">
        <f t="shared" si="21"/>
        <v>06-02-2025</v>
      </c>
      <c r="AW46" s="49">
        <f>Tableau1[[#This Row],[Date de Début]]-AU46</f>
        <v>45691</v>
      </c>
      <c r="AX46" s="93">
        <v>45694</v>
      </c>
      <c r="AY46" s="93" t="str">
        <f t="shared" si="22"/>
        <v>2025-02-06</v>
      </c>
      <c r="AZ46" s="28">
        <f>IF(Tableau1[[#This Row],[Date limite de fin de rédaction]]&lt;Tableau1[[#This Row],[Date de fin de rédaction]],1,0)</f>
        <v>1</v>
      </c>
      <c r="BA46" s="28">
        <f>IF(Tableau1[[#This Row],[Date limite de fin de vérification]]&lt;Tableau1[[#This Row],[Date de fin de vérification]],1,0)</f>
        <v>1</v>
      </c>
      <c r="BB46" s="28">
        <f>IF(Tableau1[[#This Row],[Date limite d''envoi a  l''exploitation]]&lt;Tableau1[[#This Row],[Date d''envoi à  l''exploitation
(Mettre en copier le demandeur et le rédacteur)]],1,0)</f>
        <v>1</v>
      </c>
      <c r="BC46" s="28">
        <f>IF(Tableau1[[#This Row],[Date limite de réception]]&lt;Tableau1[[#This Row],[Date de réception]],1,0)</f>
        <v>1</v>
      </c>
      <c r="BD46" s="53">
        <f>IF(Tableau1[[#This Row],[Date limite limite de dépose sur la GED]]&lt;Tableau1[[#This Row],[Date de dépose sur la GED]],1,0)</f>
        <v>1</v>
      </c>
      <c r="BE46" s="245"/>
      <c r="BF46" s="243"/>
      <c r="BG46" s="309"/>
      <c r="BH46" s="295"/>
      <c r="BI46" s="297"/>
      <c r="BJ46" s="300"/>
      <c r="BK46" s="242"/>
    </row>
    <row r="47" spans="1:63" x14ac:dyDescent="0.25">
      <c r="A47" s="223">
        <f t="shared" si="16"/>
        <v>38</v>
      </c>
      <c r="B47" s="90" t="s">
        <v>151</v>
      </c>
      <c r="C47" s="90">
        <v>15212</v>
      </c>
      <c r="D47" s="98" t="str">
        <f>IF(Tableau1[[#This Row],[Date de Début]]=0,"Saisir date de début","S"&amp; _xlfn.ISOWEEKNUM(R47))</f>
        <v>S8</v>
      </c>
      <c r="E47" s="24" t="s">
        <v>204</v>
      </c>
      <c r="F47" s="21"/>
      <c r="G47" s="159" t="str">
        <f>"xxx-2025-"&amp;Tableau1[[#This Row],[N° de 
Ctx]]&amp;"-"&amp;Tableau1[[#This Row],[N° semaine]]&amp;"-"&amp; Tableau1[[#This Row],[Nature des travaux]]</f>
        <v>xxx-2025-38-S8-Contrat 38</v>
      </c>
      <c r="H47" s="68" t="str">
        <f>IF(Tableau1[[#This Row],[Nature des travaux]]=0,"Saisir nature des travaux",Tableau1[[#This Row],[Colonne1]])&amp;"-"&amp;Tableau1[[#This Row],[Jour]]</f>
        <v>xxx-2025-38-S8-Contrat 38-MaMeMeJe</v>
      </c>
      <c r="I47" s="20"/>
      <c r="J47" s="21"/>
      <c r="K47" s="21" t="s">
        <v>79</v>
      </c>
      <c r="L47" s="21"/>
      <c r="M47" s="91">
        <f>COUNTIF(Tableau1[[#This Row],[Secteur 1]:[Secteur 4]],"x")</f>
        <v>1</v>
      </c>
      <c r="N47" s="92" t="s">
        <v>81</v>
      </c>
      <c r="O47" s="146" t="str">
        <f>IF(Tableau1[[#This Row],[Date de Fin]]-Tableau1[[#This Row],[Date de Début]]&gt;1,"X"," ")</f>
        <v>X</v>
      </c>
      <c r="P47" s="20"/>
      <c r="Q47" s="136"/>
      <c r="R47" s="99">
        <v>45706</v>
      </c>
      <c r="S47" s="280" t="str">
        <f t="shared" si="17"/>
        <v>2025-02-18</v>
      </c>
      <c r="T47" s="134">
        <v>45708</v>
      </c>
      <c r="U47" s="276" t="str">
        <f t="shared" si="18"/>
        <v>2025-02-20</v>
      </c>
      <c r="V47" s="210" t="str">
        <f>PROPER(LEFT(TEXT(Tableau1[[#This Row],[Date de Début]],"jjjj"),2))&amp; "" &amp; PROPER(LEFT(TEXT(Tableau1[[#This Row],[Date de Début]]+1,"jjjj"),2))</f>
        <v>MaMe</v>
      </c>
      <c r="W47" s="175" t="str">
        <f>IF(Tableau1[[#This Row],[Nb jours]]&gt;1,PROPER(LEFT(TEXT(Tableau1[[#This Row],[Date de Début]]+1,"jjjj"),2))&amp; "" &amp; PROPER(LEFT(TEXT(Tableau1[[#This Row],[Date de Début]]+2,"jjjj"),2)),"")</f>
        <v>MeJe</v>
      </c>
      <c r="X47" s="175" t="str">
        <f>IF(Tableau1[[#This Row],[Nb jours]]&gt;2,PROPER(LEFT(TEXT(Tableau1[[#This Row],[Date de Début]]+2,"jjjj"),2))&amp; "" &amp; PROPER(LEFT(TEXT(Tableau1[[#This Row],[Date de Début]]+3,"jjjj"),2)),"")</f>
        <v/>
      </c>
      <c r="Y47" s="176" t="str">
        <f>IF(Tableau1[[#This Row],[Nb jours]]&gt;3,PROPER(LEFT(TEXT(Tableau1[[#This Row],[Date de Début]]+3,"jjjj"),2))&amp; "" &amp; PROPER(LEFT(TEXT(Tableau1[[#This Row],[Date de Début]]+4,"jjjj"),2)),"")</f>
        <v/>
      </c>
      <c r="Z47" s="175" t="str">
        <f>IF(Tableau1[[#This Row],[Nb jours]]&gt;4,PROPER(LEFT(TEXT(Tableau1[[#This Row],[Date de Début]]+4,"jjjj"),2))&amp; "" &amp; PROPER(LEFT(TEXT(Tableau1[[#This Row],[Date de Début]]+5,"jjjj"),2)),"")</f>
        <v/>
      </c>
      <c r="AA47" s="176" t="str">
        <f>IF(Tableau1[[#This Row],[Nb jours]]&gt;5,PROPER(LEFT(TEXT(Tableau1[[#This Row],[Date de Début]]+5,"jjjj"),2))&amp; "" &amp; PROPER(LEFT(TEXT(Tableau1[[#This Row],[Date de Début]]+6,"jjjj"),2)),"")</f>
        <v/>
      </c>
      <c r="AB47" s="177">
        <f>Tableau1[[#This Row],[Date de Fin]]-Tableau1[[#This Row],[Date de Début]]</f>
        <v>2</v>
      </c>
      <c r="AC47" s="150" t="str">
        <f>Tableau1[[#This Row],[Nuit 1]]&amp;Tableau1[[#This Row],[Nuit 2]]&amp;Tableau1[[#This Row],[Nuit 3]]&amp;Tableau1[[#This Row],[Nuit 4]]&amp;Tableau1[[#This Row],[Nuit 5]]&amp;Tableau1[[#This Row],[Nuit 6]]</f>
        <v>MaMeMeJe</v>
      </c>
      <c r="AD47" s="42" t="s">
        <v>155</v>
      </c>
      <c r="AE47" s="27">
        <f t="shared" si="28"/>
        <v>28</v>
      </c>
      <c r="AF47" s="31">
        <f>Tableau1[[#This Row],[Date de Début]]-AE47</f>
        <v>45678</v>
      </c>
      <c r="AG47" s="93">
        <v>45687</v>
      </c>
      <c r="AH47" s="27">
        <f t="shared" si="29"/>
        <v>21</v>
      </c>
      <c r="AI47" s="254" t="str">
        <f t="shared" si="19"/>
        <v>2025-01-30</v>
      </c>
      <c r="AJ47" s="45" t="s">
        <v>156</v>
      </c>
      <c r="AK47" s="31">
        <f>Tableau1[[#This Row],[Date de Début]]-AH47</f>
        <v>45685</v>
      </c>
      <c r="AL47" s="93">
        <v>45692</v>
      </c>
      <c r="AM47" s="27">
        <f t="shared" si="30"/>
        <v>21</v>
      </c>
      <c r="AN47" s="264" t="str">
        <f>IF(AL47="","",TEXT(Tableau1[[#This Row],[Date de fin de vérification]],"AAAA-MM-JJ"))</f>
        <v>2025-02-04</v>
      </c>
      <c r="AO47" s="49">
        <f>Tableau1[[#This Row],[Date de Début]]-AM47</f>
        <v>45685</v>
      </c>
      <c r="AP47" s="93">
        <v>45694</v>
      </c>
      <c r="AQ47" s="27">
        <f t="shared" si="31"/>
        <v>14</v>
      </c>
      <c r="AR47" s="254" t="str">
        <f t="shared" si="20"/>
        <v>06/02/2025</v>
      </c>
      <c r="AS47" s="49">
        <f>Tableau1[[#This Row],[Date de Début]]-AQ47</f>
        <v>45692</v>
      </c>
      <c r="AT47" s="93">
        <v>45694</v>
      </c>
      <c r="AU47" s="27">
        <f t="shared" si="32"/>
        <v>14</v>
      </c>
      <c r="AV47" s="254" t="str">
        <f t="shared" si="21"/>
        <v>06-02-2025</v>
      </c>
      <c r="AW47" s="49">
        <f>Tableau1[[#This Row],[Date de Début]]-AU47</f>
        <v>45692</v>
      </c>
      <c r="AX47" s="93">
        <v>45694</v>
      </c>
      <c r="AY47" s="93" t="str">
        <f t="shared" si="22"/>
        <v>2025-02-06</v>
      </c>
      <c r="AZ47" s="28">
        <f>IF(Tableau1[[#This Row],[Date limite de fin de rédaction]]&lt;Tableau1[[#This Row],[Date de fin de rédaction]],1,0)</f>
        <v>1</v>
      </c>
      <c r="BA47" s="28">
        <f>IF(Tableau1[[#This Row],[Date limite de fin de vérification]]&lt;Tableau1[[#This Row],[Date de fin de vérification]],1,0)</f>
        <v>1</v>
      </c>
      <c r="BB47" s="28">
        <f>IF(Tableau1[[#This Row],[Date limite d''envoi a  l''exploitation]]&lt;Tableau1[[#This Row],[Date d''envoi à  l''exploitation
(Mettre en copier le demandeur et le rédacteur)]],1,0)</f>
        <v>1</v>
      </c>
      <c r="BC47" s="28">
        <f>IF(Tableau1[[#This Row],[Date limite de réception]]&lt;Tableau1[[#This Row],[Date de réception]],1,0)</f>
        <v>1</v>
      </c>
      <c r="BD47" s="53">
        <f>IF(Tableau1[[#This Row],[Date limite limite de dépose sur la GED]]&lt;Tableau1[[#This Row],[Date de dépose sur la GED]],1,0)</f>
        <v>1</v>
      </c>
      <c r="BE47" s="245"/>
      <c r="BF47" s="243"/>
      <c r="BG47" s="309"/>
      <c r="BH47" s="295"/>
      <c r="BI47" s="297"/>
      <c r="BJ47" s="300"/>
      <c r="BK47" s="242"/>
    </row>
    <row r="48" spans="1:63" x14ac:dyDescent="0.25">
      <c r="A48" s="223">
        <f t="shared" si="16"/>
        <v>39</v>
      </c>
      <c r="B48" s="90" t="s">
        <v>146</v>
      </c>
      <c r="C48" s="90"/>
      <c r="D48" s="98" t="s">
        <v>84</v>
      </c>
      <c r="E48" s="24" t="s">
        <v>205</v>
      </c>
      <c r="F48" s="21"/>
      <c r="G48" s="159" t="str">
        <f>"xxx-2025-"&amp;Tableau1[[#This Row],[N° de 
Ctx]]&amp;"-"&amp;Tableau1[[#This Row],[N° semaine]]&amp;"-"&amp; Tableau1[[#This Row],[Nature des travaux]]</f>
        <v>xxx-2025-39-S8-Contrat 39</v>
      </c>
      <c r="H48" s="68" t="str">
        <f>IF(Tableau1[[#This Row],[Nature des travaux]]=0,"Saisir nature des travaux",Tableau1[[#This Row],[Colonne1]])&amp;"-"&amp;Tableau1[[#This Row],[Jour]]</f>
        <v>xxx-2025-39-S8-Contrat 39-JeVe</v>
      </c>
      <c r="I48" s="20"/>
      <c r="J48" s="21"/>
      <c r="K48" s="21" t="s">
        <v>85</v>
      </c>
      <c r="L48" s="21"/>
      <c r="M48" s="91">
        <f>COUNTIF(Tableau1[[#This Row],[Secteur 1]:[Secteur 4]],"x")</f>
        <v>1</v>
      </c>
      <c r="N48" s="92" t="s">
        <v>81</v>
      </c>
      <c r="O48" s="92" t="str">
        <f>IF(Tableau1[[#This Row],[Date de Fin]]-Tableau1[[#This Row],[Date de Début]]&gt;1,"X"," ")</f>
        <v xml:space="preserve"> </v>
      </c>
      <c r="P48" s="20"/>
      <c r="Q48" s="21"/>
      <c r="R48" s="99">
        <v>45708</v>
      </c>
      <c r="S48" s="281" t="str">
        <f t="shared" si="17"/>
        <v>2025-02-20</v>
      </c>
      <c r="T48" s="140">
        <v>45709</v>
      </c>
      <c r="U48" s="276" t="str">
        <f t="shared" si="18"/>
        <v>2025-02-21</v>
      </c>
      <c r="V48" s="210" t="str">
        <f>PROPER(LEFT(TEXT(Tableau1[[#This Row],[Date de Début]],"jjjj"),2))&amp; "" &amp; PROPER(LEFT(TEXT(Tableau1[[#This Row],[Date de Début]]+1,"jjjj"),2))</f>
        <v>JeVe</v>
      </c>
      <c r="W48" s="175" t="str">
        <f>IF(Tableau1[[#This Row],[Nb jours]]&gt;1,PROPER(LEFT(TEXT(Tableau1[[#This Row],[Date de Début]]+1,"jjjj"),2))&amp; "" &amp; PROPER(LEFT(TEXT(Tableau1[[#This Row],[Date de Début]]+2,"jjjj"),2)),"")</f>
        <v/>
      </c>
      <c r="X48" s="175" t="str">
        <f>IF(Tableau1[[#This Row],[Nb jours]]&gt;2,PROPER(LEFT(TEXT(Tableau1[[#This Row],[Date de Début]]+2,"jjjj"),2))&amp; "" &amp; PROPER(LEFT(TEXT(Tableau1[[#This Row],[Date de Début]]+3,"jjjj"),2)),"")</f>
        <v/>
      </c>
      <c r="Y48" s="176" t="str">
        <f>IF(Tableau1[[#This Row],[Nb jours]]&gt;3,PROPER(LEFT(TEXT(Tableau1[[#This Row],[Date de Début]]+3,"jjjj"),2))&amp; "" &amp; PROPER(LEFT(TEXT(Tableau1[[#This Row],[Date de Début]]+4,"jjjj"),2)),"")</f>
        <v/>
      </c>
      <c r="Z48" s="175" t="str">
        <f>IF(Tableau1[[#This Row],[Nb jours]]&gt;4,PROPER(LEFT(TEXT(Tableau1[[#This Row],[Date de Début]]+4,"jjjj"),2))&amp; "" &amp; PROPER(LEFT(TEXT(Tableau1[[#This Row],[Date de Début]]+5,"jjjj"),2)),"")</f>
        <v/>
      </c>
      <c r="AA48" s="176" t="str">
        <f>IF(Tableau1[[#This Row],[Nb jours]]&gt;5,PROPER(LEFT(TEXT(Tableau1[[#This Row],[Date de Début]]+5,"jjjj"),2))&amp; "" &amp; PROPER(LEFT(TEXT(Tableau1[[#This Row],[Date de Début]]+6,"jjjj"),2)),"")</f>
        <v/>
      </c>
      <c r="AB48" s="177">
        <f>Tableau1[[#This Row],[Date de Fin]]-Tableau1[[#This Row],[Date de Début]]</f>
        <v>1</v>
      </c>
      <c r="AC48" s="221" t="str">
        <f>Tableau1[[#This Row],[Nuit 1]]&amp;Tableau1[[#This Row],[Nuit 2]]&amp;Tableau1[[#This Row],[Nuit 3]]&amp;Tableau1[[#This Row],[Nuit 4]]&amp;Tableau1[[#This Row],[Nuit 5]]&amp;Tableau1[[#This Row],[Nuit 6]]</f>
        <v>JeVe</v>
      </c>
      <c r="AD48" s="42" t="s">
        <v>156</v>
      </c>
      <c r="AE48" s="27">
        <f t="shared" si="28"/>
        <v>28</v>
      </c>
      <c r="AF48" s="31">
        <f>Tableau1[[#This Row],[Date de Début]]-AE48</f>
        <v>45680</v>
      </c>
      <c r="AG48" s="93">
        <v>45708</v>
      </c>
      <c r="AH48" s="27">
        <f t="shared" si="29"/>
        <v>21</v>
      </c>
      <c r="AI48" s="254" t="str">
        <f t="shared" si="19"/>
        <v>2025-02-20</v>
      </c>
      <c r="AJ48" s="45" t="s">
        <v>155</v>
      </c>
      <c r="AK48" s="31">
        <f>Tableau1[[#This Row],[Date de Début]]-AH48</f>
        <v>45687</v>
      </c>
      <c r="AL48" s="93">
        <v>45708</v>
      </c>
      <c r="AM48" s="27">
        <f t="shared" si="30"/>
        <v>21</v>
      </c>
      <c r="AN48" s="264" t="str">
        <f>IF(AL48="","",TEXT(Tableau1[[#This Row],[Date de fin de vérification]],"AAAA-MM-JJ"))</f>
        <v>2025-02-20</v>
      </c>
      <c r="AO48" s="49">
        <f>Tableau1[[#This Row],[Date de Début]]-AM48</f>
        <v>45687</v>
      </c>
      <c r="AP48" s="93">
        <v>45708</v>
      </c>
      <c r="AQ48" s="27">
        <f t="shared" si="31"/>
        <v>14</v>
      </c>
      <c r="AR48" s="254" t="str">
        <f t="shared" si="20"/>
        <v>20/02/2025</v>
      </c>
      <c r="AS48" s="49">
        <f>Tableau1[[#This Row],[Date de Début]]-AQ48</f>
        <v>45694</v>
      </c>
      <c r="AT48" s="93">
        <v>45708</v>
      </c>
      <c r="AU48" s="27">
        <f t="shared" si="32"/>
        <v>14</v>
      </c>
      <c r="AV48" s="254" t="str">
        <f t="shared" si="21"/>
        <v>20-02-2025</v>
      </c>
      <c r="AW48" s="49">
        <f>Tableau1[[#This Row],[Date de Début]]-AU48</f>
        <v>45694</v>
      </c>
      <c r="AX48" s="93">
        <v>45708</v>
      </c>
      <c r="AY48" s="93" t="str">
        <f t="shared" si="22"/>
        <v>2025-02-20</v>
      </c>
      <c r="AZ48" s="28">
        <f>IF(Tableau1[[#This Row],[Date limite de fin de rédaction]]&lt;Tableau1[[#This Row],[Date de fin de rédaction]],1,0)</f>
        <v>1</v>
      </c>
      <c r="BA48" s="28">
        <f>IF(Tableau1[[#This Row],[Date limite de fin de vérification]]&lt;Tableau1[[#This Row],[Date de fin de vérification]],1,0)</f>
        <v>1</v>
      </c>
      <c r="BB48" s="28">
        <f>IF(Tableau1[[#This Row],[Date limite d''envoi a  l''exploitation]]&lt;Tableau1[[#This Row],[Date d''envoi à  l''exploitation
(Mettre en copier le demandeur et le rédacteur)]],1,0)</f>
        <v>1</v>
      </c>
      <c r="BC48" s="28">
        <f>IF(Tableau1[[#This Row],[Date limite de réception]]&lt;Tableau1[[#This Row],[Date de réception]],1,0)</f>
        <v>1</v>
      </c>
      <c r="BD48" s="53">
        <f>IF(Tableau1[[#This Row],[Date limite limite de dépose sur la GED]]&lt;Tableau1[[#This Row],[Date de dépose sur la GED]],1,0)</f>
        <v>1</v>
      </c>
      <c r="BE48" s="245"/>
      <c r="BF48" s="243"/>
      <c r="BG48" s="309"/>
      <c r="BH48" s="295"/>
      <c r="BI48" s="297"/>
      <c r="BJ48" s="300"/>
      <c r="BK48" s="242"/>
    </row>
    <row r="49" spans="1:63" x14ac:dyDescent="0.25">
      <c r="A49" s="223">
        <f t="shared" si="16"/>
        <v>40</v>
      </c>
      <c r="B49" s="90" t="s">
        <v>145</v>
      </c>
      <c r="C49" s="90" t="s">
        <v>86</v>
      </c>
      <c r="D49" s="98" t="str">
        <f>IF(Tableau1[[#This Row],[Date de Début]]=0,"Saisir date de début","S"&amp; _xlfn.ISOWEEKNUM(R49))</f>
        <v>S9</v>
      </c>
      <c r="E49" s="24" t="s">
        <v>206</v>
      </c>
      <c r="F49" s="21"/>
      <c r="G49" s="159" t="str">
        <f>"xxx-2025-"&amp;Tableau1[[#This Row],[N° de 
Ctx]]&amp;"-"&amp;Tableau1[[#This Row],[N° semaine]]&amp;"-"&amp; Tableau1[[#This Row],[Nature des travaux]]</f>
        <v>xxx-2025-40-S9-Contrat 40</v>
      </c>
      <c r="H49" s="68" t="str">
        <f>IF(Tableau1[[#This Row],[Nature des travaux]]=0,"Saisir nature des travaux",Tableau1[[#This Row],[Colonne1]])&amp;"-"&amp;Tableau1[[#This Row],[Jour]]</f>
        <v>xxx-2025-40-S9-Contrat 40-LuMaMaMeMeJeJeVe</v>
      </c>
      <c r="I49" s="20"/>
      <c r="J49" s="21"/>
      <c r="K49" s="21" t="s">
        <v>79</v>
      </c>
      <c r="L49" s="21"/>
      <c r="M49" s="91">
        <f>COUNTIF(Tableau1[[#This Row],[Secteur 1]:[Secteur 4]],"x")</f>
        <v>1</v>
      </c>
      <c r="N49" s="92" t="s">
        <v>81</v>
      </c>
      <c r="O49" s="146" t="str">
        <f>IF(Tableau1[[#This Row],[Date de Fin]]-Tableau1[[#This Row],[Date de Début]]&gt;1,"X"," ")</f>
        <v>X</v>
      </c>
      <c r="P49" s="20"/>
      <c r="Q49" s="21"/>
      <c r="R49" s="99">
        <v>45712</v>
      </c>
      <c r="S49" s="281" t="str">
        <f t="shared" si="17"/>
        <v>2025-02-24</v>
      </c>
      <c r="T49" s="140">
        <v>45716</v>
      </c>
      <c r="U49" s="276" t="str">
        <f t="shared" si="18"/>
        <v>2025-02-28</v>
      </c>
      <c r="V49" s="210" t="str">
        <f>PROPER(LEFT(TEXT(Tableau1[[#This Row],[Date de Début]],"jjjj"),2))&amp; "" &amp; PROPER(LEFT(TEXT(Tableau1[[#This Row],[Date de Début]]+1,"jjjj"),2))</f>
        <v>LuMa</v>
      </c>
      <c r="W49" s="175" t="str">
        <f>IF(Tableau1[[#This Row],[Nb jours]]&gt;1,PROPER(LEFT(TEXT(Tableau1[[#This Row],[Date de Début]]+1,"jjjj"),2))&amp; "" &amp; PROPER(LEFT(TEXT(Tableau1[[#This Row],[Date de Début]]+2,"jjjj"),2)),"")</f>
        <v>MaMe</v>
      </c>
      <c r="X49" s="175" t="str">
        <f>IF(Tableau1[[#This Row],[Nb jours]]&gt;2,PROPER(LEFT(TEXT(Tableau1[[#This Row],[Date de Début]]+2,"jjjj"),2))&amp; "" &amp; PROPER(LEFT(TEXT(Tableau1[[#This Row],[Date de Début]]+3,"jjjj"),2)),"")</f>
        <v>MeJe</v>
      </c>
      <c r="Y49" s="176" t="str">
        <f>IF(Tableau1[[#This Row],[Nb jours]]&gt;3,PROPER(LEFT(TEXT(Tableau1[[#This Row],[Date de Début]]+3,"jjjj"),2))&amp; "" &amp; PROPER(LEFT(TEXT(Tableau1[[#This Row],[Date de Début]]+4,"jjjj"),2)),"")</f>
        <v>JeVe</v>
      </c>
      <c r="Z49" s="175" t="str">
        <f>IF(Tableau1[[#This Row],[Nb jours]]&gt;4,PROPER(LEFT(TEXT(Tableau1[[#This Row],[Date de Début]]+4,"jjjj"),2))&amp; "" &amp; PROPER(LEFT(TEXT(Tableau1[[#This Row],[Date de Début]]+5,"jjjj"),2)),"")</f>
        <v/>
      </c>
      <c r="AA49" s="176" t="str">
        <f>IF(Tableau1[[#This Row],[Nb jours]]&gt;5,PROPER(LEFT(TEXT(Tableau1[[#This Row],[Date de Début]]+5,"jjjj"),2))&amp; "" &amp; PROPER(LEFT(TEXT(Tableau1[[#This Row],[Date de Début]]+6,"jjjj"),2)),"")</f>
        <v/>
      </c>
      <c r="AB49" s="177">
        <f>Tableau1[[#This Row],[Date de Fin]]-Tableau1[[#This Row],[Date de Début]]</f>
        <v>4</v>
      </c>
      <c r="AC49" s="150" t="str">
        <f>Tableau1[[#This Row],[Nuit 1]]&amp;Tableau1[[#This Row],[Nuit 2]]&amp;Tableau1[[#This Row],[Nuit 3]]&amp;Tableau1[[#This Row],[Nuit 4]]&amp;Tableau1[[#This Row],[Nuit 5]]&amp;Tableau1[[#This Row],[Nuit 6]]</f>
        <v>LuMaMaMeMeJeJeVe</v>
      </c>
      <c r="AD49" s="42" t="s">
        <v>155</v>
      </c>
      <c r="AE49" s="27">
        <f t="shared" si="28"/>
        <v>28</v>
      </c>
      <c r="AF49" s="31">
        <f>Tableau1[[#This Row],[Date de Début]]-AE49</f>
        <v>45684</v>
      </c>
      <c r="AG49" s="93">
        <v>45687</v>
      </c>
      <c r="AH49" s="27">
        <f t="shared" si="29"/>
        <v>21</v>
      </c>
      <c r="AI49" s="254" t="str">
        <f t="shared" si="19"/>
        <v>2025-01-30</v>
      </c>
      <c r="AJ49" s="45" t="s">
        <v>156</v>
      </c>
      <c r="AK49" s="31">
        <f>Tableau1[[#This Row],[Date de Début]]-AH49</f>
        <v>45691</v>
      </c>
      <c r="AL49" s="93">
        <v>45708</v>
      </c>
      <c r="AM49" s="27">
        <f t="shared" si="30"/>
        <v>21</v>
      </c>
      <c r="AN49" s="264" t="str">
        <f>IF(AL49="","",TEXT(Tableau1[[#This Row],[Date de fin de vérification]],"AAAA-MM-JJ"))</f>
        <v>2025-02-20</v>
      </c>
      <c r="AO49" s="49">
        <f>Tableau1[[#This Row],[Date de Début]]-AM49</f>
        <v>45691</v>
      </c>
      <c r="AP49" s="93">
        <v>45708</v>
      </c>
      <c r="AQ49" s="27">
        <f t="shared" si="31"/>
        <v>14</v>
      </c>
      <c r="AR49" s="254" t="str">
        <f t="shared" si="20"/>
        <v>20/02/2025</v>
      </c>
      <c r="AS49" s="49">
        <f>Tableau1[[#This Row],[Date de Début]]-AQ49</f>
        <v>45698</v>
      </c>
      <c r="AT49" s="93">
        <v>45708</v>
      </c>
      <c r="AU49" s="27">
        <f t="shared" si="32"/>
        <v>14</v>
      </c>
      <c r="AV49" s="254" t="str">
        <f t="shared" si="21"/>
        <v>20-02-2025</v>
      </c>
      <c r="AW49" s="49">
        <f>Tableau1[[#This Row],[Date de Début]]-AU49</f>
        <v>45698</v>
      </c>
      <c r="AX49" s="93">
        <v>45708</v>
      </c>
      <c r="AY49" s="93" t="str">
        <f t="shared" si="22"/>
        <v>2025-02-20</v>
      </c>
      <c r="AZ49" s="28">
        <f>IF(Tableau1[[#This Row],[Date limite de fin de rédaction]]&lt;Tableau1[[#This Row],[Date de fin de rédaction]],1,0)</f>
        <v>1</v>
      </c>
      <c r="BA49" s="28">
        <f>IF(Tableau1[[#This Row],[Date limite de fin de vérification]]&lt;Tableau1[[#This Row],[Date de fin de vérification]],1,0)</f>
        <v>1</v>
      </c>
      <c r="BB49" s="28">
        <f>IF(Tableau1[[#This Row],[Date limite d''envoi a  l''exploitation]]&lt;Tableau1[[#This Row],[Date d''envoi à  l''exploitation
(Mettre en copier le demandeur et le rédacteur)]],1,0)</f>
        <v>1</v>
      </c>
      <c r="BC49" s="28">
        <f>IF(Tableau1[[#This Row],[Date limite de réception]]&lt;Tableau1[[#This Row],[Date de réception]],1,0)</f>
        <v>1</v>
      </c>
      <c r="BD49" s="53">
        <f>IF(Tableau1[[#This Row],[Date limite limite de dépose sur la GED]]&lt;Tableau1[[#This Row],[Date de dépose sur la GED]],1,0)</f>
        <v>1</v>
      </c>
      <c r="BE49" s="245"/>
      <c r="BF49" s="243"/>
      <c r="BG49" s="308"/>
      <c r="BH49" s="242"/>
      <c r="BI49" s="297"/>
      <c r="BJ49" s="300"/>
      <c r="BK49" s="242"/>
    </row>
    <row r="50" spans="1:63" x14ac:dyDescent="0.25">
      <c r="A50" s="223">
        <f t="shared" si="16"/>
        <v>41</v>
      </c>
      <c r="B50" s="90" t="s">
        <v>145</v>
      </c>
      <c r="C50" s="90" t="s">
        <v>87</v>
      </c>
      <c r="D50" s="98" t="str">
        <f>IF(Tableau1[[#This Row],[Date de Début]]=0,"Saisir date de début","S"&amp; _xlfn.ISOWEEKNUM(R50))</f>
        <v>S9</v>
      </c>
      <c r="E50" s="24" t="s">
        <v>207</v>
      </c>
      <c r="F50" s="21" t="s">
        <v>88</v>
      </c>
      <c r="G50" s="159" t="str">
        <f>"xxx-2025-"&amp;Tableau1[[#This Row],[N° de 
Ctx]]&amp;"-"&amp;Tableau1[[#This Row],[N° semaine]]&amp;"-"&amp; Tableau1[[#This Row],[Nature des travaux]]</f>
        <v>xxx-2025-41-S9-Contrat 41</v>
      </c>
      <c r="H50" s="68" t="str">
        <f>IF(Tableau1[[#This Row],[Nature des travaux]]=0,"Saisir nature des travaux",Tableau1[[#This Row],[Colonne1]])&amp;"-"&amp;Tableau1[[#This Row],[Jour]]</f>
        <v>xxx-2025-41-S9-Contrat 41-MaMeMeJe</v>
      </c>
      <c r="I50" s="20"/>
      <c r="J50" s="21"/>
      <c r="K50" s="21" t="s">
        <v>79</v>
      </c>
      <c r="L50" s="21"/>
      <c r="M50" s="91">
        <f>COUNTIF(Tableau1[[#This Row],[Secteur 1]:[Secteur 4]],"x")</f>
        <v>1</v>
      </c>
      <c r="N50" s="92" t="s">
        <v>81</v>
      </c>
      <c r="O50" s="146" t="str">
        <f>IF(Tableau1[[#This Row],[Date de Fin]]-Tableau1[[#This Row],[Date de Début]]&gt;1,"X"," ")</f>
        <v>X</v>
      </c>
      <c r="P50" s="20"/>
      <c r="Q50" s="21"/>
      <c r="R50" s="99">
        <v>45713</v>
      </c>
      <c r="S50" s="281" t="str">
        <f t="shared" si="17"/>
        <v>2025-02-25</v>
      </c>
      <c r="T50" s="140">
        <v>45715</v>
      </c>
      <c r="U50" s="276" t="str">
        <f t="shared" si="18"/>
        <v>2025-02-27</v>
      </c>
      <c r="V50" s="210" t="str">
        <f>PROPER(LEFT(TEXT(Tableau1[[#This Row],[Date de Début]],"jjjj"),2))&amp; "" &amp; PROPER(LEFT(TEXT(Tableau1[[#This Row],[Date de Début]]+1,"jjjj"),2))</f>
        <v>MaMe</v>
      </c>
      <c r="W50" s="175" t="str">
        <f>IF(Tableau1[[#This Row],[Nb jours]]&gt;1,PROPER(LEFT(TEXT(Tableau1[[#This Row],[Date de Début]]+1,"jjjj"),2))&amp; "" &amp; PROPER(LEFT(TEXT(Tableau1[[#This Row],[Date de Début]]+2,"jjjj"),2)),"")</f>
        <v>MeJe</v>
      </c>
      <c r="X50" s="175" t="str">
        <f>IF(Tableau1[[#This Row],[Nb jours]]&gt;2,PROPER(LEFT(TEXT(Tableau1[[#This Row],[Date de Début]]+2,"jjjj"),2))&amp; "" &amp; PROPER(LEFT(TEXT(Tableau1[[#This Row],[Date de Début]]+3,"jjjj"),2)),"")</f>
        <v/>
      </c>
      <c r="Y50" s="176" t="str">
        <f>IF(Tableau1[[#This Row],[Nb jours]]&gt;3,PROPER(LEFT(TEXT(Tableau1[[#This Row],[Date de Début]]+3,"jjjj"),2))&amp; "" &amp; PROPER(LEFT(TEXT(Tableau1[[#This Row],[Date de Début]]+4,"jjjj"),2)),"")</f>
        <v/>
      </c>
      <c r="Z50" s="175" t="str">
        <f>IF(Tableau1[[#This Row],[Nb jours]]&gt;4,PROPER(LEFT(TEXT(Tableau1[[#This Row],[Date de Début]]+4,"jjjj"),2))&amp; "" &amp; PROPER(LEFT(TEXT(Tableau1[[#This Row],[Date de Début]]+5,"jjjj"),2)),"")</f>
        <v/>
      </c>
      <c r="AA50" s="176" t="str">
        <f>IF(Tableau1[[#This Row],[Nb jours]]&gt;5,PROPER(LEFT(TEXT(Tableau1[[#This Row],[Date de Début]]+5,"jjjj"),2))&amp; "" &amp; PROPER(LEFT(TEXT(Tableau1[[#This Row],[Date de Début]]+6,"jjjj"),2)),"")</f>
        <v/>
      </c>
      <c r="AB50" s="177">
        <f>Tableau1[[#This Row],[Date de Fin]]-Tableau1[[#This Row],[Date de Début]]</f>
        <v>2</v>
      </c>
      <c r="AC50" s="150" t="str">
        <f>Tableau1[[#This Row],[Nuit 1]]&amp;Tableau1[[#This Row],[Nuit 2]]&amp;Tableau1[[#This Row],[Nuit 3]]&amp;Tableau1[[#This Row],[Nuit 4]]&amp;Tableau1[[#This Row],[Nuit 5]]&amp;Tableau1[[#This Row],[Nuit 6]]</f>
        <v>MaMeMeJe</v>
      </c>
      <c r="AD50" s="42" t="s">
        <v>155</v>
      </c>
      <c r="AE50" s="27">
        <f t="shared" si="28"/>
        <v>28</v>
      </c>
      <c r="AF50" s="31">
        <f>Tableau1[[#This Row],[Date de Début]]-AE50</f>
        <v>45685</v>
      </c>
      <c r="AG50" s="93">
        <v>45659</v>
      </c>
      <c r="AH50" s="27">
        <f t="shared" si="29"/>
        <v>21</v>
      </c>
      <c r="AI50" s="254" t="str">
        <f t="shared" si="19"/>
        <v>2025-01-02</v>
      </c>
      <c r="AJ50" s="45" t="s">
        <v>156</v>
      </c>
      <c r="AK50" s="31">
        <f>Tableau1[[#This Row],[Date de Début]]-AH50</f>
        <v>45692</v>
      </c>
      <c r="AL50" s="93">
        <v>45708</v>
      </c>
      <c r="AM50" s="27">
        <f t="shared" si="30"/>
        <v>21</v>
      </c>
      <c r="AN50" s="264" t="str">
        <f>IF(AL50="","",TEXT(Tableau1[[#This Row],[Date de fin de vérification]],"AAAA-MM-JJ"))</f>
        <v>2025-02-20</v>
      </c>
      <c r="AO50" s="49">
        <f>Tableau1[[#This Row],[Date de Début]]-AM50</f>
        <v>45692</v>
      </c>
      <c r="AP50" s="93">
        <v>45708</v>
      </c>
      <c r="AQ50" s="27">
        <f t="shared" si="31"/>
        <v>14</v>
      </c>
      <c r="AR50" s="254" t="str">
        <f t="shared" si="20"/>
        <v>20/02/2025</v>
      </c>
      <c r="AS50" s="49">
        <f>Tableau1[[#This Row],[Date de Début]]-AQ50</f>
        <v>45699</v>
      </c>
      <c r="AT50" s="93">
        <v>45708</v>
      </c>
      <c r="AU50" s="27">
        <f t="shared" si="32"/>
        <v>14</v>
      </c>
      <c r="AV50" s="254" t="str">
        <f t="shared" si="21"/>
        <v>20-02-2025</v>
      </c>
      <c r="AW50" s="49">
        <f>Tableau1[[#This Row],[Date de Début]]-AU50</f>
        <v>45699</v>
      </c>
      <c r="AX50" s="93">
        <v>45708</v>
      </c>
      <c r="AY50" s="93" t="str">
        <f t="shared" si="22"/>
        <v>2025-02-20</v>
      </c>
      <c r="AZ50" s="28">
        <f>IF(Tableau1[[#This Row],[Date limite de fin de rédaction]]&lt;Tableau1[[#This Row],[Date de fin de rédaction]],1,0)</f>
        <v>0</v>
      </c>
      <c r="BA50" s="28">
        <f>IF(Tableau1[[#This Row],[Date limite de fin de vérification]]&lt;Tableau1[[#This Row],[Date de fin de vérification]],1,0)</f>
        <v>1</v>
      </c>
      <c r="BB50" s="28">
        <f>IF(Tableau1[[#This Row],[Date limite d''envoi a  l''exploitation]]&lt;Tableau1[[#This Row],[Date d''envoi à  l''exploitation
(Mettre en copier le demandeur et le rédacteur)]],1,0)</f>
        <v>1</v>
      </c>
      <c r="BC50" s="28">
        <f>IF(Tableau1[[#This Row],[Date limite de réception]]&lt;Tableau1[[#This Row],[Date de réception]],1,0)</f>
        <v>1</v>
      </c>
      <c r="BD50" s="53">
        <f>IF(Tableau1[[#This Row],[Date limite limite de dépose sur la GED]]&lt;Tableau1[[#This Row],[Date de dépose sur la GED]],1,0)</f>
        <v>1</v>
      </c>
      <c r="BE50" s="245"/>
      <c r="BF50" s="243"/>
      <c r="BG50" s="308"/>
      <c r="BH50" s="242"/>
      <c r="BI50" s="297"/>
      <c r="BJ50" s="300"/>
      <c r="BK50" s="242"/>
    </row>
    <row r="51" spans="1:63" x14ac:dyDescent="0.25">
      <c r="A51" s="223">
        <f t="shared" si="16"/>
        <v>42</v>
      </c>
      <c r="B51" s="90" t="s">
        <v>144</v>
      </c>
      <c r="C51" s="90">
        <v>15023</v>
      </c>
      <c r="D51" s="98" t="str">
        <f>IF(Tableau1[[#This Row],[Date de Début]]=0,"Saisir date de début","S"&amp; _xlfn.ISOWEEKNUM(R51))</f>
        <v>S8</v>
      </c>
      <c r="E51" s="24" t="s">
        <v>208</v>
      </c>
      <c r="F51" s="21"/>
      <c r="G51" s="159" t="str">
        <f>"xxx-2025-"&amp;Tableau1[[#This Row],[N° de 
Ctx]]&amp;"-"&amp;Tableau1[[#This Row],[N° semaine]]&amp;"-"&amp; Tableau1[[#This Row],[Nature des travaux]]</f>
        <v>xxx-2025-42-S8-Contrat 42</v>
      </c>
      <c r="H51" s="68" t="str">
        <f>IF(Tableau1[[#This Row],[Nature des travaux]]=0,"Saisir nature des travaux",Tableau1[[#This Row],[Colonne1]])&amp;"-"&amp;Tableau1[[#This Row],[Jour]]</f>
        <v>xxx-2025-42-S8-Contrat 42-MaMe</v>
      </c>
      <c r="I51" s="20"/>
      <c r="J51" s="21"/>
      <c r="K51" s="21"/>
      <c r="L51" s="21" t="s">
        <v>79</v>
      </c>
      <c r="M51" s="91">
        <f>COUNTIF(Tableau1[[#This Row],[Secteur 1]:[Secteur 4]],"x")</f>
        <v>1</v>
      </c>
      <c r="N51" s="92" t="s">
        <v>80</v>
      </c>
      <c r="O51" s="146" t="str">
        <f>IF(Tableau1[[#This Row],[Date de Fin]]-Tableau1[[#This Row],[Date de Début]]&gt;1,"X"," ")</f>
        <v xml:space="preserve"> </v>
      </c>
      <c r="P51" s="20" t="s">
        <v>85</v>
      </c>
      <c r="Q51" s="21"/>
      <c r="R51" s="99">
        <v>45706</v>
      </c>
      <c r="S51" s="281" t="str">
        <f t="shared" si="17"/>
        <v>2025-02-18</v>
      </c>
      <c r="T51" s="140">
        <v>45707</v>
      </c>
      <c r="U51" s="276" t="str">
        <f t="shared" si="18"/>
        <v>2025-02-19</v>
      </c>
      <c r="V51" s="210" t="str">
        <f>PROPER(LEFT(TEXT(Tableau1[[#This Row],[Date de Début]],"jjjj"),2))&amp; "" &amp; PROPER(LEFT(TEXT(Tableau1[[#This Row],[Date de Début]]+1,"jjjj"),2))</f>
        <v>MaMe</v>
      </c>
      <c r="W51" s="175" t="str">
        <f>IF(Tableau1[[#This Row],[Nb jours]]&gt;1,PROPER(LEFT(TEXT(Tableau1[[#This Row],[Date de Début]]+1,"jjjj"),2))&amp; "" &amp; PROPER(LEFT(TEXT(Tableau1[[#This Row],[Date de Début]]+2,"jjjj"),2)),"")</f>
        <v/>
      </c>
      <c r="X51" s="175" t="str">
        <f>IF(Tableau1[[#This Row],[Nb jours]]&gt;2,PROPER(LEFT(TEXT(Tableau1[[#This Row],[Date de Début]]+2,"jjjj"),2))&amp; "" &amp; PROPER(LEFT(TEXT(Tableau1[[#This Row],[Date de Début]]+3,"jjjj"),2)),"")</f>
        <v/>
      </c>
      <c r="Y51" s="176" t="str">
        <f>IF(Tableau1[[#This Row],[Nb jours]]&gt;3,PROPER(LEFT(TEXT(Tableau1[[#This Row],[Date de Début]]+3,"jjjj"),2))&amp; "" &amp; PROPER(LEFT(TEXT(Tableau1[[#This Row],[Date de Début]]+4,"jjjj"),2)),"")</f>
        <v/>
      </c>
      <c r="Z51" s="175" t="str">
        <f>IF(Tableau1[[#This Row],[Nb jours]]&gt;4,PROPER(LEFT(TEXT(Tableau1[[#This Row],[Date de Début]]+4,"jjjj"),2))&amp; "" &amp; PROPER(LEFT(TEXT(Tableau1[[#This Row],[Date de Début]]+5,"jjjj"),2)),"")</f>
        <v/>
      </c>
      <c r="AA51" s="176" t="str">
        <f>IF(Tableau1[[#This Row],[Nb jours]]&gt;5,PROPER(LEFT(TEXT(Tableau1[[#This Row],[Date de Début]]+5,"jjjj"),2))&amp; "" &amp; PROPER(LEFT(TEXT(Tableau1[[#This Row],[Date de Début]]+6,"jjjj"),2)),"")</f>
        <v/>
      </c>
      <c r="AB51" s="177">
        <f>Tableau1[[#This Row],[Date de Fin]]-Tableau1[[#This Row],[Date de Début]]</f>
        <v>1</v>
      </c>
      <c r="AC51" s="150" t="str">
        <f>Tableau1[[#This Row],[Nuit 1]]&amp;Tableau1[[#This Row],[Nuit 2]]&amp;Tableau1[[#This Row],[Nuit 3]]&amp;Tableau1[[#This Row],[Nuit 4]]&amp;Tableau1[[#This Row],[Nuit 5]]&amp;Tableau1[[#This Row],[Nuit 6]]</f>
        <v>MaMe</v>
      </c>
      <c r="AD51" s="42" t="s">
        <v>143</v>
      </c>
      <c r="AE51" s="27">
        <f t="shared" si="28"/>
        <v>28</v>
      </c>
      <c r="AF51" s="31">
        <f>Tableau1[[#This Row],[Date de Début]]-AE51</f>
        <v>45678</v>
      </c>
      <c r="AG51" s="93">
        <v>45685</v>
      </c>
      <c r="AH51" s="27">
        <f t="shared" si="29"/>
        <v>21</v>
      </c>
      <c r="AI51" s="254" t="str">
        <f t="shared" si="19"/>
        <v>2025-01-28</v>
      </c>
      <c r="AJ51" s="45" t="s">
        <v>156</v>
      </c>
      <c r="AK51" s="31">
        <f>Tableau1[[#This Row],[Date de Début]]-AH51</f>
        <v>45685</v>
      </c>
      <c r="AL51" s="93">
        <v>45692</v>
      </c>
      <c r="AM51" s="27">
        <f t="shared" si="30"/>
        <v>21</v>
      </c>
      <c r="AN51" s="264" t="str">
        <f>IF(AL51="","",TEXT(Tableau1[[#This Row],[Date de fin de vérification]],"AAAA-MM-JJ"))</f>
        <v>2025-02-04</v>
      </c>
      <c r="AO51" s="49">
        <f>Tableau1[[#This Row],[Date de Début]]-AM51</f>
        <v>45685</v>
      </c>
      <c r="AP51" s="93">
        <v>45691</v>
      </c>
      <c r="AQ51" s="27">
        <f t="shared" si="31"/>
        <v>14</v>
      </c>
      <c r="AR51" s="254" t="str">
        <f t="shared" si="20"/>
        <v>03/02/2025</v>
      </c>
      <c r="AS51" s="49">
        <f>Tableau1[[#This Row],[Date de Début]]-AQ51</f>
        <v>45692</v>
      </c>
      <c r="AT51" s="93">
        <v>45693</v>
      </c>
      <c r="AU51" s="27">
        <f t="shared" si="32"/>
        <v>14</v>
      </c>
      <c r="AV51" s="254" t="str">
        <f t="shared" si="21"/>
        <v>05-02-2025</v>
      </c>
      <c r="AW51" s="49">
        <f>Tableau1[[#This Row],[Date de Début]]-AU51</f>
        <v>45692</v>
      </c>
      <c r="AX51" s="93">
        <v>45706</v>
      </c>
      <c r="AY51" s="93" t="str">
        <f t="shared" si="22"/>
        <v>2025-02-18</v>
      </c>
      <c r="AZ51" s="28">
        <f>IF(Tableau1[[#This Row],[Date limite de fin de rédaction]]&lt;Tableau1[[#This Row],[Date de fin de rédaction]],1,0)</f>
        <v>1</v>
      </c>
      <c r="BA51" s="28">
        <f>IF(Tableau1[[#This Row],[Date limite de fin de vérification]]&lt;Tableau1[[#This Row],[Date de fin de vérification]],1,0)</f>
        <v>1</v>
      </c>
      <c r="BB51" s="28">
        <f>IF(Tableau1[[#This Row],[Date limite d''envoi a  l''exploitation]]&lt;Tableau1[[#This Row],[Date d''envoi à  l''exploitation
(Mettre en copier le demandeur et le rédacteur)]],1,0)</f>
        <v>1</v>
      </c>
      <c r="BC51" s="28">
        <f>IF(Tableau1[[#This Row],[Date limite de réception]]&lt;Tableau1[[#This Row],[Date de réception]],1,0)</f>
        <v>1</v>
      </c>
      <c r="BD51" s="53">
        <f>IF(Tableau1[[#This Row],[Date limite limite de dépose sur la GED]]&lt;Tableau1[[#This Row],[Date de dépose sur la GED]],1,0)</f>
        <v>1</v>
      </c>
      <c r="BE51" s="245"/>
      <c r="BF51" s="243"/>
      <c r="BG51" s="309"/>
      <c r="BH51" s="295"/>
      <c r="BI51" s="297"/>
      <c r="BJ51" s="300"/>
      <c r="BK51" s="242"/>
    </row>
    <row r="52" spans="1:63" x14ac:dyDescent="0.25">
      <c r="A52" s="223">
        <f t="shared" si="16"/>
        <v>43</v>
      </c>
      <c r="B52" s="90" t="s">
        <v>144</v>
      </c>
      <c r="C52" s="90"/>
      <c r="D52" s="98" t="str">
        <f>IF(Tableau1[[#This Row],[Date de Début]]=0,"Saisir date de début","S"&amp; _xlfn.ISOWEEKNUM(R52))</f>
        <v>S8</v>
      </c>
      <c r="E52" s="24" t="s">
        <v>209</v>
      </c>
      <c r="F52" s="21"/>
      <c r="G52" s="159" t="str">
        <f>"xxx-2025-"&amp;Tableau1[[#This Row],[N° de 
Ctx]]&amp;"-"&amp;Tableau1[[#This Row],[N° semaine]]&amp;"-"&amp; Tableau1[[#This Row],[Nature des travaux]]</f>
        <v>xxx-2025-43-S8-Contrat 43</v>
      </c>
      <c r="H52" s="68" t="str">
        <f>IF(Tableau1[[#This Row],[Nature des travaux]]=0,"Saisir nature des travaux",Tableau1[[#This Row],[Colonne1]])&amp;"-"&amp;Tableau1[[#This Row],[Jour]]</f>
        <v>xxx-2025-43-S8-Contrat 43-MeJe</v>
      </c>
      <c r="I52" s="20"/>
      <c r="J52" s="21"/>
      <c r="K52" s="21"/>
      <c r="L52" s="21" t="s">
        <v>79</v>
      </c>
      <c r="M52" s="91">
        <f>COUNTIF(Tableau1[[#This Row],[Secteur 1]:[Secteur 4]],"x")</f>
        <v>1</v>
      </c>
      <c r="N52" s="92" t="s">
        <v>80</v>
      </c>
      <c r="O52" s="146"/>
      <c r="P52" s="20" t="s">
        <v>85</v>
      </c>
      <c r="Q52" s="21"/>
      <c r="R52" s="99">
        <v>45707</v>
      </c>
      <c r="S52" s="281" t="str">
        <f t="shared" si="17"/>
        <v>2025-02-19</v>
      </c>
      <c r="T52" s="140">
        <v>45708</v>
      </c>
      <c r="U52" s="276" t="str">
        <f t="shared" si="18"/>
        <v>2025-02-20</v>
      </c>
      <c r="V52" s="210" t="str">
        <f>PROPER(LEFT(TEXT(Tableau1[[#This Row],[Date de Début]],"jjjj"),2))&amp; "" &amp; PROPER(LEFT(TEXT(Tableau1[[#This Row],[Date de Début]]+1,"jjjj"),2))</f>
        <v>MeJe</v>
      </c>
      <c r="W52" s="175" t="str">
        <f>IF(Tableau1[[#This Row],[Nb jours]]&gt;1,PROPER(LEFT(TEXT(Tableau1[[#This Row],[Date de Début]]+1,"jjjj"),2))&amp; "" &amp; PROPER(LEFT(TEXT(Tableau1[[#This Row],[Date de Début]]+2,"jjjj"),2)),"")</f>
        <v/>
      </c>
      <c r="X52" s="175" t="str">
        <f>IF(Tableau1[[#This Row],[Nb jours]]&gt;2,PROPER(LEFT(TEXT(Tableau1[[#This Row],[Date de Début]]+2,"jjjj"),2))&amp; "" &amp; PROPER(LEFT(TEXT(Tableau1[[#This Row],[Date de Début]]+3,"jjjj"),2)),"")</f>
        <v/>
      </c>
      <c r="Y52" s="176" t="str">
        <f>IF(Tableau1[[#This Row],[Nb jours]]&gt;3,PROPER(LEFT(TEXT(Tableau1[[#This Row],[Date de Début]]+3,"jjjj"),2))&amp; "" &amp; PROPER(LEFT(TEXT(Tableau1[[#This Row],[Date de Début]]+4,"jjjj"),2)),"")</f>
        <v/>
      </c>
      <c r="Z52" s="175" t="str">
        <f>IF(Tableau1[[#This Row],[Nb jours]]&gt;4,PROPER(LEFT(TEXT(Tableau1[[#This Row],[Date de Début]]+4,"jjjj"),2))&amp; "" &amp; PROPER(LEFT(TEXT(Tableau1[[#This Row],[Date de Début]]+5,"jjjj"),2)),"")</f>
        <v/>
      </c>
      <c r="AA52" s="176" t="str">
        <f>IF(Tableau1[[#This Row],[Nb jours]]&gt;5,PROPER(LEFT(TEXT(Tableau1[[#This Row],[Date de Début]]+5,"jjjj"),2))&amp; "" &amp; PROPER(LEFT(TEXT(Tableau1[[#This Row],[Date de Début]]+6,"jjjj"),2)),"")</f>
        <v/>
      </c>
      <c r="AB52" s="177">
        <f>Tableau1[[#This Row],[Date de Fin]]-Tableau1[[#This Row],[Date de Début]]</f>
        <v>1</v>
      </c>
      <c r="AC52" s="150" t="str">
        <f>Tableau1[[#This Row],[Nuit 1]]&amp;Tableau1[[#This Row],[Nuit 2]]&amp;Tableau1[[#This Row],[Nuit 3]]&amp;Tableau1[[#This Row],[Nuit 4]]&amp;Tableau1[[#This Row],[Nuit 5]]&amp;Tableau1[[#This Row],[Nuit 6]]</f>
        <v>MeJe</v>
      </c>
      <c r="AD52" s="42" t="s">
        <v>143</v>
      </c>
      <c r="AE52" s="27">
        <f t="shared" si="28"/>
        <v>28</v>
      </c>
      <c r="AF52" s="31">
        <f>Tableau1[[#This Row],[Date de Début]]-AE52</f>
        <v>45679</v>
      </c>
      <c r="AG52" s="93">
        <v>45685</v>
      </c>
      <c r="AH52" s="27">
        <f t="shared" si="29"/>
        <v>21</v>
      </c>
      <c r="AI52" s="254" t="str">
        <f t="shared" si="19"/>
        <v>2025-01-28</v>
      </c>
      <c r="AJ52" s="45" t="s">
        <v>156</v>
      </c>
      <c r="AK52" s="31">
        <f>Tableau1[[#This Row],[Date de Début]]-AH52</f>
        <v>45686</v>
      </c>
      <c r="AL52" s="93">
        <v>45692</v>
      </c>
      <c r="AM52" s="27">
        <f t="shared" si="30"/>
        <v>21</v>
      </c>
      <c r="AN52" s="264" t="str">
        <f>IF(AL52="","",TEXT(Tableau1[[#This Row],[Date de fin de vérification]],"AAAA-MM-JJ"))</f>
        <v>2025-02-04</v>
      </c>
      <c r="AO52" s="49">
        <f>Tableau1[[#This Row],[Date de Début]]-AM52</f>
        <v>45686</v>
      </c>
      <c r="AP52" s="93">
        <v>45691</v>
      </c>
      <c r="AQ52" s="27">
        <f t="shared" si="31"/>
        <v>14</v>
      </c>
      <c r="AR52" s="254" t="str">
        <f t="shared" si="20"/>
        <v>03/02/2025</v>
      </c>
      <c r="AS52" s="49">
        <f>Tableau1[[#This Row],[Date de Début]]-AQ52</f>
        <v>45693</v>
      </c>
      <c r="AT52" s="93">
        <v>45693</v>
      </c>
      <c r="AU52" s="27">
        <f t="shared" si="32"/>
        <v>14</v>
      </c>
      <c r="AV52" s="254" t="str">
        <f t="shared" si="21"/>
        <v>05-02-2025</v>
      </c>
      <c r="AW52" s="49">
        <f>Tableau1[[#This Row],[Date de Début]]-AU52</f>
        <v>45693</v>
      </c>
      <c r="AX52" s="93">
        <v>45707</v>
      </c>
      <c r="AY52" s="93" t="str">
        <f t="shared" si="22"/>
        <v>2025-02-19</v>
      </c>
      <c r="AZ52" s="28">
        <f>IF(Tableau1[[#This Row],[Date limite de fin de rédaction]]&lt;Tableau1[[#This Row],[Date de fin de rédaction]],1,0)</f>
        <v>1</v>
      </c>
      <c r="BA52" s="28">
        <f>IF(Tableau1[[#This Row],[Date limite de fin de vérification]]&lt;Tableau1[[#This Row],[Date de fin de vérification]],1,0)</f>
        <v>1</v>
      </c>
      <c r="BB52" s="28">
        <f>IF(Tableau1[[#This Row],[Date limite d''envoi a  l''exploitation]]&lt;Tableau1[[#This Row],[Date d''envoi à  l''exploitation
(Mettre en copier le demandeur et le rédacteur)]],1,0)</f>
        <v>1</v>
      </c>
      <c r="BC52" s="28">
        <f>IF(Tableau1[[#This Row],[Date limite de réception]]&lt;Tableau1[[#This Row],[Date de réception]],1,0)</f>
        <v>0</v>
      </c>
      <c r="BD52" s="53">
        <f>IF(Tableau1[[#This Row],[Date limite limite de dépose sur la GED]]&lt;Tableau1[[#This Row],[Date de dépose sur la GED]],1,0)</f>
        <v>1</v>
      </c>
      <c r="BE52" s="245"/>
      <c r="BF52" s="243"/>
      <c r="BG52" s="309"/>
      <c r="BH52" s="295"/>
      <c r="BI52" s="297"/>
      <c r="BJ52" s="300"/>
      <c r="BK52" s="242"/>
    </row>
    <row r="53" spans="1:63" s="205" customFormat="1" x14ac:dyDescent="0.25">
      <c r="A53" s="223">
        <f t="shared" si="16"/>
        <v>44</v>
      </c>
      <c r="B53" s="184" t="s">
        <v>144</v>
      </c>
      <c r="C53" s="184"/>
      <c r="D53" s="185" t="str">
        <f>IF(Tableau1[[#This Row],[Date de Début]]=0,"Saisir date de début","S"&amp; _xlfn.ISOWEEKNUM(R53))</f>
        <v>S5</v>
      </c>
      <c r="E53" s="24" t="s">
        <v>210</v>
      </c>
      <c r="F53" s="186" t="s">
        <v>89</v>
      </c>
      <c r="G53" s="159" t="str">
        <f>"xxx-2025-"&amp;Tableau1[[#This Row],[N° de 
Ctx]]&amp;"-"&amp;Tableau1[[#This Row],[N° semaine]]&amp;"-"&amp; Tableau1[[#This Row],[Nature des travaux]]</f>
        <v>xxx-2025-44-S5-Contrat 44</v>
      </c>
      <c r="H53" s="187" t="str">
        <f>IF(Tableau1[[#This Row],[Nature des travaux]]=0,"Saisir nature des travaux",Tableau1[[#This Row],[Colonne1]])&amp;"-"&amp;Tableau1[[#This Row],[Jour]]</f>
        <v>xxx-2025-44-S5-Contrat 44-LuMa</v>
      </c>
      <c r="I53" s="188"/>
      <c r="J53" s="186"/>
      <c r="K53" s="186"/>
      <c r="L53" s="186" t="s">
        <v>79</v>
      </c>
      <c r="M53" s="189">
        <f>COUNTIF(Tableau1[[#This Row],[Secteur 1]:[Secteur 4]],"x")</f>
        <v>1</v>
      </c>
      <c r="N53" s="190" t="s">
        <v>80</v>
      </c>
      <c r="O53" s="191" t="str">
        <f>IF(Tableau1[[#This Row],[Date de Fin]]-Tableau1[[#This Row],[Date de Début]]&gt;1,"X"," ")</f>
        <v xml:space="preserve"> </v>
      </c>
      <c r="P53" s="188"/>
      <c r="Q53" s="186"/>
      <c r="R53" s="206">
        <v>45684</v>
      </c>
      <c r="S53" s="282" t="str">
        <f t="shared" si="17"/>
        <v>2025-01-27</v>
      </c>
      <c r="T53" s="193">
        <v>45685</v>
      </c>
      <c r="U53" s="288" t="str">
        <f t="shared" si="18"/>
        <v>2025-01-28</v>
      </c>
      <c r="V53" s="210" t="str">
        <f>PROPER(LEFT(TEXT(Tableau1[[#This Row],[Date de Début]],"jjjj"),2))&amp; "" &amp; PROPER(LEFT(TEXT(Tableau1[[#This Row],[Date de Début]]+1,"jjjj"),2))</f>
        <v>LuMa</v>
      </c>
      <c r="W53" s="194" t="str">
        <f>IF(Tableau1[[#This Row],[Nb jours]]&gt;1,PROPER(LEFT(TEXT(Tableau1[[#This Row],[Date de Début]]+1,"jjjj"),2))&amp; "" &amp; PROPER(LEFT(TEXT(Tableau1[[#This Row],[Date de Début]]+2,"jjjj"),2)),"")</f>
        <v/>
      </c>
      <c r="X53" s="194" t="str">
        <f>IF(Tableau1[[#This Row],[Nb jours]]&gt;2,PROPER(LEFT(TEXT(Tableau1[[#This Row],[Date de Début]]+2,"jjjj"),2))&amp; "" &amp; PROPER(LEFT(TEXT(Tableau1[[#This Row],[Date de Début]]+3,"jjjj"),2)),"")</f>
        <v/>
      </c>
      <c r="Y53" s="195" t="str">
        <f>IF(Tableau1[[#This Row],[Nb jours]]&gt;3,PROPER(LEFT(TEXT(Tableau1[[#This Row],[Date de Début]]+3,"jjjj"),2))&amp; "" &amp; PROPER(LEFT(TEXT(Tableau1[[#This Row],[Date de Début]]+4,"jjjj"),2)),"")</f>
        <v/>
      </c>
      <c r="Z53" s="194" t="str">
        <f>IF(Tableau1[[#This Row],[Nb jours]]&gt;4,PROPER(LEFT(TEXT(Tableau1[[#This Row],[Date de Début]]+4,"jjjj"),2))&amp; "" &amp; PROPER(LEFT(TEXT(Tableau1[[#This Row],[Date de Début]]+5,"jjjj"),2)),"")</f>
        <v/>
      </c>
      <c r="AA53" s="195" t="str">
        <f>IF(Tableau1[[#This Row],[Nb jours]]&gt;5,PROPER(LEFT(TEXT(Tableau1[[#This Row],[Date de Début]]+5,"jjjj"),2))&amp; "" &amp; PROPER(LEFT(TEXT(Tableau1[[#This Row],[Date de Début]]+6,"jjjj"),2)),"")</f>
        <v/>
      </c>
      <c r="AB53" s="196">
        <f>Tableau1[[#This Row],[Date de Fin]]-Tableau1[[#This Row],[Date de Début]]</f>
        <v>1</v>
      </c>
      <c r="AC53" s="197" t="str">
        <f>Tableau1[[#This Row],[Nuit 1]]&amp;Tableau1[[#This Row],[Nuit 2]]&amp;Tableau1[[#This Row],[Nuit 3]]&amp;Tableau1[[#This Row],[Nuit 4]]&amp;Tableau1[[#This Row],[Nuit 5]]&amp;Tableau1[[#This Row],[Nuit 6]]</f>
        <v>LuMa</v>
      </c>
      <c r="AD53" s="198" t="s">
        <v>143</v>
      </c>
      <c r="AE53" s="199">
        <f t="shared" si="28"/>
        <v>28</v>
      </c>
      <c r="AF53" s="200">
        <f>Tableau1[[#This Row],[Date de Début]]-AE53</f>
        <v>45656</v>
      </c>
      <c r="AG53" s="201" t="s">
        <v>90</v>
      </c>
      <c r="AH53" s="199">
        <f t="shared" si="29"/>
        <v>21</v>
      </c>
      <c r="AI53" s="255" t="str">
        <f t="shared" si="19"/>
        <v>annulé</v>
      </c>
      <c r="AJ53" s="202" t="s">
        <v>155</v>
      </c>
      <c r="AK53" s="200">
        <f>Tableau1[[#This Row],[Date de Début]]-AH53</f>
        <v>45663</v>
      </c>
      <c r="AL53" s="201" t="s">
        <v>90</v>
      </c>
      <c r="AM53" s="199">
        <f t="shared" si="30"/>
        <v>21</v>
      </c>
      <c r="AN53" s="265" t="str">
        <f>IF(AL53="","",TEXT(Tableau1[[#This Row],[Date de fin de vérification]],"AAAA-MM-JJ"))</f>
        <v>annulé</v>
      </c>
      <c r="AO53" s="203">
        <f>Tableau1[[#This Row],[Date de Début]]-AM53</f>
        <v>45663</v>
      </c>
      <c r="AP53" s="201" t="s">
        <v>90</v>
      </c>
      <c r="AQ53" s="199">
        <f t="shared" si="31"/>
        <v>14</v>
      </c>
      <c r="AR53" s="255" t="str">
        <f t="shared" si="20"/>
        <v>annulé</v>
      </c>
      <c r="AS53" s="203">
        <f>Tableau1[[#This Row],[Date de Début]]-AQ53</f>
        <v>45670</v>
      </c>
      <c r="AT53" s="201" t="s">
        <v>90</v>
      </c>
      <c r="AU53" s="199">
        <f t="shared" si="32"/>
        <v>14</v>
      </c>
      <c r="AV53" s="255" t="str">
        <f t="shared" si="21"/>
        <v>annulé</v>
      </c>
      <c r="AW53" s="203">
        <f>Tableau1[[#This Row],[Date de Début]]-AU53</f>
        <v>45670</v>
      </c>
      <c r="AX53" s="201" t="s">
        <v>90</v>
      </c>
      <c r="AY53" s="201" t="str">
        <f t="shared" si="22"/>
        <v>annulé</v>
      </c>
      <c r="AZ53" s="204">
        <f>IF(Tableau1[[#This Row],[Date limite de fin de rédaction]]&lt;Tableau1[[#This Row],[Date de fin de rédaction]],1,0)</f>
        <v>1</v>
      </c>
      <c r="BA53" s="204">
        <f>IF(Tableau1[[#This Row],[Date limite de fin de vérification]]&lt;Tableau1[[#This Row],[Date de fin de vérification]],1,0)</f>
        <v>1</v>
      </c>
      <c r="BB53" s="204">
        <f>IF(Tableau1[[#This Row],[Date limite d''envoi a  l''exploitation]]&lt;Tableau1[[#This Row],[Date d''envoi à  l''exploitation
(Mettre en copier le demandeur et le rédacteur)]],1,0)</f>
        <v>1</v>
      </c>
      <c r="BC53" s="204">
        <f>IF(Tableau1[[#This Row],[Date limite de réception]]&lt;Tableau1[[#This Row],[Date de réception]],1,0)</f>
        <v>1</v>
      </c>
      <c r="BD53" s="303">
        <f>IF(Tableau1[[#This Row],[Date limite limite de dépose sur la GED]]&lt;Tableau1[[#This Row],[Date de dépose sur la GED]],1,0)</f>
        <v>1</v>
      </c>
      <c r="BE53" s="301" t="s">
        <v>90</v>
      </c>
      <c r="BF53" s="201" t="s">
        <v>90</v>
      </c>
      <c r="BG53" s="302" t="s">
        <v>90</v>
      </c>
      <c r="BH53" s="299" t="s">
        <v>90</v>
      </c>
      <c r="BI53" s="204" t="s">
        <v>90</v>
      </c>
      <c r="BJ53" s="302" t="s">
        <v>90</v>
      </c>
      <c r="BK53" s="299" t="s">
        <v>90</v>
      </c>
    </row>
    <row r="54" spans="1:63" x14ac:dyDescent="0.25">
      <c r="A54" s="223">
        <f t="shared" si="16"/>
        <v>45</v>
      </c>
      <c r="B54" s="90" t="s">
        <v>151</v>
      </c>
      <c r="C54" s="90"/>
      <c r="D54" s="98" t="str">
        <f>IF(Tableau1[[#This Row],[Date de Début]]=0,"Saisir date de début","S"&amp; _xlfn.ISOWEEKNUM(R54))</f>
        <v>S9</v>
      </c>
      <c r="E54" s="24" t="s">
        <v>211</v>
      </c>
      <c r="F54" s="21"/>
      <c r="G54" s="159" t="str">
        <f>"xxx-2025-"&amp;Tableau1[[#This Row],[N° de 
Ctx]]&amp;"-"&amp;Tableau1[[#This Row],[N° semaine]]&amp;"-"&amp; Tableau1[[#This Row],[Nature des travaux]]</f>
        <v>xxx-2025-45-S9-Contrat 45</v>
      </c>
      <c r="H54" s="68" t="str">
        <f>IF(Tableau1[[#This Row],[Nature des travaux]]=0,"Saisir nature des travaux",Tableau1[[#This Row],[Colonne1]])&amp;"-"&amp;Tableau1[[#This Row],[Jour]]</f>
        <v>xxx-2025-45-S9-Contrat 45-MaMe</v>
      </c>
      <c r="I54" s="20"/>
      <c r="J54" s="21"/>
      <c r="K54" s="21" t="s">
        <v>79</v>
      </c>
      <c r="L54" s="21"/>
      <c r="M54" s="91">
        <f>COUNTIF(Tableau1[[#This Row],[Secteur 1]:[Secteur 4]],"x")</f>
        <v>1</v>
      </c>
      <c r="N54" s="92" t="s">
        <v>81</v>
      </c>
      <c r="O54" s="92" t="str">
        <f>IF(Tableau1[[#This Row],[Date de Fin]]-Tableau1[[#This Row],[Date de Début]]&gt;1,"X"," ")</f>
        <v xml:space="preserve"> </v>
      </c>
      <c r="P54" s="20"/>
      <c r="Q54" s="21"/>
      <c r="R54" s="99">
        <v>45713</v>
      </c>
      <c r="S54" s="281" t="str">
        <f t="shared" si="17"/>
        <v>2025-02-25</v>
      </c>
      <c r="T54" s="140">
        <v>45714</v>
      </c>
      <c r="U54" s="276" t="str">
        <f t="shared" si="18"/>
        <v>2025-02-26</v>
      </c>
      <c r="V54" s="210" t="str">
        <f>PROPER(LEFT(TEXT(Tableau1[[#This Row],[Date de Début]],"jjjj"),2))&amp; "" &amp; PROPER(LEFT(TEXT(Tableau1[[#This Row],[Date de Début]]+1,"jjjj"),2))</f>
        <v>MaMe</v>
      </c>
      <c r="W54" s="175" t="str">
        <f>IF(Tableau1[[#This Row],[Nb jours]]&gt;1,PROPER(LEFT(TEXT(Tableau1[[#This Row],[Date de Début]]+1,"jjjj"),2))&amp; "" &amp; PROPER(LEFT(TEXT(Tableau1[[#This Row],[Date de Début]]+2,"jjjj"),2)),"")</f>
        <v/>
      </c>
      <c r="X54" s="175" t="str">
        <f>IF(Tableau1[[#This Row],[Nb jours]]&gt;2,PROPER(LEFT(TEXT(Tableau1[[#This Row],[Date de Début]]+2,"jjjj"),2))&amp; "" &amp; PROPER(LEFT(TEXT(Tableau1[[#This Row],[Date de Début]]+3,"jjjj"),2)),"")</f>
        <v/>
      </c>
      <c r="Y54" s="176" t="str">
        <f>IF(Tableau1[[#This Row],[Nb jours]]&gt;3,PROPER(LEFT(TEXT(Tableau1[[#This Row],[Date de Début]]+3,"jjjj"),2))&amp; "" &amp; PROPER(LEFT(TEXT(Tableau1[[#This Row],[Date de Début]]+4,"jjjj"),2)),"")</f>
        <v/>
      </c>
      <c r="Z54" s="175" t="str">
        <f>IF(Tableau1[[#This Row],[Nb jours]]&gt;4,PROPER(LEFT(TEXT(Tableau1[[#This Row],[Date de Début]]+4,"jjjj"),2))&amp; "" &amp; PROPER(LEFT(TEXT(Tableau1[[#This Row],[Date de Début]]+5,"jjjj"),2)),"")</f>
        <v/>
      </c>
      <c r="AA54" s="176" t="str">
        <f>IF(Tableau1[[#This Row],[Nb jours]]&gt;5,PROPER(LEFT(TEXT(Tableau1[[#This Row],[Date de Début]]+5,"jjjj"),2))&amp; "" &amp; PROPER(LEFT(TEXT(Tableau1[[#This Row],[Date de Début]]+6,"jjjj"),2)),"")</f>
        <v/>
      </c>
      <c r="AB54" s="177">
        <f>Tableau1[[#This Row],[Date de Fin]]-Tableau1[[#This Row],[Date de Début]]</f>
        <v>1</v>
      </c>
      <c r="AC54" s="221" t="str">
        <f>Tableau1[[#This Row],[Nuit 1]]&amp;Tableau1[[#This Row],[Nuit 2]]&amp;Tableau1[[#This Row],[Nuit 3]]&amp;Tableau1[[#This Row],[Nuit 4]]&amp;Tableau1[[#This Row],[Nuit 5]]&amp;Tableau1[[#This Row],[Nuit 6]]</f>
        <v>MaMe</v>
      </c>
      <c r="AD54" s="42" t="s">
        <v>155</v>
      </c>
      <c r="AE54" s="27">
        <f t="shared" si="28"/>
        <v>28</v>
      </c>
      <c r="AF54" s="31">
        <f>Tableau1[[#This Row],[Date de Début]]-AE54</f>
        <v>45685</v>
      </c>
      <c r="AG54" s="93">
        <v>45713</v>
      </c>
      <c r="AH54" s="27">
        <f t="shared" si="29"/>
        <v>21</v>
      </c>
      <c r="AI54" s="254" t="str">
        <f t="shared" si="19"/>
        <v>2025-02-25</v>
      </c>
      <c r="AJ54" s="45" t="s">
        <v>156</v>
      </c>
      <c r="AK54" s="31">
        <f>Tableau1[[#This Row],[Date de Début]]-AH54</f>
        <v>45692</v>
      </c>
      <c r="AL54" s="93">
        <v>45713</v>
      </c>
      <c r="AM54" s="27">
        <f t="shared" si="30"/>
        <v>21</v>
      </c>
      <c r="AN54" s="264" t="str">
        <f>IF(AL54="","",TEXT(Tableau1[[#This Row],[Date de fin de vérification]],"AAAA-MM-JJ"))</f>
        <v>2025-02-25</v>
      </c>
      <c r="AO54" s="49">
        <f>Tableau1[[#This Row],[Date de Début]]-AM54</f>
        <v>45692</v>
      </c>
      <c r="AP54" s="93">
        <v>45713</v>
      </c>
      <c r="AQ54" s="27">
        <f t="shared" si="31"/>
        <v>14</v>
      </c>
      <c r="AR54" s="254" t="str">
        <f t="shared" si="20"/>
        <v>25/02/2025</v>
      </c>
      <c r="AS54" s="49">
        <f>Tableau1[[#This Row],[Date de Début]]-AQ54</f>
        <v>45699</v>
      </c>
      <c r="AT54" s="93">
        <v>45713</v>
      </c>
      <c r="AU54" s="27">
        <f t="shared" si="32"/>
        <v>14</v>
      </c>
      <c r="AV54" s="254" t="str">
        <f t="shared" si="21"/>
        <v>25-02-2025</v>
      </c>
      <c r="AW54" s="49">
        <f>Tableau1[[#This Row],[Date de Début]]-AU54</f>
        <v>45699</v>
      </c>
      <c r="AX54" s="93">
        <v>45713</v>
      </c>
      <c r="AY54" s="93" t="str">
        <f t="shared" si="22"/>
        <v>2025-02-25</v>
      </c>
      <c r="AZ54" s="28">
        <f>IF(Tableau1[[#This Row],[Date limite de fin de rédaction]]&lt;Tableau1[[#This Row],[Date de fin de rédaction]],1,0)</f>
        <v>1</v>
      </c>
      <c r="BA54" s="28">
        <f>IF(Tableau1[[#This Row],[Date limite de fin de vérification]]&lt;Tableau1[[#This Row],[Date de fin de vérification]],1,0)</f>
        <v>1</v>
      </c>
      <c r="BB54" s="28">
        <f>IF(Tableau1[[#This Row],[Date limite d''envoi a  l''exploitation]]&lt;Tableau1[[#This Row],[Date d''envoi à  l''exploitation
(Mettre en copier le demandeur et le rédacteur)]],1,0)</f>
        <v>1</v>
      </c>
      <c r="BC54" s="28">
        <f>IF(Tableau1[[#This Row],[Date limite de réception]]&lt;Tableau1[[#This Row],[Date de réception]],1,0)</f>
        <v>1</v>
      </c>
      <c r="BD54" s="53">
        <f>IF(Tableau1[[#This Row],[Date limite limite de dépose sur la GED]]&lt;Tableau1[[#This Row],[Date de dépose sur la GED]],1,0)</f>
        <v>1</v>
      </c>
      <c r="BE54" s="245"/>
      <c r="BF54" s="243"/>
      <c r="BG54" s="309"/>
      <c r="BH54" s="295"/>
      <c r="BI54" s="297"/>
      <c r="BJ54" s="300"/>
      <c r="BK54" s="242"/>
    </row>
    <row r="55" spans="1:63" x14ac:dyDescent="0.25">
      <c r="A55" s="223">
        <f t="shared" si="16"/>
        <v>46</v>
      </c>
      <c r="B55" s="90" t="s">
        <v>145</v>
      </c>
      <c r="C55" s="90">
        <v>15206</v>
      </c>
      <c r="D55" s="98" t="str">
        <f>IF(Tableau1[[#This Row],[Date de Début]]=0,"Saisir date de début","S"&amp; _xlfn.ISOWEEKNUM(R55))</f>
        <v>S9</v>
      </c>
      <c r="E55" s="24" t="s">
        <v>212</v>
      </c>
      <c r="F55" s="21"/>
      <c r="G55" s="159" t="str">
        <f>"xxx-2025-"&amp;Tableau1[[#This Row],[N° de 
Ctx]]&amp;"-"&amp;Tableau1[[#This Row],[N° semaine]]&amp;"-"&amp; Tableau1[[#This Row],[Nature des travaux]]</f>
        <v>xxx-2025-46-S9-Contrat 46</v>
      </c>
      <c r="H55" s="68" t="str">
        <f>IF(Tableau1[[#This Row],[Nature des travaux]]=0,"Saisir nature des travaux",Tableau1[[#This Row],[Colonne1]])&amp;"-"&amp;Tableau1[[#This Row],[Jour]]</f>
        <v>xxx-2025-46-S9-Contrat 46-JeVe</v>
      </c>
      <c r="I55" s="20"/>
      <c r="J55" s="21"/>
      <c r="K55" s="21" t="s">
        <v>79</v>
      </c>
      <c r="L55" s="21"/>
      <c r="M55" s="91">
        <f>COUNTIF(Tableau1[[#This Row],[Secteur 1]:[Secteur 4]],"x")</f>
        <v>1</v>
      </c>
      <c r="N55" s="92" t="s">
        <v>81</v>
      </c>
      <c r="O55" s="146" t="str">
        <f>IF(Tableau1[[#This Row],[Date de Fin]]-Tableau1[[#This Row],[Date de Début]]&gt;1,"X"," ")</f>
        <v xml:space="preserve"> </v>
      </c>
      <c r="P55" s="20"/>
      <c r="Q55" s="21"/>
      <c r="R55" s="99">
        <v>45715</v>
      </c>
      <c r="S55" s="281" t="str">
        <f t="shared" si="17"/>
        <v>2025-02-27</v>
      </c>
      <c r="T55" s="140">
        <v>45716</v>
      </c>
      <c r="U55" s="276" t="str">
        <f t="shared" si="18"/>
        <v>2025-02-28</v>
      </c>
      <c r="V55" s="210" t="str">
        <f>PROPER(LEFT(TEXT(Tableau1[[#This Row],[Date de Début]],"jjjj"),2))&amp; "" &amp; PROPER(LEFT(TEXT(Tableau1[[#This Row],[Date de Début]]+1,"jjjj"),2))</f>
        <v>JeVe</v>
      </c>
      <c r="W55" s="175" t="str">
        <f>IF(Tableau1[[#This Row],[Nb jours]]&gt;1,PROPER(LEFT(TEXT(Tableau1[[#This Row],[Date de Début]]+1,"jjjj"),2))&amp; "" &amp; PROPER(LEFT(TEXT(Tableau1[[#This Row],[Date de Début]]+2,"jjjj"),2)),"")</f>
        <v/>
      </c>
      <c r="X55" s="175" t="str">
        <f>IF(Tableau1[[#This Row],[Nb jours]]&gt;2,PROPER(LEFT(TEXT(Tableau1[[#This Row],[Date de Début]]+2,"jjjj"),2))&amp; "" &amp; PROPER(LEFT(TEXT(Tableau1[[#This Row],[Date de Début]]+3,"jjjj"),2)),"")</f>
        <v/>
      </c>
      <c r="Y55" s="176" t="str">
        <f>IF(Tableau1[[#This Row],[Nb jours]]&gt;3,PROPER(LEFT(TEXT(Tableau1[[#This Row],[Date de Début]]+3,"jjjj"),2))&amp; "" &amp; PROPER(LEFT(TEXT(Tableau1[[#This Row],[Date de Début]]+4,"jjjj"),2)),"")</f>
        <v/>
      </c>
      <c r="Z55" s="175" t="str">
        <f>IF(Tableau1[[#This Row],[Nb jours]]&gt;4,PROPER(LEFT(TEXT(Tableau1[[#This Row],[Date de Début]]+4,"jjjj"),2))&amp; "" &amp; PROPER(LEFT(TEXT(Tableau1[[#This Row],[Date de Début]]+5,"jjjj"),2)),"")</f>
        <v/>
      </c>
      <c r="AA55" s="176" t="str">
        <f>IF(Tableau1[[#This Row],[Nb jours]]&gt;5,PROPER(LEFT(TEXT(Tableau1[[#This Row],[Date de Début]]+5,"jjjj"),2))&amp; "" &amp; PROPER(LEFT(TEXT(Tableau1[[#This Row],[Date de Début]]+6,"jjjj"),2)),"")</f>
        <v/>
      </c>
      <c r="AB55" s="177">
        <f>Tableau1[[#This Row],[Date de Fin]]-Tableau1[[#This Row],[Date de Début]]</f>
        <v>1</v>
      </c>
      <c r="AC55" s="150" t="str">
        <f>Tableau1[[#This Row],[Nuit 1]]&amp;Tableau1[[#This Row],[Nuit 2]]&amp;Tableau1[[#This Row],[Nuit 3]]&amp;Tableau1[[#This Row],[Nuit 4]]&amp;Tableau1[[#This Row],[Nuit 5]]&amp;Tableau1[[#This Row],[Nuit 6]]</f>
        <v>JeVe</v>
      </c>
      <c r="AD55" s="42" t="s">
        <v>155</v>
      </c>
      <c r="AE55" s="27">
        <f t="shared" si="28"/>
        <v>28</v>
      </c>
      <c r="AF55" s="31">
        <f>Tableau1[[#This Row],[Date de Début]]-AE55</f>
        <v>45687</v>
      </c>
      <c r="AG55" s="93">
        <v>45685</v>
      </c>
      <c r="AH55" s="27">
        <f t="shared" si="29"/>
        <v>21</v>
      </c>
      <c r="AI55" s="254" t="str">
        <f t="shared" si="19"/>
        <v>2025-01-28</v>
      </c>
      <c r="AJ55" s="45" t="s">
        <v>156</v>
      </c>
      <c r="AK55" s="31">
        <f>Tableau1[[#This Row],[Date de Début]]-AH55</f>
        <v>45694</v>
      </c>
      <c r="AL55" s="93">
        <v>45708</v>
      </c>
      <c r="AM55" s="27">
        <f t="shared" si="30"/>
        <v>21</v>
      </c>
      <c r="AN55" s="264" t="str">
        <f>IF(AL55="","",TEXT(Tableau1[[#This Row],[Date de fin de vérification]],"AAAA-MM-JJ"))</f>
        <v>2025-02-20</v>
      </c>
      <c r="AO55" s="49">
        <f>Tableau1[[#This Row],[Date de Début]]-AM55</f>
        <v>45694</v>
      </c>
      <c r="AP55" s="93">
        <v>45708</v>
      </c>
      <c r="AQ55" s="27">
        <f t="shared" si="31"/>
        <v>14</v>
      </c>
      <c r="AR55" s="254" t="str">
        <f t="shared" si="20"/>
        <v>20/02/2025</v>
      </c>
      <c r="AS55" s="49">
        <f>Tableau1[[#This Row],[Date de Début]]-AQ55</f>
        <v>45701</v>
      </c>
      <c r="AT55" s="93">
        <v>45708</v>
      </c>
      <c r="AU55" s="27">
        <f t="shared" si="32"/>
        <v>14</v>
      </c>
      <c r="AV55" s="254" t="str">
        <f t="shared" si="21"/>
        <v>20-02-2025</v>
      </c>
      <c r="AW55" s="49">
        <f>Tableau1[[#This Row],[Date de Début]]-AU55</f>
        <v>45701</v>
      </c>
      <c r="AX55" s="93">
        <v>45708</v>
      </c>
      <c r="AY55" s="93" t="str">
        <f t="shared" si="22"/>
        <v>2025-02-20</v>
      </c>
      <c r="AZ55" s="28">
        <f>IF(Tableau1[[#This Row],[Date limite de fin de rédaction]]&lt;Tableau1[[#This Row],[Date de fin de rédaction]],1,0)</f>
        <v>0</v>
      </c>
      <c r="BA55" s="28">
        <f>IF(Tableau1[[#This Row],[Date limite de fin de vérification]]&lt;Tableau1[[#This Row],[Date de fin de vérification]],1,0)</f>
        <v>1</v>
      </c>
      <c r="BB55" s="28">
        <f>IF(Tableau1[[#This Row],[Date limite d''envoi a  l''exploitation]]&lt;Tableau1[[#This Row],[Date d''envoi à  l''exploitation
(Mettre en copier le demandeur et le rédacteur)]],1,0)</f>
        <v>1</v>
      </c>
      <c r="BC55" s="28">
        <f>IF(Tableau1[[#This Row],[Date limite de réception]]&lt;Tableau1[[#This Row],[Date de réception]],1,0)</f>
        <v>1</v>
      </c>
      <c r="BD55" s="53">
        <f>IF(Tableau1[[#This Row],[Date limite limite de dépose sur la GED]]&lt;Tableau1[[#This Row],[Date de dépose sur la GED]],1,0)</f>
        <v>1</v>
      </c>
      <c r="BE55" s="245"/>
      <c r="BF55" s="243"/>
      <c r="BG55" s="309"/>
      <c r="BH55" s="295"/>
      <c r="BI55" s="297"/>
      <c r="BJ55" s="300"/>
      <c r="BK55" s="242"/>
    </row>
    <row r="56" spans="1:63" ht="25.5" x14ac:dyDescent="0.25">
      <c r="A56" s="223">
        <f t="shared" si="16"/>
        <v>47</v>
      </c>
      <c r="B56" s="184" t="s">
        <v>147</v>
      </c>
      <c r="C56" s="184" t="s">
        <v>89</v>
      </c>
      <c r="D56" s="185" t="str">
        <f>IF(Tableau1[[#This Row],[Date de Début]]=0,"Saisir date de début","S"&amp; _xlfn.ISOWEEKNUM(R56))</f>
        <v>S10</v>
      </c>
      <c r="E56" s="24" t="s">
        <v>213</v>
      </c>
      <c r="F56" s="186" t="s">
        <v>91</v>
      </c>
      <c r="G56" s="159" t="str">
        <f>"xxx-2025-"&amp;Tableau1[[#This Row],[N° de 
Ctx]]&amp;"-"&amp;Tableau1[[#This Row],[N° semaine]]&amp;"-"&amp; Tableau1[[#This Row],[Nature des travaux]]</f>
        <v>xxx-2025-47-S10-Contrat 47</v>
      </c>
      <c r="H56" s="187" t="str">
        <f>IF(Tableau1[[#This Row],[Nature des travaux]]=0,"Saisir nature des travaux",Tableau1[[#This Row],[Colonne1]])&amp;"-"&amp;Tableau1[[#This Row],[Jour]]</f>
        <v>xxx-2025-47-S10-Contrat 47-MaMe</v>
      </c>
      <c r="I56" s="188"/>
      <c r="J56" s="186"/>
      <c r="K56" s="186"/>
      <c r="L56" s="186" t="s">
        <v>85</v>
      </c>
      <c r="M56" s="189">
        <f>COUNTIF(Tableau1[[#This Row],[Secteur 1]:[Secteur 4]],"x")</f>
        <v>1</v>
      </c>
      <c r="N56" s="190" t="s">
        <v>92</v>
      </c>
      <c r="O56" s="191" t="str">
        <f>IF(Tableau1[[#This Row],[Date de Fin]]-Tableau1[[#This Row],[Date de Début]]&gt;1,"X"," ")</f>
        <v xml:space="preserve"> </v>
      </c>
      <c r="P56" s="188" t="s">
        <v>85</v>
      </c>
      <c r="Q56" s="186"/>
      <c r="R56" s="192">
        <v>45720</v>
      </c>
      <c r="S56" s="283" t="str">
        <f t="shared" si="17"/>
        <v>2025-03-04</v>
      </c>
      <c r="T56" s="193">
        <v>45721</v>
      </c>
      <c r="U56" s="288" t="str">
        <f t="shared" si="18"/>
        <v>2025-03-05</v>
      </c>
      <c r="V56" s="210" t="str">
        <f>PROPER(LEFT(TEXT(Tableau1[[#This Row],[Date de Début]],"jjjj"),2))&amp; "" &amp; PROPER(LEFT(TEXT(Tableau1[[#This Row],[Date de Début]]+1,"jjjj"),2))</f>
        <v>MaMe</v>
      </c>
      <c r="W56" s="194" t="str">
        <f>IF(Tableau1[[#This Row],[Nb jours]]&gt;1,PROPER(LEFT(TEXT(Tableau1[[#This Row],[Date de Début]]+1,"jjjj"),2))&amp; "" &amp; PROPER(LEFT(TEXT(Tableau1[[#This Row],[Date de Début]]+2,"jjjj"),2)),"")</f>
        <v/>
      </c>
      <c r="X56" s="194" t="str">
        <f>IF(Tableau1[[#This Row],[Nb jours]]&gt;2,PROPER(LEFT(TEXT(Tableau1[[#This Row],[Date de Début]]+2,"jjjj"),2))&amp; "" &amp; PROPER(LEFT(TEXT(Tableau1[[#This Row],[Date de Début]]+3,"jjjj"),2)),"")</f>
        <v/>
      </c>
      <c r="Y56" s="195" t="str">
        <f>IF(Tableau1[[#This Row],[Nb jours]]&gt;3,PROPER(LEFT(TEXT(Tableau1[[#This Row],[Date de Début]]+3,"jjjj"),2))&amp; "" &amp; PROPER(LEFT(TEXT(Tableau1[[#This Row],[Date de Début]]+4,"jjjj"),2)),"")</f>
        <v/>
      </c>
      <c r="Z56" s="194" t="str">
        <f>IF(Tableau1[[#This Row],[Nb jours]]&gt;4,PROPER(LEFT(TEXT(Tableau1[[#This Row],[Date de Début]]+4,"jjjj"),2))&amp; "" &amp; PROPER(LEFT(TEXT(Tableau1[[#This Row],[Date de Début]]+5,"jjjj"),2)),"")</f>
        <v/>
      </c>
      <c r="AA56" s="195" t="str">
        <f>IF(Tableau1[[#This Row],[Nb jours]]&gt;5,PROPER(LEFT(TEXT(Tableau1[[#This Row],[Date de Début]]+5,"jjjj"),2))&amp; "" &amp; PROPER(LEFT(TEXT(Tableau1[[#This Row],[Date de Début]]+6,"jjjj"),2)),"")</f>
        <v/>
      </c>
      <c r="AB56" s="196">
        <f>Tableau1[[#This Row],[Date de Fin]]-Tableau1[[#This Row],[Date de Début]]</f>
        <v>1</v>
      </c>
      <c r="AC56" s="197" t="str">
        <f>Tableau1[[#This Row],[Nuit 1]]&amp;Tableau1[[#This Row],[Nuit 2]]&amp;Tableau1[[#This Row],[Nuit 3]]&amp;Tableau1[[#This Row],[Nuit 4]]&amp;Tableau1[[#This Row],[Nuit 5]]&amp;Tableau1[[#This Row],[Nuit 6]]</f>
        <v>MaMe</v>
      </c>
      <c r="AD56" s="198" t="s">
        <v>157</v>
      </c>
      <c r="AE56" s="199">
        <f t="shared" si="28"/>
        <v>28</v>
      </c>
      <c r="AF56" s="200">
        <f>Tableau1[[#This Row],[Date de Début]]-AE56</f>
        <v>45692</v>
      </c>
      <c r="AG56" s="201">
        <v>45706</v>
      </c>
      <c r="AH56" s="199">
        <f t="shared" si="29"/>
        <v>21</v>
      </c>
      <c r="AI56" s="255" t="str">
        <f t="shared" si="19"/>
        <v>2025-02-18</v>
      </c>
      <c r="AJ56" s="202" t="s">
        <v>155</v>
      </c>
      <c r="AK56" s="200">
        <f>Tableau1[[#This Row],[Date de Début]]-AH56</f>
        <v>45699</v>
      </c>
      <c r="AL56" s="201">
        <v>45706</v>
      </c>
      <c r="AM56" s="199">
        <f t="shared" si="30"/>
        <v>21</v>
      </c>
      <c r="AN56" s="265" t="str">
        <f>IF(AL56="","",TEXT(Tableau1[[#This Row],[Date de fin de vérification]],"AAAA-MM-JJ"))</f>
        <v>2025-02-18</v>
      </c>
      <c r="AO56" s="203">
        <f>Tableau1[[#This Row],[Date de Début]]-AM56</f>
        <v>45699</v>
      </c>
      <c r="AP56" s="201" t="s">
        <v>90</v>
      </c>
      <c r="AQ56" s="199">
        <f t="shared" si="31"/>
        <v>14</v>
      </c>
      <c r="AR56" s="255" t="str">
        <f t="shared" si="20"/>
        <v>annulé</v>
      </c>
      <c r="AS56" s="203">
        <f>Tableau1[[#This Row],[Date de Début]]-AQ56</f>
        <v>45706</v>
      </c>
      <c r="AT56" s="201" t="s">
        <v>90</v>
      </c>
      <c r="AU56" s="199">
        <f t="shared" si="32"/>
        <v>14</v>
      </c>
      <c r="AV56" s="255" t="str">
        <f t="shared" si="21"/>
        <v>annulé</v>
      </c>
      <c r="AW56" s="203">
        <f>Tableau1[[#This Row],[Date de Début]]-AU56</f>
        <v>45706</v>
      </c>
      <c r="AX56" s="201" t="s">
        <v>90</v>
      </c>
      <c r="AY56" s="201" t="str">
        <f t="shared" si="22"/>
        <v>annulé</v>
      </c>
      <c r="AZ56" s="204">
        <f>IF(Tableau1[[#This Row],[Date limite de fin de rédaction]]&lt;Tableau1[[#This Row],[Date de fin de rédaction]],1,0)</f>
        <v>1</v>
      </c>
      <c r="BA56" s="204">
        <f>IF(Tableau1[[#This Row],[Date limite de fin de vérification]]&lt;Tableau1[[#This Row],[Date de fin de vérification]],1,0)</f>
        <v>1</v>
      </c>
      <c r="BB56" s="204">
        <f>IF(Tableau1[[#This Row],[Date limite d''envoi a  l''exploitation]]&lt;Tableau1[[#This Row],[Date d''envoi à  l''exploitation
(Mettre en copier le demandeur et le rédacteur)]],1,0)</f>
        <v>1</v>
      </c>
      <c r="BC56" s="204">
        <f>IF(Tableau1[[#This Row],[Date limite de réception]]&lt;Tableau1[[#This Row],[Date de réception]],1,0)</f>
        <v>1</v>
      </c>
      <c r="BD56" s="303">
        <f>IF(Tableau1[[#This Row],[Date limite limite de dépose sur la GED]]&lt;Tableau1[[#This Row],[Date de dépose sur la GED]],1,0)</f>
        <v>1</v>
      </c>
      <c r="BE56" s="301" t="s">
        <v>90</v>
      </c>
      <c r="BF56" s="201" t="s">
        <v>90</v>
      </c>
      <c r="BG56" s="302" t="s">
        <v>90</v>
      </c>
      <c r="BH56" s="299" t="s">
        <v>90</v>
      </c>
      <c r="BI56" s="204" t="s">
        <v>90</v>
      </c>
      <c r="BJ56" s="302" t="s">
        <v>90</v>
      </c>
      <c r="BK56" s="299" t="s">
        <v>90</v>
      </c>
    </row>
    <row r="57" spans="1:63" x14ac:dyDescent="0.25">
      <c r="A57" s="223">
        <f t="shared" si="16"/>
        <v>48</v>
      </c>
      <c r="B57" s="90" t="s">
        <v>145</v>
      </c>
      <c r="C57" s="90">
        <v>15029</v>
      </c>
      <c r="D57" s="98" t="str">
        <f>IF(Tableau1[[#This Row],[Date de Début]]=0,"Saisir date de début","S"&amp; _xlfn.ISOWEEKNUM(R57))</f>
        <v>S10</v>
      </c>
      <c r="E57" s="24" t="s">
        <v>214</v>
      </c>
      <c r="F57" s="21" t="s">
        <v>93</v>
      </c>
      <c r="G57" s="159" t="str">
        <f>"xxx-2025-"&amp;Tableau1[[#This Row],[N° de 
Ctx]]&amp;"-"&amp;Tableau1[[#This Row],[N° semaine]]&amp;"-"&amp; Tableau1[[#This Row],[Nature des travaux]]</f>
        <v>xxx-2025-48-S10-Contrat 48</v>
      </c>
      <c r="H57" s="68" t="str">
        <f>IF(Tableau1[[#This Row],[Nature des travaux]]=0,"Saisir nature des travaux",Tableau1[[#This Row],[Colonne1]])&amp;"-"&amp;Tableau1[[#This Row],[Jour]]</f>
        <v>xxx-2025-48-S10-Contrat 48-LuMa</v>
      </c>
      <c r="I57" s="20"/>
      <c r="J57" s="21"/>
      <c r="K57" s="21" t="s">
        <v>79</v>
      </c>
      <c r="L57" s="21"/>
      <c r="M57" s="91">
        <f>COUNTIF(Tableau1[[#This Row],[Secteur 1]:[Secteur 4]],"x")</f>
        <v>1</v>
      </c>
      <c r="N57" s="92" t="s">
        <v>81</v>
      </c>
      <c r="O57" s="146" t="str">
        <f>IF(Tableau1[[#This Row],[Date de Fin]]-Tableau1[[#This Row],[Date de Début]]&gt;1,"X"," ")</f>
        <v xml:space="preserve"> </v>
      </c>
      <c r="P57" s="20"/>
      <c r="Q57" s="21"/>
      <c r="R57" s="99">
        <v>45719</v>
      </c>
      <c r="S57" s="281" t="str">
        <f t="shared" si="17"/>
        <v>2025-03-03</v>
      </c>
      <c r="T57" s="140">
        <v>45720</v>
      </c>
      <c r="U57" s="276" t="str">
        <f t="shared" si="18"/>
        <v>2025-03-04</v>
      </c>
      <c r="V57" s="210" t="str">
        <f>PROPER(LEFT(TEXT(Tableau1[[#This Row],[Date de Début]],"jjjj"),2))&amp; "" &amp; PROPER(LEFT(TEXT(Tableau1[[#This Row],[Date de Début]]+1,"jjjj"),2))</f>
        <v>LuMa</v>
      </c>
      <c r="W57" s="175" t="str">
        <f>IF(Tableau1[[#This Row],[Nb jours]]&gt;1,PROPER(LEFT(TEXT(Tableau1[[#This Row],[Date de Début]]+1,"jjjj"),2))&amp; "" &amp; PROPER(LEFT(TEXT(Tableau1[[#This Row],[Date de Début]]+2,"jjjj"),2)),"")</f>
        <v/>
      </c>
      <c r="X57" s="175" t="str">
        <f>IF(Tableau1[[#This Row],[Nb jours]]&gt;2,PROPER(LEFT(TEXT(Tableau1[[#This Row],[Date de Début]]+2,"jjjj"),2))&amp; "" &amp; PROPER(LEFT(TEXT(Tableau1[[#This Row],[Date de Début]]+3,"jjjj"),2)),"")</f>
        <v/>
      </c>
      <c r="Y57" s="176" t="str">
        <f>IF(Tableau1[[#This Row],[Nb jours]]&gt;3,PROPER(LEFT(TEXT(Tableau1[[#This Row],[Date de Début]]+3,"jjjj"),2))&amp; "" &amp; PROPER(LEFT(TEXT(Tableau1[[#This Row],[Date de Début]]+4,"jjjj"),2)),"")</f>
        <v/>
      </c>
      <c r="Z57" s="175" t="str">
        <f>IF(Tableau1[[#This Row],[Nb jours]]&gt;4,PROPER(LEFT(TEXT(Tableau1[[#This Row],[Date de Début]]+4,"jjjj"),2))&amp; "" &amp; PROPER(LEFT(TEXT(Tableau1[[#This Row],[Date de Début]]+5,"jjjj"),2)),"")</f>
        <v/>
      </c>
      <c r="AA57" s="176" t="str">
        <f>IF(Tableau1[[#This Row],[Nb jours]]&gt;5,PROPER(LEFT(TEXT(Tableau1[[#This Row],[Date de Début]]+5,"jjjj"),2))&amp; "" &amp; PROPER(LEFT(TEXT(Tableau1[[#This Row],[Date de Début]]+6,"jjjj"),2)),"")</f>
        <v/>
      </c>
      <c r="AB57" s="177">
        <f>Tableau1[[#This Row],[Date de Fin]]-Tableau1[[#This Row],[Date de Début]]</f>
        <v>1</v>
      </c>
      <c r="AC57" s="150" t="str">
        <f>Tableau1[[#This Row],[Nuit 1]]&amp;Tableau1[[#This Row],[Nuit 2]]&amp;Tableau1[[#This Row],[Nuit 3]]&amp;Tableau1[[#This Row],[Nuit 4]]&amp;Tableau1[[#This Row],[Nuit 5]]&amp;Tableau1[[#This Row],[Nuit 6]]</f>
        <v>LuMa</v>
      </c>
      <c r="AD57" s="42" t="s">
        <v>155</v>
      </c>
      <c r="AE57" s="27">
        <f t="shared" si="28"/>
        <v>28</v>
      </c>
      <c r="AF57" s="31">
        <f>Tableau1[[#This Row],[Date de Début]]-AE57</f>
        <v>45691</v>
      </c>
      <c r="AG57" s="93">
        <v>45685</v>
      </c>
      <c r="AH57" s="27">
        <f t="shared" si="29"/>
        <v>21</v>
      </c>
      <c r="AI57" s="254" t="str">
        <f t="shared" si="19"/>
        <v>2025-01-28</v>
      </c>
      <c r="AJ57" s="45" t="s">
        <v>156</v>
      </c>
      <c r="AK57" s="31">
        <f>Tableau1[[#This Row],[Date de Début]]-AH57</f>
        <v>45698</v>
      </c>
      <c r="AL57" s="93">
        <v>45708</v>
      </c>
      <c r="AM57" s="27">
        <f t="shared" si="30"/>
        <v>21</v>
      </c>
      <c r="AN57" s="264" t="str">
        <f>IF(AL57="","",TEXT(Tableau1[[#This Row],[Date de fin de vérification]],"AAAA-MM-JJ"))</f>
        <v>2025-02-20</v>
      </c>
      <c r="AO57" s="49">
        <f>Tableau1[[#This Row],[Date de Début]]-AM57</f>
        <v>45698</v>
      </c>
      <c r="AP57" s="93">
        <v>45709</v>
      </c>
      <c r="AQ57" s="27">
        <f t="shared" si="31"/>
        <v>14</v>
      </c>
      <c r="AR57" s="254" t="str">
        <f t="shared" si="20"/>
        <v>21/02/2025</v>
      </c>
      <c r="AS57" s="49">
        <f>Tableau1[[#This Row],[Date de Début]]-AQ57</f>
        <v>45705</v>
      </c>
      <c r="AT57" s="93">
        <v>45713</v>
      </c>
      <c r="AU57" s="27">
        <f t="shared" si="32"/>
        <v>14</v>
      </c>
      <c r="AV57" s="254" t="str">
        <f t="shared" si="21"/>
        <v>25-02-2025</v>
      </c>
      <c r="AW57" s="49">
        <f>Tableau1[[#This Row],[Date de Début]]-AU57</f>
        <v>45705</v>
      </c>
      <c r="AX57" s="93">
        <v>45713</v>
      </c>
      <c r="AY57" s="93" t="str">
        <f t="shared" si="22"/>
        <v>2025-02-25</v>
      </c>
      <c r="AZ57" s="28">
        <f>IF(Tableau1[[#This Row],[Date limite de fin de rédaction]]&lt;Tableau1[[#This Row],[Date de fin de rédaction]],1,0)</f>
        <v>0</v>
      </c>
      <c r="BA57" s="28">
        <f>IF(Tableau1[[#This Row],[Date limite de fin de vérification]]&lt;Tableau1[[#This Row],[Date de fin de vérification]],1,0)</f>
        <v>1</v>
      </c>
      <c r="BB57" s="28">
        <f>IF(Tableau1[[#This Row],[Date limite d''envoi a  l''exploitation]]&lt;Tableau1[[#This Row],[Date d''envoi à  l''exploitation
(Mettre en copier le demandeur et le rédacteur)]],1,0)</f>
        <v>1</v>
      </c>
      <c r="BC57" s="28">
        <f>IF(Tableau1[[#This Row],[Date limite de réception]]&lt;Tableau1[[#This Row],[Date de réception]],1,0)</f>
        <v>1</v>
      </c>
      <c r="BD57" s="53">
        <f>IF(Tableau1[[#This Row],[Date limite limite de dépose sur la GED]]&lt;Tableau1[[#This Row],[Date de dépose sur la GED]],1,0)</f>
        <v>1</v>
      </c>
      <c r="BE57" s="245"/>
      <c r="BF57" s="243"/>
      <c r="BG57" s="309"/>
      <c r="BH57" s="295"/>
      <c r="BI57" s="297"/>
      <c r="BJ57" s="300"/>
      <c r="BK57" s="242"/>
    </row>
    <row r="58" spans="1:63" s="205" customFormat="1" x14ac:dyDescent="0.25">
      <c r="A58" s="223">
        <f t="shared" si="16"/>
        <v>49</v>
      </c>
      <c r="B58" s="90" t="s">
        <v>145</v>
      </c>
      <c r="C58" s="90">
        <v>15244</v>
      </c>
      <c r="D58" s="98" t="str">
        <f>IF(Tableau1[[#This Row],[Date de Début]]=0,"Saisir date de début","S"&amp; _xlfn.ISOWEEKNUM(R58))</f>
        <v>S10</v>
      </c>
      <c r="E58" s="24" t="s">
        <v>215</v>
      </c>
      <c r="F58" s="21"/>
      <c r="G58" s="159" t="str">
        <f>"xxx-2025-"&amp;Tableau1[[#This Row],[N° de 
Ctx]]&amp;"-"&amp;Tableau1[[#This Row],[N° semaine]]&amp;"-"&amp; Tableau1[[#This Row],[Nature des travaux]]</f>
        <v>xxx-2025-49-S10-Contrat 49</v>
      </c>
      <c r="H58" s="68" t="str">
        <f>IF(Tableau1[[#This Row],[Nature des travaux]]=0,"Saisir nature des travaux",Tableau1[[#This Row],[Colonne1]])&amp;"-"&amp;Tableau1[[#This Row],[Jour]]</f>
        <v>xxx-2025-49-S10-Contrat 49-MaMeMeJe</v>
      </c>
      <c r="I58" s="20"/>
      <c r="J58" s="21"/>
      <c r="K58" s="21" t="s">
        <v>79</v>
      </c>
      <c r="L58" s="21"/>
      <c r="M58" s="91">
        <f>COUNTIF(Tableau1[[#This Row],[Secteur 1]:[Secteur 4]],"x")</f>
        <v>1</v>
      </c>
      <c r="N58" s="92" t="s">
        <v>81</v>
      </c>
      <c r="O58" s="146" t="str">
        <f>IF(Tableau1[[#This Row],[Date de Fin]]-Tableau1[[#This Row],[Date de Début]]&gt;1,"X"," ")</f>
        <v>X</v>
      </c>
      <c r="P58" s="20"/>
      <c r="Q58" s="21"/>
      <c r="R58" s="99">
        <v>45720</v>
      </c>
      <c r="S58" s="281" t="str">
        <f t="shared" si="17"/>
        <v>2025-03-04</v>
      </c>
      <c r="T58" s="140">
        <v>45722</v>
      </c>
      <c r="U58" s="276" t="str">
        <f t="shared" si="18"/>
        <v>2025-03-06</v>
      </c>
      <c r="V58" s="210" t="str">
        <f>PROPER(LEFT(TEXT(Tableau1[[#This Row],[Date de Début]],"jjjj"),2))&amp; "" &amp; PROPER(LEFT(TEXT(Tableau1[[#This Row],[Date de Début]]+1,"jjjj"),2))</f>
        <v>MaMe</v>
      </c>
      <c r="W58" s="175" t="str">
        <f>IF(Tableau1[[#This Row],[Nb jours]]&gt;1,PROPER(LEFT(TEXT(Tableau1[[#This Row],[Date de Début]]+1,"jjjj"),2))&amp; "" &amp; PROPER(LEFT(TEXT(Tableau1[[#This Row],[Date de Début]]+2,"jjjj"),2)),"")</f>
        <v>MeJe</v>
      </c>
      <c r="X58" s="175" t="str">
        <f>IF(Tableau1[[#This Row],[Nb jours]]&gt;2,PROPER(LEFT(TEXT(Tableau1[[#This Row],[Date de Début]]+2,"jjjj"),2))&amp; "" &amp; PROPER(LEFT(TEXT(Tableau1[[#This Row],[Date de Début]]+3,"jjjj"),2)),"")</f>
        <v/>
      </c>
      <c r="Y58" s="176" t="str">
        <f>IF(Tableau1[[#This Row],[Nb jours]]&gt;3,PROPER(LEFT(TEXT(Tableau1[[#This Row],[Date de Début]]+3,"jjjj"),2))&amp; "" &amp; PROPER(LEFT(TEXT(Tableau1[[#This Row],[Date de Début]]+4,"jjjj"),2)),"")</f>
        <v/>
      </c>
      <c r="Z58" s="175" t="str">
        <f>IF(Tableau1[[#This Row],[Nb jours]]&gt;4,PROPER(LEFT(TEXT(Tableau1[[#This Row],[Date de Début]]+4,"jjjj"),2))&amp; "" &amp; PROPER(LEFT(TEXT(Tableau1[[#This Row],[Date de Début]]+5,"jjjj"),2)),"")</f>
        <v/>
      </c>
      <c r="AA58" s="176" t="str">
        <f>IF(Tableau1[[#This Row],[Nb jours]]&gt;5,PROPER(LEFT(TEXT(Tableau1[[#This Row],[Date de Début]]+5,"jjjj"),2))&amp; "" &amp; PROPER(LEFT(TEXT(Tableau1[[#This Row],[Date de Début]]+6,"jjjj"),2)),"")</f>
        <v/>
      </c>
      <c r="AB58" s="177">
        <f>Tableau1[[#This Row],[Date de Fin]]-Tableau1[[#This Row],[Date de Début]]</f>
        <v>2</v>
      </c>
      <c r="AC58" s="150" t="str">
        <f>Tableau1[[#This Row],[Nuit 1]]&amp;Tableau1[[#This Row],[Nuit 2]]&amp;Tableau1[[#This Row],[Nuit 3]]&amp;Tableau1[[#This Row],[Nuit 4]]&amp;Tableau1[[#This Row],[Nuit 5]]&amp;Tableau1[[#This Row],[Nuit 6]]</f>
        <v>MaMeMeJe</v>
      </c>
      <c r="AD58" s="42" t="s">
        <v>155</v>
      </c>
      <c r="AE58" s="27">
        <f t="shared" si="28"/>
        <v>28</v>
      </c>
      <c r="AF58" s="31">
        <f>Tableau1[[#This Row],[Date de Début]]-AE58</f>
        <v>45692</v>
      </c>
      <c r="AG58" s="93">
        <v>45685</v>
      </c>
      <c r="AH58" s="27">
        <f t="shared" si="29"/>
        <v>21</v>
      </c>
      <c r="AI58" s="254" t="str">
        <f t="shared" si="19"/>
        <v>2025-01-28</v>
      </c>
      <c r="AJ58" s="45" t="s">
        <v>156</v>
      </c>
      <c r="AK58" s="31">
        <f>Tableau1[[#This Row],[Date de Début]]-AH58</f>
        <v>45699</v>
      </c>
      <c r="AL58" s="93">
        <v>45708</v>
      </c>
      <c r="AM58" s="27">
        <f t="shared" si="30"/>
        <v>21</v>
      </c>
      <c r="AN58" s="264" t="str">
        <f>IF(AL58="","",TEXT(Tableau1[[#This Row],[Date de fin de vérification]],"AAAA-MM-JJ"))</f>
        <v>2025-02-20</v>
      </c>
      <c r="AO58" s="49">
        <f>Tableau1[[#This Row],[Date de Début]]-AM58</f>
        <v>45699</v>
      </c>
      <c r="AP58" s="93">
        <v>45709</v>
      </c>
      <c r="AQ58" s="27">
        <f t="shared" si="31"/>
        <v>14</v>
      </c>
      <c r="AR58" s="254" t="str">
        <f t="shared" si="20"/>
        <v>21/02/2025</v>
      </c>
      <c r="AS58" s="49">
        <f>Tableau1[[#This Row],[Date de Début]]-AQ58</f>
        <v>45706</v>
      </c>
      <c r="AT58" s="93">
        <v>45713</v>
      </c>
      <c r="AU58" s="27">
        <f t="shared" si="32"/>
        <v>14</v>
      </c>
      <c r="AV58" s="254" t="str">
        <f t="shared" si="21"/>
        <v>25-02-2025</v>
      </c>
      <c r="AW58" s="49">
        <f>Tableau1[[#This Row],[Date de Début]]-AU58</f>
        <v>45706</v>
      </c>
      <c r="AX58" s="93">
        <v>45713</v>
      </c>
      <c r="AY58" s="93" t="str">
        <f t="shared" si="22"/>
        <v>2025-02-25</v>
      </c>
      <c r="AZ58" s="28">
        <f>IF(Tableau1[[#This Row],[Date limite de fin de rédaction]]&lt;Tableau1[[#This Row],[Date de fin de rédaction]],1,0)</f>
        <v>0</v>
      </c>
      <c r="BA58" s="28">
        <f>IF(Tableau1[[#This Row],[Date limite de fin de vérification]]&lt;Tableau1[[#This Row],[Date de fin de vérification]],1,0)</f>
        <v>1</v>
      </c>
      <c r="BB58" s="28">
        <f>IF(Tableau1[[#This Row],[Date limite d''envoi a  l''exploitation]]&lt;Tableau1[[#This Row],[Date d''envoi à  l''exploitation
(Mettre en copier le demandeur et le rédacteur)]],1,0)</f>
        <v>1</v>
      </c>
      <c r="BC58" s="28">
        <f>IF(Tableau1[[#This Row],[Date limite de réception]]&lt;Tableau1[[#This Row],[Date de réception]],1,0)</f>
        <v>1</v>
      </c>
      <c r="BD58" s="53">
        <f>IF(Tableau1[[#This Row],[Date limite limite de dépose sur la GED]]&lt;Tableau1[[#This Row],[Date de dépose sur la GED]],1,0)</f>
        <v>1</v>
      </c>
      <c r="BE58" s="245"/>
      <c r="BF58" s="243"/>
      <c r="BG58" s="308"/>
      <c r="BH58" s="242"/>
      <c r="BI58" s="297"/>
      <c r="BJ58" s="300"/>
      <c r="BK58" s="242"/>
    </row>
    <row r="59" spans="1:63" s="205" customFormat="1" ht="25.5" x14ac:dyDescent="0.25">
      <c r="A59" s="223">
        <f t="shared" si="16"/>
        <v>50</v>
      </c>
      <c r="B59" s="184" t="s">
        <v>147</v>
      </c>
      <c r="C59" s="184" t="s">
        <v>89</v>
      </c>
      <c r="D59" s="185" t="str">
        <f>IF(Tableau1[[#This Row],[Date de Début]]=0,"Saisir date de début","S"&amp; _xlfn.ISOWEEKNUM(R59))</f>
        <v>S10</v>
      </c>
      <c r="E59" s="24" t="s">
        <v>216</v>
      </c>
      <c r="F59" s="186" t="s">
        <v>91</v>
      </c>
      <c r="G59" s="159" t="str">
        <f>"xxx-2025-"&amp;Tableau1[[#This Row],[N° de 
Ctx]]&amp;"-"&amp;Tableau1[[#This Row],[N° semaine]]&amp;"-"&amp; Tableau1[[#This Row],[Nature des travaux]]</f>
        <v>xxx-2025-50-S10-Contrat 50</v>
      </c>
      <c r="H59" s="187" t="str">
        <f>IF(Tableau1[[#This Row],[Nature des travaux]]=0,"Saisir nature des travaux",Tableau1[[#This Row],[Colonne1]])&amp;"-"&amp;Tableau1[[#This Row],[Jour]]</f>
        <v>xxx-2025-50-S10-Contrat 50-JeVe</v>
      </c>
      <c r="I59" s="188"/>
      <c r="J59" s="186"/>
      <c r="K59" s="186"/>
      <c r="L59" s="186" t="s">
        <v>85</v>
      </c>
      <c r="M59" s="189">
        <f>COUNTIF(Tableau1[[#This Row],[Secteur 1]:[Secteur 4]],"x")</f>
        <v>1</v>
      </c>
      <c r="N59" s="190" t="s">
        <v>92</v>
      </c>
      <c r="O59" s="191" t="str">
        <f>IF(Tableau1[[#This Row],[Date de Fin]]-Tableau1[[#This Row],[Date de Début]]&gt;1,"X"," ")</f>
        <v xml:space="preserve"> </v>
      </c>
      <c r="P59" s="188" t="s">
        <v>85</v>
      </c>
      <c r="Q59" s="186"/>
      <c r="R59" s="192">
        <v>45722</v>
      </c>
      <c r="S59" s="283" t="str">
        <f t="shared" si="17"/>
        <v>2025-03-06</v>
      </c>
      <c r="T59" s="193">
        <v>45723</v>
      </c>
      <c r="U59" s="288" t="str">
        <f t="shared" si="18"/>
        <v>2025-03-07</v>
      </c>
      <c r="V59" s="210" t="str">
        <f>PROPER(LEFT(TEXT(Tableau1[[#This Row],[Date de Début]],"jjjj"),2))&amp; "" &amp; PROPER(LEFT(TEXT(Tableau1[[#This Row],[Date de Début]]+1,"jjjj"),2))</f>
        <v>JeVe</v>
      </c>
      <c r="W59" s="194" t="str">
        <f>IF(Tableau1[[#This Row],[Nb jours]]&gt;1,PROPER(LEFT(TEXT(Tableau1[[#This Row],[Date de Début]]+1,"jjjj"),2))&amp; "" &amp; PROPER(LEFT(TEXT(Tableau1[[#This Row],[Date de Début]]+2,"jjjj"),2)),"")</f>
        <v/>
      </c>
      <c r="X59" s="194" t="str">
        <f>IF(Tableau1[[#This Row],[Nb jours]]&gt;2,PROPER(LEFT(TEXT(Tableau1[[#This Row],[Date de Début]]+2,"jjjj"),2))&amp; "" &amp; PROPER(LEFT(TEXT(Tableau1[[#This Row],[Date de Début]]+3,"jjjj"),2)),"")</f>
        <v/>
      </c>
      <c r="Y59" s="195" t="str">
        <f>IF(Tableau1[[#This Row],[Nb jours]]&gt;3,PROPER(LEFT(TEXT(Tableau1[[#This Row],[Date de Début]]+3,"jjjj"),2))&amp; "" &amp; PROPER(LEFT(TEXT(Tableau1[[#This Row],[Date de Début]]+4,"jjjj"),2)),"")</f>
        <v/>
      </c>
      <c r="Z59" s="194" t="str">
        <f>IF(Tableau1[[#This Row],[Nb jours]]&gt;4,PROPER(LEFT(TEXT(Tableau1[[#This Row],[Date de Début]]+4,"jjjj"),2))&amp; "" &amp; PROPER(LEFT(TEXT(Tableau1[[#This Row],[Date de Début]]+5,"jjjj"),2)),"")</f>
        <v/>
      </c>
      <c r="AA59" s="195" t="str">
        <f>IF(Tableau1[[#This Row],[Nb jours]]&gt;5,PROPER(LEFT(TEXT(Tableau1[[#This Row],[Date de Début]]+5,"jjjj"),2))&amp; "" &amp; PROPER(LEFT(TEXT(Tableau1[[#This Row],[Date de Début]]+6,"jjjj"),2)),"")</f>
        <v/>
      </c>
      <c r="AB59" s="196">
        <f>Tableau1[[#This Row],[Date de Fin]]-Tableau1[[#This Row],[Date de Début]]</f>
        <v>1</v>
      </c>
      <c r="AC59" s="197" t="str">
        <f>Tableau1[[#This Row],[Nuit 1]]&amp;Tableau1[[#This Row],[Nuit 2]]&amp;Tableau1[[#This Row],[Nuit 3]]&amp;Tableau1[[#This Row],[Nuit 4]]&amp;Tableau1[[#This Row],[Nuit 5]]&amp;Tableau1[[#This Row],[Nuit 6]]</f>
        <v>JeVe</v>
      </c>
      <c r="AD59" s="198" t="s">
        <v>158</v>
      </c>
      <c r="AE59" s="199">
        <f t="shared" si="28"/>
        <v>28</v>
      </c>
      <c r="AF59" s="200">
        <f>Tableau1[[#This Row],[Date de Début]]-AE59</f>
        <v>45694</v>
      </c>
      <c r="AG59" s="201">
        <v>45706</v>
      </c>
      <c r="AH59" s="199">
        <f t="shared" si="29"/>
        <v>21</v>
      </c>
      <c r="AI59" s="255" t="str">
        <f t="shared" si="19"/>
        <v>2025-02-18</v>
      </c>
      <c r="AJ59" s="202" t="s">
        <v>155</v>
      </c>
      <c r="AK59" s="200">
        <f>Tableau1[[#This Row],[Date de Début]]-AH59</f>
        <v>45701</v>
      </c>
      <c r="AL59" s="201">
        <v>45706</v>
      </c>
      <c r="AM59" s="199">
        <f t="shared" si="30"/>
        <v>21</v>
      </c>
      <c r="AN59" s="265" t="str">
        <f>IF(AL59="","",TEXT(Tableau1[[#This Row],[Date de fin de vérification]],"AAAA-MM-JJ"))</f>
        <v>2025-02-18</v>
      </c>
      <c r="AO59" s="203">
        <f>Tableau1[[#This Row],[Date de Début]]-AM59</f>
        <v>45701</v>
      </c>
      <c r="AP59" s="201">
        <v>45706</v>
      </c>
      <c r="AQ59" s="199">
        <f t="shared" si="31"/>
        <v>14</v>
      </c>
      <c r="AR59" s="255" t="str">
        <f t="shared" si="20"/>
        <v>18/02/2025</v>
      </c>
      <c r="AS59" s="203">
        <f>Tableau1[[#This Row],[Date de Début]]-AQ59</f>
        <v>45708</v>
      </c>
      <c r="AT59" s="201">
        <v>45706</v>
      </c>
      <c r="AU59" s="199">
        <f t="shared" si="32"/>
        <v>14</v>
      </c>
      <c r="AV59" s="255" t="str">
        <f t="shared" si="21"/>
        <v>18-02-2025</v>
      </c>
      <c r="AW59" s="203">
        <f>Tableau1[[#This Row],[Date de Début]]-AU59</f>
        <v>45708</v>
      </c>
      <c r="AX59" s="201">
        <v>45706</v>
      </c>
      <c r="AY59" s="201" t="str">
        <f t="shared" si="22"/>
        <v>2025-02-18</v>
      </c>
      <c r="AZ59" s="204">
        <f>IF(Tableau1[[#This Row],[Date limite de fin de rédaction]]&lt;Tableau1[[#This Row],[Date de fin de rédaction]],1,0)</f>
        <v>1</v>
      </c>
      <c r="BA59" s="204">
        <f>IF(Tableau1[[#This Row],[Date limite de fin de vérification]]&lt;Tableau1[[#This Row],[Date de fin de vérification]],1,0)</f>
        <v>1</v>
      </c>
      <c r="BB59" s="204">
        <f>IF(Tableau1[[#This Row],[Date limite d''envoi a  l''exploitation]]&lt;Tableau1[[#This Row],[Date d''envoi à  l''exploitation
(Mettre en copier le demandeur et le rédacteur)]],1,0)</f>
        <v>1</v>
      </c>
      <c r="BC59" s="204">
        <f>IF(Tableau1[[#This Row],[Date limite de réception]]&lt;Tableau1[[#This Row],[Date de réception]],1,0)</f>
        <v>0</v>
      </c>
      <c r="BD59" s="303">
        <f>IF(Tableau1[[#This Row],[Date limite limite de dépose sur la GED]]&lt;Tableau1[[#This Row],[Date de dépose sur la GED]],1,0)</f>
        <v>0</v>
      </c>
      <c r="BE59" s="301" t="s">
        <v>90</v>
      </c>
      <c r="BF59" s="201" t="s">
        <v>90</v>
      </c>
      <c r="BG59" s="302" t="s">
        <v>90</v>
      </c>
      <c r="BH59" s="299" t="s">
        <v>90</v>
      </c>
      <c r="BI59" s="204" t="s">
        <v>90</v>
      </c>
      <c r="BJ59" s="302" t="s">
        <v>90</v>
      </c>
      <c r="BK59" s="299" t="s">
        <v>90</v>
      </c>
    </row>
    <row r="60" spans="1:63" x14ac:dyDescent="0.25">
      <c r="A60" s="223">
        <f t="shared" si="16"/>
        <v>51</v>
      </c>
      <c r="B60" s="184" t="s">
        <v>147</v>
      </c>
      <c r="C60" s="90" t="s">
        <v>94</v>
      </c>
      <c r="D60" s="98" t="str">
        <f>IF(Tableau1[[#This Row],[Date de Début]]=0,"Saisir date de début","S"&amp; _xlfn.ISOWEEKNUM(R60))</f>
        <v>S11</v>
      </c>
      <c r="E60" s="24" t="s">
        <v>217</v>
      </c>
      <c r="F60" s="21"/>
      <c r="G60" s="159" t="str">
        <f>"xxx-2025-"&amp;Tableau1[[#This Row],[N° de 
Ctx]]&amp;"-"&amp;Tableau1[[#This Row],[N° semaine]]&amp;"-"&amp; Tableau1[[#This Row],[Nature des travaux]]</f>
        <v>xxx-2025-51-S11-Contrat 51</v>
      </c>
      <c r="H60" s="68" t="str">
        <f>IF(Tableau1[[#This Row],[Nature des travaux]]=0,"Saisir nature des travaux",Tableau1[[#This Row],[Colonne1]])&amp;"-"&amp;Tableau1[[#This Row],[Jour]]</f>
        <v>xxx-2025-51-S11-Contrat 51-MeJeJeVe</v>
      </c>
      <c r="I60" s="20"/>
      <c r="J60" s="21"/>
      <c r="K60" s="21"/>
      <c r="L60" s="21" t="s">
        <v>85</v>
      </c>
      <c r="M60" s="91">
        <f>COUNTIF(Tableau1[[#This Row],[Secteur 1]:[Secteur 4]],"x")</f>
        <v>1</v>
      </c>
      <c r="N60" s="92" t="s">
        <v>92</v>
      </c>
      <c r="O60" s="146" t="str">
        <f>IF(Tableau1[[#This Row],[Date de Fin]]-Tableau1[[#This Row],[Date de Début]]&gt;1,"X"," ")</f>
        <v>X</v>
      </c>
      <c r="P60" s="20" t="s">
        <v>85</v>
      </c>
      <c r="Q60" s="21"/>
      <c r="R60" s="158">
        <v>45728</v>
      </c>
      <c r="S60" s="284" t="str">
        <f t="shared" si="17"/>
        <v>2025-03-12</v>
      </c>
      <c r="T60" s="140">
        <v>45730</v>
      </c>
      <c r="U60" s="276" t="str">
        <f t="shared" si="18"/>
        <v>2025-03-14</v>
      </c>
      <c r="V60" s="210" t="str">
        <f>PROPER(LEFT(TEXT(Tableau1[[#This Row],[Date de Début]],"jjjj"),2))&amp; "" &amp; PROPER(LEFT(TEXT(Tableau1[[#This Row],[Date de Début]]+1,"jjjj"),2))</f>
        <v>MeJe</v>
      </c>
      <c r="W60" s="175" t="str">
        <f>IF(Tableau1[[#This Row],[Nb jours]]&gt;1,PROPER(LEFT(TEXT(Tableau1[[#This Row],[Date de Début]]+1,"jjjj"),2))&amp; "" &amp; PROPER(LEFT(TEXT(Tableau1[[#This Row],[Date de Début]]+2,"jjjj"),2)),"")</f>
        <v>JeVe</v>
      </c>
      <c r="X60" s="175" t="str">
        <f>IF(Tableau1[[#This Row],[Nb jours]]&gt;2,PROPER(LEFT(TEXT(Tableau1[[#This Row],[Date de Début]]+2,"jjjj"),2))&amp; "" &amp; PROPER(LEFT(TEXT(Tableau1[[#This Row],[Date de Début]]+3,"jjjj"),2)),"")</f>
        <v/>
      </c>
      <c r="Y60" s="176" t="str">
        <f>IF(Tableau1[[#This Row],[Nb jours]]&gt;3,PROPER(LEFT(TEXT(Tableau1[[#This Row],[Date de Début]]+3,"jjjj"),2))&amp; "" &amp; PROPER(LEFT(TEXT(Tableau1[[#This Row],[Date de Début]]+4,"jjjj"),2)),"")</f>
        <v/>
      </c>
      <c r="Z60" s="175" t="str">
        <f>IF(Tableau1[[#This Row],[Nb jours]]&gt;4,PROPER(LEFT(TEXT(Tableau1[[#This Row],[Date de Début]]+4,"jjjj"),2))&amp; "" &amp; PROPER(LEFT(TEXT(Tableau1[[#This Row],[Date de Début]]+5,"jjjj"),2)),"")</f>
        <v/>
      </c>
      <c r="AA60" s="176" t="str">
        <f>IF(Tableau1[[#This Row],[Nb jours]]&gt;5,PROPER(LEFT(TEXT(Tableau1[[#This Row],[Date de Début]]+5,"jjjj"),2))&amp; "" &amp; PROPER(LEFT(TEXT(Tableau1[[#This Row],[Date de Début]]+6,"jjjj"),2)),"")</f>
        <v/>
      </c>
      <c r="AB60" s="177">
        <f>Tableau1[[#This Row],[Date de Fin]]-Tableau1[[#This Row],[Date de Début]]</f>
        <v>2</v>
      </c>
      <c r="AC60" s="150" t="str">
        <f>Tableau1[[#This Row],[Nuit 1]]&amp;Tableau1[[#This Row],[Nuit 2]]&amp;Tableau1[[#This Row],[Nuit 3]]&amp;Tableau1[[#This Row],[Nuit 4]]&amp;Tableau1[[#This Row],[Nuit 5]]&amp;Tableau1[[#This Row],[Nuit 6]]</f>
        <v>MeJeJeVe</v>
      </c>
      <c r="AD60" s="42" t="s">
        <v>160</v>
      </c>
      <c r="AE60" s="27">
        <f t="shared" si="28"/>
        <v>28</v>
      </c>
      <c r="AF60" s="31">
        <f>Tableau1[[#This Row],[Date de Début]]-AE60</f>
        <v>45700</v>
      </c>
      <c r="AG60" s="93">
        <v>45709</v>
      </c>
      <c r="AH60" s="27">
        <f t="shared" si="29"/>
        <v>21</v>
      </c>
      <c r="AI60" s="254" t="str">
        <f t="shared" si="19"/>
        <v>2025-02-21</v>
      </c>
      <c r="AJ60" s="45" t="s">
        <v>155</v>
      </c>
      <c r="AK60" s="31">
        <f>Tableau1[[#This Row],[Date de Début]]-AH60</f>
        <v>45707</v>
      </c>
      <c r="AL60" s="93">
        <v>45709</v>
      </c>
      <c r="AM60" s="27">
        <f t="shared" si="30"/>
        <v>21</v>
      </c>
      <c r="AN60" s="264" t="str">
        <f>IF(AL60="","",TEXT(Tableau1[[#This Row],[Date de fin de vérification]],"AAAA-MM-JJ"))</f>
        <v>2025-02-21</v>
      </c>
      <c r="AO60" s="49">
        <f>Tableau1[[#This Row],[Date de Début]]-AM60</f>
        <v>45707</v>
      </c>
      <c r="AP60" s="93">
        <v>45709</v>
      </c>
      <c r="AQ60" s="27">
        <f t="shared" si="31"/>
        <v>14</v>
      </c>
      <c r="AR60" s="254" t="str">
        <f t="shared" si="20"/>
        <v>21/02/2025</v>
      </c>
      <c r="AS60" s="49">
        <f>Tableau1[[#This Row],[Date de Début]]-AQ60</f>
        <v>45714</v>
      </c>
      <c r="AT60" s="93">
        <v>45713</v>
      </c>
      <c r="AU60" s="27">
        <f t="shared" si="32"/>
        <v>14</v>
      </c>
      <c r="AV60" s="254" t="str">
        <f t="shared" si="21"/>
        <v>25-02-2025</v>
      </c>
      <c r="AW60" s="49">
        <f>Tableau1[[#This Row],[Date de Début]]-AU60</f>
        <v>45714</v>
      </c>
      <c r="AX60" s="93">
        <v>45715</v>
      </c>
      <c r="AY60" s="93" t="str">
        <f t="shared" si="22"/>
        <v>2025-02-27</v>
      </c>
      <c r="AZ60" s="28">
        <f>IF(Tableau1[[#This Row],[Date limite de fin de rédaction]]&lt;Tableau1[[#This Row],[Date de fin de rédaction]],1,0)</f>
        <v>1</v>
      </c>
      <c r="BA60" s="28">
        <f>IF(Tableau1[[#This Row],[Date limite de fin de vérification]]&lt;Tableau1[[#This Row],[Date de fin de vérification]],1,0)</f>
        <v>1</v>
      </c>
      <c r="BB60" s="28">
        <f>IF(Tableau1[[#This Row],[Date limite d''envoi a  l''exploitation]]&lt;Tableau1[[#This Row],[Date d''envoi à  l''exploitation
(Mettre en copier le demandeur et le rédacteur)]],1,0)</f>
        <v>1</v>
      </c>
      <c r="BC60" s="28">
        <f>IF(Tableau1[[#This Row],[Date limite de réception]]&lt;Tableau1[[#This Row],[Date de réception]],1,0)</f>
        <v>0</v>
      </c>
      <c r="BD60" s="53">
        <f>IF(Tableau1[[#This Row],[Date limite limite de dépose sur la GED]]&lt;Tableau1[[#This Row],[Date de dépose sur la GED]],1,0)</f>
        <v>1</v>
      </c>
      <c r="BE60" s="245"/>
      <c r="BF60" s="243"/>
      <c r="BG60" s="309"/>
      <c r="BH60" s="295"/>
      <c r="BI60" s="297"/>
      <c r="BJ60" s="300"/>
      <c r="BK60" s="242"/>
    </row>
    <row r="61" spans="1:63" x14ac:dyDescent="0.25">
      <c r="A61" s="223">
        <f t="shared" si="16"/>
        <v>52</v>
      </c>
      <c r="B61" s="90" t="s">
        <v>151</v>
      </c>
      <c r="C61" s="90" t="s">
        <v>95</v>
      </c>
      <c r="D61" s="98" t="str">
        <f>IF(Tableau1[[#This Row],[Date de Début]]=0,"Saisir date de début","S"&amp; _xlfn.ISOWEEKNUM(R61))</f>
        <v>S10</v>
      </c>
      <c r="E61" s="24" t="s">
        <v>218</v>
      </c>
      <c r="F61" s="21" t="s">
        <v>96</v>
      </c>
      <c r="G61" s="159" t="str">
        <f>"xxx-2025-"&amp;Tableau1[[#This Row],[N° de 
Ctx]]&amp;"-"&amp;Tableau1[[#This Row],[N° semaine]]&amp;"-"&amp; Tableau1[[#This Row],[Nature des travaux]]</f>
        <v>xxx-2025-52-S10-Contrat 52</v>
      </c>
      <c r="H61" s="68" t="str">
        <f>IF(Tableau1[[#This Row],[Nature des travaux]]=0,"Saisir nature des travaux",Tableau1[[#This Row],[Colonne1]])&amp;"-"&amp;Tableau1[[#This Row],[Jour]]</f>
        <v>xxx-2025-52-S10-Contrat 52-JeVe</v>
      </c>
      <c r="I61" s="20"/>
      <c r="J61" s="21"/>
      <c r="K61" s="21" t="s">
        <v>79</v>
      </c>
      <c r="L61" s="21"/>
      <c r="M61" s="91">
        <f>COUNTIF(Tableau1[[#This Row],[Secteur 1]:[Secteur 4]],"x")</f>
        <v>1</v>
      </c>
      <c r="N61" s="92" t="s">
        <v>81</v>
      </c>
      <c r="O61" s="146" t="str">
        <f>IF(Tableau1[[#This Row],[Date de Fin]]-Tableau1[[#This Row],[Date de Début]]&gt;1,"X"," ")</f>
        <v xml:space="preserve"> </v>
      </c>
      <c r="P61" s="20"/>
      <c r="Q61" s="21"/>
      <c r="R61" s="99">
        <v>45722</v>
      </c>
      <c r="S61" s="281" t="str">
        <f t="shared" si="17"/>
        <v>2025-03-06</v>
      </c>
      <c r="T61" s="140">
        <v>45723</v>
      </c>
      <c r="U61" s="276" t="str">
        <f t="shared" si="18"/>
        <v>2025-03-07</v>
      </c>
      <c r="V61" s="210" t="str">
        <f>PROPER(LEFT(TEXT(Tableau1[[#This Row],[Date de Début]],"jjjj"),2))&amp; "" &amp; PROPER(LEFT(TEXT(Tableau1[[#This Row],[Date de Début]]+1,"jjjj"),2))</f>
        <v>JeVe</v>
      </c>
      <c r="W61" s="175" t="str">
        <f>IF(Tableau1[[#This Row],[Nb jours]]&gt;1,PROPER(LEFT(TEXT(Tableau1[[#This Row],[Date de Début]]+1,"jjjj"),2))&amp; "" &amp; PROPER(LEFT(TEXT(Tableau1[[#This Row],[Date de Début]]+2,"jjjj"),2)),"")</f>
        <v/>
      </c>
      <c r="X61" s="175" t="str">
        <f>IF(Tableau1[[#This Row],[Nb jours]]&gt;2,PROPER(LEFT(TEXT(Tableau1[[#This Row],[Date de Début]]+2,"jjjj"),2))&amp; "" &amp; PROPER(LEFT(TEXT(Tableau1[[#This Row],[Date de Début]]+3,"jjjj"),2)),"")</f>
        <v/>
      </c>
      <c r="Y61" s="176" t="str">
        <f>IF(Tableau1[[#This Row],[Nb jours]]&gt;3,PROPER(LEFT(TEXT(Tableau1[[#This Row],[Date de Début]]+3,"jjjj"),2))&amp; "" &amp; PROPER(LEFT(TEXT(Tableau1[[#This Row],[Date de Début]]+4,"jjjj"),2)),"")</f>
        <v/>
      </c>
      <c r="Z61" s="175" t="str">
        <f>IF(Tableau1[[#This Row],[Nb jours]]&gt;4,PROPER(LEFT(TEXT(Tableau1[[#This Row],[Date de Début]]+4,"jjjj"),2))&amp; "" &amp; PROPER(LEFT(TEXT(Tableau1[[#This Row],[Date de Début]]+5,"jjjj"),2)),"")</f>
        <v/>
      </c>
      <c r="AA61" s="176" t="str">
        <f>IF(Tableau1[[#This Row],[Nb jours]]&gt;5,PROPER(LEFT(TEXT(Tableau1[[#This Row],[Date de Début]]+5,"jjjj"),2))&amp; "" &amp; PROPER(LEFT(TEXT(Tableau1[[#This Row],[Date de Début]]+6,"jjjj"),2)),"")</f>
        <v/>
      </c>
      <c r="AB61" s="177">
        <f>Tableau1[[#This Row],[Date de Fin]]-Tableau1[[#This Row],[Date de Début]]</f>
        <v>1</v>
      </c>
      <c r="AC61" s="150" t="str">
        <f>Tableau1[[#This Row],[Nuit 1]]&amp;Tableau1[[#This Row],[Nuit 2]]&amp;Tableau1[[#This Row],[Nuit 3]]&amp;Tableau1[[#This Row],[Nuit 4]]&amp;Tableau1[[#This Row],[Nuit 5]]&amp;Tableau1[[#This Row],[Nuit 6]]</f>
        <v>JeVe</v>
      </c>
      <c r="AD61" s="42" t="s">
        <v>155</v>
      </c>
      <c r="AE61" s="27">
        <f t="shared" si="28"/>
        <v>28</v>
      </c>
      <c r="AF61" s="31">
        <f>Tableau1[[#This Row],[Date de Début]]-AE61</f>
        <v>45694</v>
      </c>
      <c r="AG61" s="93">
        <v>45695</v>
      </c>
      <c r="AH61" s="27">
        <f t="shared" si="29"/>
        <v>21</v>
      </c>
      <c r="AI61" s="254" t="str">
        <f t="shared" si="19"/>
        <v>2025-02-07</v>
      </c>
      <c r="AJ61" s="45" t="s">
        <v>156</v>
      </c>
      <c r="AK61" s="31">
        <f>Tableau1[[#This Row],[Date de Début]]-AH61</f>
        <v>45701</v>
      </c>
      <c r="AL61" s="93">
        <v>45708</v>
      </c>
      <c r="AM61" s="27">
        <f t="shared" si="30"/>
        <v>21</v>
      </c>
      <c r="AN61" s="264" t="str">
        <f>IF(AL61="","",TEXT(Tableau1[[#This Row],[Date de fin de vérification]],"AAAA-MM-JJ"))</f>
        <v>2025-02-20</v>
      </c>
      <c r="AO61" s="49">
        <f>Tableau1[[#This Row],[Date de Début]]-AM61</f>
        <v>45701</v>
      </c>
      <c r="AP61" s="93">
        <v>45709</v>
      </c>
      <c r="AQ61" s="27">
        <f t="shared" si="31"/>
        <v>14</v>
      </c>
      <c r="AR61" s="254" t="str">
        <f t="shared" si="20"/>
        <v>21/02/2025</v>
      </c>
      <c r="AS61" s="49">
        <f>Tableau1[[#This Row],[Date de Début]]-AQ61</f>
        <v>45708</v>
      </c>
      <c r="AT61" s="93">
        <v>45713</v>
      </c>
      <c r="AU61" s="27">
        <f t="shared" si="32"/>
        <v>14</v>
      </c>
      <c r="AV61" s="254" t="str">
        <f t="shared" si="21"/>
        <v>25-02-2025</v>
      </c>
      <c r="AW61" s="49">
        <f>Tableau1[[#This Row],[Date de Début]]-AU61</f>
        <v>45708</v>
      </c>
      <c r="AX61" s="93">
        <v>45713</v>
      </c>
      <c r="AY61" s="93" t="str">
        <f t="shared" si="22"/>
        <v>2025-02-25</v>
      </c>
      <c r="AZ61" s="28">
        <f>IF(Tableau1[[#This Row],[Date limite de fin de rédaction]]&lt;Tableau1[[#This Row],[Date de fin de rédaction]],1,0)</f>
        <v>1</v>
      </c>
      <c r="BA61" s="28">
        <f>IF(Tableau1[[#This Row],[Date limite de fin de vérification]]&lt;Tableau1[[#This Row],[Date de fin de vérification]],1,0)</f>
        <v>1</v>
      </c>
      <c r="BB61" s="28">
        <f>IF(Tableau1[[#This Row],[Date limite d''envoi a  l''exploitation]]&lt;Tableau1[[#This Row],[Date d''envoi à  l''exploitation
(Mettre en copier le demandeur et le rédacteur)]],1,0)</f>
        <v>1</v>
      </c>
      <c r="BC61" s="28">
        <f>IF(Tableau1[[#This Row],[Date limite de réception]]&lt;Tableau1[[#This Row],[Date de réception]],1,0)</f>
        <v>1</v>
      </c>
      <c r="BD61" s="53">
        <f>IF(Tableau1[[#This Row],[Date limite limite de dépose sur la GED]]&lt;Tableau1[[#This Row],[Date de dépose sur la GED]],1,0)</f>
        <v>1</v>
      </c>
      <c r="BE61" s="245"/>
      <c r="BF61" s="243"/>
      <c r="BG61" s="309"/>
      <c r="BH61" s="295"/>
      <c r="BI61" s="297"/>
      <c r="BJ61" s="300"/>
      <c r="BK61" s="242"/>
    </row>
    <row r="62" spans="1:63" x14ac:dyDescent="0.25">
      <c r="A62" s="223">
        <f t="shared" si="16"/>
        <v>53</v>
      </c>
      <c r="B62" s="90" t="s">
        <v>145</v>
      </c>
      <c r="C62" s="90">
        <v>15029</v>
      </c>
      <c r="D62" s="98" t="str">
        <f>IF(Tableau1[[#This Row],[Date de Début]]=0,"Saisir date de début","S"&amp; _xlfn.ISOWEEKNUM(R62))</f>
        <v>S10</v>
      </c>
      <c r="E62" s="24" t="s">
        <v>219</v>
      </c>
      <c r="F62" s="21" t="s">
        <v>93</v>
      </c>
      <c r="G62" s="159" t="str">
        <f>"xxx-2025-"&amp;Tableau1[[#This Row],[N° de 
Ctx]]&amp;"-"&amp;Tableau1[[#This Row],[N° semaine]]&amp;"-"&amp; Tableau1[[#This Row],[Nature des travaux]]</f>
        <v>xxx-2025-53-S10-Contrat 53</v>
      </c>
      <c r="H62" s="68" t="str">
        <f>IF(Tableau1[[#This Row],[Nature des travaux]]=0,"Saisir nature des travaux",Tableau1[[#This Row],[Colonne1]])&amp;"-"&amp;Tableau1[[#This Row],[Jour]]</f>
        <v>xxx-2025-53-S10-Contrat 53-JeVe</v>
      </c>
      <c r="I62" s="20"/>
      <c r="J62" s="21"/>
      <c r="K62" s="21" t="s">
        <v>79</v>
      </c>
      <c r="L62" s="21"/>
      <c r="M62" s="91">
        <f>COUNTIF(Tableau1[[#This Row],[Secteur 1]:[Secteur 4]],"x")</f>
        <v>1</v>
      </c>
      <c r="N62" s="92" t="s">
        <v>81</v>
      </c>
      <c r="O62" s="146" t="str">
        <f>IF(Tableau1[[#This Row],[Date de Fin]]-Tableau1[[#This Row],[Date de Début]]&gt;1,"X"," ")</f>
        <v xml:space="preserve"> </v>
      </c>
      <c r="P62" s="20"/>
      <c r="Q62" s="21"/>
      <c r="R62" s="99">
        <v>45722</v>
      </c>
      <c r="S62" s="281" t="str">
        <f t="shared" si="17"/>
        <v>2025-03-06</v>
      </c>
      <c r="T62" s="140">
        <v>45723</v>
      </c>
      <c r="U62" s="276" t="str">
        <f t="shared" si="18"/>
        <v>2025-03-07</v>
      </c>
      <c r="V62" s="210" t="str">
        <f>PROPER(LEFT(TEXT(Tableau1[[#This Row],[Date de Début]],"jjjj"),2))&amp; "" &amp; PROPER(LEFT(TEXT(Tableau1[[#This Row],[Date de Début]]+1,"jjjj"),2))</f>
        <v>JeVe</v>
      </c>
      <c r="W62" s="175" t="str">
        <f>IF(Tableau1[[#This Row],[Nb jours]]&gt;1,PROPER(LEFT(TEXT(Tableau1[[#This Row],[Date de Début]]+1,"jjjj"),2))&amp; "" &amp; PROPER(LEFT(TEXT(Tableau1[[#This Row],[Date de Début]]+2,"jjjj"),2)),"")</f>
        <v/>
      </c>
      <c r="X62" s="175" t="str">
        <f>IF(Tableau1[[#This Row],[Nb jours]]&gt;2,PROPER(LEFT(TEXT(Tableau1[[#This Row],[Date de Début]]+2,"jjjj"),2))&amp; "" &amp; PROPER(LEFT(TEXT(Tableau1[[#This Row],[Date de Début]]+3,"jjjj"),2)),"")</f>
        <v/>
      </c>
      <c r="Y62" s="176" t="str">
        <f>IF(Tableau1[[#This Row],[Nb jours]]&gt;3,PROPER(LEFT(TEXT(Tableau1[[#This Row],[Date de Début]]+3,"jjjj"),2))&amp; "" &amp; PROPER(LEFT(TEXT(Tableau1[[#This Row],[Date de Début]]+4,"jjjj"),2)),"")</f>
        <v/>
      </c>
      <c r="Z62" s="175" t="str">
        <f>IF(Tableau1[[#This Row],[Nb jours]]&gt;4,PROPER(LEFT(TEXT(Tableau1[[#This Row],[Date de Début]]+4,"jjjj"),2))&amp; "" &amp; PROPER(LEFT(TEXT(Tableau1[[#This Row],[Date de Début]]+5,"jjjj"),2)),"")</f>
        <v/>
      </c>
      <c r="AA62" s="176" t="str">
        <f>IF(Tableau1[[#This Row],[Nb jours]]&gt;5,PROPER(LEFT(TEXT(Tableau1[[#This Row],[Date de Début]]+5,"jjjj"),2))&amp; "" &amp; PROPER(LEFT(TEXT(Tableau1[[#This Row],[Date de Début]]+6,"jjjj"),2)),"")</f>
        <v/>
      </c>
      <c r="AB62" s="177">
        <f>Tableau1[[#This Row],[Date de Fin]]-Tableau1[[#This Row],[Date de Début]]</f>
        <v>1</v>
      </c>
      <c r="AC62" s="150" t="str">
        <f>Tableau1[[#This Row],[Nuit 1]]&amp;Tableau1[[#This Row],[Nuit 2]]&amp;Tableau1[[#This Row],[Nuit 3]]&amp;Tableau1[[#This Row],[Nuit 4]]&amp;Tableau1[[#This Row],[Nuit 5]]&amp;Tableau1[[#This Row],[Nuit 6]]</f>
        <v>JeVe</v>
      </c>
      <c r="AD62" s="42" t="s">
        <v>155</v>
      </c>
      <c r="AE62" s="27">
        <f t="shared" si="28"/>
        <v>28</v>
      </c>
      <c r="AF62" s="31">
        <f>Tableau1[[#This Row],[Date de Début]]-AE62</f>
        <v>45694</v>
      </c>
      <c r="AG62" s="93">
        <v>45685</v>
      </c>
      <c r="AH62" s="27">
        <f t="shared" si="29"/>
        <v>21</v>
      </c>
      <c r="AI62" s="254" t="str">
        <f t="shared" si="19"/>
        <v>2025-01-28</v>
      </c>
      <c r="AJ62" s="45" t="s">
        <v>156</v>
      </c>
      <c r="AK62" s="31">
        <f>Tableau1[[#This Row],[Date de Début]]-AH62</f>
        <v>45701</v>
      </c>
      <c r="AL62" s="93">
        <v>45708</v>
      </c>
      <c r="AM62" s="27">
        <f t="shared" si="30"/>
        <v>21</v>
      </c>
      <c r="AN62" s="264" t="str">
        <f>IF(AL62="","",TEXT(Tableau1[[#This Row],[Date de fin de vérification]],"AAAA-MM-JJ"))</f>
        <v>2025-02-20</v>
      </c>
      <c r="AO62" s="49">
        <f>Tableau1[[#This Row],[Date de Début]]-AM62</f>
        <v>45701</v>
      </c>
      <c r="AP62" s="93">
        <v>45709</v>
      </c>
      <c r="AQ62" s="27">
        <f t="shared" si="31"/>
        <v>14</v>
      </c>
      <c r="AR62" s="254" t="str">
        <f t="shared" si="20"/>
        <v>21/02/2025</v>
      </c>
      <c r="AS62" s="49">
        <f>Tableau1[[#This Row],[Date de Début]]-AQ62</f>
        <v>45708</v>
      </c>
      <c r="AT62" s="93">
        <v>45713</v>
      </c>
      <c r="AU62" s="27">
        <f t="shared" si="32"/>
        <v>14</v>
      </c>
      <c r="AV62" s="254" t="str">
        <f t="shared" si="21"/>
        <v>25-02-2025</v>
      </c>
      <c r="AW62" s="49">
        <f>Tableau1[[#This Row],[Date de Début]]-AU62</f>
        <v>45708</v>
      </c>
      <c r="AX62" s="93">
        <v>45713</v>
      </c>
      <c r="AY62" s="93" t="str">
        <f t="shared" si="22"/>
        <v>2025-02-25</v>
      </c>
      <c r="AZ62" s="28">
        <f>IF(Tableau1[[#This Row],[Date limite de fin de rédaction]]&lt;Tableau1[[#This Row],[Date de fin de rédaction]],1,0)</f>
        <v>0</v>
      </c>
      <c r="BA62" s="28">
        <f>IF(Tableau1[[#This Row],[Date limite de fin de vérification]]&lt;Tableau1[[#This Row],[Date de fin de vérification]],1,0)</f>
        <v>1</v>
      </c>
      <c r="BB62" s="28">
        <f>IF(Tableau1[[#This Row],[Date limite d''envoi a  l''exploitation]]&lt;Tableau1[[#This Row],[Date d''envoi à  l''exploitation
(Mettre en copier le demandeur et le rédacteur)]],1,0)</f>
        <v>1</v>
      </c>
      <c r="BC62" s="28">
        <f>IF(Tableau1[[#This Row],[Date limite de réception]]&lt;Tableau1[[#This Row],[Date de réception]],1,0)</f>
        <v>1</v>
      </c>
      <c r="BD62" s="53">
        <f>IF(Tableau1[[#This Row],[Date limite limite de dépose sur la GED]]&lt;Tableau1[[#This Row],[Date de dépose sur la GED]],1,0)</f>
        <v>1</v>
      </c>
      <c r="BE62" s="245"/>
      <c r="BF62" s="243"/>
      <c r="BG62" s="309"/>
      <c r="BH62" s="295"/>
      <c r="BI62" s="297"/>
      <c r="BJ62" s="300"/>
      <c r="BK62" s="242"/>
    </row>
    <row r="63" spans="1:63" ht="25.5" x14ac:dyDescent="0.25">
      <c r="A63" s="223">
        <f t="shared" si="16"/>
        <v>54</v>
      </c>
      <c r="B63" s="90" t="s">
        <v>145</v>
      </c>
      <c r="C63" s="90">
        <v>15240</v>
      </c>
      <c r="D63" s="98" t="str">
        <f>IF(Tableau1[[#This Row],[Date de Début]]=0,"Saisir date de début","S"&amp; _xlfn.ISOWEEKNUM(R63))</f>
        <v>S11</v>
      </c>
      <c r="E63" s="24" t="s">
        <v>220</v>
      </c>
      <c r="F63" s="21" t="s">
        <v>97</v>
      </c>
      <c r="G63" s="159" t="str">
        <f>"xxx-2025-"&amp;Tableau1[[#This Row],[N° de 
Ctx]]&amp;"-"&amp;Tableau1[[#This Row],[N° semaine]]&amp;"-"&amp; Tableau1[[#This Row],[Nature des travaux]]</f>
        <v>xxx-2025-54-S11-Contrat 54</v>
      </c>
      <c r="H63" s="68" t="str">
        <f>IF(Tableau1[[#This Row],[Nature des travaux]]=0,"Saisir nature des travaux",Tableau1[[#This Row],[Colonne1]])&amp;"-"&amp;Tableau1[[#This Row],[Jour]]</f>
        <v>xxx-2025-54-S11-Contrat 54-MeJeJeVe</v>
      </c>
      <c r="I63" s="20"/>
      <c r="J63" s="21"/>
      <c r="K63" s="21" t="s">
        <v>85</v>
      </c>
      <c r="L63" s="21"/>
      <c r="M63" s="91">
        <f>COUNTIF(Tableau1[[#This Row],[Secteur 1]:[Secteur 4]],"x")</f>
        <v>1</v>
      </c>
      <c r="N63" s="92" t="s">
        <v>81</v>
      </c>
      <c r="O63" s="146" t="str">
        <f>IF(Tableau1[[#This Row],[Date de Fin]]-Tableau1[[#This Row],[Date de Début]]&gt;1,"X"," ")</f>
        <v>X</v>
      </c>
      <c r="P63" s="20"/>
      <c r="Q63" s="21"/>
      <c r="R63" s="99">
        <v>45728</v>
      </c>
      <c r="S63" s="281" t="str">
        <f t="shared" si="17"/>
        <v>2025-03-12</v>
      </c>
      <c r="T63" s="140">
        <v>45730</v>
      </c>
      <c r="U63" s="276" t="str">
        <f t="shared" si="18"/>
        <v>2025-03-14</v>
      </c>
      <c r="V63" s="210" t="str">
        <f>PROPER(LEFT(TEXT(Tableau1[[#This Row],[Date de Début]],"jjjj"),2))&amp; "" &amp; PROPER(LEFT(TEXT(Tableau1[[#This Row],[Date de Début]]+1,"jjjj"),2))</f>
        <v>MeJe</v>
      </c>
      <c r="W63" s="175" t="str">
        <f>IF(Tableau1[[#This Row],[Nb jours]]&gt;1,PROPER(LEFT(TEXT(Tableau1[[#This Row],[Date de Début]]+1,"jjjj"),2))&amp; "" &amp; PROPER(LEFT(TEXT(Tableau1[[#This Row],[Date de Début]]+2,"jjjj"),2)),"")</f>
        <v>JeVe</v>
      </c>
      <c r="X63" s="175" t="str">
        <f>IF(Tableau1[[#This Row],[Nb jours]]&gt;2,PROPER(LEFT(TEXT(Tableau1[[#This Row],[Date de Début]]+2,"jjjj"),2))&amp; "" &amp; PROPER(LEFT(TEXT(Tableau1[[#This Row],[Date de Début]]+3,"jjjj"),2)),"")</f>
        <v/>
      </c>
      <c r="Y63" s="176" t="str">
        <f>IF(Tableau1[[#This Row],[Nb jours]]&gt;3,PROPER(LEFT(TEXT(Tableau1[[#This Row],[Date de Début]]+3,"jjjj"),2))&amp; "" &amp; PROPER(LEFT(TEXT(Tableau1[[#This Row],[Date de Début]]+4,"jjjj"),2)),"")</f>
        <v/>
      </c>
      <c r="Z63" s="175" t="str">
        <f>IF(Tableau1[[#This Row],[Nb jours]]&gt;4,PROPER(LEFT(TEXT(Tableau1[[#This Row],[Date de Début]]+4,"jjjj"),2))&amp; "" &amp; PROPER(LEFT(TEXT(Tableau1[[#This Row],[Date de Début]]+5,"jjjj"),2)),"")</f>
        <v/>
      </c>
      <c r="AA63" s="176" t="str">
        <f>IF(Tableau1[[#This Row],[Nb jours]]&gt;5,PROPER(LEFT(TEXT(Tableau1[[#This Row],[Date de Début]]+5,"jjjj"),2))&amp; "" &amp; PROPER(LEFT(TEXT(Tableau1[[#This Row],[Date de Début]]+6,"jjjj"),2)),"")</f>
        <v/>
      </c>
      <c r="AB63" s="177">
        <f>Tableau1[[#This Row],[Date de Fin]]-Tableau1[[#This Row],[Date de Début]]</f>
        <v>2</v>
      </c>
      <c r="AC63" s="156" t="str">
        <f>Tableau1[[#This Row],[Nuit 1]]&amp;Tableau1[[#This Row],[Nuit 2]]&amp;Tableau1[[#This Row],[Nuit 3]]&amp;Tableau1[[#This Row],[Nuit 4]]&amp;Tableau1[[#This Row],[Nuit 5]]&amp;Tableau1[[#This Row],[Nuit 6]]</f>
        <v>MeJeJeVe</v>
      </c>
      <c r="AD63" s="42" t="s">
        <v>155</v>
      </c>
      <c r="AE63" s="27">
        <f t="shared" si="28"/>
        <v>28</v>
      </c>
      <c r="AF63" s="31">
        <f>Tableau1[[#This Row],[Date de Début]]-AE63</f>
        <v>45700</v>
      </c>
      <c r="AG63" s="93">
        <v>45714</v>
      </c>
      <c r="AH63" s="27">
        <f t="shared" si="29"/>
        <v>21</v>
      </c>
      <c r="AI63" s="254" t="str">
        <f t="shared" si="19"/>
        <v>2025-02-26</v>
      </c>
      <c r="AJ63" s="45" t="s">
        <v>156</v>
      </c>
      <c r="AK63" s="31">
        <f>Tableau1[[#This Row],[Date de Début]]-AH63</f>
        <v>45707</v>
      </c>
      <c r="AL63" s="93">
        <v>45720</v>
      </c>
      <c r="AM63" s="27">
        <f t="shared" si="30"/>
        <v>21</v>
      </c>
      <c r="AN63" s="264" t="str">
        <f>IF(AL63="","",TEXT(Tableau1[[#This Row],[Date de fin de vérification]],"AAAA-MM-JJ"))</f>
        <v>2025-03-04</v>
      </c>
      <c r="AO63" s="49">
        <f>Tableau1[[#This Row],[Date de Début]]-AM63</f>
        <v>45707</v>
      </c>
      <c r="AP63" s="93">
        <v>45722</v>
      </c>
      <c r="AQ63" s="27">
        <f t="shared" si="31"/>
        <v>14</v>
      </c>
      <c r="AR63" s="254" t="str">
        <f t="shared" si="20"/>
        <v>06/03/2025</v>
      </c>
      <c r="AS63" s="49">
        <f>Tableau1[[#This Row],[Date de Début]]-AQ63</f>
        <v>45714</v>
      </c>
      <c r="AT63" s="93">
        <v>45722</v>
      </c>
      <c r="AU63" s="27">
        <f t="shared" si="32"/>
        <v>14</v>
      </c>
      <c r="AV63" s="254" t="str">
        <f t="shared" si="21"/>
        <v>06-03-2025</v>
      </c>
      <c r="AW63" s="49">
        <f>Tableau1[[#This Row],[Date de Début]]-AU63</f>
        <v>45714</v>
      </c>
      <c r="AX63" s="93">
        <v>45722</v>
      </c>
      <c r="AY63" s="93" t="str">
        <f t="shared" si="22"/>
        <v>2025-03-06</v>
      </c>
      <c r="AZ63" s="28">
        <f>IF(Tableau1[[#This Row],[Date limite de fin de rédaction]]&lt;Tableau1[[#This Row],[Date de fin de rédaction]],1,0)</f>
        <v>1</v>
      </c>
      <c r="BA63" s="28">
        <f>IF(Tableau1[[#This Row],[Date limite de fin de vérification]]&lt;Tableau1[[#This Row],[Date de fin de vérification]],1,0)</f>
        <v>1</v>
      </c>
      <c r="BB63" s="28">
        <f>IF(Tableau1[[#This Row],[Date limite d''envoi a  l''exploitation]]&lt;Tableau1[[#This Row],[Date d''envoi à  l''exploitation
(Mettre en copier le demandeur et le rédacteur)]],1,0)</f>
        <v>1</v>
      </c>
      <c r="BC63" s="28">
        <f>IF(Tableau1[[#This Row],[Date limite de réception]]&lt;Tableau1[[#This Row],[Date de réception]],1,0)</f>
        <v>1</v>
      </c>
      <c r="BD63" s="53">
        <f>IF(Tableau1[[#This Row],[Date limite limite de dépose sur la GED]]&lt;Tableau1[[#This Row],[Date de dépose sur la GED]],1,0)</f>
        <v>1</v>
      </c>
      <c r="BE63" s="245"/>
      <c r="BF63" s="243"/>
      <c r="BG63" s="309"/>
      <c r="BH63" s="295"/>
      <c r="BI63" s="297"/>
      <c r="BJ63" s="300"/>
      <c r="BK63" s="242"/>
    </row>
    <row r="64" spans="1:63" ht="38.25" x14ac:dyDescent="0.25">
      <c r="A64" s="223">
        <f t="shared" si="16"/>
        <v>55</v>
      </c>
      <c r="B64" s="90" t="s">
        <v>145</v>
      </c>
      <c r="C64" s="90">
        <v>15271</v>
      </c>
      <c r="D64" s="98" t="str">
        <f>IF(Tableau1[[#This Row],[Date de Début]]=0,"Saisir date de début","S"&amp; _xlfn.ISOWEEKNUM(R64))</f>
        <v>S12</v>
      </c>
      <c r="E64" s="24" t="s">
        <v>221</v>
      </c>
      <c r="F64" s="21"/>
      <c r="G64" s="159" t="str">
        <f>"xxx-2025-"&amp;Tableau1[[#This Row],[N° de 
Ctx]]&amp;"-"&amp;Tableau1[[#This Row],[N° semaine]]&amp;"-"&amp; Tableau1[[#This Row],[Nature des travaux]]</f>
        <v>xxx-2025-55-S12-Contrat 55</v>
      </c>
      <c r="H64" s="68" t="str">
        <f>IF(Tableau1[[#This Row],[Nature des travaux]]=0,"Saisir nature des travaux",Tableau1[[#This Row],[Colonne1]])&amp;"-"&amp;Tableau1[[#This Row],[Jour]]</f>
        <v>xxx-2025-55-S12-Contrat 55-LuMaMaMeMeJeJeVe</v>
      </c>
      <c r="I64" s="20"/>
      <c r="J64" s="21"/>
      <c r="K64" s="21" t="s">
        <v>85</v>
      </c>
      <c r="L64" s="21"/>
      <c r="M64" s="91">
        <f>COUNTIF(Tableau1[[#This Row],[Secteur 1]:[Secteur 4]],"x")</f>
        <v>1</v>
      </c>
      <c r="N64" s="92" t="s">
        <v>81</v>
      </c>
      <c r="O64" s="146" t="str">
        <f>IF(Tableau1[[#This Row],[Date de Fin]]-Tableau1[[#This Row],[Date de Début]]&gt;1,"X"," ")</f>
        <v>X</v>
      </c>
      <c r="P64" s="20"/>
      <c r="Q64" s="21"/>
      <c r="R64" s="99">
        <v>45733</v>
      </c>
      <c r="S64" s="281" t="str">
        <f t="shared" si="17"/>
        <v>2025-03-17</v>
      </c>
      <c r="T64" s="140">
        <v>45737</v>
      </c>
      <c r="U64" s="276" t="str">
        <f t="shared" si="18"/>
        <v>2025-03-21</v>
      </c>
      <c r="V64" s="210" t="str">
        <f>PROPER(LEFT(TEXT(Tableau1[[#This Row],[Date de Début]],"jjjj"),2))&amp; "" &amp; PROPER(LEFT(TEXT(Tableau1[[#This Row],[Date de Début]]+1,"jjjj"),2))</f>
        <v>LuMa</v>
      </c>
      <c r="W64" s="175" t="str">
        <f>IF(Tableau1[[#This Row],[Nb jours]]&gt;1,PROPER(LEFT(TEXT(Tableau1[[#This Row],[Date de Début]]+1,"jjjj"),2))&amp; "" &amp; PROPER(LEFT(TEXT(Tableau1[[#This Row],[Date de Début]]+2,"jjjj"),2)),"")</f>
        <v>MaMe</v>
      </c>
      <c r="X64" s="175" t="str">
        <f>IF(Tableau1[[#This Row],[Nb jours]]&gt;2,PROPER(LEFT(TEXT(Tableau1[[#This Row],[Date de Début]]+2,"jjjj"),2))&amp; "" &amp; PROPER(LEFT(TEXT(Tableau1[[#This Row],[Date de Début]]+3,"jjjj"),2)),"")</f>
        <v>MeJe</v>
      </c>
      <c r="Y64" s="176" t="str">
        <f>IF(Tableau1[[#This Row],[Nb jours]]&gt;3,PROPER(LEFT(TEXT(Tableau1[[#This Row],[Date de Début]]+3,"jjjj"),2))&amp; "" &amp; PROPER(LEFT(TEXT(Tableau1[[#This Row],[Date de Début]]+4,"jjjj"),2)),"")</f>
        <v>JeVe</v>
      </c>
      <c r="Z64" s="175" t="str">
        <f>IF(Tableau1[[#This Row],[Nb jours]]&gt;4,PROPER(LEFT(TEXT(Tableau1[[#This Row],[Date de Début]]+4,"jjjj"),2))&amp; "" &amp; PROPER(LEFT(TEXT(Tableau1[[#This Row],[Date de Début]]+5,"jjjj"),2)),"")</f>
        <v/>
      </c>
      <c r="AA64" s="176" t="str">
        <f>IF(Tableau1[[#This Row],[Nb jours]]&gt;5,PROPER(LEFT(TEXT(Tableau1[[#This Row],[Date de Début]]+5,"jjjj"),2))&amp; "" &amp; PROPER(LEFT(TEXT(Tableau1[[#This Row],[Date de Début]]+6,"jjjj"),2)),"")</f>
        <v/>
      </c>
      <c r="AB64" s="177">
        <f>Tableau1[[#This Row],[Date de Fin]]-Tableau1[[#This Row],[Date de Début]]</f>
        <v>4</v>
      </c>
      <c r="AC64" s="156" t="str">
        <f>Tableau1[[#This Row],[Nuit 1]]&amp;Tableau1[[#This Row],[Nuit 2]]&amp;Tableau1[[#This Row],[Nuit 3]]&amp;Tableau1[[#This Row],[Nuit 4]]&amp;Tableau1[[#This Row],[Nuit 5]]&amp;Tableau1[[#This Row],[Nuit 6]]</f>
        <v>LuMaMaMeMeJeJeVe</v>
      </c>
      <c r="AD64" s="42" t="s">
        <v>155</v>
      </c>
      <c r="AE64" s="27">
        <f t="shared" si="28"/>
        <v>28</v>
      </c>
      <c r="AF64" s="31">
        <f>Tableau1[[#This Row],[Date de Début]]-AE64</f>
        <v>45705</v>
      </c>
      <c r="AG64" s="93">
        <v>45714</v>
      </c>
      <c r="AH64" s="27">
        <f t="shared" si="29"/>
        <v>21</v>
      </c>
      <c r="AI64" s="254" t="str">
        <f t="shared" si="19"/>
        <v>2025-02-26</v>
      </c>
      <c r="AJ64" s="45" t="s">
        <v>156</v>
      </c>
      <c r="AK64" s="31">
        <f>Tableau1[[#This Row],[Date de Début]]-AH64</f>
        <v>45712</v>
      </c>
      <c r="AL64" s="93">
        <v>45720</v>
      </c>
      <c r="AM64" s="27">
        <f t="shared" si="30"/>
        <v>21</v>
      </c>
      <c r="AN64" s="264" t="str">
        <f>IF(AL64="","",TEXT(Tableau1[[#This Row],[Date de fin de vérification]],"AAAA-MM-JJ"))</f>
        <v>2025-03-04</v>
      </c>
      <c r="AO64" s="49">
        <f>Tableau1[[#This Row],[Date de Début]]-AM64</f>
        <v>45712</v>
      </c>
      <c r="AP64" s="93">
        <v>45720</v>
      </c>
      <c r="AQ64" s="27">
        <f t="shared" si="31"/>
        <v>14</v>
      </c>
      <c r="AR64" s="254" t="str">
        <f t="shared" si="20"/>
        <v>04/03/2025</v>
      </c>
      <c r="AS64" s="49">
        <f>Tableau1[[#This Row],[Date de Début]]-AQ64</f>
        <v>45719</v>
      </c>
      <c r="AT64" s="93">
        <v>45721</v>
      </c>
      <c r="AU64" s="27">
        <f t="shared" si="32"/>
        <v>14</v>
      </c>
      <c r="AV64" s="254" t="str">
        <f t="shared" si="21"/>
        <v>05-03-2025</v>
      </c>
      <c r="AW64" s="49">
        <f>Tableau1[[#This Row],[Date de Début]]-AU64</f>
        <v>45719</v>
      </c>
      <c r="AX64" s="93">
        <v>45722</v>
      </c>
      <c r="AY64" s="93" t="str">
        <f t="shared" si="22"/>
        <v>2025-03-06</v>
      </c>
      <c r="AZ64" s="28">
        <f>IF(Tableau1[[#This Row],[Date limite de fin de rédaction]]&lt;Tableau1[[#This Row],[Date de fin de rédaction]],1,0)</f>
        <v>1</v>
      </c>
      <c r="BA64" s="28">
        <f>IF(Tableau1[[#This Row],[Date limite de fin de vérification]]&lt;Tableau1[[#This Row],[Date de fin de vérification]],1,0)</f>
        <v>1</v>
      </c>
      <c r="BB64" s="28">
        <f>IF(Tableau1[[#This Row],[Date limite d''envoi a  l''exploitation]]&lt;Tableau1[[#This Row],[Date d''envoi à  l''exploitation
(Mettre en copier le demandeur et le rédacteur)]],1,0)</f>
        <v>1</v>
      </c>
      <c r="BC64" s="28">
        <f>IF(Tableau1[[#This Row],[Date limite de réception]]&lt;Tableau1[[#This Row],[Date de réception]],1,0)</f>
        <v>1</v>
      </c>
      <c r="BD64" s="53">
        <f>IF(Tableau1[[#This Row],[Date limite limite de dépose sur la GED]]&lt;Tableau1[[#This Row],[Date de dépose sur la GED]],1,0)</f>
        <v>1</v>
      </c>
      <c r="BE64" s="245"/>
      <c r="BF64" s="217" t="s">
        <v>98</v>
      </c>
      <c r="BG64" s="309"/>
      <c r="BH64" s="295"/>
      <c r="BI64" s="297"/>
      <c r="BJ64" s="300"/>
      <c r="BK64" s="242"/>
    </row>
    <row r="65" spans="1:63" ht="38.25" customHeight="1" x14ac:dyDescent="0.25">
      <c r="A65" s="248">
        <f t="shared" si="16"/>
        <v>56</v>
      </c>
      <c r="B65" s="90" t="s">
        <v>145</v>
      </c>
      <c r="C65" s="184">
        <v>15329</v>
      </c>
      <c r="D65" s="185" t="str">
        <f>IF(Tableau1[[#This Row],[Date de Début]]=0,"Saisir date de début","S"&amp; _xlfn.ISOWEEKNUM(R65))</f>
        <v>S12</v>
      </c>
      <c r="E65" s="24" t="s">
        <v>222</v>
      </c>
      <c r="F65" s="186" t="s">
        <v>99</v>
      </c>
      <c r="G65" s="249" t="str">
        <f>"xxx-2025-"&amp;Tableau1[[#This Row],[N° de 
Ctx]]&amp;"-"&amp;Tableau1[[#This Row],[N° semaine]]&amp;"-"&amp; Tableau1[[#This Row],[Nature des travaux]]</f>
        <v>xxx-2025-56-S12-Contrat 56</v>
      </c>
      <c r="H65" s="187" t="str">
        <f>IF(Tableau1[[#This Row],[Nature des travaux]]=0,"Saisir nature des travaux",Tableau1[[#This Row],[Colonne1]])&amp;"-"&amp;Tableau1[[#This Row],[Jour]]</f>
        <v>xxx-2025-56-S12-Contrat 56-MeJe</v>
      </c>
      <c r="I65" s="188"/>
      <c r="J65" s="186"/>
      <c r="K65" s="186" t="s">
        <v>85</v>
      </c>
      <c r="L65" s="186"/>
      <c r="M65" s="189">
        <f>COUNTIF(Tableau1[[#This Row],[Secteur 1]:[Secteur 4]],"x")</f>
        <v>1</v>
      </c>
      <c r="N65" s="190" t="s">
        <v>81</v>
      </c>
      <c r="O65" s="191" t="str">
        <f>IF(Tableau1[[#This Row],[Date de Fin]]-Tableau1[[#This Row],[Date de Début]]&gt;1,"X"," ")</f>
        <v xml:space="preserve"> </v>
      </c>
      <c r="P65" s="188"/>
      <c r="Q65" s="186"/>
      <c r="R65" s="206">
        <v>45735</v>
      </c>
      <c r="S65" s="282" t="str">
        <f t="shared" si="17"/>
        <v>2025-03-19</v>
      </c>
      <c r="T65" s="193">
        <v>45736</v>
      </c>
      <c r="U65" s="288" t="str">
        <f t="shared" si="18"/>
        <v>2025-03-20</v>
      </c>
      <c r="V65" s="250" t="str">
        <f>PROPER(LEFT(TEXT(Tableau1[[#This Row],[Date de Début]],"jjjj"),2))&amp; "" &amp; PROPER(LEFT(TEXT(Tableau1[[#This Row],[Date de Début]]+1,"jjjj"),2))</f>
        <v>MeJe</v>
      </c>
      <c r="W65" s="194" t="str">
        <f>IF(Tableau1[[#This Row],[Nb jours]]&gt;1,PROPER(LEFT(TEXT(Tableau1[[#This Row],[Date de Début]]+1,"jjjj"),2))&amp; "" &amp; PROPER(LEFT(TEXT(Tableau1[[#This Row],[Date de Début]]+2,"jjjj"),2)),"")</f>
        <v/>
      </c>
      <c r="X65" s="194" t="str">
        <f>IF(Tableau1[[#This Row],[Nb jours]]&gt;2,PROPER(LEFT(TEXT(Tableau1[[#This Row],[Date de Début]]+2,"jjjj"),2))&amp; "" &amp; PROPER(LEFT(TEXT(Tableau1[[#This Row],[Date de Début]]+3,"jjjj"),2)),"")</f>
        <v/>
      </c>
      <c r="Y65" s="195" t="str">
        <f>IF(Tableau1[[#This Row],[Nb jours]]&gt;3,PROPER(LEFT(TEXT(Tableau1[[#This Row],[Date de Début]]+3,"jjjj"),2))&amp; "" &amp; PROPER(LEFT(TEXT(Tableau1[[#This Row],[Date de Début]]+4,"jjjj"),2)),"")</f>
        <v/>
      </c>
      <c r="Z65" s="194" t="str">
        <f>IF(Tableau1[[#This Row],[Nb jours]]&gt;4,PROPER(LEFT(TEXT(Tableau1[[#This Row],[Date de Début]]+4,"jjjj"),2))&amp; "" &amp; PROPER(LEFT(TEXT(Tableau1[[#This Row],[Date de Début]]+5,"jjjj"),2)),"")</f>
        <v/>
      </c>
      <c r="AA65" s="195" t="str">
        <f>IF(Tableau1[[#This Row],[Nb jours]]&gt;5,PROPER(LEFT(TEXT(Tableau1[[#This Row],[Date de Début]]+5,"jjjj"),2))&amp; "" &amp; PROPER(LEFT(TEXT(Tableau1[[#This Row],[Date de Début]]+6,"jjjj"),2)),"")</f>
        <v/>
      </c>
      <c r="AB65" s="196">
        <f>Tableau1[[#This Row],[Date de Fin]]-Tableau1[[#This Row],[Date de Début]]</f>
        <v>1</v>
      </c>
      <c r="AC65" s="197" t="str">
        <f>Tableau1[[#This Row],[Nuit 1]]&amp;Tableau1[[#This Row],[Nuit 2]]&amp;Tableau1[[#This Row],[Nuit 3]]&amp;Tableau1[[#This Row],[Nuit 4]]&amp;Tableau1[[#This Row],[Nuit 5]]&amp;Tableau1[[#This Row],[Nuit 6]]</f>
        <v>MeJe</v>
      </c>
      <c r="AD65" s="198" t="s">
        <v>155</v>
      </c>
      <c r="AE65" s="199">
        <f t="shared" si="28"/>
        <v>28</v>
      </c>
      <c r="AF65" s="200">
        <f>Tableau1[[#This Row],[Date de Début]]-AE65</f>
        <v>45707</v>
      </c>
      <c r="AG65" s="201">
        <v>45705</v>
      </c>
      <c r="AH65" s="199">
        <f t="shared" si="29"/>
        <v>21</v>
      </c>
      <c r="AI65" s="255" t="str">
        <f t="shared" si="19"/>
        <v>2025-02-17</v>
      </c>
      <c r="AJ65" s="202" t="s">
        <v>89</v>
      </c>
      <c r="AK65" s="200">
        <f>Tableau1[[#This Row],[Date de Début]]-AH65</f>
        <v>45714</v>
      </c>
      <c r="AL65" s="201" t="s">
        <v>89</v>
      </c>
      <c r="AM65" s="199">
        <f t="shared" si="30"/>
        <v>21</v>
      </c>
      <c r="AN65" s="265" t="str">
        <f>IF(AL65="","",TEXT(Tableau1[[#This Row],[Date de fin de vérification]],"AAAA-MM-JJ"))</f>
        <v>Annulé</v>
      </c>
      <c r="AO65" s="203">
        <f>Tableau1[[#This Row],[Date de Début]]-AM65</f>
        <v>45714</v>
      </c>
      <c r="AP65" s="201" t="s">
        <v>89</v>
      </c>
      <c r="AQ65" s="199">
        <f t="shared" si="31"/>
        <v>14</v>
      </c>
      <c r="AR65" s="255" t="str">
        <f t="shared" si="20"/>
        <v>Annulé</v>
      </c>
      <c r="AS65" s="49">
        <f>Tableau1[[#This Row],[Date de Début]]-AQ65</f>
        <v>45721</v>
      </c>
      <c r="AT65" s="201" t="s">
        <v>89</v>
      </c>
      <c r="AU65" s="199">
        <f t="shared" si="32"/>
        <v>14</v>
      </c>
      <c r="AV65" s="255" t="str">
        <f t="shared" si="21"/>
        <v>Annulé</v>
      </c>
      <c r="AW65" s="203">
        <f>Tableau1[[#This Row],[Date de Début]]-AU65</f>
        <v>45721</v>
      </c>
      <c r="AX65" s="201" t="s">
        <v>90</v>
      </c>
      <c r="AY65" s="201" t="str">
        <f t="shared" si="22"/>
        <v>annulé</v>
      </c>
      <c r="AZ65" s="204">
        <f>IF(Tableau1[[#This Row],[Date limite de fin de rédaction]]&lt;Tableau1[[#This Row],[Date de fin de rédaction]],1,0)</f>
        <v>0</v>
      </c>
      <c r="BA65" s="204">
        <f>IF(Tableau1[[#This Row],[Date limite de fin de vérification]]&lt;Tableau1[[#This Row],[Date de fin de vérification]],1,0)</f>
        <v>1</v>
      </c>
      <c r="BB65" s="204">
        <f>IF(Tableau1[[#This Row],[Date limite d''envoi a  l''exploitation]]&lt;Tableau1[[#This Row],[Date d''envoi à  l''exploitation
(Mettre en copier le demandeur et le rédacteur)]],1,0)</f>
        <v>1</v>
      </c>
      <c r="BC65" s="204">
        <f>IF(Tableau1[[#This Row],[Date limite de réception]]&lt;Tableau1[[#This Row],[Date de réception]],1,0)</f>
        <v>1</v>
      </c>
      <c r="BD65" s="303">
        <f>IF(Tableau1[[#This Row],[Date limite limite de dépose sur la GED]]&lt;Tableau1[[#This Row],[Date de dépose sur la GED]],1,0)</f>
        <v>1</v>
      </c>
      <c r="BE65" s="301" t="s">
        <v>90</v>
      </c>
      <c r="BF65" s="251" t="s">
        <v>98</v>
      </c>
      <c r="BG65" s="302" t="s">
        <v>90</v>
      </c>
      <c r="BH65" s="299" t="s">
        <v>90</v>
      </c>
      <c r="BI65" s="204" t="s">
        <v>90</v>
      </c>
      <c r="BJ65" s="302" t="s">
        <v>90</v>
      </c>
      <c r="BK65" s="299" t="s">
        <v>90</v>
      </c>
    </row>
    <row r="66" spans="1:63" ht="39.75" customHeight="1" x14ac:dyDescent="0.25">
      <c r="A66" s="248">
        <f t="shared" si="16"/>
        <v>57</v>
      </c>
      <c r="B66" s="90" t="s">
        <v>145</v>
      </c>
      <c r="C66" s="184">
        <v>15271</v>
      </c>
      <c r="D66" s="185" t="str">
        <f>IF(Tableau1[[#This Row],[Date de Début]]=0,"Saisir date de début","S"&amp; _xlfn.ISOWEEKNUM(R66))</f>
        <v>S12</v>
      </c>
      <c r="E66" s="24" t="s">
        <v>223</v>
      </c>
      <c r="F66" s="186"/>
      <c r="G66" s="249" t="str">
        <f>"xxx-2025-"&amp;Tableau1[[#This Row],[N° de 
Ctx]]&amp;"-"&amp;Tableau1[[#This Row],[N° semaine]]&amp;"-"&amp; Tableau1[[#This Row],[Nature des travaux]]</f>
        <v>xxx-2025-57-S12-Contrat 57</v>
      </c>
      <c r="H66" s="187" t="str">
        <f>IF(Tableau1[[#This Row],[Nature des travaux]]=0,"Saisir nature des travaux",Tableau1[[#This Row],[Colonne1]])&amp;"-"&amp;Tableau1[[#This Row],[Jour]]</f>
        <v>xxx-2025-57-S12-Contrat 57-JeVe</v>
      </c>
      <c r="I66" s="188"/>
      <c r="J66" s="186"/>
      <c r="K66" s="186" t="s">
        <v>85</v>
      </c>
      <c r="L66" s="186"/>
      <c r="M66" s="189">
        <f>COUNTIF(Tableau1[[#This Row],[Secteur 1]:[Secteur 4]],"x")</f>
        <v>1</v>
      </c>
      <c r="N66" s="190" t="s">
        <v>81</v>
      </c>
      <c r="O66" s="191" t="str">
        <f>IF(Tableau1[[#This Row],[Date de Fin]]-Tableau1[[#This Row],[Date de Début]]&gt;1,"X"," ")</f>
        <v xml:space="preserve"> </v>
      </c>
      <c r="P66" s="188"/>
      <c r="Q66" s="186"/>
      <c r="R66" s="206">
        <v>45736</v>
      </c>
      <c r="S66" s="282" t="str">
        <f t="shared" si="17"/>
        <v>2025-03-20</v>
      </c>
      <c r="T66" s="193">
        <v>45737</v>
      </c>
      <c r="U66" s="288" t="str">
        <f t="shared" si="18"/>
        <v>2025-03-21</v>
      </c>
      <c r="V66" s="250" t="str">
        <f>PROPER(LEFT(TEXT(Tableau1[[#This Row],[Date de Début]],"jjjj"),2))&amp; "" &amp; PROPER(LEFT(TEXT(Tableau1[[#This Row],[Date de Début]]+1,"jjjj"),2))</f>
        <v>JeVe</v>
      </c>
      <c r="W66" s="194" t="str">
        <f>IF(Tableau1[[#This Row],[Nb jours]]&gt;1,PROPER(LEFT(TEXT(Tableau1[[#This Row],[Date de Début]]+1,"jjjj"),2))&amp; "" &amp; PROPER(LEFT(TEXT(Tableau1[[#This Row],[Date de Début]]+2,"jjjj"),2)),"")</f>
        <v/>
      </c>
      <c r="X66" s="194" t="str">
        <f>IF(Tableau1[[#This Row],[Nb jours]]&gt;2,PROPER(LEFT(TEXT(Tableau1[[#This Row],[Date de Début]]+2,"jjjj"),2))&amp; "" &amp; PROPER(LEFT(TEXT(Tableau1[[#This Row],[Date de Début]]+3,"jjjj"),2)),"")</f>
        <v/>
      </c>
      <c r="Y66" s="195" t="str">
        <f>IF(Tableau1[[#This Row],[Nb jours]]&gt;3,PROPER(LEFT(TEXT(Tableau1[[#This Row],[Date de Début]]+3,"jjjj"),2))&amp; "" &amp; PROPER(LEFT(TEXT(Tableau1[[#This Row],[Date de Début]]+4,"jjjj"),2)),"")</f>
        <v/>
      </c>
      <c r="Z66" s="194" t="str">
        <f>IF(Tableau1[[#This Row],[Nb jours]]&gt;4,PROPER(LEFT(TEXT(Tableau1[[#This Row],[Date de Début]]+4,"jjjj"),2))&amp; "" &amp; PROPER(LEFT(TEXT(Tableau1[[#This Row],[Date de Début]]+5,"jjjj"),2)),"")</f>
        <v/>
      </c>
      <c r="AA66" s="195" t="str">
        <f>IF(Tableau1[[#This Row],[Nb jours]]&gt;5,PROPER(LEFT(TEXT(Tableau1[[#This Row],[Date de Début]]+5,"jjjj"),2))&amp; "" &amp; PROPER(LEFT(TEXT(Tableau1[[#This Row],[Date de Début]]+6,"jjjj"),2)),"")</f>
        <v/>
      </c>
      <c r="AB66" s="196">
        <f>Tableau1[[#This Row],[Date de Fin]]-Tableau1[[#This Row],[Date de Début]]</f>
        <v>1</v>
      </c>
      <c r="AC66" s="197" t="str">
        <f>Tableau1[[#This Row],[Nuit 1]]&amp;Tableau1[[#This Row],[Nuit 2]]&amp;Tableau1[[#This Row],[Nuit 3]]&amp;Tableau1[[#This Row],[Nuit 4]]&amp;Tableau1[[#This Row],[Nuit 5]]&amp;Tableau1[[#This Row],[Nuit 6]]</f>
        <v>JeVe</v>
      </c>
      <c r="AD66" s="198" t="s">
        <v>155</v>
      </c>
      <c r="AE66" s="199">
        <f t="shared" si="28"/>
        <v>28</v>
      </c>
      <c r="AF66" s="200">
        <f>Tableau1[[#This Row],[Date de Début]]-AE66</f>
        <v>45708</v>
      </c>
      <c r="AG66" s="201">
        <v>45705</v>
      </c>
      <c r="AH66" s="199">
        <f t="shared" si="29"/>
        <v>21</v>
      </c>
      <c r="AI66" s="255" t="str">
        <f t="shared" si="19"/>
        <v>2025-02-17</v>
      </c>
      <c r="AJ66" s="202" t="s">
        <v>156</v>
      </c>
      <c r="AK66" s="200">
        <f>Tableau1[[#This Row],[Date de Début]]-AH66</f>
        <v>45715</v>
      </c>
      <c r="AL66" s="201" t="s">
        <v>89</v>
      </c>
      <c r="AM66" s="199">
        <f t="shared" si="30"/>
        <v>21</v>
      </c>
      <c r="AN66" s="265" t="str">
        <f>IF(AL66="","",TEXT(Tableau1[[#This Row],[Date de fin de vérification]],"AAAA-MM-JJ"))</f>
        <v>Annulé</v>
      </c>
      <c r="AO66" s="203">
        <f>Tableau1[[#This Row],[Date de Début]]-AM66</f>
        <v>45715</v>
      </c>
      <c r="AP66" s="201" t="s">
        <v>89</v>
      </c>
      <c r="AQ66" s="199">
        <f t="shared" si="31"/>
        <v>14</v>
      </c>
      <c r="AR66" s="255" t="str">
        <f t="shared" si="20"/>
        <v>Annulé</v>
      </c>
      <c r="AS66" s="203">
        <f>Tableau1[[#This Row],[Date de Début]]-AQ66</f>
        <v>45722</v>
      </c>
      <c r="AT66" s="201" t="s">
        <v>89</v>
      </c>
      <c r="AU66" s="199">
        <f t="shared" si="32"/>
        <v>14</v>
      </c>
      <c r="AV66" s="255" t="str">
        <f t="shared" si="21"/>
        <v>Annulé</v>
      </c>
      <c r="AW66" s="203">
        <f>Tableau1[[#This Row],[Date de Début]]-AU66</f>
        <v>45722</v>
      </c>
      <c r="AX66" s="201" t="s">
        <v>89</v>
      </c>
      <c r="AY66" s="201" t="str">
        <f t="shared" si="22"/>
        <v>Annulé</v>
      </c>
      <c r="AZ66" s="204">
        <f>IF(Tableau1[[#This Row],[Date limite de fin de rédaction]]&lt;Tableau1[[#This Row],[Date de fin de rédaction]],1,0)</f>
        <v>0</v>
      </c>
      <c r="BA66" s="204">
        <f>IF(Tableau1[[#This Row],[Date limite de fin de vérification]]&lt;Tableau1[[#This Row],[Date de fin de vérification]],1,0)</f>
        <v>1</v>
      </c>
      <c r="BB66" s="204">
        <f>IF(Tableau1[[#This Row],[Date limite d''envoi a  l''exploitation]]&lt;Tableau1[[#This Row],[Date d''envoi à  l''exploitation
(Mettre en copier le demandeur et le rédacteur)]],1,0)</f>
        <v>1</v>
      </c>
      <c r="BC66" s="204">
        <f>IF(Tableau1[[#This Row],[Date limite de réception]]&lt;Tableau1[[#This Row],[Date de réception]],1,0)</f>
        <v>1</v>
      </c>
      <c r="BD66" s="303">
        <f>IF(Tableau1[[#This Row],[Date limite limite de dépose sur la GED]]&lt;Tableau1[[#This Row],[Date de dépose sur la GED]],1,0)</f>
        <v>1</v>
      </c>
      <c r="BE66" s="301" t="s">
        <v>89</v>
      </c>
      <c r="BF66" s="251" t="s">
        <v>98</v>
      </c>
      <c r="BG66" s="302" t="s">
        <v>89</v>
      </c>
      <c r="BH66" s="299" t="s">
        <v>90</v>
      </c>
      <c r="BI66" s="204" t="s">
        <v>90</v>
      </c>
      <c r="BJ66" s="302" t="s">
        <v>90</v>
      </c>
      <c r="BK66" s="299" t="s">
        <v>89</v>
      </c>
    </row>
    <row r="67" spans="1:63" ht="38.25" x14ac:dyDescent="0.25">
      <c r="A67" s="248">
        <f t="shared" si="16"/>
        <v>58</v>
      </c>
      <c r="B67" s="90" t="s">
        <v>145</v>
      </c>
      <c r="C67" s="184">
        <v>15312</v>
      </c>
      <c r="D67" s="185" t="str">
        <f>IF(Tableau1[[#This Row],[Date de Début]]=0,"Saisir date de début","S"&amp; _xlfn.ISOWEEKNUM(R67))</f>
        <v>S13</v>
      </c>
      <c r="E67" s="24" t="s">
        <v>224</v>
      </c>
      <c r="F67" s="186" t="s">
        <v>100</v>
      </c>
      <c r="G67" s="159" t="str">
        <f>"xxx-2025-"&amp;Tableau1[[#This Row],[N° de 
Ctx]]&amp;"-"&amp;Tableau1[[#This Row],[N° semaine]]&amp;"-"&amp; Tableau1[[#This Row],[Nature des travaux]]</f>
        <v>xxx-2025-58-S13-Contrat 58</v>
      </c>
      <c r="H67" s="315" t="str">
        <f>IF(Tableau1[[#This Row],[Nature des travaux]]=0,"Saisir nature des travaux",Tableau1[[#This Row],[Colonne1]])&amp;"-"&amp;Tableau1[[#This Row],[Jour]]</f>
        <v>xxx-2025-58-S13-Contrat 58-LuMaMaMe</v>
      </c>
      <c r="I67" s="188"/>
      <c r="J67" s="186"/>
      <c r="K67" s="186" t="s">
        <v>85</v>
      </c>
      <c r="L67" s="186"/>
      <c r="M67" s="91">
        <f>COUNTIF(Tableau1[[#This Row],[Secteur 1]:[Secteur 4]],"x")</f>
        <v>1</v>
      </c>
      <c r="N67" s="190" t="s">
        <v>81</v>
      </c>
      <c r="O67" s="191" t="str">
        <f>IF(Tableau1[[#This Row],[Date de Fin]]-Tableau1[[#This Row],[Date de Début]]&gt;1,"X"," ")</f>
        <v>X</v>
      </c>
      <c r="P67" s="188"/>
      <c r="Q67" s="186"/>
      <c r="R67" s="206">
        <v>45740</v>
      </c>
      <c r="S67" s="280" t="str">
        <f t="shared" si="17"/>
        <v>2025-03-24</v>
      </c>
      <c r="T67" s="316">
        <v>45742</v>
      </c>
      <c r="U67" s="276" t="str">
        <f t="shared" si="18"/>
        <v>2025-03-26</v>
      </c>
      <c r="V67" s="210" t="str">
        <f>PROPER(LEFT(TEXT(Tableau1[[#This Row],[Date de Début]],"jjjj"),2))&amp; "" &amp; PROPER(LEFT(TEXT(Tableau1[[#This Row],[Date de Début]]+1,"jjjj"),2))</f>
        <v>LuMa</v>
      </c>
      <c r="W67" s="175" t="str">
        <f>IF(Tableau1[[#This Row],[Nb jours]]&gt;1,PROPER(LEFT(TEXT(Tableau1[[#This Row],[Date de Début]]+1,"jjjj"),2))&amp; "" &amp; PROPER(LEFT(TEXT(Tableau1[[#This Row],[Date de Début]]+2,"jjjj"),2)),"")</f>
        <v>MaMe</v>
      </c>
      <c r="X67" s="175" t="str">
        <f>IF(Tableau1[[#This Row],[Nb jours]]&gt;2,PROPER(LEFT(TEXT(Tableau1[[#This Row],[Date de Début]]+2,"jjjj"),2))&amp; "" &amp; PROPER(LEFT(TEXT(Tableau1[[#This Row],[Date de Début]]+3,"jjjj"),2)),"")</f>
        <v/>
      </c>
      <c r="Y67" s="176" t="str">
        <f>IF(Tableau1[[#This Row],[Nb jours]]&gt;3,PROPER(LEFT(TEXT(Tableau1[[#This Row],[Date de Début]]+3,"jjjj"),2))&amp; "" &amp; PROPER(LEFT(TEXT(Tableau1[[#This Row],[Date de Début]]+4,"jjjj"),2)),"")</f>
        <v/>
      </c>
      <c r="Z67" s="175" t="str">
        <f>IF(Tableau1[[#This Row],[Nb jours]]&gt;4,PROPER(LEFT(TEXT(Tableau1[[#This Row],[Date de Début]]+4,"jjjj"),2))&amp; "" &amp; PROPER(LEFT(TEXT(Tableau1[[#This Row],[Date de Début]]+5,"jjjj"),2)),"")</f>
        <v/>
      </c>
      <c r="AA67" s="176" t="str">
        <f>IF(Tableau1[[#This Row],[Nb jours]]&gt;5,PROPER(LEFT(TEXT(Tableau1[[#This Row],[Date de Début]]+5,"jjjj"),2))&amp; "" &amp; PROPER(LEFT(TEXT(Tableau1[[#This Row],[Date de Début]]+6,"jjjj"),2)),"")</f>
        <v/>
      </c>
      <c r="AB67" s="177">
        <f>Tableau1[[#This Row],[Date de Fin]]-Tableau1[[#This Row],[Date de Début]]</f>
        <v>2</v>
      </c>
      <c r="AC67" s="222" t="str">
        <f>Tableau1[[#This Row],[Nuit 1]]&amp;Tableau1[[#This Row],[Nuit 2]]&amp;Tableau1[[#This Row],[Nuit 3]]&amp;Tableau1[[#This Row],[Nuit 4]]&amp;Tableau1[[#This Row],[Nuit 5]]&amp;Tableau1[[#This Row],[Nuit 6]]</f>
        <v>LuMaMaMe</v>
      </c>
      <c r="AD67" s="198" t="s">
        <v>155</v>
      </c>
      <c r="AE67" s="27">
        <f t="shared" si="28"/>
        <v>28</v>
      </c>
      <c r="AF67" s="200">
        <f>Tableau1[[#This Row],[Date de Début]]-AE67</f>
        <v>45712</v>
      </c>
      <c r="AG67" s="201">
        <v>45714</v>
      </c>
      <c r="AH67" s="27">
        <f t="shared" si="29"/>
        <v>21</v>
      </c>
      <c r="AI67" s="254" t="str">
        <f t="shared" si="19"/>
        <v>2025-02-26</v>
      </c>
      <c r="AJ67" s="202" t="s">
        <v>156</v>
      </c>
      <c r="AK67" s="200">
        <f>Tableau1[[#This Row],[Date de Début]]-AH67</f>
        <v>45719</v>
      </c>
      <c r="AL67" s="201">
        <v>45720</v>
      </c>
      <c r="AM67" s="27">
        <f t="shared" si="30"/>
        <v>21</v>
      </c>
      <c r="AN67" s="264" t="str">
        <f>IF(AL67="","",TEXT(Tableau1[[#This Row],[Date de fin de vérification]],"AAAA-MM-JJ"))</f>
        <v>2025-03-04</v>
      </c>
      <c r="AO67" s="203">
        <f>Tableau1[[#This Row],[Date de Début]]-AM67</f>
        <v>45719</v>
      </c>
      <c r="AP67" s="201">
        <v>45722</v>
      </c>
      <c r="AQ67" s="27">
        <f t="shared" si="31"/>
        <v>14</v>
      </c>
      <c r="AR67" s="254" t="str">
        <f t="shared" si="20"/>
        <v>06/03/2025</v>
      </c>
      <c r="AS67" s="203">
        <f>Tableau1[[#This Row],[Date de Début]]-AQ67</f>
        <v>45726</v>
      </c>
      <c r="AT67" s="201">
        <v>45722</v>
      </c>
      <c r="AU67" s="27">
        <f t="shared" si="32"/>
        <v>14</v>
      </c>
      <c r="AV67" s="254" t="str">
        <f t="shared" si="21"/>
        <v>06-03-2025</v>
      </c>
      <c r="AW67" s="203">
        <f>Tableau1[[#This Row],[Date de Début]]-AU67</f>
        <v>45726</v>
      </c>
      <c r="AX67" s="201">
        <v>45722</v>
      </c>
      <c r="AY67" s="93" t="str">
        <f t="shared" si="22"/>
        <v>2025-03-06</v>
      </c>
      <c r="AZ67" s="28">
        <f>IF(Tableau1[[#This Row],[Date limite de fin de rédaction]]&lt;Tableau1[[#This Row],[Date de fin de rédaction]],1,0)</f>
        <v>1</v>
      </c>
      <c r="BA67" s="28">
        <f>IF(Tableau1[[#This Row],[Date limite de fin de vérification]]&lt;Tableau1[[#This Row],[Date de fin de vérification]],1,0)</f>
        <v>1</v>
      </c>
      <c r="BB67" s="28">
        <f>IF(Tableau1[[#This Row],[Date limite d''envoi a  l''exploitation]]&lt;Tableau1[[#This Row],[Date d''envoi à  l''exploitation
(Mettre en copier le demandeur et le rédacteur)]],1,0)</f>
        <v>1</v>
      </c>
      <c r="BC67" s="28">
        <f>IF(Tableau1[[#This Row],[Date limite de réception]]&lt;Tableau1[[#This Row],[Date de réception]],1,0)</f>
        <v>0</v>
      </c>
      <c r="BD67" s="53">
        <f>IF(Tableau1[[#This Row],[Date limite limite de dépose sur la GED]]&lt;Tableau1[[#This Row],[Date de dépose sur la GED]],1,0)</f>
        <v>0</v>
      </c>
      <c r="BE67" s="245"/>
      <c r="BF67" s="243" t="s">
        <v>101</v>
      </c>
      <c r="BG67" s="309"/>
      <c r="BH67" s="295"/>
      <c r="BI67" s="297"/>
      <c r="BJ67" s="300"/>
      <c r="BK67" s="242"/>
    </row>
    <row r="68" spans="1:63" x14ac:dyDescent="0.25">
      <c r="A68" s="223">
        <f t="shared" si="16"/>
        <v>59</v>
      </c>
      <c r="B68" s="90" t="s">
        <v>145</v>
      </c>
      <c r="C68" s="90"/>
      <c r="D68" s="98" t="str">
        <f>IF(Tableau1[[#This Row],[Date de Début]]=0,"Saisir date de début","S"&amp; _xlfn.ISOWEEKNUM(R68))</f>
        <v>S9</v>
      </c>
      <c r="E68" s="24" t="s">
        <v>225</v>
      </c>
      <c r="F68" s="21"/>
      <c r="G68" s="159" t="str">
        <f>"xxx-2025-"&amp;Tableau1[[#This Row],[N° de 
Ctx]]&amp;"-"&amp;Tableau1[[#This Row],[N° semaine]]&amp;"-"&amp; Tableau1[[#This Row],[Nature des travaux]]</f>
        <v>xxx-2025-59-S9-Contrat 59</v>
      </c>
      <c r="H68" s="208" t="str">
        <f>IF(Tableau1[[#This Row],[Nature des travaux]]=0,"Saisir nature des travaux",Tableau1[[#This Row],[Colonne1]])&amp;"-"&amp;Tableau1[[#This Row],[Jour]]</f>
        <v>xxx-2025-59-S9-Contrat 59-MaMe</v>
      </c>
      <c r="I68" s="20"/>
      <c r="J68" s="21"/>
      <c r="K68" s="21" t="s">
        <v>85</v>
      </c>
      <c r="L68" s="21"/>
      <c r="M68" s="91">
        <f>COUNTIF(Tableau1[[#This Row],[Secteur 1]:[Secteur 4]],"x")</f>
        <v>1</v>
      </c>
      <c r="N68" s="92" t="s">
        <v>81</v>
      </c>
      <c r="O68" s="146" t="str">
        <f>IF(Tableau1[[#This Row],[Date de Fin]]-Tableau1[[#This Row],[Date de Début]]&gt;1,"X"," ")</f>
        <v xml:space="preserve"> </v>
      </c>
      <c r="P68" s="20"/>
      <c r="Q68" s="21"/>
      <c r="R68" s="99">
        <v>45713</v>
      </c>
      <c r="S68" s="280" t="str">
        <f t="shared" si="17"/>
        <v>2025-02-25</v>
      </c>
      <c r="T68" s="209">
        <v>45714</v>
      </c>
      <c r="U68" s="276" t="str">
        <f t="shared" si="18"/>
        <v>2025-02-26</v>
      </c>
      <c r="V68" s="210" t="str">
        <f>PROPER(LEFT(TEXT(Tableau1[[#This Row],[Date de Début]],"jjjj"),2))&amp; "" &amp; PROPER(LEFT(TEXT(Tableau1[[#This Row],[Date de Début]]+1,"jjjj"),2))</f>
        <v>MaMe</v>
      </c>
      <c r="W68" s="175" t="str">
        <f>IF(Tableau1[[#This Row],[Nb jours]]&gt;1,PROPER(LEFT(TEXT(Tableau1[[#This Row],[Date de Début]]+1,"jjjj"),2))&amp; "" &amp; PROPER(LEFT(TEXT(Tableau1[[#This Row],[Date de Début]]+2,"jjjj"),2)),"")</f>
        <v/>
      </c>
      <c r="X68" s="175" t="str">
        <f>IF(Tableau1[[#This Row],[Nb jours]]&gt;2,PROPER(LEFT(TEXT(Tableau1[[#This Row],[Date de Début]]+2,"jjjj"),2))&amp; "" &amp; PROPER(LEFT(TEXT(Tableau1[[#This Row],[Date de Début]]+3,"jjjj"),2)),"")</f>
        <v/>
      </c>
      <c r="Y68" s="176" t="str">
        <f>IF(Tableau1[[#This Row],[Nb jours]]&gt;3,PROPER(LEFT(TEXT(Tableau1[[#This Row],[Date de Début]]+3,"jjjj"),2))&amp; "" &amp; PROPER(LEFT(TEXT(Tableau1[[#This Row],[Date de Début]]+4,"jjjj"),2)),"")</f>
        <v/>
      </c>
      <c r="Z68" s="175" t="str">
        <f>IF(Tableau1[[#This Row],[Nb jours]]&gt;4,PROPER(LEFT(TEXT(Tableau1[[#This Row],[Date de Début]]+4,"jjjj"),2))&amp; "" &amp; PROPER(LEFT(TEXT(Tableau1[[#This Row],[Date de Début]]+5,"jjjj"),2)),"")</f>
        <v/>
      </c>
      <c r="AA68" s="176" t="str">
        <f>IF(Tableau1[[#This Row],[Nb jours]]&gt;5,PROPER(LEFT(TEXT(Tableau1[[#This Row],[Date de Début]]+5,"jjjj"),2))&amp; "" &amp; PROPER(LEFT(TEXT(Tableau1[[#This Row],[Date de Début]]+6,"jjjj"),2)),"")</f>
        <v/>
      </c>
      <c r="AB68" s="175">
        <f>Tableau1[[#This Row],[Date de Fin]]-Tableau1[[#This Row],[Date de Début]]</f>
        <v>1</v>
      </c>
      <c r="AC68" s="292" t="str">
        <f>Tableau1[[#This Row],[Nuit 1]]&amp;Tableau1[[#This Row],[Nuit 2]]&amp;Tableau1[[#This Row],[Nuit 3]]&amp;Tableau1[[#This Row],[Nuit 4]]&amp;Tableau1[[#This Row],[Nuit 5]]&amp;Tableau1[[#This Row],[Nuit 6]]</f>
        <v>MaMe</v>
      </c>
      <c r="AD68" s="42" t="s">
        <v>155</v>
      </c>
      <c r="AE68" s="27">
        <f t="shared" si="28"/>
        <v>28</v>
      </c>
      <c r="AF68" s="31">
        <f>Tableau1[[#This Row],[Date de Début]]-AE68</f>
        <v>45685</v>
      </c>
      <c r="AG68" s="93">
        <v>45714</v>
      </c>
      <c r="AH68" s="27">
        <f t="shared" si="29"/>
        <v>21</v>
      </c>
      <c r="AI68" s="254" t="str">
        <f t="shared" si="19"/>
        <v>2025-02-26</v>
      </c>
      <c r="AJ68" s="45" t="s">
        <v>156</v>
      </c>
      <c r="AK68" s="31">
        <f>Tableau1[[#This Row],[Date de Début]]-AH68</f>
        <v>45692</v>
      </c>
      <c r="AL68" s="99">
        <v>45713</v>
      </c>
      <c r="AM68" s="27">
        <f t="shared" si="30"/>
        <v>21</v>
      </c>
      <c r="AN68" s="264" t="str">
        <f>IF(AL68="","",TEXT(Tableau1[[#This Row],[Date de fin de vérification]],"AAAA-MM-JJ"))</f>
        <v>2025-02-25</v>
      </c>
      <c r="AO68" s="49">
        <f>Tableau1[[#This Row],[Date de Début]]-AM68</f>
        <v>45692</v>
      </c>
      <c r="AP68" s="99">
        <v>45713</v>
      </c>
      <c r="AQ68" s="27">
        <f t="shared" si="31"/>
        <v>14</v>
      </c>
      <c r="AR68" s="254" t="str">
        <f t="shared" si="20"/>
        <v>25/02/2025</v>
      </c>
      <c r="AS68" s="49">
        <f>Tableau1[[#This Row],[Date de Début]]-AQ68</f>
        <v>45699</v>
      </c>
      <c r="AT68" s="99">
        <v>45713</v>
      </c>
      <c r="AU68" s="27">
        <f t="shared" si="32"/>
        <v>14</v>
      </c>
      <c r="AV68" s="254" t="str">
        <f t="shared" si="21"/>
        <v>25-02-2025</v>
      </c>
      <c r="AW68" s="49">
        <f>Tableau1[[#This Row],[Date de Début]]-AU68</f>
        <v>45699</v>
      </c>
      <c r="AX68" s="99">
        <v>45713</v>
      </c>
      <c r="AY68" s="93" t="str">
        <f t="shared" si="22"/>
        <v>2025-02-25</v>
      </c>
      <c r="AZ68" s="28">
        <f>IF(Tableau1[[#This Row],[Date limite de fin de rédaction]]&lt;Tableau1[[#This Row],[Date de fin de rédaction]],1,0)</f>
        <v>1</v>
      </c>
      <c r="BA68" s="28">
        <f>IF(Tableau1[[#This Row],[Date limite de fin de vérification]]&lt;Tableau1[[#This Row],[Date de fin de vérification]],1,0)</f>
        <v>1</v>
      </c>
      <c r="BB68" s="28">
        <f>IF(Tableau1[[#This Row],[Date limite d''envoi a  l''exploitation]]&lt;Tableau1[[#This Row],[Date d''envoi à  l''exploitation
(Mettre en copier le demandeur et le rédacteur)]],1,0)</f>
        <v>1</v>
      </c>
      <c r="BC68" s="28">
        <f>IF(Tableau1[[#This Row],[Date limite de réception]]&lt;Tableau1[[#This Row],[Date de réception]],1,0)</f>
        <v>1</v>
      </c>
      <c r="BD68" s="53">
        <f>IF(Tableau1[[#This Row],[Date limite limite de dépose sur la GED]]&lt;Tableau1[[#This Row],[Date de dépose sur la GED]],1,0)</f>
        <v>1</v>
      </c>
      <c r="BE68" s="245"/>
      <c r="BF68" s="243"/>
      <c r="BG68" s="309"/>
      <c r="BH68" s="295"/>
      <c r="BI68" s="297"/>
      <c r="BJ68" s="300"/>
      <c r="BK68" s="242"/>
    </row>
    <row r="69" spans="1:63" x14ac:dyDescent="0.25">
      <c r="A69" s="223">
        <f t="shared" si="16"/>
        <v>60</v>
      </c>
      <c r="B69" s="90" t="s">
        <v>152</v>
      </c>
      <c r="C69" s="90">
        <v>15136</v>
      </c>
      <c r="D69" s="98" t="s">
        <v>102</v>
      </c>
      <c r="E69" s="24" t="s">
        <v>226</v>
      </c>
      <c r="F69" s="21" t="s">
        <v>103</v>
      </c>
      <c r="G69" s="159" t="str">
        <f>"xxx-2025-"&amp;Tableau1[[#This Row],[N° de 
Ctx]]&amp;"-"&amp;Tableau1[[#This Row],[N° semaine]]&amp;"-"&amp; Tableau1[[#This Row],[Nature des travaux]]</f>
        <v>xxx-2025-60-S12-Contrat 60</v>
      </c>
      <c r="H69" s="208" t="str">
        <f>IF(Tableau1[[#This Row],[Nature des travaux]]=0,"Saisir nature des travaux",Tableau1[[#This Row],[Colonne1]])&amp;"-"&amp;Tableau1[[#This Row],[Jour]]</f>
        <v>xxx-2025-60-S12-Contrat 60-LuMa</v>
      </c>
      <c r="I69" s="20"/>
      <c r="J69" s="21"/>
      <c r="K69" s="21"/>
      <c r="L69" s="21" t="s">
        <v>79</v>
      </c>
      <c r="M69" s="91">
        <f>COUNTIF(Tableau1[[#This Row],[Secteur 1]:[Secteur 4]],"x")</f>
        <v>1</v>
      </c>
      <c r="N69" s="92" t="s">
        <v>92</v>
      </c>
      <c r="O69" s="92" t="str">
        <f>IF(Tableau1[[#This Row],[Date de Fin]]-Tableau1[[#This Row],[Date de Début]]&gt;1,"X"," ")</f>
        <v xml:space="preserve"> </v>
      </c>
      <c r="P69" s="20"/>
      <c r="Q69" s="21"/>
      <c r="R69" s="99">
        <v>45733</v>
      </c>
      <c r="S69" s="280" t="str">
        <f t="shared" si="17"/>
        <v>2025-03-17</v>
      </c>
      <c r="T69" s="209">
        <v>45734</v>
      </c>
      <c r="U69" s="280" t="str">
        <f t="shared" si="18"/>
        <v>2025-03-18</v>
      </c>
      <c r="V69" s="176" t="str">
        <f>PROPER(LEFT(TEXT(Tableau1[[#This Row],[Date de Début]],"jjjj"),2))&amp; "" &amp; PROPER(LEFT(TEXT(Tableau1[[#This Row],[Date de Début]]+1,"jjjj"),2))</f>
        <v>LuMa</v>
      </c>
      <c r="W69" s="175" t="str">
        <f>IF(Tableau1[[#This Row],[Nb jours]]&gt;1,PROPER(LEFT(TEXT(Tableau1[[#This Row],[Date de Début]]+1,"jjjj"),2))&amp; "" &amp; PROPER(LEFT(TEXT(Tableau1[[#This Row],[Date de Début]]+2,"jjjj"),2)),"")</f>
        <v/>
      </c>
      <c r="X69" s="175" t="str">
        <f>IF(Tableau1[[#This Row],[Nb jours]]&gt;2,PROPER(LEFT(TEXT(Tableau1[[#This Row],[Date de Début]]+2,"jjjj"),2))&amp; "" &amp; PROPER(LEFT(TEXT(Tableau1[[#This Row],[Date de Début]]+3,"jjjj"),2)),"")</f>
        <v/>
      </c>
      <c r="Y69" s="176" t="str">
        <f>IF(Tableau1[[#This Row],[Nb jours]]&gt;3,PROPER(LEFT(TEXT(Tableau1[[#This Row],[Date de Début]]+3,"jjjj"),2))&amp; "" &amp; PROPER(LEFT(TEXT(Tableau1[[#This Row],[Date de Début]]+4,"jjjj"),2)),"")</f>
        <v/>
      </c>
      <c r="Z69" s="175" t="str">
        <f>IF(Tableau1[[#This Row],[Nb jours]]&gt;4,PROPER(LEFT(TEXT(Tableau1[[#This Row],[Date de Début]]+4,"jjjj"),2))&amp; "" &amp; PROPER(LEFT(TEXT(Tableau1[[#This Row],[Date de Début]]+5,"jjjj"),2)),"")</f>
        <v/>
      </c>
      <c r="AA69" s="176" t="str">
        <f>IF(Tableau1[[#This Row],[Nb jours]]&gt;5,PROPER(LEFT(TEXT(Tableau1[[#This Row],[Date de Début]]+5,"jjjj"),2))&amp; "" &amp; PROPER(LEFT(TEXT(Tableau1[[#This Row],[Date de Début]]+6,"jjjj"),2)),"")</f>
        <v/>
      </c>
      <c r="AB69" s="177">
        <f>Tableau1[[#This Row],[Date de Fin]]-Tableau1[[#This Row],[Date de Début]]</f>
        <v>1</v>
      </c>
      <c r="AC69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69" s="42" t="s">
        <v>143</v>
      </c>
      <c r="AE69" s="27">
        <f t="shared" ref="AE69:AE84" si="33">Tolérances_1</f>
        <v>28</v>
      </c>
      <c r="AF69" s="31">
        <f>Tableau1[[#This Row],[Date de Début]]-AE69</f>
        <v>45705</v>
      </c>
      <c r="AG69" s="93">
        <v>45713</v>
      </c>
      <c r="AH69" s="27">
        <f t="shared" ref="AH69:AH84" si="34">Tolérances_2</f>
        <v>21</v>
      </c>
      <c r="AI69" s="254" t="str">
        <f t="shared" si="19"/>
        <v>2025-02-25</v>
      </c>
      <c r="AJ69" s="45" t="s">
        <v>155</v>
      </c>
      <c r="AK69" s="31">
        <f>Tableau1[[#This Row],[Date de Début]]-AH69</f>
        <v>45712</v>
      </c>
      <c r="AL69" s="93">
        <v>45714</v>
      </c>
      <c r="AM69" s="27">
        <f t="shared" ref="AM69:AM84" si="35">Tolérances_3</f>
        <v>21</v>
      </c>
      <c r="AN69" s="264" t="str">
        <f>IF(AL69="","",TEXT(Tableau1[[#This Row],[Date de fin de vérification]],"AAAA-MM-JJ"))</f>
        <v>2025-02-26</v>
      </c>
      <c r="AO69" s="49">
        <f>Tableau1[[#This Row],[Date de Début]]-AM69</f>
        <v>45712</v>
      </c>
      <c r="AP69" s="93">
        <v>45714</v>
      </c>
      <c r="AQ69" s="27">
        <f t="shared" ref="AQ69:AQ84" si="36">Tolérances_4</f>
        <v>14</v>
      </c>
      <c r="AR69" s="254" t="str">
        <f t="shared" si="20"/>
        <v>26/02/2025</v>
      </c>
      <c r="AS69" s="49">
        <f>Tableau1[[#This Row],[Date de Début]]-AQ69</f>
        <v>45719</v>
      </c>
      <c r="AT69" s="93">
        <v>45715</v>
      </c>
      <c r="AU69" s="27">
        <f t="shared" ref="AU69:AU84" si="37">Tolérances_5</f>
        <v>14</v>
      </c>
      <c r="AV69" s="254" t="str">
        <f t="shared" si="21"/>
        <v>27-02-2025</v>
      </c>
      <c r="AW69" s="49">
        <f>Tableau1[[#This Row],[Date de Début]]-AU69</f>
        <v>45719</v>
      </c>
      <c r="AX69" s="217">
        <v>45716</v>
      </c>
      <c r="AY69" s="93" t="str">
        <f t="shared" si="22"/>
        <v>2025-02-28</v>
      </c>
      <c r="AZ69" s="28">
        <f>IF(Tableau1[[#This Row],[Date limite de fin de rédaction]]&lt;Tableau1[[#This Row],[Date de fin de rédaction]],1,0)</f>
        <v>1</v>
      </c>
      <c r="BA69" s="28">
        <f>IF(Tableau1[[#This Row],[Date limite de fin de vérification]]&lt;Tableau1[[#This Row],[Date de fin de vérification]],1,0)</f>
        <v>1</v>
      </c>
      <c r="BB69" s="28">
        <f>IF(Tableau1[[#This Row],[Date limite d''envoi a  l''exploitation]]&lt;Tableau1[[#This Row],[Date d''envoi à  l''exploitation
(Mettre en copier le demandeur et le rédacteur)]],1,0)</f>
        <v>1</v>
      </c>
      <c r="BC69" s="28">
        <f>IF(Tableau1[[#This Row],[Date limite de réception]]&lt;Tableau1[[#This Row],[Date de réception]],1,0)</f>
        <v>0</v>
      </c>
      <c r="BD69" s="53">
        <f>IF(Tableau1[[#This Row],[Date limite limite de dépose sur la GED]]&lt;Tableau1[[#This Row],[Date de dépose sur la GED]],1,0)</f>
        <v>0</v>
      </c>
      <c r="BE69" s="245"/>
      <c r="BF69" s="243"/>
      <c r="BG69" s="309"/>
      <c r="BH69" s="295"/>
      <c r="BI69" s="297"/>
      <c r="BJ69" s="300"/>
      <c r="BK69" s="242"/>
    </row>
    <row r="70" spans="1:63" x14ac:dyDescent="0.25">
      <c r="A70" s="223">
        <f t="shared" si="16"/>
        <v>61</v>
      </c>
      <c r="B70" s="90" t="s">
        <v>152</v>
      </c>
      <c r="C70" s="90">
        <v>15136</v>
      </c>
      <c r="D70" s="98" t="s">
        <v>102</v>
      </c>
      <c r="E70" s="24" t="s">
        <v>227</v>
      </c>
      <c r="F70" s="21" t="s">
        <v>103</v>
      </c>
      <c r="G70" s="159" t="str">
        <f>"xxx-2025-"&amp;Tableau1[[#This Row],[N° de 
Ctx]]&amp;"-"&amp;Tableau1[[#This Row],[N° semaine]]&amp;"-"&amp; Tableau1[[#This Row],[Nature des travaux]]</f>
        <v>xxx-2025-61-S12-Contrat 61</v>
      </c>
      <c r="H70" s="208" t="str">
        <f>IF(Tableau1[[#This Row],[Nature des travaux]]=0,"Saisir nature des travaux",Tableau1[[#This Row],[Colonne1]])&amp;"-"&amp;Tableau1[[#This Row],[Jour]]</f>
        <v>xxx-2025-61-S12-Contrat 61-MaMe</v>
      </c>
      <c r="I70" s="20"/>
      <c r="J70" s="21"/>
      <c r="K70" s="21"/>
      <c r="L70" s="21" t="s">
        <v>79</v>
      </c>
      <c r="M70" s="91">
        <f>COUNTIF(Tableau1[[#This Row],[Secteur 1]:[Secteur 4]],"x")</f>
        <v>1</v>
      </c>
      <c r="N70" s="92" t="s">
        <v>92</v>
      </c>
      <c r="O70" s="92" t="str">
        <f>IF(Tableau1[[#This Row],[Date de Fin]]-Tableau1[[#This Row],[Date de Début]]&gt;1,"X"," ")</f>
        <v xml:space="preserve"> </v>
      </c>
      <c r="P70" s="20"/>
      <c r="Q70" s="21"/>
      <c r="R70" s="99">
        <v>45734</v>
      </c>
      <c r="S70" s="280" t="str">
        <f t="shared" si="17"/>
        <v>2025-03-18</v>
      </c>
      <c r="T70" s="209">
        <v>45735</v>
      </c>
      <c r="U70" s="280" t="str">
        <f t="shared" si="18"/>
        <v>2025-03-19</v>
      </c>
      <c r="V70" s="176" t="str">
        <f>PROPER(LEFT(TEXT(Tableau1[[#This Row],[Date de Début]],"jjjj"),2))&amp; "" &amp; PROPER(LEFT(TEXT(Tableau1[[#This Row],[Date de Début]]+1,"jjjj"),2))</f>
        <v>MaMe</v>
      </c>
      <c r="W70" s="175" t="str">
        <f>IF(Tableau1[[#This Row],[Nb jours]]&gt;1,PROPER(LEFT(TEXT(Tableau1[[#This Row],[Date de Début]]+1,"jjjj"),2))&amp; "" &amp; PROPER(LEFT(TEXT(Tableau1[[#This Row],[Date de Début]]+2,"jjjj"),2)),"")</f>
        <v/>
      </c>
      <c r="X70" s="175" t="str">
        <f>IF(Tableau1[[#This Row],[Nb jours]]&gt;2,PROPER(LEFT(TEXT(Tableau1[[#This Row],[Date de Début]]+2,"jjjj"),2))&amp; "" &amp; PROPER(LEFT(TEXT(Tableau1[[#This Row],[Date de Début]]+3,"jjjj"),2)),"")</f>
        <v/>
      </c>
      <c r="Y70" s="176" t="str">
        <f>IF(Tableau1[[#This Row],[Nb jours]]&gt;3,PROPER(LEFT(TEXT(Tableau1[[#This Row],[Date de Début]]+3,"jjjj"),2))&amp; "" &amp; PROPER(LEFT(TEXT(Tableau1[[#This Row],[Date de Début]]+4,"jjjj"),2)),"")</f>
        <v/>
      </c>
      <c r="Z70" s="175" t="str">
        <f>IF(Tableau1[[#This Row],[Nb jours]]&gt;4,PROPER(LEFT(TEXT(Tableau1[[#This Row],[Date de Début]]+4,"jjjj"),2))&amp; "" &amp; PROPER(LEFT(TEXT(Tableau1[[#This Row],[Date de Début]]+5,"jjjj"),2)),"")</f>
        <v/>
      </c>
      <c r="AA70" s="176" t="str">
        <f>IF(Tableau1[[#This Row],[Nb jours]]&gt;5,PROPER(LEFT(TEXT(Tableau1[[#This Row],[Date de Début]]+5,"jjjj"),2))&amp; "" &amp; PROPER(LEFT(TEXT(Tableau1[[#This Row],[Date de Début]]+6,"jjjj"),2)),"")</f>
        <v/>
      </c>
      <c r="AB70" s="177">
        <f>Tableau1[[#This Row],[Date de Fin]]-Tableau1[[#This Row],[Date de Début]]</f>
        <v>1</v>
      </c>
      <c r="AC70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70" s="42" t="s">
        <v>143</v>
      </c>
      <c r="AE70" s="27">
        <f t="shared" si="33"/>
        <v>28</v>
      </c>
      <c r="AF70" s="31">
        <f>Tableau1[[#This Row],[Date de Début]]-AE70</f>
        <v>45706</v>
      </c>
      <c r="AG70" s="93">
        <v>45713</v>
      </c>
      <c r="AH70" s="27">
        <f t="shared" si="34"/>
        <v>21</v>
      </c>
      <c r="AI70" s="254" t="str">
        <f t="shared" si="19"/>
        <v>2025-02-25</v>
      </c>
      <c r="AJ70" s="45" t="s">
        <v>155</v>
      </c>
      <c r="AK70" s="31">
        <f>Tableau1[[#This Row],[Date de Début]]-AH70</f>
        <v>45713</v>
      </c>
      <c r="AL70" s="93">
        <v>45714</v>
      </c>
      <c r="AM70" s="27">
        <f t="shared" si="35"/>
        <v>21</v>
      </c>
      <c r="AN70" s="264" t="str">
        <f>IF(AL70="","",TEXT(Tableau1[[#This Row],[Date de fin de vérification]],"AAAA-MM-JJ"))</f>
        <v>2025-02-26</v>
      </c>
      <c r="AO70" s="49">
        <f>Tableau1[[#This Row],[Date de Début]]-AM70</f>
        <v>45713</v>
      </c>
      <c r="AP70" s="93">
        <v>45714</v>
      </c>
      <c r="AQ70" s="27">
        <f t="shared" si="36"/>
        <v>14</v>
      </c>
      <c r="AR70" s="254" t="str">
        <f t="shared" si="20"/>
        <v>26/02/2025</v>
      </c>
      <c r="AS70" s="49">
        <f>Tableau1[[#This Row],[Date de Début]]-AQ70</f>
        <v>45720</v>
      </c>
      <c r="AT70" s="93">
        <v>45715</v>
      </c>
      <c r="AU70" s="27">
        <f t="shared" si="37"/>
        <v>14</v>
      </c>
      <c r="AV70" s="254" t="str">
        <f t="shared" si="21"/>
        <v>27-02-2025</v>
      </c>
      <c r="AW70" s="49">
        <f>Tableau1[[#This Row],[Date de Début]]-AU70</f>
        <v>45720</v>
      </c>
      <c r="AX70" s="217">
        <v>45716</v>
      </c>
      <c r="AY70" s="93" t="str">
        <f t="shared" si="22"/>
        <v>2025-02-28</v>
      </c>
      <c r="AZ70" s="28">
        <f>IF(Tableau1[[#This Row],[Date limite de fin de rédaction]]&lt;Tableau1[[#This Row],[Date de fin de rédaction]],1,0)</f>
        <v>1</v>
      </c>
      <c r="BA70" s="28">
        <f>IF(Tableau1[[#This Row],[Date limite de fin de vérification]]&lt;Tableau1[[#This Row],[Date de fin de vérification]],1,0)</f>
        <v>1</v>
      </c>
      <c r="BB70" s="28">
        <f>IF(Tableau1[[#This Row],[Date limite d''envoi a  l''exploitation]]&lt;Tableau1[[#This Row],[Date d''envoi à  l''exploitation
(Mettre en copier le demandeur et le rédacteur)]],1,0)</f>
        <v>1</v>
      </c>
      <c r="BC70" s="28">
        <f>IF(Tableau1[[#This Row],[Date limite de réception]]&lt;Tableau1[[#This Row],[Date de réception]],1,0)</f>
        <v>0</v>
      </c>
      <c r="BD70" s="53">
        <f>IF(Tableau1[[#This Row],[Date limite limite de dépose sur la GED]]&lt;Tableau1[[#This Row],[Date de dépose sur la GED]],1,0)</f>
        <v>0</v>
      </c>
      <c r="BE70" s="245"/>
      <c r="BF70" s="243"/>
      <c r="BG70" s="309"/>
      <c r="BH70" s="295"/>
      <c r="BI70" s="297"/>
      <c r="BJ70" s="300"/>
      <c r="BK70" s="242"/>
    </row>
    <row r="71" spans="1:63" x14ac:dyDescent="0.25">
      <c r="A71" s="223">
        <f t="shared" si="16"/>
        <v>62</v>
      </c>
      <c r="B71" s="90" t="s">
        <v>152</v>
      </c>
      <c r="C71" s="90">
        <v>15136</v>
      </c>
      <c r="D71" s="98" t="s">
        <v>102</v>
      </c>
      <c r="E71" s="24" t="s">
        <v>228</v>
      </c>
      <c r="F71" s="21" t="s">
        <v>103</v>
      </c>
      <c r="G71" s="159" t="str">
        <f>"xxx-2025-"&amp;Tableau1[[#This Row],[N° de 
Ctx]]&amp;"-"&amp;Tableau1[[#This Row],[N° semaine]]&amp;"-"&amp; Tableau1[[#This Row],[Nature des travaux]]</f>
        <v>xxx-2025-62-S12-Contrat 62</v>
      </c>
      <c r="H71" s="208" t="str">
        <f>IF(Tableau1[[#This Row],[Nature des travaux]]=0,"Saisir nature des travaux",Tableau1[[#This Row],[Colonne1]])&amp;"-"&amp;Tableau1[[#This Row],[Jour]]</f>
        <v>xxx-2025-62-S12-Contrat 62-MeJe</v>
      </c>
      <c r="I71" s="20"/>
      <c r="J71" s="21"/>
      <c r="K71" s="21"/>
      <c r="L71" s="21" t="s">
        <v>79</v>
      </c>
      <c r="M71" s="91">
        <f>COUNTIF(Tableau1[[#This Row],[Secteur 1]:[Secteur 4]],"x")</f>
        <v>1</v>
      </c>
      <c r="N71" s="92" t="s">
        <v>92</v>
      </c>
      <c r="O71" s="92" t="str">
        <f>IF(Tableau1[[#This Row],[Date de Fin]]-Tableau1[[#This Row],[Date de Début]]&gt;1,"X"," ")</f>
        <v xml:space="preserve"> </v>
      </c>
      <c r="P71" s="20"/>
      <c r="Q71" s="21"/>
      <c r="R71" s="99">
        <v>45735</v>
      </c>
      <c r="S71" s="280" t="str">
        <f t="shared" si="17"/>
        <v>2025-03-19</v>
      </c>
      <c r="T71" s="209">
        <v>45736</v>
      </c>
      <c r="U71" s="280" t="str">
        <f t="shared" si="18"/>
        <v>2025-03-20</v>
      </c>
      <c r="V71" s="176" t="str">
        <f>PROPER(LEFT(TEXT(Tableau1[[#This Row],[Date de Début]],"jjjj"),2))&amp; "" &amp; PROPER(LEFT(TEXT(Tableau1[[#This Row],[Date de Début]]+1,"jjjj"),2))</f>
        <v>MeJe</v>
      </c>
      <c r="W71" s="175" t="str">
        <f>IF(Tableau1[[#This Row],[Nb jours]]&gt;1,PROPER(LEFT(TEXT(Tableau1[[#This Row],[Date de Début]]+1,"jjjj"),2))&amp; "" &amp; PROPER(LEFT(TEXT(Tableau1[[#This Row],[Date de Début]]+2,"jjjj"),2)),"")</f>
        <v/>
      </c>
      <c r="X71" s="175" t="str">
        <f>IF(Tableau1[[#This Row],[Nb jours]]&gt;2,PROPER(LEFT(TEXT(Tableau1[[#This Row],[Date de Début]]+2,"jjjj"),2))&amp; "" &amp; PROPER(LEFT(TEXT(Tableau1[[#This Row],[Date de Début]]+3,"jjjj"),2)),"")</f>
        <v/>
      </c>
      <c r="Y71" s="176" t="str">
        <f>IF(Tableau1[[#This Row],[Nb jours]]&gt;3,PROPER(LEFT(TEXT(Tableau1[[#This Row],[Date de Début]]+3,"jjjj"),2))&amp; "" &amp; PROPER(LEFT(TEXT(Tableau1[[#This Row],[Date de Début]]+4,"jjjj"),2)),"")</f>
        <v/>
      </c>
      <c r="Z71" s="175" t="str">
        <f>IF(Tableau1[[#This Row],[Nb jours]]&gt;4,PROPER(LEFT(TEXT(Tableau1[[#This Row],[Date de Début]]+4,"jjjj"),2))&amp; "" &amp; PROPER(LEFT(TEXT(Tableau1[[#This Row],[Date de Début]]+5,"jjjj"),2)),"")</f>
        <v/>
      </c>
      <c r="AA71" s="176" t="str">
        <f>IF(Tableau1[[#This Row],[Nb jours]]&gt;5,PROPER(LEFT(TEXT(Tableau1[[#This Row],[Date de Début]]+5,"jjjj"),2))&amp; "" &amp; PROPER(LEFT(TEXT(Tableau1[[#This Row],[Date de Début]]+6,"jjjj"),2)),"")</f>
        <v/>
      </c>
      <c r="AB71" s="177">
        <f>Tableau1[[#This Row],[Date de Fin]]-Tableau1[[#This Row],[Date de Début]]</f>
        <v>1</v>
      </c>
      <c r="AC71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71" s="42" t="s">
        <v>143</v>
      </c>
      <c r="AE71" s="27">
        <f t="shared" si="33"/>
        <v>28</v>
      </c>
      <c r="AF71" s="31">
        <f>Tableau1[[#This Row],[Date de Début]]-AE71</f>
        <v>45707</v>
      </c>
      <c r="AG71" s="93">
        <v>45713</v>
      </c>
      <c r="AH71" s="27">
        <f t="shared" si="34"/>
        <v>21</v>
      </c>
      <c r="AI71" s="254" t="str">
        <f t="shared" si="19"/>
        <v>2025-02-25</v>
      </c>
      <c r="AJ71" s="45" t="s">
        <v>155</v>
      </c>
      <c r="AK71" s="31">
        <f>Tableau1[[#This Row],[Date de Début]]-AH71</f>
        <v>45714</v>
      </c>
      <c r="AL71" s="93">
        <v>45714</v>
      </c>
      <c r="AM71" s="27">
        <f t="shared" si="35"/>
        <v>21</v>
      </c>
      <c r="AN71" s="264" t="str">
        <f>IF(AL71="","",TEXT(Tableau1[[#This Row],[Date de fin de vérification]],"AAAA-MM-JJ"))</f>
        <v>2025-02-26</v>
      </c>
      <c r="AO71" s="49">
        <f>Tableau1[[#This Row],[Date de Début]]-AM71</f>
        <v>45714</v>
      </c>
      <c r="AP71" s="93">
        <v>45714</v>
      </c>
      <c r="AQ71" s="27">
        <f t="shared" si="36"/>
        <v>14</v>
      </c>
      <c r="AR71" s="254" t="str">
        <f t="shared" si="20"/>
        <v>26/02/2025</v>
      </c>
      <c r="AS71" s="49">
        <f>Tableau1[[#This Row],[Date de Début]]-AQ71</f>
        <v>45721</v>
      </c>
      <c r="AT71" s="93">
        <v>45715</v>
      </c>
      <c r="AU71" s="27">
        <f t="shared" si="37"/>
        <v>14</v>
      </c>
      <c r="AV71" s="254" t="str">
        <f t="shared" si="21"/>
        <v>27-02-2025</v>
      </c>
      <c r="AW71" s="49">
        <f>Tableau1[[#This Row],[Date de Début]]-AU71</f>
        <v>45721</v>
      </c>
      <c r="AX71" s="217">
        <v>45716</v>
      </c>
      <c r="AY71" s="93" t="str">
        <f t="shared" si="22"/>
        <v>2025-02-28</v>
      </c>
      <c r="AZ71" s="28">
        <f>IF(Tableau1[[#This Row],[Date limite de fin de rédaction]]&lt;Tableau1[[#This Row],[Date de fin de rédaction]],1,0)</f>
        <v>1</v>
      </c>
      <c r="BA71" s="28">
        <f>IF(Tableau1[[#This Row],[Date limite de fin de vérification]]&lt;Tableau1[[#This Row],[Date de fin de vérification]],1,0)</f>
        <v>0</v>
      </c>
      <c r="BB71" s="28">
        <f>IF(Tableau1[[#This Row],[Date limite d''envoi a  l''exploitation]]&lt;Tableau1[[#This Row],[Date d''envoi à  l''exploitation
(Mettre en copier le demandeur et le rédacteur)]],1,0)</f>
        <v>0</v>
      </c>
      <c r="BC71" s="28">
        <f>IF(Tableau1[[#This Row],[Date limite de réception]]&lt;Tableau1[[#This Row],[Date de réception]],1,0)</f>
        <v>0</v>
      </c>
      <c r="BD71" s="53">
        <f>IF(Tableau1[[#This Row],[Date limite limite de dépose sur la GED]]&lt;Tableau1[[#This Row],[Date de dépose sur la GED]],1,0)</f>
        <v>0</v>
      </c>
      <c r="BE71" s="245"/>
      <c r="BF71" s="243"/>
      <c r="BG71" s="309"/>
      <c r="BH71" s="295"/>
      <c r="BI71" s="297"/>
      <c r="BJ71" s="300"/>
      <c r="BK71" s="242"/>
    </row>
    <row r="72" spans="1:63" x14ac:dyDescent="0.25">
      <c r="A72" s="223">
        <f t="shared" si="16"/>
        <v>63</v>
      </c>
      <c r="B72" s="90" t="s">
        <v>152</v>
      </c>
      <c r="C72" s="90">
        <v>15137</v>
      </c>
      <c r="D72" s="98" t="s">
        <v>102</v>
      </c>
      <c r="E72" s="24" t="s">
        <v>229</v>
      </c>
      <c r="F72" s="21" t="s">
        <v>103</v>
      </c>
      <c r="G72" s="159" t="str">
        <f>"xxx-2025-"&amp;Tableau1[[#This Row],[N° de 
Ctx]]&amp;"-"&amp;Tableau1[[#This Row],[N° semaine]]&amp;"-"&amp; Tableau1[[#This Row],[Nature des travaux]]</f>
        <v>xxx-2025-63-S12-Contrat 63</v>
      </c>
      <c r="H72" s="208" t="str">
        <f>IF(Tableau1[[#This Row],[Nature des travaux]]=0,"Saisir nature des travaux",Tableau1[[#This Row],[Colonne1]])&amp;"-"&amp;Tableau1[[#This Row],[Jour]]</f>
        <v>xxx-2025-63-S12-Contrat 63-JeVe</v>
      </c>
      <c r="I72" s="20"/>
      <c r="J72" s="21"/>
      <c r="K72" s="21"/>
      <c r="L72" s="21" t="s">
        <v>79</v>
      </c>
      <c r="M72" s="91">
        <f>COUNTIF(Tableau1[[#This Row],[Secteur 1]:[Secteur 4]],"x")</f>
        <v>1</v>
      </c>
      <c r="N72" s="92" t="s">
        <v>92</v>
      </c>
      <c r="O72" s="92" t="str">
        <f>IF(Tableau1[[#This Row],[Date de Fin]]-Tableau1[[#This Row],[Date de Début]]&gt;1,"X"," ")</f>
        <v xml:space="preserve"> </v>
      </c>
      <c r="P72" s="20"/>
      <c r="Q72" s="21"/>
      <c r="R72" s="99">
        <v>45736</v>
      </c>
      <c r="S72" s="280" t="str">
        <f t="shared" si="17"/>
        <v>2025-03-20</v>
      </c>
      <c r="T72" s="209">
        <v>45737</v>
      </c>
      <c r="U72" s="280" t="str">
        <f t="shared" si="18"/>
        <v>2025-03-21</v>
      </c>
      <c r="V72" s="176" t="str">
        <f>PROPER(LEFT(TEXT(Tableau1[[#This Row],[Date de Début]],"jjjj"),2))&amp; "" &amp; PROPER(LEFT(TEXT(Tableau1[[#This Row],[Date de Début]]+1,"jjjj"),2))</f>
        <v>JeVe</v>
      </c>
      <c r="W72" s="175" t="str">
        <f>IF(Tableau1[[#This Row],[Nb jours]]&gt;1,PROPER(LEFT(TEXT(Tableau1[[#This Row],[Date de Début]]+1,"jjjj"),2))&amp; "" &amp; PROPER(LEFT(TEXT(Tableau1[[#This Row],[Date de Début]]+2,"jjjj"),2)),"")</f>
        <v/>
      </c>
      <c r="X72" s="175" t="str">
        <f>IF(Tableau1[[#This Row],[Nb jours]]&gt;2,PROPER(LEFT(TEXT(Tableau1[[#This Row],[Date de Début]]+2,"jjjj"),2))&amp; "" &amp; PROPER(LEFT(TEXT(Tableau1[[#This Row],[Date de Début]]+3,"jjjj"),2)),"")</f>
        <v/>
      </c>
      <c r="Y72" s="176" t="str">
        <f>IF(Tableau1[[#This Row],[Nb jours]]&gt;3,PROPER(LEFT(TEXT(Tableau1[[#This Row],[Date de Début]]+3,"jjjj"),2))&amp; "" &amp; PROPER(LEFT(TEXT(Tableau1[[#This Row],[Date de Début]]+4,"jjjj"),2)),"")</f>
        <v/>
      </c>
      <c r="Z72" s="175" t="str">
        <f>IF(Tableau1[[#This Row],[Nb jours]]&gt;4,PROPER(LEFT(TEXT(Tableau1[[#This Row],[Date de Début]]+4,"jjjj"),2))&amp; "" &amp; PROPER(LEFT(TEXT(Tableau1[[#This Row],[Date de Début]]+5,"jjjj"),2)),"")</f>
        <v/>
      </c>
      <c r="AA72" s="176" t="str">
        <f>IF(Tableau1[[#This Row],[Nb jours]]&gt;5,PROPER(LEFT(TEXT(Tableau1[[#This Row],[Date de Début]]+5,"jjjj"),2))&amp; "" &amp; PROPER(LEFT(TEXT(Tableau1[[#This Row],[Date de Début]]+6,"jjjj"),2)),"")</f>
        <v/>
      </c>
      <c r="AB72" s="177">
        <f>Tableau1[[#This Row],[Date de Fin]]-Tableau1[[#This Row],[Date de Début]]</f>
        <v>1</v>
      </c>
      <c r="AC72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72" s="42" t="s">
        <v>143</v>
      </c>
      <c r="AE72" s="27">
        <f t="shared" si="33"/>
        <v>28</v>
      </c>
      <c r="AF72" s="31">
        <f>Tableau1[[#This Row],[Date de Début]]-AE72</f>
        <v>45708</v>
      </c>
      <c r="AG72" s="93">
        <v>45713</v>
      </c>
      <c r="AH72" s="27">
        <f t="shared" si="34"/>
        <v>21</v>
      </c>
      <c r="AI72" s="254" t="str">
        <f t="shared" si="19"/>
        <v>2025-02-25</v>
      </c>
      <c r="AJ72" s="45" t="s">
        <v>155</v>
      </c>
      <c r="AK72" s="31">
        <f>Tableau1[[#This Row],[Date de Début]]-AH72</f>
        <v>45715</v>
      </c>
      <c r="AL72" s="93">
        <v>45714</v>
      </c>
      <c r="AM72" s="27">
        <f t="shared" si="35"/>
        <v>21</v>
      </c>
      <c r="AN72" s="264" t="str">
        <f>IF(AL72="","",TEXT(Tableau1[[#This Row],[Date de fin de vérification]],"AAAA-MM-JJ"))</f>
        <v>2025-02-26</v>
      </c>
      <c r="AO72" s="49">
        <f>Tableau1[[#This Row],[Date de Début]]-AM72</f>
        <v>45715</v>
      </c>
      <c r="AP72" s="93">
        <v>45714</v>
      </c>
      <c r="AQ72" s="27">
        <f t="shared" si="36"/>
        <v>14</v>
      </c>
      <c r="AR72" s="254" t="str">
        <f t="shared" si="20"/>
        <v>26/02/2025</v>
      </c>
      <c r="AS72" s="49">
        <f>Tableau1[[#This Row],[Date de Début]]-AQ72</f>
        <v>45722</v>
      </c>
      <c r="AT72" s="93">
        <v>45715</v>
      </c>
      <c r="AU72" s="27">
        <f t="shared" si="37"/>
        <v>14</v>
      </c>
      <c r="AV72" s="254" t="str">
        <f t="shared" si="21"/>
        <v>27-02-2025</v>
      </c>
      <c r="AW72" s="49">
        <f>Tableau1[[#This Row],[Date de Début]]-AU72</f>
        <v>45722</v>
      </c>
      <c r="AX72" s="217">
        <v>45716</v>
      </c>
      <c r="AY72" s="93" t="str">
        <f t="shared" si="22"/>
        <v>2025-02-28</v>
      </c>
      <c r="AZ72" s="28">
        <f>IF(Tableau1[[#This Row],[Date limite de fin de rédaction]]&lt;Tableau1[[#This Row],[Date de fin de rédaction]],1,0)</f>
        <v>1</v>
      </c>
      <c r="BA72" s="28">
        <f>IF(Tableau1[[#This Row],[Date limite de fin de vérification]]&lt;Tableau1[[#This Row],[Date de fin de vérification]],1,0)</f>
        <v>0</v>
      </c>
      <c r="BB72" s="28">
        <f>IF(Tableau1[[#This Row],[Date limite d''envoi a  l''exploitation]]&lt;Tableau1[[#This Row],[Date d''envoi à  l''exploitation
(Mettre en copier le demandeur et le rédacteur)]],1,0)</f>
        <v>0</v>
      </c>
      <c r="BC72" s="28">
        <f>IF(Tableau1[[#This Row],[Date limite de réception]]&lt;Tableau1[[#This Row],[Date de réception]],1,0)</f>
        <v>0</v>
      </c>
      <c r="BD72" s="53">
        <f>IF(Tableau1[[#This Row],[Date limite limite de dépose sur la GED]]&lt;Tableau1[[#This Row],[Date de dépose sur la GED]],1,0)</f>
        <v>0</v>
      </c>
      <c r="BE72" s="245"/>
      <c r="BF72" s="243"/>
      <c r="BG72" s="309"/>
      <c r="BH72" s="295"/>
      <c r="BI72" s="297"/>
      <c r="BJ72" s="300"/>
      <c r="BK72" s="242"/>
    </row>
    <row r="73" spans="1:63" x14ac:dyDescent="0.25">
      <c r="A73" s="223">
        <f t="shared" si="16"/>
        <v>64</v>
      </c>
      <c r="B73" s="90" t="s">
        <v>152</v>
      </c>
      <c r="C73" s="211">
        <v>15140</v>
      </c>
      <c r="D73" s="212" t="s">
        <v>104</v>
      </c>
      <c r="E73" s="24" t="s">
        <v>230</v>
      </c>
      <c r="F73" s="21" t="s">
        <v>105</v>
      </c>
      <c r="G73" s="159" t="str">
        <f>"xxx-2025-"&amp;Tableau1[[#This Row],[N° de 
Ctx]]&amp;"-"&amp;Tableau1[[#This Row],[N° semaine]]&amp;"-"&amp; Tableau1[[#This Row],[Nature des travaux]]</f>
        <v>xxx-2025-64-S13-Contrat 64</v>
      </c>
      <c r="H73" s="214" t="str">
        <f>IF(Tableau1[[#This Row],[Nature des travaux]]=0,"Saisir nature des travaux",Tableau1[[#This Row],[Colonne1]])&amp;"-"&amp;Tableau1[[#This Row],[Jour]]</f>
        <v>xxx-2025-64-S13-Contrat 64-LuMa</v>
      </c>
      <c r="I73" s="29"/>
      <c r="J73" s="24"/>
      <c r="K73" s="24"/>
      <c r="L73" s="24" t="s">
        <v>79</v>
      </c>
      <c r="M73" s="213">
        <f>COUNTIF(Tableau1[[#This Row],[Secteur 1]:[Secteur 4]],"x")</f>
        <v>1</v>
      </c>
      <c r="N73" s="92" t="s">
        <v>92</v>
      </c>
      <c r="O73" s="215" t="str">
        <f>IF(Tableau1[[#This Row],[Date de Fin]]-Tableau1[[#This Row],[Date de Début]]&gt;1,"X"," ")</f>
        <v xml:space="preserve"> </v>
      </c>
      <c r="P73" s="29"/>
      <c r="Q73" s="24"/>
      <c r="R73" s="116">
        <v>45740</v>
      </c>
      <c r="S73" s="285" t="str">
        <f t="shared" ref="S73:S84" si="38">TEXT(R73,"AAAA-MM-JJ")</f>
        <v>2025-03-24</v>
      </c>
      <c r="T73" s="216">
        <v>45741</v>
      </c>
      <c r="U73" s="280" t="str">
        <f t="shared" ref="U73:U84" si="39">TEXT(T73,"AAAA-MM-JJ")</f>
        <v>2025-03-25</v>
      </c>
      <c r="V73" s="176" t="str">
        <f>PROPER(LEFT(TEXT(Tableau1[[#This Row],[Date de Début]],"jjjj"),2))&amp; "" &amp; PROPER(LEFT(TEXT(Tableau1[[#This Row],[Date de Début]]+1,"jjjj"),2))</f>
        <v>LuMa</v>
      </c>
      <c r="W73" s="175" t="str">
        <f>IF(Tableau1[[#This Row],[Nb jours]]&gt;1,PROPER(LEFT(TEXT(Tableau1[[#This Row],[Date de Début]]+1,"jjjj"),2))&amp; "" &amp; PROPER(LEFT(TEXT(Tableau1[[#This Row],[Date de Début]]+2,"jjjj"),2)),"")</f>
        <v/>
      </c>
      <c r="X73" s="175" t="str">
        <f>IF(Tableau1[[#This Row],[Nb jours]]&gt;2,PROPER(LEFT(TEXT(Tableau1[[#This Row],[Date de Début]]+2,"jjjj"),2))&amp; "" &amp; PROPER(LEFT(TEXT(Tableau1[[#This Row],[Date de Début]]+3,"jjjj"),2)),"")</f>
        <v/>
      </c>
      <c r="Y73" s="176" t="str">
        <f>IF(Tableau1[[#This Row],[Nb jours]]&gt;3,PROPER(LEFT(TEXT(Tableau1[[#This Row],[Date de Début]]+3,"jjjj"),2))&amp; "" &amp; PROPER(LEFT(TEXT(Tableau1[[#This Row],[Date de Début]]+4,"jjjj"),2)),"")</f>
        <v/>
      </c>
      <c r="Z73" s="175" t="str">
        <f>IF(Tableau1[[#This Row],[Nb jours]]&gt;4,PROPER(LEFT(TEXT(Tableau1[[#This Row],[Date de Début]]+4,"jjjj"),2))&amp; "" &amp; PROPER(LEFT(TEXT(Tableau1[[#This Row],[Date de Début]]+5,"jjjj"),2)),"")</f>
        <v/>
      </c>
      <c r="AA73" s="176" t="str">
        <f>IF(Tableau1[[#This Row],[Nb jours]]&gt;5,PROPER(LEFT(TEXT(Tableau1[[#This Row],[Date de Début]]+5,"jjjj"),2))&amp; "" &amp; PROPER(LEFT(TEXT(Tableau1[[#This Row],[Date de Début]]+6,"jjjj"),2)),"")</f>
        <v/>
      </c>
      <c r="AB73" s="177">
        <f>Tableau1[[#This Row],[Date de Fin]]-Tableau1[[#This Row],[Date de Début]]</f>
        <v>1</v>
      </c>
      <c r="AC73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73" s="42" t="s">
        <v>143</v>
      </c>
      <c r="AE73" s="25">
        <f t="shared" si="33"/>
        <v>28</v>
      </c>
      <c r="AF73" s="30">
        <f>Tableau1[[#This Row],[Date de Début]]-AE73</f>
        <v>45712</v>
      </c>
      <c r="AG73" s="93">
        <v>45737</v>
      </c>
      <c r="AH73" s="25">
        <f t="shared" si="34"/>
        <v>21</v>
      </c>
      <c r="AI73" s="254" t="str">
        <f t="shared" ref="AI73:AI84" si="40">TEXT(AG73,"AAAA-MM-JJ")</f>
        <v>2025-03-21</v>
      </c>
      <c r="AJ73" s="45" t="s">
        <v>155</v>
      </c>
      <c r="AK73" s="30">
        <f>Tableau1[[#This Row],[Date de Début]]-AH73</f>
        <v>45719</v>
      </c>
      <c r="AL73" s="217">
        <v>45737</v>
      </c>
      <c r="AM73" s="25">
        <f t="shared" si="35"/>
        <v>21</v>
      </c>
      <c r="AN73" s="266" t="str">
        <f>IF(AL73="","",TEXT(Tableau1[[#This Row],[Date de fin de vérification]],"AAAA-MM-JJ"))</f>
        <v>2025-03-21</v>
      </c>
      <c r="AO73" s="48">
        <f>Tableau1[[#This Row],[Date de Début]]-AM73</f>
        <v>45719</v>
      </c>
      <c r="AP73" s="93">
        <v>45737</v>
      </c>
      <c r="AQ73" s="25">
        <f t="shared" si="36"/>
        <v>14</v>
      </c>
      <c r="AR73" s="256" t="str">
        <f t="shared" ref="AR73:AR84" si="41">TEXT(AP73,"JJ/MM/AAAA")</f>
        <v>21/03/2025</v>
      </c>
      <c r="AS73" s="48">
        <f>Tableau1[[#This Row],[Date de Début]]-AQ73</f>
        <v>45726</v>
      </c>
      <c r="AT73" s="93">
        <v>45737</v>
      </c>
      <c r="AU73" s="25">
        <f t="shared" si="37"/>
        <v>14</v>
      </c>
      <c r="AV73" s="256" t="str">
        <f t="shared" ref="AV73:AV84" si="42">TEXT(AT73,"JJ-MM-AAAA")</f>
        <v>21-03-2025</v>
      </c>
      <c r="AW73" s="48">
        <f>Tableau1[[#This Row],[Date de Début]]-AU73</f>
        <v>45726</v>
      </c>
      <c r="AX73" s="217">
        <v>45740</v>
      </c>
      <c r="AY73" s="217" t="str">
        <f t="shared" ref="AY73:AY80" si="43">TEXT(AX73,"AAAA-MM-JJ")</f>
        <v>2025-03-24</v>
      </c>
      <c r="AZ73" s="26">
        <f>IF(Tableau1[[#This Row],[Date limite de fin de rédaction]]&lt;Tableau1[[#This Row],[Date de fin de rédaction]],1,0)</f>
        <v>1</v>
      </c>
      <c r="BA73" s="26">
        <f>IF(Tableau1[[#This Row],[Date limite de fin de vérification]]&lt;Tableau1[[#This Row],[Date de fin de vérification]],1,0)</f>
        <v>1</v>
      </c>
      <c r="BB73" s="26">
        <f>IF(Tableau1[[#This Row],[Date limite d''envoi a  l''exploitation]]&lt;Tableau1[[#This Row],[Date d''envoi à  l''exploitation
(Mettre en copier le demandeur et le rédacteur)]],1,0)</f>
        <v>1</v>
      </c>
      <c r="BC73" s="26">
        <f>IF(Tableau1[[#This Row],[Date limite de réception]]&lt;Tableau1[[#This Row],[Date de réception]],1,0)</f>
        <v>1</v>
      </c>
      <c r="BD73" s="52">
        <f>IF(Tableau1[[#This Row],[Date limite limite de dépose sur la GED]]&lt;Tableau1[[#This Row],[Date de dépose sur la GED]],1,0)</f>
        <v>1</v>
      </c>
      <c r="BE73" s="244"/>
      <c r="BF73" s="243"/>
      <c r="BG73" s="309"/>
      <c r="BH73" s="295"/>
      <c r="BI73" s="297"/>
      <c r="BJ73" s="300"/>
      <c r="BK73" s="242"/>
    </row>
    <row r="74" spans="1:63" x14ac:dyDescent="0.25">
      <c r="A74" s="223">
        <f t="shared" si="16"/>
        <v>65</v>
      </c>
      <c r="B74" s="90" t="s">
        <v>152</v>
      </c>
      <c r="C74" s="211">
        <v>15367</v>
      </c>
      <c r="D74" s="212" t="s">
        <v>104</v>
      </c>
      <c r="E74" s="24" t="s">
        <v>231</v>
      </c>
      <c r="F74" s="21" t="s">
        <v>105</v>
      </c>
      <c r="G74" s="159" t="str">
        <f>"xxx-2025-"&amp;Tableau1[[#This Row],[N° de 
Ctx]]&amp;"-"&amp;Tableau1[[#This Row],[N° semaine]]&amp;"-"&amp; Tableau1[[#This Row],[Nature des travaux]]</f>
        <v>xxx-2025-65-S13-Contrat 65</v>
      </c>
      <c r="H74" s="214" t="str">
        <f>IF(Tableau1[[#This Row],[Nature des travaux]]=0,"Saisir nature des travaux",Tableau1[[#This Row],[Colonne1]])&amp;"-"&amp;Tableau1[[#This Row],[Jour]]</f>
        <v>xxx-2025-65-S13-Contrat 65-MaMe</v>
      </c>
      <c r="I74" s="29"/>
      <c r="J74" s="24"/>
      <c r="K74" s="24"/>
      <c r="L74" s="24" t="s">
        <v>79</v>
      </c>
      <c r="M74" s="213">
        <f>COUNTIF(Tableau1[[#This Row],[Secteur 1]:[Secteur 4]],"x")</f>
        <v>1</v>
      </c>
      <c r="N74" s="92" t="s">
        <v>92</v>
      </c>
      <c r="O74" s="215" t="str">
        <f>IF(Tableau1[[#This Row],[Date de Fin]]-Tableau1[[#This Row],[Date de Début]]&gt;1,"X"," ")</f>
        <v xml:space="preserve"> </v>
      </c>
      <c r="P74" s="29"/>
      <c r="Q74" s="24"/>
      <c r="R74" s="116">
        <v>45741</v>
      </c>
      <c r="S74" s="285" t="str">
        <f t="shared" si="38"/>
        <v>2025-03-25</v>
      </c>
      <c r="T74" s="216">
        <v>45742</v>
      </c>
      <c r="U74" s="280" t="str">
        <f t="shared" si="39"/>
        <v>2025-03-26</v>
      </c>
      <c r="V74" s="176" t="str">
        <f>PROPER(LEFT(TEXT(Tableau1[[#This Row],[Date de Début]],"jjjj"),2))&amp; "" &amp; PROPER(LEFT(TEXT(Tableau1[[#This Row],[Date de Début]]+1,"jjjj"),2))</f>
        <v>MaMe</v>
      </c>
      <c r="W74" s="175" t="str">
        <f>IF(Tableau1[[#This Row],[Nb jours]]&gt;1,PROPER(LEFT(TEXT(Tableau1[[#This Row],[Date de Début]]+1,"jjjj"),2))&amp; "" &amp; PROPER(LEFT(TEXT(Tableau1[[#This Row],[Date de Début]]+2,"jjjj"),2)),"")</f>
        <v/>
      </c>
      <c r="X74" s="175" t="str">
        <f>IF(Tableau1[[#This Row],[Nb jours]]&gt;2,PROPER(LEFT(TEXT(Tableau1[[#This Row],[Date de Début]]+2,"jjjj"),2))&amp; "" &amp; PROPER(LEFT(TEXT(Tableau1[[#This Row],[Date de Début]]+3,"jjjj"),2)),"")</f>
        <v/>
      </c>
      <c r="Y74" s="176" t="str">
        <f>IF(Tableau1[[#This Row],[Nb jours]]&gt;3,PROPER(LEFT(TEXT(Tableau1[[#This Row],[Date de Début]]+3,"jjjj"),2))&amp; "" &amp; PROPER(LEFT(TEXT(Tableau1[[#This Row],[Date de Début]]+4,"jjjj"),2)),"")</f>
        <v/>
      </c>
      <c r="Z74" s="175" t="str">
        <f>IF(Tableau1[[#This Row],[Nb jours]]&gt;4,PROPER(LEFT(TEXT(Tableau1[[#This Row],[Date de Début]]+4,"jjjj"),2))&amp; "" &amp; PROPER(LEFT(TEXT(Tableau1[[#This Row],[Date de Début]]+5,"jjjj"),2)),"")</f>
        <v/>
      </c>
      <c r="AA74" s="176" t="str">
        <f>IF(Tableau1[[#This Row],[Nb jours]]&gt;5,PROPER(LEFT(TEXT(Tableau1[[#This Row],[Date de Début]]+5,"jjjj"),2))&amp; "" &amp; PROPER(LEFT(TEXT(Tableau1[[#This Row],[Date de Début]]+6,"jjjj"),2)),"")</f>
        <v/>
      </c>
      <c r="AB74" s="177">
        <f>Tableau1[[#This Row],[Date de Fin]]-Tableau1[[#This Row],[Date de Début]]</f>
        <v>1</v>
      </c>
      <c r="AC74" s="218" t="str">
        <f>Tableau1[[#This Row],[Nuit 1]]&amp;Tableau1[[#This Row],[Nuit 2]]&amp;Tableau1[[#This Row],[Nuit 3]]&amp;Tableau1[[#This Row],[Nuit 4]]&amp;Tableau1[[#This Row],[Nuit 5]]&amp;Tableau1[[#This Row],[Nuit 6]]</f>
        <v>MaMe</v>
      </c>
      <c r="AD74" s="42" t="s">
        <v>143</v>
      </c>
      <c r="AE74" s="25">
        <f t="shared" si="33"/>
        <v>28</v>
      </c>
      <c r="AF74" s="30">
        <f>Tableau1[[#This Row],[Date de Début]]-AE74</f>
        <v>45713</v>
      </c>
      <c r="AG74" s="93">
        <v>45737</v>
      </c>
      <c r="AH74" s="25">
        <f t="shared" si="34"/>
        <v>21</v>
      </c>
      <c r="AI74" s="254" t="str">
        <f t="shared" si="40"/>
        <v>2025-03-21</v>
      </c>
      <c r="AJ74" s="45" t="s">
        <v>156</v>
      </c>
      <c r="AK74" s="30">
        <f>Tableau1[[#This Row],[Date de Début]]-AH74</f>
        <v>45720</v>
      </c>
      <c r="AL74" s="217">
        <v>45737</v>
      </c>
      <c r="AM74" s="25">
        <f t="shared" si="35"/>
        <v>21</v>
      </c>
      <c r="AN74" s="266" t="str">
        <f>IF(AL74="","",TEXT(Tableau1[[#This Row],[Date de fin de vérification]],"AAAA-MM-JJ"))</f>
        <v>2025-03-21</v>
      </c>
      <c r="AO74" s="48">
        <f>Tableau1[[#This Row],[Date de Début]]-AM74</f>
        <v>45720</v>
      </c>
      <c r="AP74" s="93">
        <v>45737</v>
      </c>
      <c r="AQ74" s="25">
        <f t="shared" si="36"/>
        <v>14</v>
      </c>
      <c r="AR74" s="256" t="str">
        <f t="shared" si="41"/>
        <v>21/03/2025</v>
      </c>
      <c r="AS74" s="48">
        <f>Tableau1[[#This Row],[Date de Début]]-AQ74</f>
        <v>45727</v>
      </c>
      <c r="AT74" s="93">
        <v>45737</v>
      </c>
      <c r="AU74" s="25">
        <f t="shared" si="37"/>
        <v>14</v>
      </c>
      <c r="AV74" s="256" t="str">
        <f t="shared" si="42"/>
        <v>21-03-2025</v>
      </c>
      <c r="AW74" s="48">
        <f>Tableau1[[#This Row],[Date de Début]]-AU74</f>
        <v>45727</v>
      </c>
      <c r="AX74" s="217">
        <v>45740</v>
      </c>
      <c r="AY74" s="217" t="str">
        <f t="shared" si="43"/>
        <v>2025-03-24</v>
      </c>
      <c r="AZ74" s="26">
        <f>IF(Tableau1[[#This Row],[Date limite de fin de rédaction]]&lt;Tableau1[[#This Row],[Date de fin de rédaction]],1,0)</f>
        <v>1</v>
      </c>
      <c r="BA74" s="26">
        <f>IF(Tableau1[[#This Row],[Date limite de fin de vérification]]&lt;Tableau1[[#This Row],[Date de fin de vérification]],1,0)</f>
        <v>1</v>
      </c>
      <c r="BB74" s="26">
        <f>IF(Tableau1[[#This Row],[Date limite d''envoi a  l''exploitation]]&lt;Tableau1[[#This Row],[Date d''envoi à  l''exploitation
(Mettre en copier le demandeur et le rédacteur)]],1,0)</f>
        <v>1</v>
      </c>
      <c r="BC74" s="26">
        <f>IF(Tableau1[[#This Row],[Date limite de réception]]&lt;Tableau1[[#This Row],[Date de réception]],1,0)</f>
        <v>1</v>
      </c>
      <c r="BD74" s="52">
        <f>IF(Tableau1[[#This Row],[Date limite limite de dépose sur la GED]]&lt;Tableau1[[#This Row],[Date de dépose sur la GED]],1,0)</f>
        <v>1</v>
      </c>
      <c r="BE74" s="244"/>
      <c r="BF74" s="243"/>
      <c r="BG74" s="309"/>
      <c r="BH74" s="295"/>
      <c r="BI74" s="297"/>
      <c r="BJ74" s="300"/>
      <c r="BK74" s="242"/>
    </row>
    <row r="75" spans="1:63" x14ac:dyDescent="0.25">
      <c r="A75" s="223">
        <f t="shared" ref="A75:A88" si="44">A74+1</f>
        <v>66</v>
      </c>
      <c r="B75" s="90" t="s">
        <v>152</v>
      </c>
      <c r="C75" s="211">
        <v>15138</v>
      </c>
      <c r="D75" s="212" t="s">
        <v>104</v>
      </c>
      <c r="E75" s="24" t="s">
        <v>232</v>
      </c>
      <c r="F75" s="21" t="s">
        <v>103</v>
      </c>
      <c r="G75" s="159" t="str">
        <f>"xxx-2025-"&amp;Tableau1[[#This Row],[N° de 
Ctx]]&amp;"-"&amp;Tableau1[[#This Row],[N° semaine]]&amp;"-"&amp; Tableau1[[#This Row],[Nature des travaux]]</f>
        <v>xxx-2025-66-S13-Contrat 66</v>
      </c>
      <c r="H75" s="214" t="str">
        <f>IF(Tableau1[[#This Row],[Nature des travaux]]=0,"Saisir nature des travaux",Tableau1[[#This Row],[Colonne1]])&amp;"-"&amp;Tableau1[[#This Row],[Jour]]</f>
        <v>xxx-2025-66-S13-Contrat 66-MeJe</v>
      </c>
      <c r="I75" s="29"/>
      <c r="J75" s="24"/>
      <c r="K75" s="24"/>
      <c r="L75" s="24" t="s">
        <v>79</v>
      </c>
      <c r="M75" s="213">
        <f>COUNTIF(Tableau1[[#This Row],[Secteur 1]:[Secteur 4]],"x")</f>
        <v>1</v>
      </c>
      <c r="N75" s="92" t="s">
        <v>92</v>
      </c>
      <c r="O75" s="215" t="str">
        <f>IF(Tableau1[[#This Row],[Date de Fin]]-Tableau1[[#This Row],[Date de Début]]&gt;1,"X"," ")</f>
        <v xml:space="preserve"> </v>
      </c>
      <c r="P75" s="29"/>
      <c r="Q75" s="24"/>
      <c r="R75" s="116">
        <v>45742</v>
      </c>
      <c r="S75" s="285" t="str">
        <f t="shared" si="38"/>
        <v>2025-03-26</v>
      </c>
      <c r="T75" s="216">
        <v>45743</v>
      </c>
      <c r="U75" s="280" t="str">
        <f t="shared" si="39"/>
        <v>2025-03-27</v>
      </c>
      <c r="V75" s="176" t="str">
        <f>PROPER(LEFT(TEXT(Tableau1[[#This Row],[Date de Début]],"jjjj"),2))&amp; "" &amp; PROPER(LEFT(TEXT(Tableau1[[#This Row],[Date de Début]]+1,"jjjj"),2))</f>
        <v>MeJe</v>
      </c>
      <c r="W75" s="175" t="str">
        <f>IF(Tableau1[[#This Row],[Nb jours]]&gt;1,PROPER(LEFT(TEXT(Tableau1[[#This Row],[Date de Début]]+1,"jjjj"),2))&amp; "" &amp; PROPER(LEFT(TEXT(Tableau1[[#This Row],[Date de Début]]+2,"jjjj"),2)),"")</f>
        <v/>
      </c>
      <c r="X75" s="175" t="str">
        <f>IF(Tableau1[[#This Row],[Nb jours]]&gt;2,PROPER(LEFT(TEXT(Tableau1[[#This Row],[Date de Début]]+2,"jjjj"),2))&amp; "" &amp; PROPER(LEFT(TEXT(Tableau1[[#This Row],[Date de Début]]+3,"jjjj"),2)),"")</f>
        <v/>
      </c>
      <c r="Y75" s="176" t="str">
        <f>IF(Tableau1[[#This Row],[Nb jours]]&gt;3,PROPER(LEFT(TEXT(Tableau1[[#This Row],[Date de Début]]+3,"jjjj"),2))&amp; "" &amp; PROPER(LEFT(TEXT(Tableau1[[#This Row],[Date de Début]]+4,"jjjj"),2)),"")</f>
        <v/>
      </c>
      <c r="Z75" s="175" t="str">
        <f>IF(Tableau1[[#This Row],[Nb jours]]&gt;4,PROPER(LEFT(TEXT(Tableau1[[#This Row],[Date de Début]]+4,"jjjj"),2))&amp; "" &amp; PROPER(LEFT(TEXT(Tableau1[[#This Row],[Date de Début]]+5,"jjjj"),2)),"")</f>
        <v/>
      </c>
      <c r="AA75" s="176" t="str">
        <f>IF(Tableau1[[#This Row],[Nb jours]]&gt;5,PROPER(LEFT(TEXT(Tableau1[[#This Row],[Date de Début]]+5,"jjjj"),2))&amp; "" &amp; PROPER(LEFT(TEXT(Tableau1[[#This Row],[Date de Début]]+6,"jjjj"),2)),"")</f>
        <v/>
      </c>
      <c r="AB75" s="177">
        <f>Tableau1[[#This Row],[Date de Fin]]-Tableau1[[#This Row],[Date de Début]]</f>
        <v>1</v>
      </c>
      <c r="AC75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75" s="42" t="s">
        <v>143</v>
      </c>
      <c r="AE75" s="25">
        <f t="shared" si="33"/>
        <v>28</v>
      </c>
      <c r="AF75" s="30">
        <f>Tableau1[[#This Row],[Date de Début]]-AE75</f>
        <v>45714</v>
      </c>
      <c r="AG75" s="93">
        <v>45713</v>
      </c>
      <c r="AH75" s="25">
        <f t="shared" si="34"/>
        <v>21</v>
      </c>
      <c r="AI75" s="254" t="str">
        <f t="shared" si="40"/>
        <v>2025-02-25</v>
      </c>
      <c r="AJ75" s="45" t="s">
        <v>155</v>
      </c>
      <c r="AK75" s="30">
        <f>Tableau1[[#This Row],[Date de Début]]-AH75</f>
        <v>45721</v>
      </c>
      <c r="AL75" s="217">
        <v>45714</v>
      </c>
      <c r="AM75" s="25">
        <f t="shared" si="35"/>
        <v>21</v>
      </c>
      <c r="AN75" s="266" t="str">
        <f>IF(AL75="","",TEXT(Tableau1[[#This Row],[Date de fin de vérification]],"AAAA-MM-JJ"))</f>
        <v>2025-02-26</v>
      </c>
      <c r="AO75" s="48">
        <f>Tableau1[[#This Row],[Date de Début]]-AM75</f>
        <v>45721</v>
      </c>
      <c r="AP75" s="93">
        <v>45714</v>
      </c>
      <c r="AQ75" s="25">
        <f t="shared" si="36"/>
        <v>14</v>
      </c>
      <c r="AR75" s="256" t="str">
        <f t="shared" si="41"/>
        <v>26/02/2025</v>
      </c>
      <c r="AS75" s="48">
        <f>Tableau1[[#This Row],[Date de Début]]-AQ75</f>
        <v>45728</v>
      </c>
      <c r="AT75" s="93">
        <v>45715</v>
      </c>
      <c r="AU75" s="25">
        <f t="shared" si="37"/>
        <v>14</v>
      </c>
      <c r="AV75" s="256" t="str">
        <f t="shared" si="42"/>
        <v>27-02-2025</v>
      </c>
      <c r="AW75" s="48">
        <f>Tableau1[[#This Row],[Date de Début]]-AU75</f>
        <v>45728</v>
      </c>
      <c r="AX75" s="217">
        <v>45716</v>
      </c>
      <c r="AY75" s="217" t="str">
        <f t="shared" si="43"/>
        <v>2025-02-28</v>
      </c>
      <c r="AZ75" s="26">
        <f>IF(Tableau1[[#This Row],[Date limite de fin de rédaction]]&lt;Tableau1[[#This Row],[Date de fin de rédaction]],1,0)</f>
        <v>0</v>
      </c>
      <c r="BA75" s="26">
        <f>IF(Tableau1[[#This Row],[Date limite de fin de vérification]]&lt;Tableau1[[#This Row],[Date de fin de vérification]],1,0)</f>
        <v>0</v>
      </c>
      <c r="BB75" s="26">
        <f>IF(Tableau1[[#This Row],[Date limite d''envoi a  l''exploitation]]&lt;Tableau1[[#This Row],[Date d''envoi à  l''exploitation
(Mettre en copier le demandeur et le rédacteur)]],1,0)</f>
        <v>0</v>
      </c>
      <c r="BC75" s="26">
        <f>IF(Tableau1[[#This Row],[Date limite de réception]]&lt;Tableau1[[#This Row],[Date de réception]],1,0)</f>
        <v>0</v>
      </c>
      <c r="BD75" s="52">
        <f>IF(Tableau1[[#This Row],[Date limite limite de dépose sur la GED]]&lt;Tableau1[[#This Row],[Date de dépose sur la GED]],1,0)</f>
        <v>0</v>
      </c>
      <c r="BE75" s="244"/>
      <c r="BF75" s="243"/>
      <c r="BG75" s="309"/>
      <c r="BH75" s="295"/>
      <c r="BI75" s="297"/>
      <c r="BJ75" s="300"/>
      <c r="BK75" s="242"/>
    </row>
    <row r="76" spans="1:63" x14ac:dyDescent="0.25">
      <c r="A76" s="223">
        <f t="shared" si="44"/>
        <v>67</v>
      </c>
      <c r="B76" s="90" t="s">
        <v>152</v>
      </c>
      <c r="C76" s="211">
        <v>15138</v>
      </c>
      <c r="D76" s="212" t="s">
        <v>104</v>
      </c>
      <c r="E76" s="24" t="s">
        <v>233</v>
      </c>
      <c r="F76" s="21" t="s">
        <v>103</v>
      </c>
      <c r="G76" s="159" t="str">
        <f>"xxx-2025-"&amp;Tableau1[[#This Row],[N° de 
Ctx]]&amp;"-"&amp;Tableau1[[#This Row],[N° semaine]]&amp;"-"&amp; Tableau1[[#This Row],[Nature des travaux]]</f>
        <v>xxx-2025-67-S13-Contrat 67</v>
      </c>
      <c r="H76" s="214" t="str">
        <f>IF(Tableau1[[#This Row],[Nature des travaux]]=0,"Saisir nature des travaux",Tableau1[[#This Row],[Colonne1]])&amp;"-"&amp;Tableau1[[#This Row],[Jour]]</f>
        <v>xxx-2025-67-S13-Contrat 67-JeVe</v>
      </c>
      <c r="I76" s="29"/>
      <c r="J76" s="24"/>
      <c r="K76" s="24"/>
      <c r="L76" s="24" t="s">
        <v>79</v>
      </c>
      <c r="M76" s="213">
        <f>COUNTIF(Tableau1[[#This Row],[Secteur 1]:[Secteur 4]],"x")</f>
        <v>1</v>
      </c>
      <c r="N76" s="92" t="s">
        <v>92</v>
      </c>
      <c r="O76" s="215" t="str">
        <f>IF(Tableau1[[#This Row],[Date de Fin]]-Tableau1[[#This Row],[Date de Début]]&gt;1,"X"," ")</f>
        <v xml:space="preserve"> </v>
      </c>
      <c r="P76" s="29"/>
      <c r="Q76" s="24"/>
      <c r="R76" s="116">
        <v>45743</v>
      </c>
      <c r="S76" s="285" t="str">
        <f t="shared" si="38"/>
        <v>2025-03-27</v>
      </c>
      <c r="T76" s="216">
        <v>45744</v>
      </c>
      <c r="U76" s="280" t="str">
        <f t="shared" si="39"/>
        <v>2025-03-28</v>
      </c>
      <c r="V76" s="176" t="str">
        <f>PROPER(LEFT(TEXT(Tableau1[[#This Row],[Date de Début]],"jjjj"),2))&amp; "" &amp; PROPER(LEFT(TEXT(Tableau1[[#This Row],[Date de Début]]+1,"jjjj"),2))</f>
        <v>JeVe</v>
      </c>
      <c r="W76" s="175" t="str">
        <f>IF(Tableau1[[#This Row],[Nb jours]]&gt;1,PROPER(LEFT(TEXT(Tableau1[[#This Row],[Date de Début]]+1,"jjjj"),2))&amp; "" &amp; PROPER(LEFT(TEXT(Tableau1[[#This Row],[Date de Début]]+2,"jjjj"),2)),"")</f>
        <v/>
      </c>
      <c r="X76" s="175" t="str">
        <f>IF(Tableau1[[#This Row],[Nb jours]]&gt;2,PROPER(LEFT(TEXT(Tableau1[[#This Row],[Date de Début]]+2,"jjjj"),2))&amp; "" &amp; PROPER(LEFT(TEXT(Tableau1[[#This Row],[Date de Début]]+3,"jjjj"),2)),"")</f>
        <v/>
      </c>
      <c r="Y76" s="176" t="str">
        <f>IF(Tableau1[[#This Row],[Nb jours]]&gt;3,PROPER(LEFT(TEXT(Tableau1[[#This Row],[Date de Début]]+3,"jjjj"),2))&amp; "" &amp; PROPER(LEFT(TEXT(Tableau1[[#This Row],[Date de Début]]+4,"jjjj"),2)),"")</f>
        <v/>
      </c>
      <c r="Z76" s="175" t="str">
        <f>IF(Tableau1[[#This Row],[Nb jours]]&gt;4,PROPER(LEFT(TEXT(Tableau1[[#This Row],[Date de Début]]+4,"jjjj"),2))&amp; "" &amp; PROPER(LEFT(TEXT(Tableau1[[#This Row],[Date de Début]]+5,"jjjj"),2)),"")</f>
        <v/>
      </c>
      <c r="AA76" s="176" t="str">
        <f>IF(Tableau1[[#This Row],[Nb jours]]&gt;5,PROPER(LEFT(TEXT(Tableau1[[#This Row],[Date de Début]]+5,"jjjj"),2))&amp; "" &amp; PROPER(LEFT(TEXT(Tableau1[[#This Row],[Date de Début]]+6,"jjjj"),2)),"")</f>
        <v/>
      </c>
      <c r="AB76" s="177">
        <f>Tableau1[[#This Row],[Date de Fin]]-Tableau1[[#This Row],[Date de Début]]</f>
        <v>1</v>
      </c>
      <c r="AC76" s="218" t="str">
        <f>Tableau1[[#This Row],[Nuit 1]]&amp;Tableau1[[#This Row],[Nuit 2]]&amp;Tableau1[[#This Row],[Nuit 3]]&amp;Tableau1[[#This Row],[Nuit 4]]&amp;Tableau1[[#This Row],[Nuit 5]]&amp;Tableau1[[#This Row],[Nuit 6]]</f>
        <v>JeVe</v>
      </c>
      <c r="AD76" s="42" t="s">
        <v>143</v>
      </c>
      <c r="AE76" s="25">
        <f t="shared" si="33"/>
        <v>28</v>
      </c>
      <c r="AF76" s="30">
        <f>Tableau1[[#This Row],[Date de Début]]-AE76</f>
        <v>45715</v>
      </c>
      <c r="AG76" s="93">
        <v>45713</v>
      </c>
      <c r="AH76" s="25">
        <f t="shared" si="34"/>
        <v>21</v>
      </c>
      <c r="AI76" s="254" t="str">
        <f t="shared" si="40"/>
        <v>2025-02-25</v>
      </c>
      <c r="AJ76" s="45" t="s">
        <v>155</v>
      </c>
      <c r="AK76" s="30">
        <f>Tableau1[[#This Row],[Date de Début]]-AH76</f>
        <v>45722</v>
      </c>
      <c r="AL76" s="217">
        <v>45714</v>
      </c>
      <c r="AM76" s="25">
        <f t="shared" si="35"/>
        <v>21</v>
      </c>
      <c r="AN76" s="266" t="str">
        <f>IF(AL76="","",TEXT(Tableau1[[#This Row],[Date de fin de vérification]],"AAAA-MM-JJ"))</f>
        <v>2025-02-26</v>
      </c>
      <c r="AO76" s="48">
        <f>Tableau1[[#This Row],[Date de Début]]-AM76</f>
        <v>45722</v>
      </c>
      <c r="AP76" s="93">
        <v>45714</v>
      </c>
      <c r="AQ76" s="25">
        <f t="shared" si="36"/>
        <v>14</v>
      </c>
      <c r="AR76" s="256" t="str">
        <f t="shared" si="41"/>
        <v>26/02/2025</v>
      </c>
      <c r="AS76" s="48">
        <f>Tableau1[[#This Row],[Date de Début]]-AQ76</f>
        <v>45729</v>
      </c>
      <c r="AT76" s="93">
        <v>45715</v>
      </c>
      <c r="AU76" s="25">
        <f t="shared" si="37"/>
        <v>14</v>
      </c>
      <c r="AV76" s="256" t="str">
        <f t="shared" si="42"/>
        <v>27-02-2025</v>
      </c>
      <c r="AW76" s="48">
        <f>Tableau1[[#This Row],[Date de Début]]-AU76</f>
        <v>45729</v>
      </c>
      <c r="AX76" s="217">
        <v>45716</v>
      </c>
      <c r="AY76" s="217" t="str">
        <f t="shared" si="43"/>
        <v>2025-02-28</v>
      </c>
      <c r="AZ76" s="26">
        <f>IF(Tableau1[[#This Row],[Date limite de fin de rédaction]]&lt;Tableau1[[#This Row],[Date de fin de rédaction]],1,0)</f>
        <v>0</v>
      </c>
      <c r="BA76" s="26">
        <f>IF(Tableau1[[#This Row],[Date limite de fin de vérification]]&lt;Tableau1[[#This Row],[Date de fin de vérification]],1,0)</f>
        <v>0</v>
      </c>
      <c r="BB76" s="26">
        <f>IF(Tableau1[[#This Row],[Date limite d''envoi a  l''exploitation]]&lt;Tableau1[[#This Row],[Date d''envoi à  l''exploitation
(Mettre en copier le demandeur et le rédacteur)]],1,0)</f>
        <v>0</v>
      </c>
      <c r="BC76" s="26">
        <f>IF(Tableau1[[#This Row],[Date limite de réception]]&lt;Tableau1[[#This Row],[Date de réception]],1,0)</f>
        <v>0</v>
      </c>
      <c r="BD76" s="52">
        <f>IF(Tableau1[[#This Row],[Date limite limite de dépose sur la GED]]&lt;Tableau1[[#This Row],[Date de dépose sur la GED]],1,0)</f>
        <v>0</v>
      </c>
      <c r="BE76" s="244"/>
      <c r="BF76" s="243"/>
      <c r="BG76" s="309"/>
      <c r="BH76" s="295"/>
      <c r="BI76" s="297"/>
      <c r="BJ76" s="300"/>
      <c r="BK76" s="242"/>
    </row>
    <row r="77" spans="1:63" x14ac:dyDescent="0.25">
      <c r="A77" s="223">
        <f t="shared" si="44"/>
        <v>68</v>
      </c>
      <c r="B77" s="90" t="s">
        <v>152</v>
      </c>
      <c r="C77" s="211">
        <v>15139</v>
      </c>
      <c r="D77" s="212" t="s">
        <v>106</v>
      </c>
      <c r="E77" s="24" t="s">
        <v>234</v>
      </c>
      <c r="F77" s="21" t="s">
        <v>103</v>
      </c>
      <c r="G77" s="159" t="str">
        <f>"xxx-2025-"&amp;Tableau1[[#This Row],[N° de 
Ctx]]&amp;"-"&amp;Tableau1[[#This Row],[N° semaine]]&amp;"-"&amp; Tableau1[[#This Row],[Nature des travaux]]</f>
        <v>xxx-2025-68-S14-Contrat 68</v>
      </c>
      <c r="H77" s="214" t="str">
        <f>IF(Tableau1[[#This Row],[Nature des travaux]]=0,"Saisir nature des travaux",Tableau1[[#This Row],[Colonne1]])&amp;"-"&amp;Tableau1[[#This Row],[Jour]]</f>
        <v>xxx-2025-68-S14-Contrat 68-LuMa</v>
      </c>
      <c r="I77" s="29"/>
      <c r="J77" s="24"/>
      <c r="K77" s="24"/>
      <c r="L77" s="24" t="s">
        <v>79</v>
      </c>
      <c r="M77" s="213">
        <f>COUNTIF(Tableau1[[#This Row],[Secteur 1]:[Secteur 4]],"x")</f>
        <v>1</v>
      </c>
      <c r="N77" s="92" t="s">
        <v>92</v>
      </c>
      <c r="O77" s="215" t="str">
        <f>IF(Tableau1[[#This Row],[Date de Fin]]-Tableau1[[#This Row],[Date de Début]]&gt;1,"X"," ")</f>
        <v xml:space="preserve"> </v>
      </c>
      <c r="P77" s="29"/>
      <c r="Q77" s="24"/>
      <c r="R77" s="116">
        <v>45747</v>
      </c>
      <c r="S77" s="285" t="str">
        <f t="shared" si="38"/>
        <v>2025-03-31</v>
      </c>
      <c r="T77" s="216">
        <v>45748</v>
      </c>
      <c r="U77" s="280" t="str">
        <f t="shared" si="39"/>
        <v>2025-04-01</v>
      </c>
      <c r="V77" s="176" t="str">
        <f>PROPER(LEFT(TEXT(Tableau1[[#This Row],[Date de Début]],"jjjj"),2))&amp; "" &amp; PROPER(LEFT(TEXT(Tableau1[[#This Row],[Date de Début]]+1,"jjjj"),2))</f>
        <v>LuMa</v>
      </c>
      <c r="W77" s="175" t="str">
        <f>IF(Tableau1[[#This Row],[Nb jours]]&gt;1,PROPER(LEFT(TEXT(Tableau1[[#This Row],[Date de Début]]+1,"jjjj"),2))&amp; "" &amp; PROPER(LEFT(TEXT(Tableau1[[#This Row],[Date de Début]]+2,"jjjj"),2)),"")</f>
        <v/>
      </c>
      <c r="X77" s="175" t="str">
        <f>IF(Tableau1[[#This Row],[Nb jours]]&gt;2,PROPER(LEFT(TEXT(Tableau1[[#This Row],[Date de Début]]+2,"jjjj"),2))&amp; "" &amp; PROPER(LEFT(TEXT(Tableau1[[#This Row],[Date de Début]]+3,"jjjj"),2)),"")</f>
        <v/>
      </c>
      <c r="Y77" s="176" t="str">
        <f>IF(Tableau1[[#This Row],[Nb jours]]&gt;3,PROPER(LEFT(TEXT(Tableau1[[#This Row],[Date de Début]]+3,"jjjj"),2))&amp; "" &amp; PROPER(LEFT(TEXT(Tableau1[[#This Row],[Date de Début]]+4,"jjjj"),2)),"")</f>
        <v/>
      </c>
      <c r="Z77" s="175" t="str">
        <f>IF(Tableau1[[#This Row],[Nb jours]]&gt;4,PROPER(LEFT(TEXT(Tableau1[[#This Row],[Date de Début]]+4,"jjjj"),2))&amp; "" &amp; PROPER(LEFT(TEXT(Tableau1[[#This Row],[Date de Début]]+5,"jjjj"),2)),"")</f>
        <v/>
      </c>
      <c r="AA77" s="176" t="str">
        <f>IF(Tableau1[[#This Row],[Nb jours]]&gt;5,PROPER(LEFT(TEXT(Tableau1[[#This Row],[Date de Début]]+5,"jjjj"),2))&amp; "" &amp; PROPER(LEFT(TEXT(Tableau1[[#This Row],[Date de Début]]+6,"jjjj"),2)),"")</f>
        <v/>
      </c>
      <c r="AB77" s="177">
        <f>Tableau1[[#This Row],[Date de Fin]]-Tableau1[[#This Row],[Date de Début]]</f>
        <v>1</v>
      </c>
      <c r="AC77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77" s="42" t="s">
        <v>143</v>
      </c>
      <c r="AE77" s="25">
        <f t="shared" si="33"/>
        <v>28</v>
      </c>
      <c r="AF77" s="30">
        <f>Tableau1[[#This Row],[Date de Début]]-AE77</f>
        <v>45719</v>
      </c>
      <c r="AG77" s="93">
        <v>45713</v>
      </c>
      <c r="AH77" s="25">
        <f t="shared" si="34"/>
        <v>21</v>
      </c>
      <c r="AI77" s="254" t="str">
        <f t="shared" si="40"/>
        <v>2025-02-25</v>
      </c>
      <c r="AJ77" s="45" t="s">
        <v>155</v>
      </c>
      <c r="AK77" s="30">
        <f>Tableau1[[#This Row],[Date de Début]]-AH77</f>
        <v>45726</v>
      </c>
      <c r="AL77" s="217">
        <v>45715</v>
      </c>
      <c r="AM77" s="25">
        <f t="shared" si="35"/>
        <v>21</v>
      </c>
      <c r="AN77" s="266" t="str">
        <f>IF(AL77="","",TEXT(Tableau1[[#This Row],[Date de fin de vérification]],"AAAA-MM-JJ"))</f>
        <v>2025-02-27</v>
      </c>
      <c r="AO77" s="48">
        <f>Tableau1[[#This Row],[Date de Début]]-AM77</f>
        <v>45726</v>
      </c>
      <c r="AP77" s="217">
        <v>45716</v>
      </c>
      <c r="AQ77" s="25">
        <f t="shared" si="36"/>
        <v>14</v>
      </c>
      <c r="AR77" s="256" t="str">
        <f>TEXT(AP78,"JJ/MM/AAAA")</f>
        <v>28/02/2025</v>
      </c>
      <c r="AS77" s="48">
        <f>Tableau1[[#This Row],[Date de Début]]-AQ77</f>
        <v>45733</v>
      </c>
      <c r="AT77" s="217">
        <v>45720</v>
      </c>
      <c r="AU77" s="25">
        <f t="shared" si="37"/>
        <v>14</v>
      </c>
      <c r="AV77" s="256" t="str">
        <f t="shared" si="42"/>
        <v>04-03-2025</v>
      </c>
      <c r="AW77" s="48">
        <f>Tableau1[[#This Row],[Date de Début]]-AU77</f>
        <v>45733</v>
      </c>
      <c r="AX77" s="217">
        <v>45721</v>
      </c>
      <c r="AY77" s="217" t="str">
        <f t="shared" si="43"/>
        <v>2025-03-05</v>
      </c>
      <c r="AZ77" s="26">
        <f>IF(Tableau1[[#This Row],[Date limite de fin de rédaction]]&lt;Tableau1[[#This Row],[Date de fin de rédaction]],1,0)</f>
        <v>0</v>
      </c>
      <c r="BA77" s="26">
        <f>IF(Tableau1[[#This Row],[Date limite de fin de vérification]]&lt;Tableau1[[#This Row],[Date de fin de vérification]],1,0)</f>
        <v>0</v>
      </c>
      <c r="BB77" s="26">
        <f>IF(Tableau1[[#This Row],[Date limite d''envoi a  l''exploitation]]&lt;Tableau1[[#This Row],[Date d''envoi à  l''exploitation
(Mettre en copier le demandeur et le rédacteur)]],1,0)</f>
        <v>0</v>
      </c>
      <c r="BC77" s="26">
        <f>IF(Tableau1[[#This Row],[Date limite de réception]]&lt;Tableau1[[#This Row],[Date de réception]],1,0)</f>
        <v>0</v>
      </c>
      <c r="BD77" s="52">
        <f>IF(Tableau1[[#This Row],[Date limite limite de dépose sur la GED]]&lt;Tableau1[[#This Row],[Date de dépose sur la GED]],1,0)</f>
        <v>0</v>
      </c>
      <c r="BE77" s="244"/>
      <c r="BF77" s="243"/>
      <c r="BG77" s="309"/>
      <c r="BH77" s="295"/>
      <c r="BI77" s="297"/>
      <c r="BJ77" s="300"/>
      <c r="BK77" s="242"/>
    </row>
    <row r="78" spans="1:63" x14ac:dyDescent="0.25">
      <c r="A78" s="223">
        <f t="shared" si="44"/>
        <v>69</v>
      </c>
      <c r="B78" s="90" t="s">
        <v>152</v>
      </c>
      <c r="C78" s="211">
        <v>15139</v>
      </c>
      <c r="D78" s="212" t="s">
        <v>106</v>
      </c>
      <c r="E78" s="24" t="s">
        <v>235</v>
      </c>
      <c r="F78" s="21" t="s">
        <v>103</v>
      </c>
      <c r="G78" s="159" t="str">
        <f>"xxx-2025-"&amp;Tableau1[[#This Row],[N° de 
Ctx]]&amp;"-"&amp;Tableau1[[#This Row],[N° semaine]]&amp;"-"&amp; Tableau1[[#This Row],[Nature des travaux]]</f>
        <v>xxx-2025-69-S14-Contrat 69</v>
      </c>
      <c r="H78" s="214" t="str">
        <f>IF(Tableau1[[#This Row],[Nature des travaux]]=0,"Saisir nature des travaux",Tableau1[[#This Row],[Colonne1]])&amp;"-"&amp;Tableau1[[#This Row],[Jour]]</f>
        <v>xxx-2025-69-S14-Contrat 69-MaMe</v>
      </c>
      <c r="I78" s="29"/>
      <c r="J78" s="24"/>
      <c r="K78" s="24"/>
      <c r="L78" s="24" t="s">
        <v>79</v>
      </c>
      <c r="M78" s="213">
        <f>COUNTIF(Tableau1[[#This Row],[Secteur 1]:[Secteur 4]],"x")</f>
        <v>1</v>
      </c>
      <c r="N78" s="92" t="s">
        <v>92</v>
      </c>
      <c r="O78" s="215" t="str">
        <f>IF(Tableau1[[#This Row],[Date de Fin]]-Tableau1[[#This Row],[Date de Début]]&gt;1,"X"," ")</f>
        <v xml:space="preserve"> </v>
      </c>
      <c r="P78" s="29"/>
      <c r="Q78" s="24"/>
      <c r="R78" s="116">
        <v>45748</v>
      </c>
      <c r="S78" s="285" t="str">
        <f t="shared" si="38"/>
        <v>2025-04-01</v>
      </c>
      <c r="T78" s="216">
        <v>45749</v>
      </c>
      <c r="U78" s="280" t="str">
        <f t="shared" si="39"/>
        <v>2025-04-02</v>
      </c>
      <c r="V78" s="176" t="str">
        <f>PROPER(LEFT(TEXT(Tableau1[[#This Row],[Date de Début]],"jjjj"),2))&amp; "" &amp; PROPER(LEFT(TEXT(Tableau1[[#This Row],[Date de Début]]+1,"jjjj"),2))</f>
        <v>MaMe</v>
      </c>
      <c r="W78" s="175" t="str">
        <f>IF(Tableau1[[#This Row],[Nb jours]]&gt;1,PROPER(LEFT(TEXT(Tableau1[[#This Row],[Date de Début]]+1,"jjjj"),2))&amp; "" &amp; PROPER(LEFT(TEXT(Tableau1[[#This Row],[Date de Début]]+2,"jjjj"),2)),"")</f>
        <v/>
      </c>
      <c r="X78" s="175" t="str">
        <f>IF(Tableau1[[#This Row],[Nb jours]]&gt;2,PROPER(LEFT(TEXT(Tableau1[[#This Row],[Date de Début]]+2,"jjjj"),2))&amp; "" &amp; PROPER(LEFT(TEXT(Tableau1[[#This Row],[Date de Début]]+3,"jjjj"),2)),"")</f>
        <v/>
      </c>
      <c r="Y78" s="176" t="str">
        <f>IF(Tableau1[[#This Row],[Nb jours]]&gt;3,PROPER(LEFT(TEXT(Tableau1[[#This Row],[Date de Début]]+3,"jjjj"),2))&amp; "" &amp; PROPER(LEFT(TEXT(Tableau1[[#This Row],[Date de Début]]+4,"jjjj"),2)),"")</f>
        <v/>
      </c>
      <c r="Z78" s="175" t="str">
        <f>IF(Tableau1[[#This Row],[Nb jours]]&gt;4,PROPER(LEFT(TEXT(Tableau1[[#This Row],[Date de Début]]+4,"jjjj"),2))&amp; "" &amp; PROPER(LEFT(TEXT(Tableau1[[#This Row],[Date de Début]]+5,"jjjj"),2)),"")</f>
        <v/>
      </c>
      <c r="AA78" s="176" t="str">
        <f>IF(Tableau1[[#This Row],[Nb jours]]&gt;5,PROPER(LEFT(TEXT(Tableau1[[#This Row],[Date de Début]]+5,"jjjj"),2))&amp; "" &amp; PROPER(LEFT(TEXT(Tableau1[[#This Row],[Date de Début]]+6,"jjjj"),2)),"")</f>
        <v/>
      </c>
      <c r="AB78" s="177">
        <f>Tableau1[[#This Row],[Date de Fin]]-Tableau1[[#This Row],[Date de Début]]</f>
        <v>1</v>
      </c>
      <c r="AC78" s="218" t="str">
        <f>Tableau1[[#This Row],[Nuit 1]]&amp;Tableau1[[#This Row],[Nuit 2]]&amp;Tableau1[[#This Row],[Nuit 3]]&amp;Tableau1[[#This Row],[Nuit 4]]&amp;Tableau1[[#This Row],[Nuit 5]]&amp;Tableau1[[#This Row],[Nuit 6]]</f>
        <v>MaMe</v>
      </c>
      <c r="AD78" s="42" t="s">
        <v>143</v>
      </c>
      <c r="AE78" s="25">
        <f t="shared" si="33"/>
        <v>28</v>
      </c>
      <c r="AF78" s="30">
        <f>Tableau1[[#This Row],[Date de Début]]-AE78</f>
        <v>45720</v>
      </c>
      <c r="AG78" s="93">
        <v>45713</v>
      </c>
      <c r="AH78" s="25">
        <f t="shared" si="34"/>
        <v>21</v>
      </c>
      <c r="AI78" s="254" t="str">
        <f t="shared" si="40"/>
        <v>2025-02-25</v>
      </c>
      <c r="AJ78" s="45" t="s">
        <v>155</v>
      </c>
      <c r="AK78" s="30">
        <f>Tableau1[[#This Row],[Date de Début]]-AH78</f>
        <v>45727</v>
      </c>
      <c r="AL78" s="217">
        <v>45715</v>
      </c>
      <c r="AM78" s="25">
        <f t="shared" si="35"/>
        <v>21</v>
      </c>
      <c r="AN78" s="266" t="str">
        <f>IF(AL78="","",TEXT(Tableau1[[#This Row],[Date de fin de vérification]],"AAAA-MM-JJ"))</f>
        <v>2025-02-27</v>
      </c>
      <c r="AO78" s="48">
        <f>Tableau1[[#This Row],[Date de Début]]-AM78</f>
        <v>45727</v>
      </c>
      <c r="AP78" s="217">
        <v>45716</v>
      </c>
      <c r="AQ78" s="25">
        <f t="shared" si="36"/>
        <v>14</v>
      </c>
      <c r="AR78" s="256" t="e">
        <f>TEXT(#REF!,"JJ/MM/AAAA")</f>
        <v>#REF!</v>
      </c>
      <c r="AS78" s="48">
        <f>Tableau1[[#This Row],[Date de Début]]-AQ78</f>
        <v>45734</v>
      </c>
      <c r="AT78" s="217">
        <v>45720</v>
      </c>
      <c r="AU78" s="25">
        <f t="shared" si="37"/>
        <v>14</v>
      </c>
      <c r="AV78" s="256" t="str">
        <f t="shared" si="42"/>
        <v>04-03-2025</v>
      </c>
      <c r="AW78" s="48">
        <f>Tableau1[[#This Row],[Date de Début]]-AU78</f>
        <v>45734</v>
      </c>
      <c r="AX78" s="217">
        <v>45721</v>
      </c>
      <c r="AY78" s="217" t="str">
        <f t="shared" si="43"/>
        <v>2025-03-05</v>
      </c>
      <c r="AZ78" s="26">
        <f>IF(Tableau1[[#This Row],[Date limite de fin de rédaction]]&lt;Tableau1[[#This Row],[Date de fin de rédaction]],1,0)</f>
        <v>0</v>
      </c>
      <c r="BA78" s="26">
        <f>IF(Tableau1[[#This Row],[Date limite de fin de vérification]]&lt;Tableau1[[#This Row],[Date de fin de vérification]],1,0)</f>
        <v>0</v>
      </c>
      <c r="BB78" s="26">
        <f>IF(Tableau1[[#This Row],[Date limite d''envoi a  l''exploitation]]&lt;Tableau1[[#This Row],[Date d''envoi à  l''exploitation
(Mettre en copier le demandeur et le rédacteur)]],1,0)</f>
        <v>0</v>
      </c>
      <c r="BC78" s="26">
        <f>IF(Tableau1[[#This Row],[Date limite de réception]]&lt;Tableau1[[#This Row],[Date de réception]],1,0)</f>
        <v>0</v>
      </c>
      <c r="BD78" s="52">
        <f>IF(Tableau1[[#This Row],[Date limite limite de dépose sur la GED]]&lt;Tableau1[[#This Row],[Date de dépose sur la GED]],1,0)</f>
        <v>0</v>
      </c>
      <c r="BE78" s="244"/>
      <c r="BF78" s="243"/>
      <c r="BG78" s="309"/>
      <c r="BH78" s="295"/>
      <c r="BI78" s="297"/>
      <c r="BJ78" s="300"/>
      <c r="BK78" s="242"/>
    </row>
    <row r="79" spans="1:63" x14ac:dyDescent="0.25">
      <c r="A79" s="223">
        <f t="shared" si="44"/>
        <v>70</v>
      </c>
      <c r="B79" s="90" t="s">
        <v>152</v>
      </c>
      <c r="C79" s="211">
        <v>15139</v>
      </c>
      <c r="D79" s="212" t="s">
        <v>106</v>
      </c>
      <c r="E79" s="24" t="s">
        <v>236</v>
      </c>
      <c r="F79" s="21" t="s">
        <v>103</v>
      </c>
      <c r="G79" s="159" t="str">
        <f>"xxx-2025-"&amp;Tableau1[[#This Row],[N° de 
Ctx]]&amp;"-"&amp;Tableau1[[#This Row],[N° semaine]]&amp;"-"&amp; Tableau1[[#This Row],[Nature des travaux]]</f>
        <v>xxx-2025-70-S14-Contrat 70</v>
      </c>
      <c r="H79" s="214" t="str">
        <f>IF(Tableau1[[#This Row],[Nature des travaux]]=0,"Saisir nature des travaux",Tableau1[[#This Row],[Colonne1]])&amp;"-"&amp;Tableau1[[#This Row],[Jour]]</f>
        <v>xxx-2025-70-S14-Contrat 70-MeJe</v>
      </c>
      <c r="I79" s="29"/>
      <c r="J79" s="24"/>
      <c r="K79" s="24"/>
      <c r="L79" s="24" t="s">
        <v>79</v>
      </c>
      <c r="M79" s="213">
        <f>COUNTIF(Tableau1[[#This Row],[Secteur 1]:[Secteur 4]],"x")</f>
        <v>1</v>
      </c>
      <c r="N79" s="92" t="s">
        <v>92</v>
      </c>
      <c r="O79" s="215" t="str">
        <f>IF(Tableau1[[#This Row],[Date de Fin]]-Tableau1[[#This Row],[Date de Début]]&gt;1,"X"," ")</f>
        <v xml:space="preserve"> </v>
      </c>
      <c r="P79" s="29"/>
      <c r="Q79" s="24"/>
      <c r="R79" s="116">
        <v>45749</v>
      </c>
      <c r="S79" s="285" t="str">
        <f t="shared" si="38"/>
        <v>2025-04-02</v>
      </c>
      <c r="T79" s="216">
        <v>45750</v>
      </c>
      <c r="U79" s="280" t="str">
        <f t="shared" si="39"/>
        <v>2025-04-03</v>
      </c>
      <c r="V79" s="176" t="str">
        <f>PROPER(LEFT(TEXT(Tableau1[[#This Row],[Date de Début]],"jjjj"),2))&amp; "" &amp; PROPER(LEFT(TEXT(Tableau1[[#This Row],[Date de Début]]+1,"jjjj"),2))</f>
        <v>MeJe</v>
      </c>
      <c r="W79" s="175" t="str">
        <f>IF(Tableau1[[#This Row],[Nb jours]]&gt;1,PROPER(LEFT(TEXT(Tableau1[[#This Row],[Date de Début]]+1,"jjjj"),2))&amp; "" &amp; PROPER(LEFT(TEXT(Tableau1[[#This Row],[Date de Début]]+2,"jjjj"),2)),"")</f>
        <v/>
      </c>
      <c r="X79" s="175" t="str">
        <f>IF(Tableau1[[#This Row],[Nb jours]]&gt;2,PROPER(LEFT(TEXT(Tableau1[[#This Row],[Date de Début]]+2,"jjjj"),2))&amp; "" &amp; PROPER(LEFT(TEXT(Tableau1[[#This Row],[Date de Début]]+3,"jjjj"),2)),"")</f>
        <v/>
      </c>
      <c r="Y79" s="176" t="str">
        <f>IF(Tableau1[[#This Row],[Nb jours]]&gt;3,PROPER(LEFT(TEXT(Tableau1[[#This Row],[Date de Début]]+3,"jjjj"),2))&amp; "" &amp; PROPER(LEFT(TEXT(Tableau1[[#This Row],[Date de Début]]+4,"jjjj"),2)),"")</f>
        <v/>
      </c>
      <c r="Z79" s="175" t="str">
        <f>IF(Tableau1[[#This Row],[Nb jours]]&gt;4,PROPER(LEFT(TEXT(Tableau1[[#This Row],[Date de Début]]+4,"jjjj"),2))&amp; "" &amp; PROPER(LEFT(TEXT(Tableau1[[#This Row],[Date de Début]]+5,"jjjj"),2)),"")</f>
        <v/>
      </c>
      <c r="AA79" s="176" t="str">
        <f>IF(Tableau1[[#This Row],[Nb jours]]&gt;5,PROPER(LEFT(TEXT(Tableau1[[#This Row],[Date de Début]]+5,"jjjj"),2))&amp; "" &amp; PROPER(LEFT(TEXT(Tableau1[[#This Row],[Date de Début]]+6,"jjjj"),2)),"")</f>
        <v/>
      </c>
      <c r="AB79" s="177">
        <f>Tableau1[[#This Row],[Date de Fin]]-Tableau1[[#This Row],[Date de Début]]</f>
        <v>1</v>
      </c>
      <c r="AC79" s="218" t="str">
        <f>Tableau1[[#This Row],[Nuit 1]]&amp;Tableau1[[#This Row],[Nuit 2]]&amp;Tableau1[[#This Row],[Nuit 3]]&amp;Tableau1[[#This Row],[Nuit 4]]&amp;Tableau1[[#This Row],[Nuit 5]]&amp;Tableau1[[#This Row],[Nuit 6]]</f>
        <v>MeJe</v>
      </c>
      <c r="AD79" s="42" t="s">
        <v>143</v>
      </c>
      <c r="AE79" s="25">
        <f t="shared" si="33"/>
        <v>28</v>
      </c>
      <c r="AF79" s="30">
        <f>Tableau1[[#This Row],[Date de Début]]-AE79</f>
        <v>45721</v>
      </c>
      <c r="AG79" s="93">
        <v>45713</v>
      </c>
      <c r="AH79" s="25">
        <f t="shared" si="34"/>
        <v>21</v>
      </c>
      <c r="AI79" s="254" t="str">
        <f t="shared" si="40"/>
        <v>2025-02-25</v>
      </c>
      <c r="AJ79" s="45" t="s">
        <v>155</v>
      </c>
      <c r="AK79" s="30">
        <f>Tableau1[[#This Row],[Date de Début]]-AH79</f>
        <v>45728</v>
      </c>
      <c r="AL79" s="217">
        <v>45715</v>
      </c>
      <c r="AM79" s="25">
        <f t="shared" si="35"/>
        <v>21</v>
      </c>
      <c r="AN79" s="266" t="str">
        <f>IF(AL79="","",TEXT(Tableau1[[#This Row],[Date de fin de vérification]],"AAAA-MM-JJ"))</f>
        <v>2025-02-27</v>
      </c>
      <c r="AO79" s="48">
        <f>Tableau1[[#This Row],[Date de Début]]-AM79</f>
        <v>45728</v>
      </c>
      <c r="AP79" s="217">
        <v>45716</v>
      </c>
      <c r="AQ79" s="25">
        <f t="shared" si="36"/>
        <v>14</v>
      </c>
      <c r="AR79" s="256" t="str">
        <f t="shared" si="41"/>
        <v>28/02/2025</v>
      </c>
      <c r="AS79" s="48">
        <f>Tableau1[[#This Row],[Date de Début]]-AQ79</f>
        <v>45735</v>
      </c>
      <c r="AT79" s="217">
        <v>45720</v>
      </c>
      <c r="AU79" s="25">
        <f t="shared" si="37"/>
        <v>14</v>
      </c>
      <c r="AV79" s="256" t="str">
        <f t="shared" si="42"/>
        <v>04-03-2025</v>
      </c>
      <c r="AW79" s="48">
        <f>Tableau1[[#This Row],[Date de Début]]-AU79</f>
        <v>45735</v>
      </c>
      <c r="AX79" s="217">
        <v>45721</v>
      </c>
      <c r="AY79" s="217" t="str">
        <f t="shared" si="43"/>
        <v>2025-03-05</v>
      </c>
      <c r="AZ79" s="26">
        <f>IF(Tableau1[[#This Row],[Date limite de fin de rédaction]]&lt;Tableau1[[#This Row],[Date de fin de rédaction]],1,0)</f>
        <v>0</v>
      </c>
      <c r="BA79" s="26">
        <f>IF(Tableau1[[#This Row],[Date limite de fin de vérification]]&lt;Tableau1[[#This Row],[Date de fin de vérification]],1,0)</f>
        <v>0</v>
      </c>
      <c r="BB79" s="26">
        <f>IF(Tableau1[[#This Row],[Date limite d''envoi a  l''exploitation]]&lt;Tableau1[[#This Row],[Date d''envoi à  l''exploitation
(Mettre en copier le demandeur et le rédacteur)]],1,0)</f>
        <v>0</v>
      </c>
      <c r="BC79" s="26">
        <f>IF(Tableau1[[#This Row],[Date limite de réception]]&lt;Tableau1[[#This Row],[Date de réception]],1,0)</f>
        <v>0</v>
      </c>
      <c r="BD79" s="52">
        <f>IF(Tableau1[[#This Row],[Date limite limite de dépose sur la GED]]&lt;Tableau1[[#This Row],[Date de dépose sur la GED]],1,0)</f>
        <v>0</v>
      </c>
      <c r="BE79" s="244"/>
      <c r="BF79" s="243"/>
      <c r="BG79" s="309"/>
      <c r="BH79" s="295"/>
      <c r="BI79" s="297"/>
      <c r="BJ79" s="300"/>
      <c r="BK79" s="242"/>
    </row>
    <row r="80" spans="1:63" x14ac:dyDescent="0.25">
      <c r="A80" s="223">
        <f t="shared" si="44"/>
        <v>71</v>
      </c>
      <c r="B80" s="90" t="s">
        <v>152</v>
      </c>
      <c r="C80" s="211">
        <v>15139</v>
      </c>
      <c r="D80" s="212" t="s">
        <v>106</v>
      </c>
      <c r="E80" s="24" t="s">
        <v>237</v>
      </c>
      <c r="F80" s="21" t="s">
        <v>103</v>
      </c>
      <c r="G80" s="159" t="str">
        <f>"xxx-2025-"&amp;Tableau1[[#This Row],[N° de 
Ctx]]&amp;"-"&amp;Tableau1[[#This Row],[N° semaine]]&amp;"-"&amp; Tableau1[[#This Row],[Nature des travaux]]</f>
        <v>xxx-2025-71-S14-Contrat 71</v>
      </c>
      <c r="H80" s="214" t="str">
        <f>IF(Tableau1[[#This Row],[Nature des travaux]]=0,"Saisir nature des travaux",Tableau1[[#This Row],[Colonne1]])&amp;"-"&amp;Tableau1[[#This Row],[Jour]]</f>
        <v>xxx-2025-71-S14-Contrat 71-JeVe</v>
      </c>
      <c r="I80" s="29"/>
      <c r="J80" s="24"/>
      <c r="K80" s="24"/>
      <c r="L80" s="24" t="s">
        <v>79</v>
      </c>
      <c r="M80" s="213">
        <f>COUNTIF(Tableau1[[#This Row],[Secteur 1]:[Secteur 4]],"x")</f>
        <v>1</v>
      </c>
      <c r="N80" s="92" t="s">
        <v>92</v>
      </c>
      <c r="O80" s="215" t="str">
        <f>IF(Tableau1[[#This Row],[Date de Fin]]-Tableau1[[#This Row],[Date de Début]]&gt;1,"X"," ")</f>
        <v xml:space="preserve"> </v>
      </c>
      <c r="P80" s="29"/>
      <c r="Q80" s="24"/>
      <c r="R80" s="116">
        <v>45750</v>
      </c>
      <c r="S80" s="285" t="str">
        <f t="shared" si="38"/>
        <v>2025-04-03</v>
      </c>
      <c r="T80" s="216">
        <v>45751</v>
      </c>
      <c r="U80" s="280" t="str">
        <f t="shared" si="39"/>
        <v>2025-04-04</v>
      </c>
      <c r="V80" s="176" t="str">
        <f>PROPER(LEFT(TEXT(Tableau1[[#This Row],[Date de Début]],"jjjj"),2))&amp; "" &amp; PROPER(LEFT(TEXT(Tableau1[[#This Row],[Date de Début]]+1,"jjjj"),2))</f>
        <v>JeVe</v>
      </c>
      <c r="W80" s="175" t="str">
        <f>IF(Tableau1[[#This Row],[Nb jours]]&gt;1,PROPER(LEFT(TEXT(Tableau1[[#This Row],[Date de Début]]+1,"jjjj"),2))&amp; "" &amp; PROPER(LEFT(TEXT(Tableau1[[#This Row],[Date de Début]]+2,"jjjj"),2)),"")</f>
        <v/>
      </c>
      <c r="X80" s="175" t="str">
        <f>IF(Tableau1[[#This Row],[Nb jours]]&gt;2,PROPER(LEFT(TEXT(Tableau1[[#This Row],[Date de Début]]+2,"jjjj"),2))&amp; "" &amp; PROPER(LEFT(TEXT(Tableau1[[#This Row],[Date de Début]]+3,"jjjj"),2)),"")</f>
        <v/>
      </c>
      <c r="Y80" s="176" t="str">
        <f>IF(Tableau1[[#This Row],[Nb jours]]&gt;3,PROPER(LEFT(TEXT(Tableau1[[#This Row],[Date de Début]]+3,"jjjj"),2))&amp; "" &amp; PROPER(LEFT(TEXT(Tableau1[[#This Row],[Date de Début]]+4,"jjjj"),2)),"")</f>
        <v/>
      </c>
      <c r="Z80" s="175" t="str">
        <f>IF(Tableau1[[#This Row],[Nb jours]]&gt;4,PROPER(LEFT(TEXT(Tableau1[[#This Row],[Date de Début]]+4,"jjjj"),2))&amp; "" &amp; PROPER(LEFT(TEXT(Tableau1[[#This Row],[Date de Début]]+5,"jjjj"),2)),"")</f>
        <v/>
      </c>
      <c r="AA80" s="176" t="str">
        <f>IF(Tableau1[[#This Row],[Nb jours]]&gt;5,PROPER(LEFT(TEXT(Tableau1[[#This Row],[Date de Début]]+5,"jjjj"),2))&amp; "" &amp; PROPER(LEFT(TEXT(Tableau1[[#This Row],[Date de Début]]+6,"jjjj"),2)),"")</f>
        <v/>
      </c>
      <c r="AB80" s="177">
        <f>Tableau1[[#This Row],[Date de Fin]]-Tableau1[[#This Row],[Date de Début]]</f>
        <v>1</v>
      </c>
      <c r="AC80" s="218" t="str">
        <f>Tableau1[[#This Row],[Nuit 1]]&amp;Tableau1[[#This Row],[Nuit 2]]&amp;Tableau1[[#This Row],[Nuit 3]]&amp;Tableau1[[#This Row],[Nuit 4]]&amp;Tableau1[[#This Row],[Nuit 5]]&amp;Tableau1[[#This Row],[Nuit 6]]</f>
        <v>JeVe</v>
      </c>
      <c r="AD80" s="42" t="s">
        <v>143</v>
      </c>
      <c r="AE80" s="25">
        <f t="shared" si="33"/>
        <v>28</v>
      </c>
      <c r="AF80" s="30">
        <f>Tableau1[[#This Row],[Date de Début]]-AE80</f>
        <v>45722</v>
      </c>
      <c r="AG80" s="93">
        <v>45713</v>
      </c>
      <c r="AH80" s="25">
        <f t="shared" si="34"/>
        <v>21</v>
      </c>
      <c r="AI80" s="254" t="str">
        <f t="shared" si="40"/>
        <v>2025-02-25</v>
      </c>
      <c r="AJ80" s="45" t="s">
        <v>155</v>
      </c>
      <c r="AK80" s="30">
        <f>Tableau1[[#This Row],[Date de Début]]-AH80</f>
        <v>45729</v>
      </c>
      <c r="AL80" s="217">
        <v>45715</v>
      </c>
      <c r="AM80" s="25">
        <f t="shared" si="35"/>
        <v>21</v>
      </c>
      <c r="AN80" s="266" t="str">
        <f>IF(AL80="","",TEXT(Tableau1[[#This Row],[Date de fin de vérification]],"AAAA-MM-JJ"))</f>
        <v>2025-02-27</v>
      </c>
      <c r="AO80" s="48">
        <f>Tableau1[[#This Row],[Date de Début]]-AM80</f>
        <v>45729</v>
      </c>
      <c r="AP80" s="217">
        <v>45716</v>
      </c>
      <c r="AQ80" s="25">
        <f t="shared" si="36"/>
        <v>14</v>
      </c>
      <c r="AR80" s="256" t="str">
        <f t="shared" si="41"/>
        <v>28/02/2025</v>
      </c>
      <c r="AS80" s="48">
        <f>Tableau1[[#This Row],[Date de Début]]-AQ80</f>
        <v>45736</v>
      </c>
      <c r="AT80" s="217">
        <v>45720</v>
      </c>
      <c r="AU80" s="25">
        <f t="shared" si="37"/>
        <v>14</v>
      </c>
      <c r="AV80" s="256" t="str">
        <f t="shared" si="42"/>
        <v>04-03-2025</v>
      </c>
      <c r="AW80" s="48">
        <f>Tableau1[[#This Row],[Date de Début]]-AU80</f>
        <v>45736</v>
      </c>
      <c r="AX80" s="217">
        <v>45721</v>
      </c>
      <c r="AY80" s="217" t="str">
        <f t="shared" si="43"/>
        <v>2025-03-05</v>
      </c>
      <c r="AZ80" s="26">
        <f>IF(Tableau1[[#This Row],[Date limite de fin de rédaction]]&lt;Tableau1[[#This Row],[Date de fin de rédaction]],1,0)</f>
        <v>0</v>
      </c>
      <c r="BA80" s="26">
        <f>IF(Tableau1[[#This Row],[Date limite de fin de vérification]]&lt;Tableau1[[#This Row],[Date de fin de vérification]],1,0)</f>
        <v>0</v>
      </c>
      <c r="BB80" s="26">
        <f>IF(Tableau1[[#This Row],[Date limite d''envoi a  l''exploitation]]&lt;Tableau1[[#This Row],[Date d''envoi à  l''exploitation
(Mettre en copier le demandeur et le rédacteur)]],1,0)</f>
        <v>0</v>
      </c>
      <c r="BC80" s="26">
        <f>IF(Tableau1[[#This Row],[Date limite de réception]]&lt;Tableau1[[#This Row],[Date de réception]],1,0)</f>
        <v>0</v>
      </c>
      <c r="BD80" s="52">
        <f>IF(Tableau1[[#This Row],[Date limite limite de dépose sur la GED]]&lt;Tableau1[[#This Row],[Date de dépose sur la GED]],1,0)</f>
        <v>0</v>
      </c>
      <c r="BE80" s="244"/>
      <c r="BF80" s="243"/>
      <c r="BG80" s="309"/>
      <c r="BH80" s="295"/>
      <c r="BI80" s="297"/>
      <c r="BJ80" s="300"/>
      <c r="BK80" s="242"/>
    </row>
    <row r="81" spans="1:63" x14ac:dyDescent="0.25">
      <c r="A81" s="223">
        <f t="shared" si="44"/>
        <v>72</v>
      </c>
      <c r="B81" s="90" t="s">
        <v>152</v>
      </c>
      <c r="C81" s="211">
        <v>15141</v>
      </c>
      <c r="D81" s="212" t="str">
        <f>IF(Tableau1[[#This Row],[Date de Début]]=0,"Saisir date de début","S"&amp; _xlfn.ISOWEEKNUM(R81))</f>
        <v>S15</v>
      </c>
      <c r="E81" s="24" t="s">
        <v>238</v>
      </c>
      <c r="F81" s="21" t="s">
        <v>103</v>
      </c>
      <c r="G81" s="159" t="str">
        <f>"xxx-2025-"&amp;Tableau1[[#This Row],[N° de 
Ctx]]&amp;"-"&amp;Tableau1[[#This Row],[N° semaine]]&amp;"-"&amp; Tableau1[[#This Row],[Nature des travaux]]</f>
        <v>xxx-2025-72-S15-Contrat 72</v>
      </c>
      <c r="H81" s="214" t="str">
        <f>IF(Tableau1[[#This Row],[Nature des travaux]]=0,"Saisir nature des travaux",Tableau1[[#This Row],[Colonne1]])&amp;"-"&amp;Tableau1[[#This Row],[Jour]]</f>
        <v>xxx-2025-72-S15-Contrat 72-LuMa</v>
      </c>
      <c r="I81" s="29"/>
      <c r="J81" s="24"/>
      <c r="K81" s="24"/>
      <c r="L81" s="24" t="s">
        <v>79</v>
      </c>
      <c r="M81" s="213">
        <f>COUNTIF(Tableau1[[#This Row],[Secteur 1]:[Secteur 4]],"x")</f>
        <v>1</v>
      </c>
      <c r="N81" s="92" t="s">
        <v>92</v>
      </c>
      <c r="O81" s="215" t="str">
        <f>IF(Tableau1[[#This Row],[Date de Fin]]-Tableau1[[#This Row],[Date de Début]]&gt;1,"X"," ")</f>
        <v xml:space="preserve"> </v>
      </c>
      <c r="P81" s="29"/>
      <c r="Q81" s="24"/>
      <c r="R81" s="116">
        <v>45754</v>
      </c>
      <c r="S81" s="285" t="str">
        <f t="shared" si="38"/>
        <v>2025-04-07</v>
      </c>
      <c r="T81" s="216">
        <v>45755</v>
      </c>
      <c r="U81" s="280" t="str">
        <f t="shared" si="39"/>
        <v>2025-04-08</v>
      </c>
      <c r="V81" s="176" t="str">
        <f>PROPER(LEFT(TEXT(Tableau1[[#This Row],[Date de Début]],"jjjj"),2))&amp; "" &amp; PROPER(LEFT(TEXT(Tableau1[[#This Row],[Date de Début]]+1,"jjjj"),2))</f>
        <v>LuMa</v>
      </c>
      <c r="W81" s="175" t="str">
        <f>IF(Tableau1[[#This Row],[Nb jours]]&gt;1,PROPER(LEFT(TEXT(Tableau1[[#This Row],[Date de Début]]+1,"jjjj"),2))&amp; "" &amp; PROPER(LEFT(TEXT(Tableau1[[#This Row],[Date de Début]]+2,"jjjj"),2)),"")</f>
        <v/>
      </c>
      <c r="X81" s="175" t="str">
        <f>IF(Tableau1[[#This Row],[Nb jours]]&gt;2,PROPER(LEFT(TEXT(Tableau1[[#This Row],[Date de Début]]+2,"jjjj"),2))&amp; "" &amp; PROPER(LEFT(TEXT(Tableau1[[#This Row],[Date de Début]]+3,"jjjj"),2)),"")</f>
        <v/>
      </c>
      <c r="Y81" s="176" t="str">
        <f>IF(Tableau1[[#This Row],[Nb jours]]&gt;3,PROPER(LEFT(TEXT(Tableau1[[#This Row],[Date de Début]]+3,"jjjj"),2))&amp; "" &amp; PROPER(LEFT(TEXT(Tableau1[[#This Row],[Date de Début]]+4,"jjjj"),2)),"")</f>
        <v/>
      </c>
      <c r="Z81" s="175" t="str">
        <f>IF(Tableau1[[#This Row],[Nb jours]]&gt;4,PROPER(LEFT(TEXT(Tableau1[[#This Row],[Date de Début]]+4,"jjjj"),2))&amp; "" &amp; PROPER(LEFT(TEXT(Tableau1[[#This Row],[Date de Début]]+5,"jjjj"),2)),"")</f>
        <v/>
      </c>
      <c r="AA81" s="176" t="str">
        <f>IF(Tableau1[[#This Row],[Nb jours]]&gt;5,PROPER(LEFT(TEXT(Tableau1[[#This Row],[Date de Début]]+5,"jjjj"),2))&amp; "" &amp; PROPER(LEFT(TEXT(Tableau1[[#This Row],[Date de Début]]+6,"jjjj"),2)),"")</f>
        <v/>
      </c>
      <c r="AB81" s="177">
        <f>Tableau1[[#This Row],[Date de Fin]]-Tableau1[[#This Row],[Date de Début]]</f>
        <v>1</v>
      </c>
      <c r="AC81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81" s="42" t="s">
        <v>143</v>
      </c>
      <c r="AE81" s="25">
        <f t="shared" si="33"/>
        <v>28</v>
      </c>
      <c r="AF81" s="30">
        <f>Tableau1[[#This Row],[Date de Début]]-AE81</f>
        <v>45726</v>
      </c>
      <c r="AG81" s="217">
        <v>45716</v>
      </c>
      <c r="AH81" s="25">
        <f t="shared" si="34"/>
        <v>21</v>
      </c>
      <c r="AI81" s="256" t="str">
        <f t="shared" si="40"/>
        <v>2025-02-28</v>
      </c>
      <c r="AJ81" s="45" t="s">
        <v>155</v>
      </c>
      <c r="AK81" s="30">
        <f>Tableau1[[#This Row],[Date de Début]]-AH81</f>
        <v>45733</v>
      </c>
      <c r="AL81" s="217">
        <v>45729</v>
      </c>
      <c r="AM81" s="25">
        <f t="shared" si="35"/>
        <v>21</v>
      </c>
      <c r="AN81" s="266" t="str">
        <f>IF(AL81="","",TEXT(Tableau1[[#This Row],[Date de fin de vérification]],"AAAA-MM-JJ"))</f>
        <v>2025-03-13</v>
      </c>
      <c r="AO81" s="48">
        <f>Tableau1[[#This Row],[Date de Début]]-AM81</f>
        <v>45733</v>
      </c>
      <c r="AP81" s="217">
        <v>45729</v>
      </c>
      <c r="AQ81" s="25">
        <f t="shared" si="36"/>
        <v>14</v>
      </c>
      <c r="AR81" s="256" t="str">
        <f t="shared" si="41"/>
        <v>13/03/2025</v>
      </c>
      <c r="AS81" s="48">
        <f>Tableau1[[#This Row],[Date de Début]]-AQ81</f>
        <v>45740</v>
      </c>
      <c r="AT81" s="217">
        <v>45730</v>
      </c>
      <c r="AU81" s="25">
        <f t="shared" si="37"/>
        <v>14</v>
      </c>
      <c r="AV81" s="256" t="str">
        <f t="shared" si="42"/>
        <v>14-03-2025</v>
      </c>
      <c r="AW81" s="48">
        <f>Tableau1[[#This Row],[Date de Début]]-AU81</f>
        <v>45740</v>
      </c>
      <c r="AX81" s="217">
        <v>45730</v>
      </c>
      <c r="AY81" s="217"/>
      <c r="AZ81" s="26">
        <f>IF(Tableau1[[#This Row],[Date limite de fin de rédaction]]&lt;Tableau1[[#This Row],[Date de fin de rédaction]],1,0)</f>
        <v>0</v>
      </c>
      <c r="BA81" s="26">
        <f>IF(Tableau1[[#This Row],[Date limite de fin de vérification]]&lt;Tableau1[[#This Row],[Date de fin de vérification]],1,0)</f>
        <v>0</v>
      </c>
      <c r="BB81" s="26">
        <f>IF(Tableau1[[#This Row],[Date limite d''envoi a  l''exploitation]]&lt;Tableau1[[#This Row],[Date d''envoi à  l''exploitation
(Mettre en copier le demandeur et le rédacteur)]],1,0)</f>
        <v>0</v>
      </c>
      <c r="BC81" s="26">
        <f>IF(Tableau1[[#This Row],[Date limite de réception]]&lt;Tableau1[[#This Row],[Date de réception]],1,0)</f>
        <v>0</v>
      </c>
      <c r="BD81" s="52">
        <f>IF(Tableau1[[#This Row],[Date limite limite de dépose sur la GED]]&lt;Tableau1[[#This Row],[Date de dépose sur la GED]],1,0)</f>
        <v>0</v>
      </c>
      <c r="BE81" s="244"/>
      <c r="BF81" s="243"/>
      <c r="BG81" s="309"/>
      <c r="BH81" s="295"/>
      <c r="BI81" s="297"/>
      <c r="BJ81" s="300"/>
      <c r="BK81" s="242"/>
    </row>
    <row r="82" spans="1:63" x14ac:dyDescent="0.25">
      <c r="A82" s="223">
        <f t="shared" si="44"/>
        <v>73</v>
      </c>
      <c r="B82" s="90" t="s">
        <v>152</v>
      </c>
      <c r="C82" s="211">
        <v>15142</v>
      </c>
      <c r="D82" s="212" t="str">
        <f>IF(Tableau1[[#This Row],[Date de Début]]=0,"Saisir date de début","S"&amp; _xlfn.ISOWEEKNUM(R82))</f>
        <v>S15</v>
      </c>
      <c r="E82" s="24" t="s">
        <v>239</v>
      </c>
      <c r="F82" s="21" t="s">
        <v>103</v>
      </c>
      <c r="G82" s="159" t="str">
        <f>"xxx-2025-"&amp;Tableau1[[#This Row],[N° de 
Ctx]]&amp;"-"&amp;Tableau1[[#This Row],[N° semaine]]&amp;"-"&amp; Tableau1[[#This Row],[Nature des travaux]]</f>
        <v>xxx-2025-73-S15-Contrat 73</v>
      </c>
      <c r="H82" s="214" t="str">
        <f>IF(Tableau1[[#This Row],[Nature des travaux]]=0,"Saisir nature des travaux",Tableau1[[#This Row],[Colonne1]])&amp;"-"&amp;Tableau1[[#This Row],[Jour]]</f>
        <v>xxx-2025-73-S15-Contrat 73-MaMe</v>
      </c>
      <c r="I82" s="29"/>
      <c r="J82" s="24"/>
      <c r="K82" s="24"/>
      <c r="L82" s="24" t="s">
        <v>79</v>
      </c>
      <c r="M82" s="213">
        <f>COUNTIF(Tableau1[[#This Row],[Secteur 1]:[Secteur 4]],"x")</f>
        <v>1</v>
      </c>
      <c r="N82" s="92" t="s">
        <v>92</v>
      </c>
      <c r="O82" s="215" t="str">
        <f>IF(Tableau1[[#This Row],[Date de Fin]]-Tableau1[[#This Row],[Date de Début]]&gt;1,"X"," ")</f>
        <v xml:space="preserve"> </v>
      </c>
      <c r="P82" s="29"/>
      <c r="Q82" s="24"/>
      <c r="R82" s="116">
        <v>45755</v>
      </c>
      <c r="S82" s="285" t="str">
        <f t="shared" si="38"/>
        <v>2025-04-08</v>
      </c>
      <c r="T82" s="216">
        <v>45756</v>
      </c>
      <c r="U82" s="280" t="str">
        <f t="shared" si="39"/>
        <v>2025-04-09</v>
      </c>
      <c r="V82" s="176" t="str">
        <f>PROPER(LEFT(TEXT(Tableau1[[#This Row],[Date de Début]],"jjjj"),2))&amp; "" &amp; PROPER(LEFT(TEXT(Tableau1[[#This Row],[Date de Début]]+1,"jjjj"),2))</f>
        <v>MaMe</v>
      </c>
      <c r="W82" s="175" t="str">
        <f>IF(Tableau1[[#This Row],[Nb jours]]&gt;1,PROPER(LEFT(TEXT(Tableau1[[#This Row],[Date de Début]]+1,"jjjj"),2))&amp; "" &amp; PROPER(LEFT(TEXT(Tableau1[[#This Row],[Date de Début]]+2,"jjjj"),2)),"")</f>
        <v/>
      </c>
      <c r="X82" s="175" t="str">
        <f>IF(Tableau1[[#This Row],[Nb jours]]&gt;2,PROPER(LEFT(TEXT(Tableau1[[#This Row],[Date de Début]]+2,"jjjj"),2))&amp; "" &amp; PROPER(LEFT(TEXT(Tableau1[[#This Row],[Date de Début]]+3,"jjjj"),2)),"")</f>
        <v/>
      </c>
      <c r="Y82" s="176" t="str">
        <f>IF(Tableau1[[#This Row],[Nb jours]]&gt;3,PROPER(LEFT(TEXT(Tableau1[[#This Row],[Date de Début]]+3,"jjjj"),2))&amp; "" &amp; PROPER(LEFT(TEXT(Tableau1[[#This Row],[Date de Début]]+4,"jjjj"),2)),"")</f>
        <v/>
      </c>
      <c r="Z82" s="175" t="str">
        <f>IF(Tableau1[[#This Row],[Nb jours]]&gt;4,PROPER(LEFT(TEXT(Tableau1[[#This Row],[Date de Début]]+4,"jjjj"),2))&amp; "" &amp; PROPER(LEFT(TEXT(Tableau1[[#This Row],[Date de Début]]+5,"jjjj"),2)),"")</f>
        <v/>
      </c>
      <c r="AA82" s="176" t="str">
        <f>IF(Tableau1[[#This Row],[Nb jours]]&gt;5,PROPER(LEFT(TEXT(Tableau1[[#This Row],[Date de Début]]+5,"jjjj"),2))&amp; "" &amp; PROPER(LEFT(TEXT(Tableau1[[#This Row],[Date de Début]]+6,"jjjj"),2)),"")</f>
        <v/>
      </c>
      <c r="AB82" s="177">
        <f>Tableau1[[#This Row],[Date de Fin]]-Tableau1[[#This Row],[Date de Début]]</f>
        <v>1</v>
      </c>
      <c r="AC82" s="218" t="str">
        <f>Tableau1[[#This Row],[Nuit 1]]&amp;Tableau1[[#This Row],[Nuit 2]]&amp;Tableau1[[#This Row],[Nuit 3]]&amp;Tableau1[[#This Row],[Nuit 4]]&amp;Tableau1[[#This Row],[Nuit 5]]&amp;Tableau1[[#This Row],[Nuit 6]]</f>
        <v>MaMe</v>
      </c>
      <c r="AD82" s="42" t="s">
        <v>143</v>
      </c>
      <c r="AE82" s="25">
        <f t="shared" si="33"/>
        <v>28</v>
      </c>
      <c r="AF82" s="30">
        <f>Tableau1[[#This Row],[Date de Début]]-AE82</f>
        <v>45727</v>
      </c>
      <c r="AG82" s="217">
        <v>45716</v>
      </c>
      <c r="AH82" s="25">
        <f t="shared" si="34"/>
        <v>21</v>
      </c>
      <c r="AI82" s="256" t="str">
        <f t="shared" si="40"/>
        <v>2025-02-28</v>
      </c>
      <c r="AJ82" s="45" t="s">
        <v>155</v>
      </c>
      <c r="AK82" s="30">
        <f>Tableau1[[#This Row],[Date de Début]]-AH82</f>
        <v>45734</v>
      </c>
      <c r="AL82" s="217">
        <v>45729</v>
      </c>
      <c r="AM82" s="25">
        <f t="shared" si="35"/>
        <v>21</v>
      </c>
      <c r="AN82" s="266" t="str">
        <f>IF(AL82="","",TEXT(Tableau1[[#This Row],[Date de fin de vérification]],"AAAA-MM-JJ"))</f>
        <v>2025-03-13</v>
      </c>
      <c r="AO82" s="48">
        <f>Tableau1[[#This Row],[Date de Début]]-AM82</f>
        <v>45734</v>
      </c>
      <c r="AP82" s="217">
        <v>45729</v>
      </c>
      <c r="AQ82" s="25">
        <f t="shared" si="36"/>
        <v>14</v>
      </c>
      <c r="AR82" s="256" t="str">
        <f t="shared" si="41"/>
        <v>13/03/2025</v>
      </c>
      <c r="AS82" s="48">
        <f>Tableau1[[#This Row],[Date de Début]]-AQ82</f>
        <v>45741</v>
      </c>
      <c r="AT82" s="217">
        <v>45730</v>
      </c>
      <c r="AU82" s="25">
        <f t="shared" si="37"/>
        <v>14</v>
      </c>
      <c r="AV82" s="256" t="str">
        <f t="shared" si="42"/>
        <v>14-03-2025</v>
      </c>
      <c r="AW82" s="48">
        <f>Tableau1[[#This Row],[Date de Début]]-AU82</f>
        <v>45741</v>
      </c>
      <c r="AX82" s="217">
        <v>45730</v>
      </c>
      <c r="AY82" s="217"/>
      <c r="AZ82" s="26">
        <f>IF(Tableau1[[#This Row],[Date limite de fin de rédaction]]&lt;Tableau1[[#This Row],[Date de fin de rédaction]],1,0)</f>
        <v>0</v>
      </c>
      <c r="BA82" s="26">
        <f>IF(Tableau1[[#This Row],[Date limite de fin de vérification]]&lt;Tableau1[[#This Row],[Date de fin de vérification]],1,0)</f>
        <v>0</v>
      </c>
      <c r="BB82" s="26">
        <f>IF(Tableau1[[#This Row],[Date limite d''envoi a  l''exploitation]]&lt;Tableau1[[#This Row],[Date d''envoi à  l''exploitation
(Mettre en copier le demandeur et le rédacteur)]],1,0)</f>
        <v>0</v>
      </c>
      <c r="BC82" s="26">
        <f>IF(Tableau1[[#This Row],[Date limite de réception]]&lt;Tableau1[[#This Row],[Date de réception]],1,0)</f>
        <v>0</v>
      </c>
      <c r="BD82" s="52">
        <f>IF(Tableau1[[#This Row],[Date limite limite de dépose sur la GED]]&lt;Tableau1[[#This Row],[Date de dépose sur la GED]],1,0)</f>
        <v>0</v>
      </c>
      <c r="BE82" s="244"/>
      <c r="BF82" s="243"/>
      <c r="BG82" s="309"/>
      <c r="BH82" s="295"/>
      <c r="BI82" s="297"/>
      <c r="BJ82" s="300"/>
      <c r="BK82" s="242"/>
    </row>
    <row r="83" spans="1:63" x14ac:dyDescent="0.25">
      <c r="A83" s="224">
        <f t="shared" si="44"/>
        <v>74</v>
      </c>
      <c r="B83" s="90" t="s">
        <v>152</v>
      </c>
      <c r="C83" s="225">
        <v>15142</v>
      </c>
      <c r="D83" s="212" t="str">
        <f>IF(Tableau1[[#This Row],[Date de Début]]=0,"Saisir date de début","S"&amp; _xlfn.ISOWEEKNUM(R83))</f>
        <v>S15</v>
      </c>
      <c r="E83" s="24" t="s">
        <v>240</v>
      </c>
      <c r="F83" s="226" t="s">
        <v>103</v>
      </c>
      <c r="G83" s="227" t="str">
        <f>"xxx-2025-"&amp;Tableau1[[#This Row],[N° de 
Ctx]]&amp;"-"&amp;Tableau1[[#This Row],[N° semaine]]&amp;"-"&amp; Tableau1[[#This Row],[Nature des travaux]]</f>
        <v>xxx-2025-74-S15-Contrat 74</v>
      </c>
      <c r="H83" s="214" t="str">
        <f>IF(Tableau1[[#This Row],[Nature des travaux]]=0,"Saisir nature des travaux",Tableau1[[#This Row],[Colonne1]])&amp;"-"&amp;Tableau1[[#This Row],[Jour]]</f>
        <v>xxx-2025-74-S15-Contrat 74-MeJe</v>
      </c>
      <c r="I83" s="228"/>
      <c r="J83" s="229"/>
      <c r="K83" s="229"/>
      <c r="L83" s="229" t="s">
        <v>79</v>
      </c>
      <c r="M83" s="230">
        <f>COUNTIF(Tableau1[[#This Row],[Secteur 1]:[Secteur 4]],"x")</f>
        <v>1</v>
      </c>
      <c r="N83" s="240" t="s">
        <v>92</v>
      </c>
      <c r="O83" s="231" t="str">
        <f>IF(Tableau1[[#This Row],[Date de Fin]]-Tableau1[[#This Row],[Date de Début]]&gt;1,"X"," ")</f>
        <v xml:space="preserve"> </v>
      </c>
      <c r="P83" s="228"/>
      <c r="Q83" s="229"/>
      <c r="R83" s="232">
        <v>45756</v>
      </c>
      <c r="S83" s="286" t="str">
        <f t="shared" si="38"/>
        <v>2025-04-09</v>
      </c>
      <c r="T83" s="233">
        <v>45757</v>
      </c>
      <c r="U83" s="289" t="str">
        <f t="shared" si="39"/>
        <v>2025-04-10</v>
      </c>
      <c r="V83" s="234" t="str">
        <f>PROPER(LEFT(TEXT(Tableau1[[#This Row],[Date de Début]],"jjjj"),2))&amp; "" &amp; PROPER(LEFT(TEXT(Tableau1[[#This Row],[Date de Début]]+1,"jjjj"),2))</f>
        <v>MeJe</v>
      </c>
      <c r="W83" s="235" t="str">
        <f>IF(Tableau1[[#This Row],[Nb jours]]&gt;1,PROPER(LEFT(TEXT(Tableau1[[#This Row],[Date de Début]]+1,"jjjj"),2))&amp; "" &amp; PROPER(LEFT(TEXT(Tableau1[[#This Row],[Date de Début]]+2,"jjjj"),2)),"")</f>
        <v/>
      </c>
      <c r="X83" s="235" t="str">
        <f>IF(Tableau1[[#This Row],[Nb jours]]&gt;2,PROPER(LEFT(TEXT(Tableau1[[#This Row],[Date de Début]]+2,"jjjj"),2))&amp; "" &amp; PROPER(LEFT(TEXT(Tableau1[[#This Row],[Date de Début]]+3,"jjjj"),2)),"")</f>
        <v/>
      </c>
      <c r="Y83" s="234" t="str">
        <f>IF(Tableau1[[#This Row],[Nb jours]]&gt;3,PROPER(LEFT(TEXT(Tableau1[[#This Row],[Date de Début]]+3,"jjjj"),2))&amp; "" &amp; PROPER(LEFT(TEXT(Tableau1[[#This Row],[Date de Début]]+4,"jjjj"),2)),"")</f>
        <v/>
      </c>
      <c r="Z83" s="235" t="str">
        <f>IF(Tableau1[[#This Row],[Nb jours]]&gt;4,PROPER(LEFT(TEXT(Tableau1[[#This Row],[Date de Début]]+4,"jjjj"),2))&amp; "" &amp; PROPER(LEFT(TEXT(Tableau1[[#This Row],[Date de Début]]+5,"jjjj"),2)),"")</f>
        <v/>
      </c>
      <c r="AA83" s="234" t="str">
        <f>IF(Tableau1[[#This Row],[Nb jours]]&gt;5,PROPER(LEFT(TEXT(Tableau1[[#This Row],[Date de Début]]+5,"jjjj"),2))&amp; "" &amp; PROPER(LEFT(TEXT(Tableau1[[#This Row],[Date de Début]]+6,"jjjj"),2)),"")</f>
        <v/>
      </c>
      <c r="AB83" s="172">
        <f>Tableau1[[#This Row],[Date de Fin]]-Tableau1[[#This Row],[Date de Début]]</f>
        <v>1</v>
      </c>
      <c r="AC83" s="236" t="str">
        <f>Tableau1[[#This Row],[Nuit 1]]&amp;Tableau1[[#This Row],[Nuit 2]]&amp;Tableau1[[#This Row],[Nuit 3]]&amp;Tableau1[[#This Row],[Nuit 4]]&amp;Tableau1[[#This Row],[Nuit 5]]&amp;Tableau1[[#This Row],[Nuit 6]]</f>
        <v>MeJe</v>
      </c>
      <c r="AD83" s="241" t="s">
        <v>143</v>
      </c>
      <c r="AE83" s="237">
        <f t="shared" si="33"/>
        <v>28</v>
      </c>
      <c r="AF83" s="30">
        <f>Tableau1[[#This Row],[Date de Début]]-AE83</f>
        <v>45728</v>
      </c>
      <c r="AG83" s="217">
        <v>45716</v>
      </c>
      <c r="AH83" s="237">
        <f t="shared" si="34"/>
        <v>21</v>
      </c>
      <c r="AI83" s="257" t="str">
        <f t="shared" si="40"/>
        <v>2025-02-28</v>
      </c>
      <c r="AJ83" s="45" t="s">
        <v>155</v>
      </c>
      <c r="AK83" s="30">
        <f>Tableau1[[#This Row],[Date de Début]]-AH83</f>
        <v>45735</v>
      </c>
      <c r="AL83" s="217">
        <v>45729</v>
      </c>
      <c r="AM83" s="237">
        <f t="shared" si="35"/>
        <v>21</v>
      </c>
      <c r="AN83" s="267" t="str">
        <f>IF(AL83="","",TEXT(Tableau1[[#This Row],[Date de fin de vérification]],"AAAA-MM-JJ"))</f>
        <v>2025-03-13</v>
      </c>
      <c r="AO83" s="48">
        <f>Tableau1[[#This Row],[Date de Début]]-AM83</f>
        <v>45735</v>
      </c>
      <c r="AP83" s="238">
        <v>45729</v>
      </c>
      <c r="AQ83" s="237">
        <f t="shared" si="36"/>
        <v>14</v>
      </c>
      <c r="AR83" s="257" t="str">
        <f t="shared" si="41"/>
        <v>13/03/2025</v>
      </c>
      <c r="AS83" s="48">
        <f>Tableau1[[#This Row],[Date de Début]]-AQ83</f>
        <v>45742</v>
      </c>
      <c r="AT83" s="238">
        <v>45730</v>
      </c>
      <c r="AU83" s="237">
        <f t="shared" si="37"/>
        <v>14</v>
      </c>
      <c r="AV83" s="257" t="str">
        <f t="shared" si="42"/>
        <v>14-03-2025</v>
      </c>
      <c r="AW83" s="48">
        <f>Tableau1[[#This Row],[Date de Début]]-AU83</f>
        <v>45742</v>
      </c>
      <c r="AX83" s="238">
        <v>45730</v>
      </c>
      <c r="AY83" s="238"/>
      <c r="AZ83" s="239">
        <f>IF(Tableau1[[#This Row],[Date limite de fin de rédaction]]&lt;Tableau1[[#This Row],[Date de fin de rédaction]],1,0)</f>
        <v>0</v>
      </c>
      <c r="BA83" s="239">
        <f>IF(Tableau1[[#This Row],[Date limite de fin de vérification]]&lt;Tableau1[[#This Row],[Date de fin de vérification]],1,0)</f>
        <v>0</v>
      </c>
      <c r="BB83" s="239">
        <f>IF(Tableau1[[#This Row],[Date limite d''envoi a  l''exploitation]]&lt;Tableau1[[#This Row],[Date d''envoi à  l''exploitation
(Mettre en copier le demandeur et le rédacteur)]],1,0)</f>
        <v>0</v>
      </c>
      <c r="BC83" s="239">
        <f>IF(Tableau1[[#This Row],[Date limite de réception]]&lt;Tableau1[[#This Row],[Date de réception]],1,0)</f>
        <v>0</v>
      </c>
      <c r="BD83" s="304">
        <f>IF(Tableau1[[#This Row],[Date limite limite de dépose sur la GED]]&lt;Tableau1[[#This Row],[Date de dépose sur la GED]],1,0)</f>
        <v>0</v>
      </c>
      <c r="BE83" s="246"/>
      <c r="BF83" s="243"/>
      <c r="BG83" s="309"/>
      <c r="BH83" s="295"/>
      <c r="BI83" s="297"/>
      <c r="BJ83" s="300"/>
      <c r="BK83" s="242"/>
    </row>
    <row r="84" spans="1:63" x14ac:dyDescent="0.25">
      <c r="A84" s="223">
        <f t="shared" si="44"/>
        <v>75</v>
      </c>
      <c r="B84" s="90" t="s">
        <v>152</v>
      </c>
      <c r="C84" s="211">
        <v>15142</v>
      </c>
      <c r="D84" s="212" t="str">
        <f>IF(Tableau1[[#This Row],[Date de Début]]=0,"Saisir date de début","S"&amp; _xlfn.ISOWEEKNUM(R84))</f>
        <v>S15</v>
      </c>
      <c r="E84" s="24" t="s">
        <v>241</v>
      </c>
      <c r="F84" s="21" t="s">
        <v>103</v>
      </c>
      <c r="G84" s="159" t="str">
        <f>"xxx-2025-"&amp;Tableau1[[#This Row],[N° de 
Ctx]]&amp;"-"&amp;Tableau1[[#This Row],[N° semaine]]&amp;"-"&amp; Tableau1[[#This Row],[Nature des travaux]]</f>
        <v>xxx-2025-75-S15-Contrat 75</v>
      </c>
      <c r="H84" s="214" t="str">
        <f>IF(Tableau1[[#This Row],[Nature des travaux]]=0,"Saisir nature des travaux",Tableau1[[#This Row],[Colonne1]])&amp;"-"&amp;Tableau1[[#This Row],[Jour]]</f>
        <v>xxx-2025-75-S15-Contrat 75-JeVe</v>
      </c>
      <c r="I84" s="29"/>
      <c r="J84" s="24"/>
      <c r="K84" s="24"/>
      <c r="L84" s="24" t="s">
        <v>85</v>
      </c>
      <c r="M84" s="213">
        <f>COUNTIF(Tableau1[[#This Row],[Secteur 1]:[Secteur 4]],"x")</f>
        <v>1</v>
      </c>
      <c r="N84" s="92" t="s">
        <v>92</v>
      </c>
      <c r="O84" s="215" t="str">
        <f>IF(Tableau1[[#This Row],[Date de Fin]]-Tableau1[[#This Row],[Date de Début]]&gt;1,"X"," ")</f>
        <v xml:space="preserve"> </v>
      </c>
      <c r="P84" s="29"/>
      <c r="Q84" s="24"/>
      <c r="R84" s="116">
        <v>45757</v>
      </c>
      <c r="S84" s="285" t="str">
        <f t="shared" si="38"/>
        <v>2025-04-10</v>
      </c>
      <c r="T84" s="216">
        <v>45758</v>
      </c>
      <c r="U84" s="280" t="str">
        <f t="shared" si="39"/>
        <v>2025-04-11</v>
      </c>
      <c r="V84" s="176" t="str">
        <f>PROPER(LEFT(TEXT(Tableau1[[#This Row],[Date de Début]],"jjjj"),2))&amp; "" &amp; PROPER(LEFT(TEXT(Tableau1[[#This Row],[Date de Début]]+1,"jjjj"),2))</f>
        <v>JeVe</v>
      </c>
      <c r="W84" s="175" t="str">
        <f>IF(Tableau1[[#This Row],[Nb jours]]&gt;1,PROPER(LEFT(TEXT(Tableau1[[#This Row],[Date de Début]]+1,"jjjj"),2))&amp; "" &amp; PROPER(LEFT(TEXT(Tableau1[[#This Row],[Date de Début]]+2,"jjjj"),2)),"")</f>
        <v/>
      </c>
      <c r="X84" s="175" t="str">
        <f>IF(Tableau1[[#This Row],[Nb jours]]&gt;2,PROPER(LEFT(TEXT(Tableau1[[#This Row],[Date de Début]]+2,"jjjj"),2))&amp; "" &amp; PROPER(LEFT(TEXT(Tableau1[[#This Row],[Date de Début]]+3,"jjjj"),2)),"")</f>
        <v/>
      </c>
      <c r="Y84" s="176" t="str">
        <f>IF(Tableau1[[#This Row],[Nb jours]]&gt;3,PROPER(LEFT(TEXT(Tableau1[[#This Row],[Date de Début]]+3,"jjjj"),2))&amp; "" &amp; PROPER(LEFT(TEXT(Tableau1[[#This Row],[Date de Début]]+4,"jjjj"),2)),"")</f>
        <v/>
      </c>
      <c r="Z84" s="175" t="str">
        <f>IF(Tableau1[[#This Row],[Nb jours]]&gt;4,PROPER(LEFT(TEXT(Tableau1[[#This Row],[Date de Début]]+4,"jjjj"),2))&amp; "" &amp; PROPER(LEFT(TEXT(Tableau1[[#This Row],[Date de Début]]+5,"jjjj"),2)),"")</f>
        <v/>
      </c>
      <c r="AA84" s="176" t="str">
        <f>IF(Tableau1[[#This Row],[Nb jours]]&gt;5,PROPER(LEFT(TEXT(Tableau1[[#This Row],[Date de Début]]+5,"jjjj"),2))&amp; "" &amp; PROPER(LEFT(TEXT(Tableau1[[#This Row],[Date de Début]]+6,"jjjj"),2)),"")</f>
        <v/>
      </c>
      <c r="AB84" s="177">
        <f>Tableau1[[#This Row],[Date de Fin]]-Tableau1[[#This Row],[Date de Début]]</f>
        <v>1</v>
      </c>
      <c r="AC84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84" s="42" t="s">
        <v>143</v>
      </c>
      <c r="AE84" s="25">
        <f t="shared" si="33"/>
        <v>28</v>
      </c>
      <c r="AF84" s="30">
        <f>Tableau1[[#This Row],[Date de Début]]-AE84</f>
        <v>45729</v>
      </c>
      <c r="AG84" s="217">
        <v>45716</v>
      </c>
      <c r="AH84" s="25">
        <f t="shared" si="34"/>
        <v>21</v>
      </c>
      <c r="AI84" s="256" t="str">
        <f t="shared" si="40"/>
        <v>2025-02-28</v>
      </c>
      <c r="AJ84" s="45" t="s">
        <v>155</v>
      </c>
      <c r="AK84" s="30">
        <f>Tableau1[[#This Row],[Date de Début]]-AH84</f>
        <v>45736</v>
      </c>
      <c r="AL84" s="217">
        <v>45729</v>
      </c>
      <c r="AM84" s="25">
        <f t="shared" si="35"/>
        <v>21</v>
      </c>
      <c r="AN84" s="266" t="str">
        <f>IF(AL84="","",TEXT(Tableau1[[#This Row],[Date de fin de vérification]],"AAAA-MM-JJ"))</f>
        <v>2025-03-13</v>
      </c>
      <c r="AO84" s="48">
        <f>Tableau1[[#This Row],[Date de Début]]-AM84</f>
        <v>45736</v>
      </c>
      <c r="AP84" s="217">
        <v>45729</v>
      </c>
      <c r="AQ84" s="25">
        <f t="shared" si="36"/>
        <v>14</v>
      </c>
      <c r="AR84" s="256" t="str">
        <f t="shared" si="41"/>
        <v>13/03/2025</v>
      </c>
      <c r="AS84" s="48">
        <f>Tableau1[[#This Row],[Date de Début]]-AQ84</f>
        <v>45743</v>
      </c>
      <c r="AT84" s="217">
        <v>45730</v>
      </c>
      <c r="AU84" s="25">
        <f t="shared" si="37"/>
        <v>14</v>
      </c>
      <c r="AV84" s="256" t="str">
        <f t="shared" si="42"/>
        <v>14-03-2025</v>
      </c>
      <c r="AW84" s="48">
        <f>Tableau1[[#This Row],[Date de Début]]-AU84</f>
        <v>45743</v>
      </c>
      <c r="AX84" s="217">
        <v>45730</v>
      </c>
      <c r="AY84" s="217"/>
      <c r="AZ84" s="26">
        <f>IF(Tableau1[[#This Row],[Date limite de fin de rédaction]]&lt;Tableau1[[#This Row],[Date de fin de rédaction]],1,0)</f>
        <v>0</v>
      </c>
      <c r="BA84" s="26">
        <f>IF(Tableau1[[#This Row],[Date limite de fin de vérification]]&lt;Tableau1[[#This Row],[Date de fin de vérification]],1,0)</f>
        <v>0</v>
      </c>
      <c r="BB84" s="26">
        <f>IF(Tableau1[[#This Row],[Date limite d''envoi a  l''exploitation]]&lt;Tableau1[[#This Row],[Date d''envoi à  l''exploitation
(Mettre en copier le demandeur et le rédacteur)]],1,0)</f>
        <v>0</v>
      </c>
      <c r="BC84" s="26">
        <f>IF(Tableau1[[#This Row],[Date limite de réception]]&lt;Tableau1[[#This Row],[Date de réception]],1,0)</f>
        <v>0</v>
      </c>
      <c r="BD84" s="52">
        <f>IF(Tableau1[[#This Row],[Date limite limite de dépose sur la GED]]&lt;Tableau1[[#This Row],[Date de dépose sur la GED]],1,0)</f>
        <v>0</v>
      </c>
      <c r="BE84" s="244"/>
      <c r="BF84" s="243"/>
      <c r="BG84" s="309"/>
      <c r="BH84" s="295"/>
      <c r="BI84" s="297"/>
      <c r="BJ84" s="300"/>
      <c r="BK84" s="242"/>
    </row>
    <row r="85" spans="1:63" x14ac:dyDescent="0.25">
      <c r="A85" s="223">
        <f t="shared" si="44"/>
        <v>76</v>
      </c>
      <c r="B85" s="90" t="s">
        <v>152</v>
      </c>
      <c r="C85" s="211">
        <v>15143</v>
      </c>
      <c r="D85" s="212" t="s">
        <v>107</v>
      </c>
      <c r="E85" s="24" t="s">
        <v>242</v>
      </c>
      <c r="F85" s="21" t="s">
        <v>103</v>
      </c>
      <c r="G85" s="213" t="str">
        <f>"xxx-2025-"&amp;Tableau1[[#This Row],[N° de 
Ctx]]&amp;"-"&amp;Tableau1[[#This Row],[N° semaine]]&amp;"-"&amp; Tableau1[[#This Row],[Nature des travaux]]</f>
        <v>xxx-2025-76-S16-Contrat 76</v>
      </c>
      <c r="H85" s="214" t="str">
        <f>IF(Tableau1[[#This Row],[Nature des travaux]]=0,"Saisir nature des travaux",Tableau1[[#This Row],[Colonne1]])&amp;"-"&amp;Tableau1[[#This Row],[Jour]]</f>
        <v>xxx-2025-76-S16-Contrat 76-LuMa</v>
      </c>
      <c r="I85" s="29"/>
      <c r="J85" s="24"/>
      <c r="K85" s="24"/>
      <c r="L85" s="24" t="s">
        <v>85</v>
      </c>
      <c r="M85" s="213">
        <f>COUNTIF(Tableau1[[#This Row],[Secteur 1]:[Secteur 4]],"x")</f>
        <v>1</v>
      </c>
      <c r="N85" s="92" t="s">
        <v>92</v>
      </c>
      <c r="O85" s="215" t="str">
        <f>IF(Tableau1[[#This Row],[Date de Fin]]-Tableau1[[#This Row],[Date de Début]]&gt;1,"X"," ")</f>
        <v xml:space="preserve"> </v>
      </c>
      <c r="P85" s="29"/>
      <c r="Q85" s="24"/>
      <c r="R85" s="116">
        <v>45761</v>
      </c>
      <c r="S85" s="285" t="str">
        <f t="shared" ref="S85:S88" si="45">TEXT(R85,"AAAA-MM-JJ")</f>
        <v>2025-04-14</v>
      </c>
      <c r="T85" s="216">
        <v>45762</v>
      </c>
      <c r="U85" s="280" t="str">
        <f t="shared" ref="U85:U88" si="46">TEXT(T85,"AAAA-MM-JJ")</f>
        <v>2025-04-15</v>
      </c>
      <c r="V85" s="176" t="str">
        <f>PROPER(LEFT(TEXT(Tableau1[[#This Row],[Date de Début]],"jjjj"),2))&amp; "" &amp; PROPER(LEFT(TEXT(Tableau1[[#This Row],[Date de Début]]+1,"jjjj"),2))</f>
        <v>LuMa</v>
      </c>
      <c r="W85" s="175" t="str">
        <f>IF(Tableau1[[#This Row],[Nb jours]]&gt;1,PROPER(LEFT(TEXT(Tableau1[[#This Row],[Date de Début]]+1,"jjjj"),2))&amp; "" &amp; PROPER(LEFT(TEXT(Tableau1[[#This Row],[Date de Début]]+2,"jjjj"),2)),"")</f>
        <v/>
      </c>
      <c r="X85" s="175" t="str">
        <f>IF(Tableau1[[#This Row],[Nb jours]]&gt;2,PROPER(LEFT(TEXT(Tableau1[[#This Row],[Date de Début]]+2,"jjjj"),2))&amp; "" &amp; PROPER(LEFT(TEXT(Tableau1[[#This Row],[Date de Début]]+3,"jjjj"),2)),"")</f>
        <v/>
      </c>
      <c r="Y85" s="176" t="str">
        <f>IF(Tableau1[[#This Row],[Nb jours]]&gt;3,PROPER(LEFT(TEXT(Tableau1[[#This Row],[Date de Début]]+3,"jjjj"),2))&amp; "" &amp; PROPER(LEFT(TEXT(Tableau1[[#This Row],[Date de Début]]+4,"jjjj"),2)),"")</f>
        <v/>
      </c>
      <c r="Z85" s="175" t="str">
        <f>IF(Tableau1[[#This Row],[Nb jours]]&gt;4,PROPER(LEFT(TEXT(Tableau1[[#This Row],[Date de Début]]+4,"jjjj"),2))&amp; "" &amp; PROPER(LEFT(TEXT(Tableau1[[#This Row],[Date de Début]]+5,"jjjj"),2)),"")</f>
        <v/>
      </c>
      <c r="AA85" s="176" t="str">
        <f>IF(Tableau1[[#This Row],[Nb jours]]&gt;5,PROPER(LEFT(TEXT(Tableau1[[#This Row],[Date de Début]]+5,"jjjj"),2))&amp; "" &amp; PROPER(LEFT(TEXT(Tableau1[[#This Row],[Date de Début]]+6,"jjjj"),2)),"")</f>
        <v/>
      </c>
      <c r="AB85" s="177">
        <f>Tableau1[[#This Row],[Date de Fin]]-Tableau1[[#This Row],[Date de Début]]</f>
        <v>1</v>
      </c>
      <c r="AC85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85" s="241" t="s">
        <v>143</v>
      </c>
      <c r="AE85" s="25">
        <f t="shared" ref="AE85:AE105" si="47">Tolérances_1</f>
        <v>28</v>
      </c>
      <c r="AF85" s="30">
        <f>Tableau1[[#This Row],[Date de Début]]-AE85</f>
        <v>45733</v>
      </c>
      <c r="AG85" s="217">
        <v>45716</v>
      </c>
      <c r="AH85" s="25">
        <f t="shared" ref="AH85:AH105" si="48">Tolérances_2</f>
        <v>21</v>
      </c>
      <c r="AI85" s="256" t="str">
        <f t="shared" ref="AI85:AI88" si="49">TEXT(AG85,"AAAA-MM-JJ")</f>
        <v>2025-02-28</v>
      </c>
      <c r="AJ85" s="45" t="s">
        <v>155</v>
      </c>
      <c r="AK85" s="30">
        <f>Tableau1[[#This Row],[Date de Début]]-AH85</f>
        <v>45740</v>
      </c>
      <c r="AL85" s="217">
        <v>45729</v>
      </c>
      <c r="AM85" s="25">
        <f t="shared" ref="AM85:AM105" si="50">Tolérances_3</f>
        <v>21</v>
      </c>
      <c r="AN85" s="266" t="str">
        <f>IF(AL85="","",TEXT(Tableau1[[#This Row],[Date de fin de vérification]],"AAAA-MM-JJ"))</f>
        <v>2025-03-13</v>
      </c>
      <c r="AO85" s="48">
        <f>Tableau1[[#This Row],[Date de Début]]-AM85</f>
        <v>45740</v>
      </c>
      <c r="AP85" s="217">
        <v>45736</v>
      </c>
      <c r="AQ85" s="25">
        <f t="shared" ref="AQ85:AQ105" si="51">Tolérances_4</f>
        <v>14</v>
      </c>
      <c r="AR85" s="256" t="str">
        <f t="shared" ref="AR85:AR88" si="52">TEXT(AP85,"JJ/MM/AAAA")</f>
        <v>20/03/2025</v>
      </c>
      <c r="AS85" s="48">
        <f>Tableau1[[#This Row],[Date de Début]]-AQ85</f>
        <v>45747</v>
      </c>
      <c r="AT85" s="217">
        <v>45737</v>
      </c>
      <c r="AU85" s="25">
        <f t="shared" ref="AU85:AU105" si="53">Tolérances_5</f>
        <v>14</v>
      </c>
      <c r="AV85" s="256" t="str">
        <f t="shared" ref="AV85:AV88" si="54">TEXT(AT85,"JJ-MM-AAAA")</f>
        <v>21-03-2025</v>
      </c>
      <c r="AW85" s="48">
        <f>Tableau1[[#This Row],[Date de Début]]-AU85</f>
        <v>45747</v>
      </c>
      <c r="AX85" s="217">
        <v>45737</v>
      </c>
      <c r="AY85" s="290"/>
      <c r="AZ85" s="26">
        <f>IF(Tableau1[[#This Row],[Date limite de fin de rédaction]]&lt;Tableau1[[#This Row],[Date de fin de rédaction]],1,0)</f>
        <v>0</v>
      </c>
      <c r="BA85" s="26">
        <f>IF(Tableau1[[#This Row],[Date limite de fin de vérification]]&lt;Tableau1[[#This Row],[Date de fin de vérification]],1,0)</f>
        <v>0</v>
      </c>
      <c r="BB85" s="26">
        <f>IF(Tableau1[[#This Row],[Date limite d''envoi a  l''exploitation]]&lt;Tableau1[[#This Row],[Date d''envoi à  l''exploitation
(Mettre en copier le demandeur et le rédacteur)]],1,0)</f>
        <v>0</v>
      </c>
      <c r="BC85" s="26">
        <f>IF(Tableau1[[#This Row],[Date limite de réception]]&lt;Tableau1[[#This Row],[Date de réception]],1,0)</f>
        <v>0</v>
      </c>
      <c r="BD85" s="52">
        <f>IF(Tableau1[[#This Row],[Date limite limite de dépose sur la GED]]&lt;Tableau1[[#This Row],[Date de dépose sur la GED]],1,0)</f>
        <v>0</v>
      </c>
      <c r="BE85" s="291"/>
      <c r="BF85" s="243"/>
      <c r="BG85" s="309"/>
      <c r="BH85" s="295"/>
      <c r="BI85" s="297"/>
      <c r="BJ85" s="300"/>
      <c r="BK85" s="242"/>
    </row>
    <row r="86" spans="1:63" x14ac:dyDescent="0.25">
      <c r="A86" s="223">
        <f t="shared" si="44"/>
        <v>77</v>
      </c>
      <c r="B86" s="90" t="s">
        <v>152</v>
      </c>
      <c r="C86" s="211">
        <v>15143</v>
      </c>
      <c r="D86" s="212" t="s">
        <v>107</v>
      </c>
      <c r="E86" s="24" t="s">
        <v>243</v>
      </c>
      <c r="F86" s="21" t="s">
        <v>103</v>
      </c>
      <c r="G86" s="213" t="str">
        <f>"xxx-2025-"&amp;Tableau1[[#This Row],[N° de 
Ctx]]&amp;"-"&amp;Tableau1[[#This Row],[N° semaine]]&amp;"-"&amp; Tableau1[[#This Row],[Nature des travaux]]</f>
        <v>xxx-2025-77-S16-Contrat 77</v>
      </c>
      <c r="H86" s="214" t="str">
        <f>IF(Tableau1[[#This Row],[Nature des travaux]]=0,"Saisir nature des travaux",Tableau1[[#This Row],[Colonne1]])&amp;"-"&amp;Tableau1[[#This Row],[Jour]]</f>
        <v>xxx-2025-77-S16-Contrat 77-MaMe</v>
      </c>
      <c r="I86" s="29"/>
      <c r="J86" s="24"/>
      <c r="K86" s="24"/>
      <c r="L86" s="24" t="s">
        <v>85</v>
      </c>
      <c r="M86" s="213">
        <f>COUNTIF(Tableau1[[#This Row],[Secteur 1]:[Secteur 4]],"x")</f>
        <v>1</v>
      </c>
      <c r="N86" s="92" t="s">
        <v>92</v>
      </c>
      <c r="O86" s="215" t="str">
        <f>IF(Tableau1[[#This Row],[Date de Fin]]-Tableau1[[#This Row],[Date de Début]]&gt;1,"X"," ")</f>
        <v xml:space="preserve"> </v>
      </c>
      <c r="P86" s="29"/>
      <c r="Q86" s="24"/>
      <c r="R86" s="116">
        <v>45762</v>
      </c>
      <c r="S86" s="285" t="str">
        <f t="shared" si="45"/>
        <v>2025-04-15</v>
      </c>
      <c r="T86" s="216">
        <v>45763</v>
      </c>
      <c r="U86" s="276" t="str">
        <f t="shared" si="46"/>
        <v>2025-04-16</v>
      </c>
      <c r="V86" s="176" t="str">
        <f>PROPER(LEFT(TEXT(Tableau1[[#This Row],[Date de Début]],"jjjj"),2))&amp; "" &amp; PROPER(LEFT(TEXT(Tableau1[[#This Row],[Date de Début]]+1,"jjjj"),2))</f>
        <v>MaMe</v>
      </c>
      <c r="W86" s="175" t="str">
        <f>IF(Tableau1[[#This Row],[Nb jours]]&gt;1,PROPER(LEFT(TEXT(Tableau1[[#This Row],[Date de Début]]+1,"jjjj"),2))&amp; "" &amp; PROPER(LEFT(TEXT(Tableau1[[#This Row],[Date de Début]]+2,"jjjj"),2)),"")</f>
        <v/>
      </c>
      <c r="X86" s="175" t="str">
        <f>IF(Tableau1[[#This Row],[Nb jours]]&gt;2,PROPER(LEFT(TEXT(Tableau1[[#This Row],[Date de Début]]+2,"jjjj"),2))&amp; "" &amp; PROPER(LEFT(TEXT(Tableau1[[#This Row],[Date de Début]]+3,"jjjj"),2)),"")</f>
        <v/>
      </c>
      <c r="Y86" s="176" t="str">
        <f>IF(Tableau1[[#This Row],[Nb jours]]&gt;3,PROPER(LEFT(TEXT(Tableau1[[#This Row],[Date de Début]]+3,"jjjj"),2))&amp; "" &amp; PROPER(LEFT(TEXT(Tableau1[[#This Row],[Date de Début]]+4,"jjjj"),2)),"")</f>
        <v/>
      </c>
      <c r="Z86" s="175" t="str">
        <f>IF(Tableau1[[#This Row],[Nb jours]]&gt;4,PROPER(LEFT(TEXT(Tableau1[[#This Row],[Date de Début]]+4,"jjjj"),2))&amp; "" &amp; PROPER(LEFT(TEXT(Tableau1[[#This Row],[Date de Début]]+5,"jjjj"),2)),"")</f>
        <v/>
      </c>
      <c r="AA86" s="176" t="str">
        <f>IF(Tableau1[[#This Row],[Nb jours]]&gt;5,PROPER(LEFT(TEXT(Tableau1[[#This Row],[Date de Début]]+5,"jjjj"),2))&amp; "" &amp; PROPER(LEFT(TEXT(Tableau1[[#This Row],[Date de Début]]+6,"jjjj"),2)),"")</f>
        <v/>
      </c>
      <c r="AB86" s="177">
        <f>Tableau1[[#This Row],[Date de Fin]]-Tableau1[[#This Row],[Date de Début]]</f>
        <v>1</v>
      </c>
      <c r="AC86" s="218" t="str">
        <f>Tableau1[[#This Row],[Nuit 1]]&amp;Tableau1[[#This Row],[Nuit 2]]&amp;Tableau1[[#This Row],[Nuit 3]]&amp;Tableau1[[#This Row],[Nuit 4]]&amp;Tableau1[[#This Row],[Nuit 5]]&amp;Tableau1[[#This Row],[Nuit 6]]</f>
        <v>MaMe</v>
      </c>
      <c r="AD86" s="42" t="s">
        <v>143</v>
      </c>
      <c r="AE86" s="25">
        <f t="shared" si="47"/>
        <v>28</v>
      </c>
      <c r="AF86" s="30">
        <f>Tableau1[[#This Row],[Date de Début]]-AE86</f>
        <v>45734</v>
      </c>
      <c r="AG86" s="217">
        <v>45716</v>
      </c>
      <c r="AH86" s="25">
        <f t="shared" si="48"/>
        <v>21</v>
      </c>
      <c r="AI86" s="256" t="str">
        <f t="shared" si="49"/>
        <v>2025-02-28</v>
      </c>
      <c r="AJ86" s="45" t="s">
        <v>155</v>
      </c>
      <c r="AK86" s="30">
        <f>Tableau1[[#This Row],[Date de Début]]-AH86</f>
        <v>45741</v>
      </c>
      <c r="AL86" s="217">
        <v>45729</v>
      </c>
      <c r="AM86" s="25">
        <f t="shared" si="50"/>
        <v>21</v>
      </c>
      <c r="AN86" s="266" t="str">
        <f>IF(AL86="","",TEXT(Tableau1[[#This Row],[Date de fin de vérification]],"AAAA-MM-JJ"))</f>
        <v>2025-03-13</v>
      </c>
      <c r="AO86" s="48">
        <f>Tableau1[[#This Row],[Date de Début]]-AM86</f>
        <v>45741</v>
      </c>
      <c r="AP86" s="217">
        <v>45736</v>
      </c>
      <c r="AQ86" s="25">
        <f t="shared" si="51"/>
        <v>14</v>
      </c>
      <c r="AR86" s="256" t="str">
        <f t="shared" si="52"/>
        <v>20/03/2025</v>
      </c>
      <c r="AS86" s="48">
        <f>Tableau1[[#This Row],[Date de Début]]-AQ86</f>
        <v>45748</v>
      </c>
      <c r="AT86" s="217">
        <v>45737</v>
      </c>
      <c r="AU86" s="25">
        <f t="shared" si="53"/>
        <v>14</v>
      </c>
      <c r="AV86" s="256" t="str">
        <f t="shared" si="54"/>
        <v>21-03-2025</v>
      </c>
      <c r="AW86" s="48">
        <f>Tableau1[[#This Row],[Date de Début]]-AU86</f>
        <v>45748</v>
      </c>
      <c r="AX86" s="217">
        <v>45737</v>
      </c>
      <c r="AY86" s="290"/>
      <c r="AZ86" s="26">
        <f>IF(Tableau1[[#This Row],[Date limite de fin de rédaction]]&lt;Tableau1[[#This Row],[Date de fin de rédaction]],1,0)</f>
        <v>0</v>
      </c>
      <c r="BA86" s="26">
        <f>IF(Tableau1[[#This Row],[Date limite de fin de vérification]]&lt;Tableau1[[#This Row],[Date de fin de vérification]],1,0)</f>
        <v>0</v>
      </c>
      <c r="BB86" s="26">
        <f>IF(Tableau1[[#This Row],[Date limite d''envoi a  l''exploitation]]&lt;Tableau1[[#This Row],[Date d''envoi à  l''exploitation
(Mettre en copier le demandeur et le rédacteur)]],1,0)</f>
        <v>0</v>
      </c>
      <c r="BC86" s="26">
        <f>IF(Tableau1[[#This Row],[Date limite de réception]]&lt;Tableau1[[#This Row],[Date de réception]],1,0)</f>
        <v>0</v>
      </c>
      <c r="BD86" s="52">
        <f>IF(Tableau1[[#This Row],[Date limite limite de dépose sur la GED]]&lt;Tableau1[[#This Row],[Date de dépose sur la GED]],1,0)</f>
        <v>0</v>
      </c>
      <c r="BE86" s="291"/>
      <c r="BF86" s="243"/>
      <c r="BG86" s="309"/>
      <c r="BH86" s="295"/>
      <c r="BI86" s="297"/>
      <c r="BJ86" s="300"/>
      <c r="BK86" s="242"/>
    </row>
    <row r="87" spans="1:63" x14ac:dyDescent="0.25">
      <c r="A87" s="223">
        <f t="shared" si="44"/>
        <v>78</v>
      </c>
      <c r="B87" s="90" t="s">
        <v>152</v>
      </c>
      <c r="C87" s="211">
        <v>15143</v>
      </c>
      <c r="D87" s="212" t="s">
        <v>107</v>
      </c>
      <c r="E87" s="24" t="s">
        <v>244</v>
      </c>
      <c r="F87" s="21" t="s">
        <v>103</v>
      </c>
      <c r="G87" s="213" t="str">
        <f>"xxx-2025-"&amp;Tableau1[[#This Row],[N° de 
Ctx]]&amp;"-"&amp;Tableau1[[#This Row],[N° semaine]]&amp;"-"&amp; Tableau1[[#This Row],[Nature des travaux]]</f>
        <v>xxx-2025-78-S16-Contrat 78</v>
      </c>
      <c r="H87" s="214" t="str">
        <f>IF(Tableau1[[#This Row],[Nature des travaux]]=0,"Saisir nature des travaux",Tableau1[[#This Row],[Colonne1]])&amp;"-"&amp;Tableau1[[#This Row],[Jour]]</f>
        <v>xxx-2025-78-S16-Contrat 78-MeJe</v>
      </c>
      <c r="I87" s="29"/>
      <c r="J87" s="24"/>
      <c r="K87" s="24"/>
      <c r="L87" s="24" t="s">
        <v>85</v>
      </c>
      <c r="M87" s="213">
        <f>COUNTIF(Tableau1[[#This Row],[Secteur 1]:[Secteur 4]],"x")</f>
        <v>1</v>
      </c>
      <c r="N87" s="92" t="s">
        <v>92</v>
      </c>
      <c r="O87" s="215" t="str">
        <f>IF(Tableau1[[#This Row],[Date de Fin]]-Tableau1[[#This Row],[Date de Début]]&gt;1,"X"," ")</f>
        <v xml:space="preserve"> </v>
      </c>
      <c r="P87" s="29"/>
      <c r="Q87" s="24"/>
      <c r="R87" s="116">
        <v>45763</v>
      </c>
      <c r="S87" s="285" t="str">
        <f t="shared" si="45"/>
        <v>2025-04-16</v>
      </c>
      <c r="T87" s="216">
        <v>45764</v>
      </c>
      <c r="U87" s="276" t="str">
        <f t="shared" si="46"/>
        <v>2025-04-17</v>
      </c>
      <c r="V87" s="176" t="str">
        <f>PROPER(LEFT(TEXT(Tableau1[[#This Row],[Date de Début]],"jjjj"),2))&amp; "" &amp; PROPER(LEFT(TEXT(Tableau1[[#This Row],[Date de Début]]+1,"jjjj"),2))</f>
        <v>MeJe</v>
      </c>
      <c r="W87" s="175" t="str">
        <f>IF(Tableau1[[#This Row],[Nb jours]]&gt;1,PROPER(LEFT(TEXT(Tableau1[[#This Row],[Date de Début]]+1,"jjjj"),2))&amp; "" &amp; PROPER(LEFT(TEXT(Tableau1[[#This Row],[Date de Début]]+2,"jjjj"),2)),"")</f>
        <v/>
      </c>
      <c r="X87" s="175" t="str">
        <f>IF(Tableau1[[#This Row],[Nb jours]]&gt;2,PROPER(LEFT(TEXT(Tableau1[[#This Row],[Date de Début]]+2,"jjjj"),2))&amp; "" &amp; PROPER(LEFT(TEXT(Tableau1[[#This Row],[Date de Début]]+3,"jjjj"),2)),"")</f>
        <v/>
      </c>
      <c r="Y87" s="176" t="str">
        <f>IF(Tableau1[[#This Row],[Nb jours]]&gt;3,PROPER(LEFT(TEXT(Tableau1[[#This Row],[Date de Début]]+3,"jjjj"),2))&amp; "" &amp; PROPER(LEFT(TEXT(Tableau1[[#This Row],[Date de Début]]+4,"jjjj"),2)),"")</f>
        <v/>
      </c>
      <c r="Z87" s="175" t="str">
        <f>IF(Tableau1[[#This Row],[Nb jours]]&gt;4,PROPER(LEFT(TEXT(Tableau1[[#This Row],[Date de Début]]+4,"jjjj"),2))&amp; "" &amp; PROPER(LEFT(TEXT(Tableau1[[#This Row],[Date de Début]]+5,"jjjj"),2)),"")</f>
        <v/>
      </c>
      <c r="AA87" s="176" t="str">
        <f>IF(Tableau1[[#This Row],[Nb jours]]&gt;5,PROPER(LEFT(TEXT(Tableau1[[#This Row],[Date de Début]]+5,"jjjj"),2))&amp; "" &amp; PROPER(LEFT(TEXT(Tableau1[[#This Row],[Date de Début]]+6,"jjjj"),2)),"")</f>
        <v/>
      </c>
      <c r="AB87" s="177">
        <f>Tableau1[[#This Row],[Date de Fin]]-Tableau1[[#This Row],[Date de Début]]</f>
        <v>1</v>
      </c>
      <c r="AC87" s="218" t="str">
        <f>Tableau1[[#This Row],[Nuit 1]]&amp;Tableau1[[#This Row],[Nuit 2]]&amp;Tableau1[[#This Row],[Nuit 3]]&amp;Tableau1[[#This Row],[Nuit 4]]&amp;Tableau1[[#This Row],[Nuit 5]]&amp;Tableau1[[#This Row],[Nuit 6]]</f>
        <v>MeJe</v>
      </c>
      <c r="AD87" s="241" t="s">
        <v>143</v>
      </c>
      <c r="AE87" s="25">
        <f t="shared" si="47"/>
        <v>28</v>
      </c>
      <c r="AF87" s="30">
        <f>Tableau1[[#This Row],[Date de Début]]-AE87</f>
        <v>45735</v>
      </c>
      <c r="AG87" s="217">
        <v>45716</v>
      </c>
      <c r="AH87" s="25">
        <f t="shared" si="48"/>
        <v>21</v>
      </c>
      <c r="AI87" s="256" t="str">
        <f t="shared" si="49"/>
        <v>2025-02-28</v>
      </c>
      <c r="AJ87" s="45" t="s">
        <v>155</v>
      </c>
      <c r="AK87" s="30">
        <f>Tableau1[[#This Row],[Date de Début]]-AH87</f>
        <v>45742</v>
      </c>
      <c r="AL87" s="217">
        <v>45729</v>
      </c>
      <c r="AM87" s="25">
        <f t="shared" si="50"/>
        <v>21</v>
      </c>
      <c r="AN87" s="266" t="str">
        <f>IF(AL87="","",TEXT(Tableau1[[#This Row],[Date de fin de vérification]],"AAAA-MM-JJ"))</f>
        <v>2025-03-13</v>
      </c>
      <c r="AO87" s="48">
        <f>Tableau1[[#This Row],[Date de Début]]-AM87</f>
        <v>45742</v>
      </c>
      <c r="AP87" s="217">
        <v>45736</v>
      </c>
      <c r="AQ87" s="25">
        <f t="shared" si="51"/>
        <v>14</v>
      </c>
      <c r="AR87" s="256" t="str">
        <f t="shared" si="52"/>
        <v>20/03/2025</v>
      </c>
      <c r="AS87" s="48">
        <f>Tableau1[[#This Row],[Date de Début]]-AQ87</f>
        <v>45749</v>
      </c>
      <c r="AT87" s="217">
        <v>45737</v>
      </c>
      <c r="AU87" s="25">
        <f t="shared" si="53"/>
        <v>14</v>
      </c>
      <c r="AV87" s="256" t="str">
        <f t="shared" si="54"/>
        <v>21-03-2025</v>
      </c>
      <c r="AW87" s="48">
        <f>Tableau1[[#This Row],[Date de Début]]-AU87</f>
        <v>45749</v>
      </c>
      <c r="AX87" s="217">
        <v>45737</v>
      </c>
      <c r="AY87" s="290"/>
      <c r="AZ87" s="26">
        <f>IF(Tableau1[[#This Row],[Date limite de fin de rédaction]]&lt;Tableau1[[#This Row],[Date de fin de rédaction]],1,0)</f>
        <v>0</v>
      </c>
      <c r="BA87" s="26">
        <f>IF(Tableau1[[#This Row],[Date limite de fin de vérification]]&lt;Tableau1[[#This Row],[Date de fin de vérification]],1,0)</f>
        <v>0</v>
      </c>
      <c r="BB87" s="26">
        <f>IF(Tableau1[[#This Row],[Date limite d''envoi a  l''exploitation]]&lt;Tableau1[[#This Row],[Date d''envoi à  l''exploitation
(Mettre en copier le demandeur et le rédacteur)]],1,0)</f>
        <v>0</v>
      </c>
      <c r="BC87" s="26">
        <f>IF(Tableau1[[#This Row],[Date limite de réception]]&lt;Tableau1[[#This Row],[Date de réception]],1,0)</f>
        <v>0</v>
      </c>
      <c r="BD87" s="52">
        <f>IF(Tableau1[[#This Row],[Date limite limite de dépose sur la GED]]&lt;Tableau1[[#This Row],[Date de dépose sur la GED]],1,0)</f>
        <v>0</v>
      </c>
      <c r="BE87" s="291"/>
      <c r="BF87" s="243"/>
      <c r="BG87" s="309"/>
      <c r="BH87" s="295"/>
      <c r="BI87" s="297"/>
      <c r="BJ87" s="300"/>
      <c r="BK87" s="242"/>
    </row>
    <row r="88" spans="1:63" x14ac:dyDescent="0.25">
      <c r="A88" s="223">
        <f t="shared" si="44"/>
        <v>79</v>
      </c>
      <c r="B88" s="90" t="s">
        <v>152</v>
      </c>
      <c r="C88" s="211">
        <v>15144</v>
      </c>
      <c r="D88" s="212" t="s">
        <v>107</v>
      </c>
      <c r="E88" s="24" t="s">
        <v>245</v>
      </c>
      <c r="F88" s="21" t="s">
        <v>103</v>
      </c>
      <c r="G88" s="213" t="str">
        <f>"xxx-2025-"&amp;Tableau1[[#This Row],[N° de 
Ctx]]&amp;"-"&amp;Tableau1[[#This Row],[N° semaine]]&amp;"-"&amp; Tableau1[[#This Row],[Nature des travaux]]</f>
        <v>xxx-2025-79-S16-Contrat 79</v>
      </c>
      <c r="H88" s="214" t="str">
        <f>IF(Tableau1[[#This Row],[Nature des travaux]]=0,"Saisir nature des travaux",Tableau1[[#This Row],[Colonne1]])&amp;"-"&amp;Tableau1[[#This Row],[Jour]]</f>
        <v>xxx-2025-79-S16-Contrat 79-JeVe</v>
      </c>
      <c r="I88" s="29"/>
      <c r="J88" s="24"/>
      <c r="K88" s="24"/>
      <c r="L88" s="24" t="s">
        <v>85</v>
      </c>
      <c r="M88" s="213">
        <f>COUNTIF(Tableau1[[#This Row],[Secteur 1]:[Secteur 4]],"x")</f>
        <v>1</v>
      </c>
      <c r="N88" s="92" t="s">
        <v>92</v>
      </c>
      <c r="O88" s="215" t="str">
        <f>IF(Tableau1[[#This Row],[Date de Fin]]-Tableau1[[#This Row],[Date de Début]]&gt;1,"X"," ")</f>
        <v xml:space="preserve"> </v>
      </c>
      <c r="P88" s="29"/>
      <c r="Q88" s="24"/>
      <c r="R88" s="116">
        <v>45764</v>
      </c>
      <c r="S88" s="285" t="str">
        <f t="shared" si="45"/>
        <v>2025-04-17</v>
      </c>
      <c r="T88" s="216">
        <v>45765</v>
      </c>
      <c r="U88" s="276" t="str">
        <f t="shared" si="46"/>
        <v>2025-04-18</v>
      </c>
      <c r="V88" s="176" t="str">
        <f>PROPER(LEFT(TEXT(Tableau1[[#This Row],[Date de Début]],"jjjj"),2))&amp; "" &amp; PROPER(LEFT(TEXT(Tableau1[[#This Row],[Date de Début]]+1,"jjjj"),2))</f>
        <v>JeVe</v>
      </c>
      <c r="W88" s="175" t="str">
        <f>IF(Tableau1[[#This Row],[Nb jours]]&gt;1,PROPER(LEFT(TEXT(Tableau1[[#This Row],[Date de Début]]+1,"jjjj"),2))&amp; "" &amp; PROPER(LEFT(TEXT(Tableau1[[#This Row],[Date de Début]]+2,"jjjj"),2)),"")</f>
        <v/>
      </c>
      <c r="X88" s="175" t="str">
        <f>IF(Tableau1[[#This Row],[Nb jours]]&gt;2,PROPER(LEFT(TEXT(Tableau1[[#This Row],[Date de Début]]+2,"jjjj"),2))&amp; "" &amp; PROPER(LEFT(TEXT(Tableau1[[#This Row],[Date de Début]]+3,"jjjj"),2)),"")</f>
        <v/>
      </c>
      <c r="Y88" s="176" t="str">
        <f>IF(Tableau1[[#This Row],[Nb jours]]&gt;3,PROPER(LEFT(TEXT(Tableau1[[#This Row],[Date de Début]]+3,"jjjj"),2))&amp; "" &amp; PROPER(LEFT(TEXT(Tableau1[[#This Row],[Date de Début]]+4,"jjjj"),2)),"")</f>
        <v/>
      </c>
      <c r="Z88" s="175" t="str">
        <f>IF(Tableau1[[#This Row],[Nb jours]]&gt;4,PROPER(LEFT(TEXT(Tableau1[[#This Row],[Date de Début]]+4,"jjjj"),2))&amp; "" &amp; PROPER(LEFT(TEXT(Tableau1[[#This Row],[Date de Début]]+5,"jjjj"),2)),"")</f>
        <v/>
      </c>
      <c r="AA88" s="176" t="str">
        <f>IF(Tableau1[[#This Row],[Nb jours]]&gt;5,PROPER(LEFT(TEXT(Tableau1[[#This Row],[Date de Début]]+5,"jjjj"),2))&amp; "" &amp; PROPER(LEFT(TEXT(Tableau1[[#This Row],[Date de Début]]+6,"jjjj"),2)),"")</f>
        <v/>
      </c>
      <c r="AB88" s="177">
        <f>Tableau1[[#This Row],[Date de Fin]]-Tableau1[[#This Row],[Date de Début]]</f>
        <v>1</v>
      </c>
      <c r="AC88" s="218" t="str">
        <f>Tableau1[[#This Row],[Nuit 1]]&amp;Tableau1[[#This Row],[Nuit 2]]&amp;Tableau1[[#This Row],[Nuit 3]]&amp;Tableau1[[#This Row],[Nuit 4]]&amp;Tableau1[[#This Row],[Nuit 5]]&amp;Tableau1[[#This Row],[Nuit 6]]</f>
        <v>JeVe</v>
      </c>
      <c r="AD88" s="42" t="s">
        <v>143</v>
      </c>
      <c r="AE88" s="25">
        <f t="shared" si="47"/>
        <v>28</v>
      </c>
      <c r="AF88" s="30">
        <f>Tableau1[[#This Row],[Date de Début]]-AE88</f>
        <v>45736</v>
      </c>
      <c r="AG88" s="217">
        <v>45716</v>
      </c>
      <c r="AH88" s="25">
        <f t="shared" si="48"/>
        <v>21</v>
      </c>
      <c r="AI88" s="256" t="str">
        <f t="shared" si="49"/>
        <v>2025-02-28</v>
      </c>
      <c r="AJ88" s="45" t="s">
        <v>155</v>
      </c>
      <c r="AK88" s="30">
        <f>Tableau1[[#This Row],[Date de Début]]-AH88</f>
        <v>45743</v>
      </c>
      <c r="AL88" s="217">
        <v>45735</v>
      </c>
      <c r="AM88" s="25">
        <f t="shared" si="50"/>
        <v>21</v>
      </c>
      <c r="AN88" s="266" t="str">
        <f>IF(AL88="","",TEXT(Tableau1[[#This Row],[Date de fin de vérification]],"AAAA-MM-JJ"))</f>
        <v>2025-03-19</v>
      </c>
      <c r="AO88" s="48">
        <f>Tableau1[[#This Row],[Date de Début]]-AM88</f>
        <v>45743</v>
      </c>
      <c r="AP88" s="217">
        <v>45736</v>
      </c>
      <c r="AQ88" s="25">
        <f t="shared" si="51"/>
        <v>14</v>
      </c>
      <c r="AR88" s="256" t="str">
        <f t="shared" si="52"/>
        <v>20/03/2025</v>
      </c>
      <c r="AS88" s="48">
        <f>Tableau1[[#This Row],[Date de Début]]-AQ88</f>
        <v>45750</v>
      </c>
      <c r="AT88" s="217">
        <v>45737</v>
      </c>
      <c r="AU88" s="25">
        <f t="shared" si="53"/>
        <v>14</v>
      </c>
      <c r="AV88" s="256" t="str">
        <f t="shared" si="54"/>
        <v>21-03-2025</v>
      </c>
      <c r="AW88" s="48">
        <f>Tableau1[[#This Row],[Date de Début]]-AU88</f>
        <v>45750</v>
      </c>
      <c r="AX88" s="217">
        <v>45737</v>
      </c>
      <c r="AY88" s="290"/>
      <c r="AZ88" s="26">
        <f>IF(Tableau1[[#This Row],[Date limite de fin de rédaction]]&lt;Tableau1[[#This Row],[Date de fin de rédaction]],1,0)</f>
        <v>0</v>
      </c>
      <c r="BA88" s="26">
        <f>IF(Tableau1[[#This Row],[Date limite de fin de vérification]]&lt;Tableau1[[#This Row],[Date de fin de vérification]],1,0)</f>
        <v>0</v>
      </c>
      <c r="BB88" s="26">
        <f>IF(Tableau1[[#This Row],[Date limite d''envoi a  l''exploitation]]&lt;Tableau1[[#This Row],[Date d''envoi à  l''exploitation
(Mettre en copier le demandeur et le rédacteur)]],1,0)</f>
        <v>0</v>
      </c>
      <c r="BC88" s="26">
        <f>IF(Tableau1[[#This Row],[Date limite de réception]]&lt;Tableau1[[#This Row],[Date de réception]],1,0)</f>
        <v>0</v>
      </c>
      <c r="BD88" s="52">
        <f>IF(Tableau1[[#This Row],[Date limite limite de dépose sur la GED]]&lt;Tableau1[[#This Row],[Date de dépose sur la GED]],1,0)</f>
        <v>0</v>
      </c>
      <c r="BE88" s="291"/>
      <c r="BF88" s="243"/>
      <c r="BG88" s="309"/>
      <c r="BH88" s="295"/>
      <c r="BI88" s="297"/>
      <c r="BJ88" s="300"/>
      <c r="BK88" s="242"/>
    </row>
    <row r="89" spans="1:63" x14ac:dyDescent="0.25">
      <c r="A89" s="313">
        <v>80</v>
      </c>
      <c r="B89" s="90" t="s">
        <v>152</v>
      </c>
      <c r="C89" s="90">
        <v>15530</v>
      </c>
      <c r="D89" s="98" t="s">
        <v>108</v>
      </c>
      <c r="E89" s="24" t="s">
        <v>246</v>
      </c>
      <c r="F89" s="21" t="s">
        <v>103</v>
      </c>
      <c r="G89" s="91" t="str">
        <f>"xxx-2025-"&amp;Tableau1[[#This Row],[N° de 
Ctx]]&amp;"-"&amp;Tableau1[[#This Row],[N° semaine]]&amp;"-"&amp; Tableau1[[#This Row],[Nature des travaux]]</f>
        <v>xxx-2025-80-S17-Contrat 80</v>
      </c>
      <c r="H89" s="208" t="str">
        <f>IF(Tableau1[[#This Row],[Nature des travaux]]=0,"Saisir nature des travaux",Tableau1[[#This Row],[Colonne1]])&amp;"-"&amp;Tableau1[[#This Row],[Jour]]</f>
        <v>xxx-2025-80-S17-Contrat 80-MaMe</v>
      </c>
      <c r="I89" s="20"/>
      <c r="J89" s="21"/>
      <c r="K89" s="21"/>
      <c r="L89" s="24" t="s">
        <v>85</v>
      </c>
      <c r="M89" s="213">
        <f>COUNTIF(Tableau1[[#This Row],[Secteur 1]:[Secteur 4]],"x")</f>
        <v>1</v>
      </c>
      <c r="N89" s="92" t="s">
        <v>92</v>
      </c>
      <c r="O89" s="92" t="str">
        <f>IF(Tableau1[[#This Row],[Date de Fin]]-Tableau1[[#This Row],[Date de Début]]&gt;1,"X"," ")</f>
        <v xml:space="preserve"> </v>
      </c>
      <c r="P89" s="20"/>
      <c r="Q89" s="21"/>
      <c r="R89" s="99">
        <v>45769</v>
      </c>
      <c r="S89" s="280" t="str">
        <f t="shared" ref="S89:S102" si="55">TEXT(R89,"AAAA-MM-JJ")</f>
        <v>2025-04-22</v>
      </c>
      <c r="T89" s="209">
        <v>45770</v>
      </c>
      <c r="U89" s="280" t="str">
        <f t="shared" ref="U89:U102" si="56">TEXT(T89,"AAAA-MM-JJ")</f>
        <v>2025-04-23</v>
      </c>
      <c r="V89" s="176" t="str">
        <f>PROPER(LEFT(TEXT(Tableau1[[#This Row],[Date de Début]],"jjjj"),2))&amp; "" &amp; PROPER(LEFT(TEXT(Tableau1[[#This Row],[Date de Début]]+1,"jjjj"),2))</f>
        <v>MaMe</v>
      </c>
      <c r="W89" s="175" t="str">
        <f>IF(Tableau1[[#This Row],[Nb jours]]&gt;1,PROPER(LEFT(TEXT(Tableau1[[#This Row],[Date de Début]]+1,"jjjj"),2))&amp; "" &amp; PROPER(LEFT(TEXT(Tableau1[[#This Row],[Date de Début]]+2,"jjjj"),2)),"")</f>
        <v/>
      </c>
      <c r="X89" s="175" t="str">
        <f>IF(Tableau1[[#This Row],[Nb jours]]&gt;2,PROPER(LEFT(TEXT(Tableau1[[#This Row],[Date de Début]]+2,"jjjj"),2))&amp; "" &amp; PROPER(LEFT(TEXT(Tableau1[[#This Row],[Date de Début]]+3,"jjjj"),2)),"")</f>
        <v/>
      </c>
      <c r="Y89" s="176" t="str">
        <f>IF(Tableau1[[#This Row],[Nb jours]]&gt;3,PROPER(LEFT(TEXT(Tableau1[[#This Row],[Date de Début]]+3,"jjjj"),2))&amp; "" &amp; PROPER(LEFT(TEXT(Tableau1[[#This Row],[Date de Début]]+4,"jjjj"),2)),"")</f>
        <v/>
      </c>
      <c r="Z89" s="175" t="str">
        <f>IF(Tableau1[[#This Row],[Nb jours]]&gt;4,PROPER(LEFT(TEXT(Tableau1[[#This Row],[Date de Début]]+4,"jjjj"),2))&amp; "" &amp; PROPER(LEFT(TEXT(Tableau1[[#This Row],[Date de Début]]+5,"jjjj"),2)),"")</f>
        <v/>
      </c>
      <c r="AA89" s="176" t="str">
        <f>IF(Tableau1[[#This Row],[Nb jours]]&gt;5,PROPER(LEFT(TEXT(Tableau1[[#This Row],[Date de Début]]+5,"jjjj"),2))&amp; "" &amp; PROPER(LEFT(TEXT(Tableau1[[#This Row],[Date de Début]]+6,"jjjj"),2)),"")</f>
        <v/>
      </c>
      <c r="AB89" s="177">
        <f>Tableau1[[#This Row],[Date de Fin]]-Tableau1[[#This Row],[Date de Début]]</f>
        <v>1</v>
      </c>
      <c r="AC89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89" s="42" t="s">
        <v>143</v>
      </c>
      <c r="AE89" s="27">
        <f t="shared" si="47"/>
        <v>28</v>
      </c>
      <c r="AF89" s="31">
        <f>Tableau1[[#This Row],[Date de Début]]-AE89</f>
        <v>45741</v>
      </c>
      <c r="AG89" s="93">
        <v>45729</v>
      </c>
      <c r="AH89" s="27">
        <f t="shared" si="48"/>
        <v>21</v>
      </c>
      <c r="AI89" s="254" t="str">
        <f t="shared" ref="AI89:AI100" si="57">TEXT(AG89,"AAAA-MM-JJ")</f>
        <v>2025-03-13</v>
      </c>
      <c r="AJ89" s="45" t="s">
        <v>155</v>
      </c>
      <c r="AK89" s="31">
        <f>Tableau1[[#This Row],[Date de Début]]-AH89</f>
        <v>45748</v>
      </c>
      <c r="AL89" s="217">
        <v>45735</v>
      </c>
      <c r="AM89" s="27">
        <f t="shared" si="50"/>
        <v>21</v>
      </c>
      <c r="AN89" s="264" t="str">
        <f>IF(AL89="","",TEXT(Tableau1[[#This Row],[Date de fin de vérification]],"AAAA-MM-JJ"))</f>
        <v>2025-03-19</v>
      </c>
      <c r="AO89" s="49">
        <f>Tableau1[[#This Row],[Date de Début]]-AM89</f>
        <v>45748</v>
      </c>
      <c r="AP89" s="217">
        <v>45757</v>
      </c>
      <c r="AQ89" s="27">
        <f t="shared" si="51"/>
        <v>14</v>
      </c>
      <c r="AR89" s="254" t="str">
        <f t="shared" ref="AR89:AR102" si="58">TEXT(AP89,"JJ/MM/AAAA")</f>
        <v>10/04/2025</v>
      </c>
      <c r="AS89" s="49">
        <f>Tableau1[[#This Row],[Date de Début]]-AQ89</f>
        <v>45755</v>
      </c>
      <c r="AT89" s="217">
        <v>45757</v>
      </c>
      <c r="AU89" s="27">
        <f t="shared" si="53"/>
        <v>14</v>
      </c>
      <c r="AV89" s="254" t="str">
        <f t="shared" ref="AV89:AV102" si="59">TEXT(AT89,"JJ-MM-AAAA")</f>
        <v>10-04-2025</v>
      </c>
      <c r="AW89" s="49">
        <f>Tableau1[[#This Row],[Date de Début]]-AU89</f>
        <v>45755</v>
      </c>
      <c r="AX89" s="217">
        <v>45757</v>
      </c>
      <c r="AY89" s="293"/>
      <c r="AZ89" s="28">
        <f>IF(Tableau1[[#This Row],[Date limite de fin de rédaction]]&lt;Tableau1[[#This Row],[Date de fin de rédaction]],1,0)</f>
        <v>0</v>
      </c>
      <c r="BA89" s="28">
        <f>IF(Tableau1[[#This Row],[Date limite de fin de vérification]]&lt;Tableau1[[#This Row],[Date de fin de vérification]],1,0)</f>
        <v>0</v>
      </c>
      <c r="BB89" s="28">
        <f>IF(Tableau1[[#This Row],[Date limite d''envoi a  l''exploitation]]&lt;Tableau1[[#This Row],[Date d''envoi à  l''exploitation
(Mettre en copier le demandeur et le rédacteur)]],1,0)</f>
        <v>1</v>
      </c>
      <c r="BC89" s="28">
        <f>IF(Tableau1[[#This Row],[Date limite de réception]]&lt;Tableau1[[#This Row],[Date de réception]],1,0)</f>
        <v>1</v>
      </c>
      <c r="BD89" s="53">
        <f>IF(Tableau1[[#This Row],[Date limite limite de dépose sur la GED]]&lt;Tableau1[[#This Row],[Date de dépose sur la GED]],1,0)</f>
        <v>1</v>
      </c>
      <c r="BE89" s="294"/>
      <c r="BF89" s="243"/>
      <c r="BG89" s="309"/>
      <c r="BH89" s="295"/>
      <c r="BI89" s="297"/>
      <c r="BJ89" s="300"/>
      <c r="BK89" s="242"/>
    </row>
    <row r="90" spans="1:63" x14ac:dyDescent="0.25">
      <c r="A90" s="313">
        <v>81</v>
      </c>
      <c r="B90" s="90" t="s">
        <v>152</v>
      </c>
      <c r="C90" s="90">
        <v>15145</v>
      </c>
      <c r="D90" s="98" t="s">
        <v>108</v>
      </c>
      <c r="E90" s="24" t="s">
        <v>247</v>
      </c>
      <c r="F90" s="21" t="s">
        <v>103</v>
      </c>
      <c r="G90" s="91" t="str">
        <f>"xxx-2025-"&amp;Tableau1[[#This Row],[N° de 
Ctx]]&amp;"-"&amp;Tableau1[[#This Row],[N° semaine]]&amp;"-"&amp; Tableau1[[#This Row],[Nature des travaux]]</f>
        <v>xxx-2025-81-S17-Contrat 81</v>
      </c>
      <c r="H90" s="208" t="str">
        <f>IF(Tableau1[[#This Row],[Nature des travaux]]=0,"Saisir nature des travaux",Tableau1[[#This Row],[Colonne1]])&amp;"-"&amp;Tableau1[[#This Row],[Jour]]</f>
        <v>xxx-2025-81-S17-Contrat 81-MeJe</v>
      </c>
      <c r="I90" s="20"/>
      <c r="J90" s="21"/>
      <c r="K90" s="21"/>
      <c r="L90" s="24" t="s">
        <v>85</v>
      </c>
      <c r="M90" s="213">
        <f>COUNTIF(Tableau1[[#This Row],[Secteur 1]:[Secteur 4]],"x")</f>
        <v>1</v>
      </c>
      <c r="N90" s="92" t="s">
        <v>92</v>
      </c>
      <c r="O90" s="92" t="str">
        <f>IF(Tableau1[[#This Row],[Date de Fin]]-Tableau1[[#This Row],[Date de Début]]&gt;1,"X"," ")</f>
        <v xml:space="preserve"> </v>
      </c>
      <c r="P90" s="20"/>
      <c r="Q90" s="21"/>
      <c r="R90" s="99">
        <v>45770</v>
      </c>
      <c r="S90" s="280" t="str">
        <f t="shared" si="55"/>
        <v>2025-04-23</v>
      </c>
      <c r="T90" s="209">
        <v>45771</v>
      </c>
      <c r="U90" s="280" t="str">
        <f t="shared" si="56"/>
        <v>2025-04-24</v>
      </c>
      <c r="V90" s="176" t="str">
        <f>PROPER(LEFT(TEXT(Tableau1[[#This Row],[Date de Début]],"jjjj"),2))&amp; "" &amp; PROPER(LEFT(TEXT(Tableau1[[#This Row],[Date de Début]]+1,"jjjj"),2))</f>
        <v>MeJe</v>
      </c>
      <c r="W90" s="175" t="str">
        <f>IF(Tableau1[[#This Row],[Nb jours]]&gt;1,PROPER(LEFT(TEXT(Tableau1[[#This Row],[Date de Début]]+1,"jjjj"),2))&amp; "" &amp; PROPER(LEFT(TEXT(Tableau1[[#This Row],[Date de Début]]+2,"jjjj"),2)),"")</f>
        <v/>
      </c>
      <c r="X90" s="175" t="str">
        <f>IF(Tableau1[[#This Row],[Nb jours]]&gt;2,PROPER(LEFT(TEXT(Tableau1[[#This Row],[Date de Début]]+2,"jjjj"),2))&amp; "" &amp; PROPER(LEFT(TEXT(Tableau1[[#This Row],[Date de Début]]+3,"jjjj"),2)),"")</f>
        <v/>
      </c>
      <c r="Y90" s="176" t="str">
        <f>IF(Tableau1[[#This Row],[Nb jours]]&gt;3,PROPER(LEFT(TEXT(Tableau1[[#This Row],[Date de Début]]+3,"jjjj"),2))&amp; "" &amp; PROPER(LEFT(TEXT(Tableau1[[#This Row],[Date de Début]]+4,"jjjj"),2)),"")</f>
        <v/>
      </c>
      <c r="Z90" s="175" t="str">
        <f>IF(Tableau1[[#This Row],[Nb jours]]&gt;4,PROPER(LEFT(TEXT(Tableau1[[#This Row],[Date de Début]]+4,"jjjj"),2))&amp; "" &amp; PROPER(LEFT(TEXT(Tableau1[[#This Row],[Date de Début]]+5,"jjjj"),2)),"")</f>
        <v/>
      </c>
      <c r="AA90" s="176" t="str">
        <f>IF(Tableau1[[#This Row],[Nb jours]]&gt;5,PROPER(LEFT(TEXT(Tableau1[[#This Row],[Date de Début]]+5,"jjjj"),2))&amp; "" &amp; PROPER(LEFT(TEXT(Tableau1[[#This Row],[Date de Début]]+6,"jjjj"),2)),"")</f>
        <v/>
      </c>
      <c r="AB90" s="177">
        <f>Tableau1[[#This Row],[Date de Fin]]-Tableau1[[#This Row],[Date de Début]]</f>
        <v>1</v>
      </c>
      <c r="AC90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90" s="42" t="s">
        <v>143</v>
      </c>
      <c r="AE90" s="27">
        <f t="shared" si="47"/>
        <v>28</v>
      </c>
      <c r="AF90" s="31">
        <f>Tableau1[[#This Row],[Date de Début]]-AE90</f>
        <v>45742</v>
      </c>
      <c r="AG90" s="93">
        <v>45729</v>
      </c>
      <c r="AH90" s="27">
        <f t="shared" si="48"/>
        <v>21</v>
      </c>
      <c r="AI90" s="254" t="str">
        <f t="shared" si="57"/>
        <v>2025-03-13</v>
      </c>
      <c r="AJ90" s="45" t="s">
        <v>155</v>
      </c>
      <c r="AK90" s="31">
        <f>Tableau1[[#This Row],[Date de Début]]-AH90</f>
        <v>45749</v>
      </c>
      <c r="AL90" s="217">
        <v>45735</v>
      </c>
      <c r="AM90" s="27">
        <f t="shared" si="50"/>
        <v>21</v>
      </c>
      <c r="AN90" s="264" t="str">
        <f>IF(AL90="","",TEXT(Tableau1[[#This Row],[Date de fin de vérification]],"AAAA-MM-JJ"))</f>
        <v>2025-03-19</v>
      </c>
      <c r="AO90" s="49">
        <f>Tableau1[[#This Row],[Date de Début]]-AM90</f>
        <v>45749</v>
      </c>
      <c r="AP90" s="217">
        <v>45757</v>
      </c>
      <c r="AQ90" s="27">
        <f t="shared" si="51"/>
        <v>14</v>
      </c>
      <c r="AR90" s="254" t="str">
        <f t="shared" si="58"/>
        <v>10/04/2025</v>
      </c>
      <c r="AS90" s="49">
        <f>Tableau1[[#This Row],[Date de Début]]-AQ90</f>
        <v>45756</v>
      </c>
      <c r="AT90" s="217">
        <v>45757</v>
      </c>
      <c r="AU90" s="27">
        <f t="shared" si="53"/>
        <v>14</v>
      </c>
      <c r="AV90" s="254" t="str">
        <f t="shared" si="59"/>
        <v>10-04-2025</v>
      </c>
      <c r="AW90" s="49">
        <f>Tableau1[[#This Row],[Date de Début]]-AU90</f>
        <v>45756</v>
      </c>
      <c r="AX90" s="217">
        <v>45757</v>
      </c>
      <c r="AY90" s="293"/>
      <c r="AZ90" s="28">
        <f>IF(Tableau1[[#This Row],[Date limite de fin de rédaction]]&lt;Tableau1[[#This Row],[Date de fin de rédaction]],1,0)</f>
        <v>0</v>
      </c>
      <c r="BA90" s="28">
        <f>IF(Tableau1[[#This Row],[Date limite de fin de vérification]]&lt;Tableau1[[#This Row],[Date de fin de vérification]],1,0)</f>
        <v>0</v>
      </c>
      <c r="BB90" s="28">
        <f>IF(Tableau1[[#This Row],[Date limite d''envoi a  l''exploitation]]&lt;Tableau1[[#This Row],[Date d''envoi à  l''exploitation
(Mettre en copier le demandeur et le rédacteur)]],1,0)</f>
        <v>1</v>
      </c>
      <c r="BC90" s="28">
        <f>IF(Tableau1[[#This Row],[Date limite de réception]]&lt;Tableau1[[#This Row],[Date de réception]],1,0)</f>
        <v>1</v>
      </c>
      <c r="BD90" s="53">
        <f>IF(Tableau1[[#This Row],[Date limite limite de dépose sur la GED]]&lt;Tableau1[[#This Row],[Date de dépose sur la GED]],1,0)</f>
        <v>1</v>
      </c>
      <c r="BE90" s="294"/>
      <c r="BF90" s="243"/>
      <c r="BG90" s="309"/>
      <c r="BH90" s="295"/>
      <c r="BI90" s="297"/>
      <c r="BJ90" s="300"/>
      <c r="BK90" s="242"/>
    </row>
    <row r="91" spans="1:63" x14ac:dyDescent="0.25">
      <c r="A91" s="313">
        <v>82</v>
      </c>
      <c r="B91" s="90" t="s">
        <v>152</v>
      </c>
      <c r="C91" s="90">
        <v>15529</v>
      </c>
      <c r="D91" s="98" t="s">
        <v>108</v>
      </c>
      <c r="E91" s="24" t="s">
        <v>248</v>
      </c>
      <c r="F91" s="21" t="s">
        <v>103</v>
      </c>
      <c r="G91" s="91" t="str">
        <f>"xxx-2025-"&amp;Tableau1[[#This Row],[N° de 
Ctx]]&amp;"-"&amp;Tableau1[[#This Row],[N° semaine]]&amp;"-"&amp; Tableau1[[#This Row],[Nature des travaux]]</f>
        <v>xxx-2025-82-S17-Contrat 82</v>
      </c>
      <c r="H91" s="208" t="str">
        <f>IF(Tableau1[[#This Row],[Nature des travaux]]=0,"Saisir nature des travaux",Tableau1[[#This Row],[Colonne1]])&amp;"-"&amp;Tableau1[[#This Row],[Jour]]</f>
        <v>xxx-2025-82-S17-Contrat 82-JeVe</v>
      </c>
      <c r="I91" s="20"/>
      <c r="J91" s="21"/>
      <c r="K91" s="21"/>
      <c r="L91" s="24" t="s">
        <v>85</v>
      </c>
      <c r="M91" s="213">
        <f>COUNTIF(Tableau1[[#This Row],[Secteur 1]:[Secteur 4]],"x")</f>
        <v>1</v>
      </c>
      <c r="N91" s="92" t="s">
        <v>92</v>
      </c>
      <c r="O91" s="92" t="str">
        <f>IF(Tableau1[[#This Row],[Date de Fin]]-Tableau1[[#This Row],[Date de Début]]&gt;1,"X"," ")</f>
        <v xml:space="preserve"> </v>
      </c>
      <c r="P91" s="20"/>
      <c r="Q91" s="21"/>
      <c r="R91" s="99">
        <v>45771</v>
      </c>
      <c r="S91" s="280" t="str">
        <f t="shared" si="55"/>
        <v>2025-04-24</v>
      </c>
      <c r="T91" s="209">
        <v>45771</v>
      </c>
      <c r="U91" s="280" t="str">
        <f t="shared" si="56"/>
        <v>2025-04-24</v>
      </c>
      <c r="V91" s="176" t="str">
        <f>PROPER(LEFT(TEXT(Tableau1[[#This Row],[Date de Début]],"jjjj"),2))&amp; "" &amp; PROPER(LEFT(TEXT(Tableau1[[#This Row],[Date de Début]]+1,"jjjj"),2))</f>
        <v>JeVe</v>
      </c>
      <c r="W91" s="175" t="str">
        <f>IF(Tableau1[[#This Row],[Nb jours]]&gt;1,PROPER(LEFT(TEXT(Tableau1[[#This Row],[Date de Début]]+1,"jjjj"),2))&amp; "" &amp; PROPER(LEFT(TEXT(Tableau1[[#This Row],[Date de Début]]+2,"jjjj"),2)),"")</f>
        <v/>
      </c>
      <c r="X91" s="175" t="str">
        <f>IF(Tableau1[[#This Row],[Nb jours]]&gt;2,PROPER(LEFT(TEXT(Tableau1[[#This Row],[Date de Début]]+2,"jjjj"),2))&amp; "" &amp; PROPER(LEFT(TEXT(Tableau1[[#This Row],[Date de Début]]+3,"jjjj"),2)),"")</f>
        <v/>
      </c>
      <c r="Y91" s="176" t="str">
        <f>IF(Tableau1[[#This Row],[Nb jours]]&gt;3,PROPER(LEFT(TEXT(Tableau1[[#This Row],[Date de Début]]+3,"jjjj"),2))&amp; "" &amp; PROPER(LEFT(TEXT(Tableau1[[#This Row],[Date de Début]]+4,"jjjj"),2)),"")</f>
        <v/>
      </c>
      <c r="Z91" s="175" t="str">
        <f>IF(Tableau1[[#This Row],[Nb jours]]&gt;4,PROPER(LEFT(TEXT(Tableau1[[#This Row],[Date de Début]]+4,"jjjj"),2))&amp; "" &amp; PROPER(LEFT(TEXT(Tableau1[[#This Row],[Date de Début]]+5,"jjjj"),2)),"")</f>
        <v/>
      </c>
      <c r="AA91" s="176" t="str">
        <f>IF(Tableau1[[#This Row],[Nb jours]]&gt;5,PROPER(LEFT(TEXT(Tableau1[[#This Row],[Date de Début]]+5,"jjjj"),2))&amp; "" &amp; PROPER(LEFT(TEXT(Tableau1[[#This Row],[Date de Début]]+6,"jjjj"),2)),"")</f>
        <v/>
      </c>
      <c r="AB91" s="177">
        <f>Tableau1[[#This Row],[Date de Fin]]-Tableau1[[#This Row],[Date de Début]]</f>
        <v>0</v>
      </c>
      <c r="AC91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91" s="42" t="s">
        <v>143</v>
      </c>
      <c r="AE91" s="27">
        <f t="shared" si="47"/>
        <v>28</v>
      </c>
      <c r="AF91" s="31">
        <f>Tableau1[[#This Row],[Date de Début]]-AE91</f>
        <v>45743</v>
      </c>
      <c r="AG91" s="93">
        <v>45729</v>
      </c>
      <c r="AH91" s="27">
        <f t="shared" si="48"/>
        <v>21</v>
      </c>
      <c r="AI91" s="254" t="str">
        <f t="shared" si="57"/>
        <v>2025-03-13</v>
      </c>
      <c r="AJ91" s="45" t="s">
        <v>155</v>
      </c>
      <c r="AK91" s="31">
        <f>Tableau1[[#This Row],[Date de Début]]-AH91</f>
        <v>45750</v>
      </c>
      <c r="AL91" s="217">
        <v>45747</v>
      </c>
      <c r="AM91" s="27">
        <f t="shared" si="50"/>
        <v>21</v>
      </c>
      <c r="AN91" s="264" t="str">
        <f>IF(AL91="","",TEXT(Tableau1[[#This Row],[Date de fin de vérification]],"AAAA-MM-JJ"))</f>
        <v>2025-03-31</v>
      </c>
      <c r="AO91" s="49">
        <f>Tableau1[[#This Row],[Date de Début]]-AM91</f>
        <v>45750</v>
      </c>
      <c r="AP91" s="217">
        <v>45757</v>
      </c>
      <c r="AQ91" s="27">
        <f t="shared" si="51"/>
        <v>14</v>
      </c>
      <c r="AR91" s="254" t="str">
        <f t="shared" si="58"/>
        <v>10/04/2025</v>
      </c>
      <c r="AS91" s="49">
        <f>Tableau1[[#This Row],[Date de Début]]-AQ91</f>
        <v>45757</v>
      </c>
      <c r="AT91" s="217">
        <v>45757</v>
      </c>
      <c r="AU91" s="27">
        <f t="shared" si="53"/>
        <v>14</v>
      </c>
      <c r="AV91" s="254" t="str">
        <f t="shared" si="59"/>
        <v>10-04-2025</v>
      </c>
      <c r="AW91" s="49">
        <f>Tableau1[[#This Row],[Date de Début]]-AU91</f>
        <v>45757</v>
      </c>
      <c r="AX91" s="217">
        <v>45757</v>
      </c>
      <c r="AY91" s="293"/>
      <c r="AZ91" s="28">
        <f>IF(Tableau1[[#This Row],[Date limite de fin de rédaction]]&lt;Tableau1[[#This Row],[Date de fin de rédaction]],1,0)</f>
        <v>0</v>
      </c>
      <c r="BA91" s="28">
        <f>IF(Tableau1[[#This Row],[Date limite de fin de vérification]]&lt;Tableau1[[#This Row],[Date de fin de vérification]],1,0)</f>
        <v>0</v>
      </c>
      <c r="BB91" s="28">
        <f>IF(Tableau1[[#This Row],[Date limite d''envoi a  l''exploitation]]&lt;Tableau1[[#This Row],[Date d''envoi à  l''exploitation
(Mettre en copier le demandeur et le rédacteur)]],1,0)</f>
        <v>1</v>
      </c>
      <c r="BC91" s="28">
        <f>IF(Tableau1[[#This Row],[Date limite de réception]]&lt;Tableau1[[#This Row],[Date de réception]],1,0)</f>
        <v>0</v>
      </c>
      <c r="BD91" s="53">
        <f>IF(Tableau1[[#This Row],[Date limite limite de dépose sur la GED]]&lt;Tableau1[[#This Row],[Date de dépose sur la GED]],1,0)</f>
        <v>0</v>
      </c>
      <c r="BE91" s="294"/>
      <c r="BF91" s="243"/>
      <c r="BG91" s="309"/>
      <c r="BH91" s="295"/>
      <c r="BI91" s="297"/>
      <c r="BJ91" s="300"/>
      <c r="BK91" s="242"/>
    </row>
    <row r="92" spans="1:63" x14ac:dyDescent="0.25">
      <c r="A92" s="313">
        <v>83</v>
      </c>
      <c r="B92" s="90" t="s">
        <v>152</v>
      </c>
      <c r="C92" s="90">
        <v>15146</v>
      </c>
      <c r="D92" s="98" t="s">
        <v>109</v>
      </c>
      <c r="E92" s="24" t="s">
        <v>249</v>
      </c>
      <c r="F92" s="21" t="s">
        <v>103</v>
      </c>
      <c r="G92" s="91" t="str">
        <f>"xxx-2025-"&amp;Tableau1[[#This Row],[N° de 
Ctx]]&amp;"-"&amp;Tableau1[[#This Row],[N° semaine]]&amp;"-"&amp; Tableau1[[#This Row],[Nature des travaux]]</f>
        <v>xxx-2025-83-S18-Contrat 83</v>
      </c>
      <c r="H92" s="208" t="str">
        <f>IF(Tableau1[[#This Row],[Nature des travaux]]=0,"Saisir nature des travaux",Tableau1[[#This Row],[Colonne1]])&amp;"-"&amp;Tableau1[[#This Row],[Jour]]</f>
        <v>xxx-2025-83-S18-Contrat 83-LuMa</v>
      </c>
      <c r="I92" s="20"/>
      <c r="J92" s="21"/>
      <c r="K92" s="21"/>
      <c r="L92" s="24" t="s">
        <v>85</v>
      </c>
      <c r="M92" s="213">
        <f>COUNTIF(Tableau1[[#This Row],[Secteur 1]:[Secteur 4]],"x")</f>
        <v>1</v>
      </c>
      <c r="N92" s="92" t="s">
        <v>92</v>
      </c>
      <c r="O92" s="92" t="str">
        <f>IF(Tableau1[[#This Row],[Date de Fin]]-Tableau1[[#This Row],[Date de Début]]&gt;1,"X"," ")</f>
        <v xml:space="preserve"> </v>
      </c>
      <c r="P92" s="20"/>
      <c r="Q92" s="21"/>
      <c r="R92" s="99">
        <v>45775</v>
      </c>
      <c r="S92" s="280" t="str">
        <f t="shared" si="55"/>
        <v>2025-04-28</v>
      </c>
      <c r="T92" s="209">
        <v>45776</v>
      </c>
      <c r="U92" s="280" t="str">
        <f t="shared" si="56"/>
        <v>2025-04-29</v>
      </c>
      <c r="V92" s="176" t="str">
        <f>PROPER(LEFT(TEXT(Tableau1[[#This Row],[Date de Début]],"jjjj"),2))&amp; "" &amp; PROPER(LEFT(TEXT(Tableau1[[#This Row],[Date de Début]]+1,"jjjj"),2))</f>
        <v>LuMa</v>
      </c>
      <c r="W92" s="175" t="str">
        <f>IF(Tableau1[[#This Row],[Nb jours]]&gt;1,PROPER(LEFT(TEXT(Tableau1[[#This Row],[Date de Début]]+1,"jjjj"),2))&amp; "" &amp; PROPER(LEFT(TEXT(Tableau1[[#This Row],[Date de Début]]+2,"jjjj"),2)),"")</f>
        <v/>
      </c>
      <c r="X92" s="175" t="str">
        <f>IF(Tableau1[[#This Row],[Nb jours]]&gt;2,PROPER(LEFT(TEXT(Tableau1[[#This Row],[Date de Début]]+2,"jjjj"),2))&amp; "" &amp; PROPER(LEFT(TEXT(Tableau1[[#This Row],[Date de Début]]+3,"jjjj"),2)),"")</f>
        <v/>
      </c>
      <c r="Y92" s="176" t="str">
        <f>IF(Tableau1[[#This Row],[Nb jours]]&gt;3,PROPER(LEFT(TEXT(Tableau1[[#This Row],[Date de Début]]+3,"jjjj"),2))&amp; "" &amp; PROPER(LEFT(TEXT(Tableau1[[#This Row],[Date de Début]]+4,"jjjj"),2)),"")</f>
        <v/>
      </c>
      <c r="Z92" s="175" t="str">
        <f>IF(Tableau1[[#This Row],[Nb jours]]&gt;4,PROPER(LEFT(TEXT(Tableau1[[#This Row],[Date de Début]]+4,"jjjj"),2))&amp; "" &amp; PROPER(LEFT(TEXT(Tableau1[[#This Row],[Date de Début]]+5,"jjjj"),2)),"")</f>
        <v/>
      </c>
      <c r="AA92" s="176" t="str">
        <f>IF(Tableau1[[#This Row],[Nb jours]]&gt;5,PROPER(LEFT(TEXT(Tableau1[[#This Row],[Date de Début]]+5,"jjjj"),2))&amp; "" &amp; PROPER(LEFT(TEXT(Tableau1[[#This Row],[Date de Début]]+6,"jjjj"),2)),"")</f>
        <v/>
      </c>
      <c r="AB92" s="177">
        <f>Tableau1[[#This Row],[Date de Fin]]-Tableau1[[#This Row],[Date de Début]]</f>
        <v>1</v>
      </c>
      <c r="AC92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92" s="42" t="s">
        <v>143</v>
      </c>
      <c r="AE92" s="27">
        <f t="shared" si="47"/>
        <v>28</v>
      </c>
      <c r="AF92" s="31">
        <f>Tableau1[[#This Row],[Date de Début]]-AE92</f>
        <v>45747</v>
      </c>
      <c r="AG92" s="93">
        <v>45744</v>
      </c>
      <c r="AH92" s="27">
        <f t="shared" si="48"/>
        <v>21</v>
      </c>
      <c r="AI92" s="254" t="str">
        <f t="shared" si="57"/>
        <v>2025-03-28</v>
      </c>
      <c r="AJ92" s="45" t="s">
        <v>155</v>
      </c>
      <c r="AK92" s="31">
        <f>Tableau1[[#This Row],[Date de Début]]-AH92</f>
        <v>45754</v>
      </c>
      <c r="AL92" s="217">
        <v>45747</v>
      </c>
      <c r="AM92" s="27">
        <f t="shared" si="50"/>
        <v>21</v>
      </c>
      <c r="AN92" s="264" t="str">
        <f>IF(AL92="","",TEXT(Tableau1[[#This Row],[Date de fin de vérification]],"AAAA-MM-JJ"))</f>
        <v>2025-03-31</v>
      </c>
      <c r="AO92" s="49">
        <f>Tableau1[[#This Row],[Date de Début]]-AM92</f>
        <v>45754</v>
      </c>
      <c r="AP92" s="217">
        <v>45757</v>
      </c>
      <c r="AQ92" s="27">
        <f t="shared" si="51"/>
        <v>14</v>
      </c>
      <c r="AR92" s="254" t="str">
        <f t="shared" si="58"/>
        <v>10/04/2025</v>
      </c>
      <c r="AS92" s="49">
        <f>Tableau1[[#This Row],[Date de Début]]-AQ92</f>
        <v>45761</v>
      </c>
      <c r="AT92" s="217">
        <v>45757</v>
      </c>
      <c r="AU92" s="27">
        <f t="shared" si="53"/>
        <v>14</v>
      </c>
      <c r="AV92" s="254" t="str">
        <f t="shared" si="59"/>
        <v>10-04-2025</v>
      </c>
      <c r="AW92" s="49">
        <f>Tableau1[[#This Row],[Date de Début]]-AU92</f>
        <v>45761</v>
      </c>
      <c r="AX92" s="217">
        <v>45757</v>
      </c>
      <c r="AY92" s="293"/>
      <c r="AZ92" s="28">
        <f>IF(Tableau1[[#This Row],[Date limite de fin de rédaction]]&lt;Tableau1[[#This Row],[Date de fin de rédaction]],1,0)</f>
        <v>0</v>
      </c>
      <c r="BA92" s="28">
        <f>IF(Tableau1[[#This Row],[Date limite de fin de vérification]]&lt;Tableau1[[#This Row],[Date de fin de vérification]],1,0)</f>
        <v>0</v>
      </c>
      <c r="BB92" s="28">
        <f>IF(Tableau1[[#This Row],[Date limite d''envoi a  l''exploitation]]&lt;Tableau1[[#This Row],[Date d''envoi à  l''exploitation
(Mettre en copier le demandeur et le rédacteur)]],1,0)</f>
        <v>1</v>
      </c>
      <c r="BC92" s="28">
        <f>IF(Tableau1[[#This Row],[Date limite de réception]]&lt;Tableau1[[#This Row],[Date de réception]],1,0)</f>
        <v>0</v>
      </c>
      <c r="BD92" s="53">
        <f>IF(Tableau1[[#This Row],[Date limite limite de dépose sur la GED]]&lt;Tableau1[[#This Row],[Date de dépose sur la GED]],1,0)</f>
        <v>0</v>
      </c>
      <c r="BE92" s="294"/>
      <c r="BF92" s="243"/>
      <c r="BG92" s="309"/>
      <c r="BH92" s="295"/>
      <c r="BI92" s="297"/>
      <c r="BJ92" s="300"/>
      <c r="BK92" s="242"/>
    </row>
    <row r="93" spans="1:63" x14ac:dyDescent="0.25">
      <c r="A93" s="313">
        <v>84</v>
      </c>
      <c r="B93" s="90" t="s">
        <v>152</v>
      </c>
      <c r="C93" s="90">
        <v>15147</v>
      </c>
      <c r="D93" s="98" t="s">
        <v>109</v>
      </c>
      <c r="E93" s="24" t="s">
        <v>250</v>
      </c>
      <c r="F93" s="21" t="s">
        <v>103</v>
      </c>
      <c r="G93" s="91" t="str">
        <f>"xxx-2025-"&amp;Tableau1[[#This Row],[N° de 
Ctx]]&amp;"-"&amp;Tableau1[[#This Row],[N° semaine]]&amp;"-"&amp; Tableau1[[#This Row],[Nature des travaux]]</f>
        <v>xxx-2025-84-S18-Contrat 84</v>
      </c>
      <c r="H93" s="208" t="str">
        <f>IF(Tableau1[[#This Row],[Nature des travaux]]=0,"Saisir nature des travaux",Tableau1[[#This Row],[Colonne1]])&amp;"-"&amp;Tableau1[[#This Row],[Jour]]</f>
        <v>xxx-2025-84-S18-Contrat 84-MaMe</v>
      </c>
      <c r="I93" s="20"/>
      <c r="J93" s="21"/>
      <c r="K93" s="21"/>
      <c r="L93" s="24" t="s">
        <v>85</v>
      </c>
      <c r="M93" s="213">
        <f>COUNTIF(Tableau1[[#This Row],[Secteur 1]:[Secteur 4]],"x")</f>
        <v>1</v>
      </c>
      <c r="N93" s="92" t="s">
        <v>92</v>
      </c>
      <c r="O93" s="92" t="str">
        <f>IF(Tableau1[[#This Row],[Date de Fin]]-Tableau1[[#This Row],[Date de Début]]&gt;1,"X"," ")</f>
        <v xml:space="preserve"> </v>
      </c>
      <c r="P93" s="20"/>
      <c r="Q93" s="21"/>
      <c r="R93" s="99">
        <v>45776</v>
      </c>
      <c r="S93" s="280" t="str">
        <f t="shared" si="55"/>
        <v>2025-04-29</v>
      </c>
      <c r="T93" s="209">
        <v>45777</v>
      </c>
      <c r="U93" s="280" t="str">
        <f t="shared" si="56"/>
        <v>2025-04-30</v>
      </c>
      <c r="V93" s="176" t="str">
        <f>PROPER(LEFT(TEXT(Tableau1[[#This Row],[Date de Début]],"jjjj"),2))&amp; "" &amp; PROPER(LEFT(TEXT(Tableau1[[#This Row],[Date de Début]]+1,"jjjj"),2))</f>
        <v>MaMe</v>
      </c>
      <c r="W93" s="175" t="str">
        <f>IF(Tableau1[[#This Row],[Nb jours]]&gt;1,PROPER(LEFT(TEXT(Tableau1[[#This Row],[Date de Début]]+1,"jjjj"),2))&amp; "" &amp; PROPER(LEFT(TEXT(Tableau1[[#This Row],[Date de Début]]+2,"jjjj"),2)),"")</f>
        <v/>
      </c>
      <c r="X93" s="175" t="str">
        <f>IF(Tableau1[[#This Row],[Nb jours]]&gt;2,PROPER(LEFT(TEXT(Tableau1[[#This Row],[Date de Début]]+2,"jjjj"),2))&amp; "" &amp; PROPER(LEFT(TEXT(Tableau1[[#This Row],[Date de Début]]+3,"jjjj"),2)),"")</f>
        <v/>
      </c>
      <c r="Y93" s="176" t="str">
        <f>IF(Tableau1[[#This Row],[Nb jours]]&gt;3,PROPER(LEFT(TEXT(Tableau1[[#This Row],[Date de Début]]+3,"jjjj"),2))&amp; "" &amp; PROPER(LEFT(TEXT(Tableau1[[#This Row],[Date de Début]]+4,"jjjj"),2)),"")</f>
        <v/>
      </c>
      <c r="Z93" s="175" t="str">
        <f>IF(Tableau1[[#This Row],[Nb jours]]&gt;4,PROPER(LEFT(TEXT(Tableau1[[#This Row],[Date de Début]]+4,"jjjj"),2))&amp; "" &amp; PROPER(LEFT(TEXT(Tableau1[[#This Row],[Date de Début]]+5,"jjjj"),2)),"")</f>
        <v/>
      </c>
      <c r="AA93" s="176" t="str">
        <f>IF(Tableau1[[#This Row],[Nb jours]]&gt;5,PROPER(LEFT(TEXT(Tableau1[[#This Row],[Date de Début]]+5,"jjjj"),2))&amp; "" &amp; PROPER(LEFT(TEXT(Tableau1[[#This Row],[Date de Début]]+6,"jjjj"),2)),"")</f>
        <v/>
      </c>
      <c r="AB93" s="177">
        <f>Tableau1[[#This Row],[Date de Fin]]-Tableau1[[#This Row],[Date de Début]]</f>
        <v>1</v>
      </c>
      <c r="AC93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93" s="42" t="s">
        <v>143</v>
      </c>
      <c r="AE93" s="27">
        <f t="shared" si="47"/>
        <v>28</v>
      </c>
      <c r="AF93" s="31">
        <f>Tableau1[[#This Row],[Date de Début]]-AE93</f>
        <v>45748</v>
      </c>
      <c r="AG93" s="93">
        <v>45744</v>
      </c>
      <c r="AH93" s="27">
        <f t="shared" si="48"/>
        <v>21</v>
      </c>
      <c r="AI93" s="254" t="str">
        <f t="shared" si="57"/>
        <v>2025-03-28</v>
      </c>
      <c r="AJ93" s="45" t="s">
        <v>155</v>
      </c>
      <c r="AK93" s="31">
        <f>Tableau1[[#This Row],[Date de Début]]-AH93</f>
        <v>45755</v>
      </c>
      <c r="AL93" s="217">
        <v>45747</v>
      </c>
      <c r="AM93" s="27">
        <f t="shared" si="50"/>
        <v>21</v>
      </c>
      <c r="AN93" s="264" t="str">
        <f>IF(AL93="","",TEXT(Tableau1[[#This Row],[Date de fin de vérification]],"AAAA-MM-JJ"))</f>
        <v>2025-03-31</v>
      </c>
      <c r="AO93" s="49">
        <f>Tableau1[[#This Row],[Date de Début]]-AM93</f>
        <v>45755</v>
      </c>
      <c r="AP93" s="217">
        <v>45757</v>
      </c>
      <c r="AQ93" s="27">
        <f t="shared" si="51"/>
        <v>14</v>
      </c>
      <c r="AR93" s="254" t="str">
        <f t="shared" si="58"/>
        <v>10/04/2025</v>
      </c>
      <c r="AS93" s="49">
        <f>Tableau1[[#This Row],[Date de Début]]-AQ93</f>
        <v>45762</v>
      </c>
      <c r="AT93" s="217">
        <v>45757</v>
      </c>
      <c r="AU93" s="27">
        <f t="shared" si="53"/>
        <v>14</v>
      </c>
      <c r="AV93" s="254" t="str">
        <f t="shared" si="59"/>
        <v>10-04-2025</v>
      </c>
      <c r="AW93" s="49">
        <f>Tableau1[[#This Row],[Date de Début]]-AU93</f>
        <v>45762</v>
      </c>
      <c r="AX93" s="217">
        <v>45757</v>
      </c>
      <c r="AY93" s="293"/>
      <c r="AZ93" s="28">
        <f>IF(Tableau1[[#This Row],[Date limite de fin de rédaction]]&lt;Tableau1[[#This Row],[Date de fin de rédaction]],1,0)</f>
        <v>0</v>
      </c>
      <c r="BA93" s="28">
        <f>IF(Tableau1[[#This Row],[Date limite de fin de vérification]]&lt;Tableau1[[#This Row],[Date de fin de vérification]],1,0)</f>
        <v>0</v>
      </c>
      <c r="BB93" s="28">
        <f>IF(Tableau1[[#This Row],[Date limite d''envoi a  l''exploitation]]&lt;Tableau1[[#This Row],[Date d''envoi à  l''exploitation
(Mettre en copier le demandeur et le rédacteur)]],1,0)</f>
        <v>1</v>
      </c>
      <c r="BC93" s="28">
        <f>IF(Tableau1[[#This Row],[Date limite de réception]]&lt;Tableau1[[#This Row],[Date de réception]],1,0)</f>
        <v>0</v>
      </c>
      <c r="BD93" s="53">
        <f>IF(Tableau1[[#This Row],[Date limite limite de dépose sur la GED]]&lt;Tableau1[[#This Row],[Date de dépose sur la GED]],1,0)</f>
        <v>0</v>
      </c>
      <c r="BE93" s="294"/>
      <c r="BF93" s="243"/>
      <c r="BG93" s="309"/>
      <c r="BH93" s="295"/>
      <c r="BI93" s="297"/>
      <c r="BJ93" s="300"/>
      <c r="BK93" s="242"/>
    </row>
    <row r="94" spans="1:63" x14ac:dyDescent="0.25">
      <c r="A94" s="313">
        <v>85</v>
      </c>
      <c r="B94" s="90" t="s">
        <v>152</v>
      </c>
      <c r="C94" s="90">
        <v>15147</v>
      </c>
      <c r="D94" s="98" t="s">
        <v>109</v>
      </c>
      <c r="E94" s="24" t="s">
        <v>251</v>
      </c>
      <c r="F94" s="21" t="s">
        <v>103</v>
      </c>
      <c r="G94" s="91" t="str">
        <f>"xxx-2025-"&amp;Tableau1[[#This Row],[N° de 
Ctx]]&amp;"-"&amp;Tableau1[[#This Row],[N° semaine]]&amp;"-"&amp; Tableau1[[#This Row],[Nature des travaux]]</f>
        <v>xxx-2025-85-S18-Contrat 85</v>
      </c>
      <c r="H94" s="208" t="str">
        <f>IF(Tableau1[[#This Row],[Nature des travaux]]=0,"Saisir nature des travaux",Tableau1[[#This Row],[Colonne1]])&amp;"-"&amp;Tableau1[[#This Row],[Jour]]</f>
        <v>xxx-2025-85-S18-Contrat 85-MeJe</v>
      </c>
      <c r="I94" s="20"/>
      <c r="J94" s="21"/>
      <c r="K94" s="21"/>
      <c r="L94" s="24" t="s">
        <v>85</v>
      </c>
      <c r="M94" s="213">
        <f>COUNTIF(Tableau1[[#This Row],[Secteur 1]:[Secteur 4]],"x")</f>
        <v>1</v>
      </c>
      <c r="N94" s="92" t="s">
        <v>92</v>
      </c>
      <c r="O94" s="92" t="str">
        <f>IF(Tableau1[[#This Row],[Date de Fin]]-Tableau1[[#This Row],[Date de Début]]&gt;1,"X"," ")</f>
        <v xml:space="preserve"> </v>
      </c>
      <c r="P94" s="20"/>
      <c r="Q94" s="21"/>
      <c r="R94" s="99">
        <v>45777</v>
      </c>
      <c r="S94" s="280" t="str">
        <f t="shared" si="55"/>
        <v>2025-04-30</v>
      </c>
      <c r="T94" s="209">
        <v>45778</v>
      </c>
      <c r="U94" s="280" t="str">
        <f t="shared" si="56"/>
        <v>2025-05-01</v>
      </c>
      <c r="V94" s="176" t="str">
        <f>PROPER(LEFT(TEXT(Tableau1[[#This Row],[Date de Début]],"jjjj"),2))&amp; "" &amp; PROPER(LEFT(TEXT(Tableau1[[#This Row],[Date de Début]]+1,"jjjj"),2))</f>
        <v>MeJe</v>
      </c>
      <c r="W94" s="175" t="str">
        <f>IF(Tableau1[[#This Row],[Nb jours]]&gt;1,PROPER(LEFT(TEXT(Tableau1[[#This Row],[Date de Début]]+1,"jjjj"),2))&amp; "" &amp; PROPER(LEFT(TEXT(Tableau1[[#This Row],[Date de Début]]+2,"jjjj"),2)),"")</f>
        <v/>
      </c>
      <c r="X94" s="175" t="str">
        <f>IF(Tableau1[[#This Row],[Nb jours]]&gt;2,PROPER(LEFT(TEXT(Tableau1[[#This Row],[Date de Début]]+2,"jjjj"),2))&amp; "" &amp; PROPER(LEFT(TEXT(Tableau1[[#This Row],[Date de Début]]+3,"jjjj"),2)),"")</f>
        <v/>
      </c>
      <c r="Y94" s="176" t="str">
        <f>IF(Tableau1[[#This Row],[Nb jours]]&gt;3,PROPER(LEFT(TEXT(Tableau1[[#This Row],[Date de Début]]+3,"jjjj"),2))&amp; "" &amp; PROPER(LEFT(TEXT(Tableau1[[#This Row],[Date de Début]]+4,"jjjj"),2)),"")</f>
        <v/>
      </c>
      <c r="Z94" s="175" t="str">
        <f>IF(Tableau1[[#This Row],[Nb jours]]&gt;4,PROPER(LEFT(TEXT(Tableau1[[#This Row],[Date de Début]]+4,"jjjj"),2))&amp; "" &amp; PROPER(LEFT(TEXT(Tableau1[[#This Row],[Date de Début]]+5,"jjjj"),2)),"")</f>
        <v/>
      </c>
      <c r="AA94" s="176" t="str">
        <f>IF(Tableau1[[#This Row],[Nb jours]]&gt;5,PROPER(LEFT(TEXT(Tableau1[[#This Row],[Date de Début]]+5,"jjjj"),2))&amp; "" &amp; PROPER(LEFT(TEXT(Tableau1[[#This Row],[Date de Début]]+6,"jjjj"),2)),"")</f>
        <v/>
      </c>
      <c r="AB94" s="177">
        <f>Tableau1[[#This Row],[Date de Fin]]-Tableau1[[#This Row],[Date de Début]]</f>
        <v>1</v>
      </c>
      <c r="AC94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94" s="42" t="s">
        <v>143</v>
      </c>
      <c r="AE94" s="27">
        <f t="shared" si="47"/>
        <v>28</v>
      </c>
      <c r="AF94" s="31">
        <f>Tableau1[[#This Row],[Date de Début]]-AE94</f>
        <v>45749</v>
      </c>
      <c r="AG94" s="93">
        <v>45744</v>
      </c>
      <c r="AH94" s="27">
        <f t="shared" si="48"/>
        <v>21</v>
      </c>
      <c r="AI94" s="254" t="str">
        <f t="shared" si="57"/>
        <v>2025-03-28</v>
      </c>
      <c r="AJ94" s="45" t="s">
        <v>155</v>
      </c>
      <c r="AK94" s="31">
        <f>Tableau1[[#This Row],[Date de Début]]-AH94</f>
        <v>45756</v>
      </c>
      <c r="AL94" s="217">
        <v>45747</v>
      </c>
      <c r="AM94" s="27">
        <f t="shared" si="50"/>
        <v>21</v>
      </c>
      <c r="AN94" s="264" t="str">
        <f>IF(AL94="","",TEXT(Tableau1[[#This Row],[Date de fin de vérification]],"AAAA-MM-JJ"))</f>
        <v>2025-03-31</v>
      </c>
      <c r="AO94" s="49">
        <f>Tableau1[[#This Row],[Date de Début]]-AM94</f>
        <v>45756</v>
      </c>
      <c r="AP94" s="217">
        <v>45757</v>
      </c>
      <c r="AQ94" s="27">
        <f t="shared" si="51"/>
        <v>14</v>
      </c>
      <c r="AR94" s="254" t="str">
        <f t="shared" si="58"/>
        <v>10/04/2025</v>
      </c>
      <c r="AS94" s="49">
        <f>Tableau1[[#This Row],[Date de Début]]-AQ94</f>
        <v>45763</v>
      </c>
      <c r="AT94" s="217">
        <v>45757</v>
      </c>
      <c r="AU94" s="27">
        <f t="shared" si="53"/>
        <v>14</v>
      </c>
      <c r="AV94" s="254" t="str">
        <f t="shared" si="59"/>
        <v>10-04-2025</v>
      </c>
      <c r="AW94" s="49">
        <f>Tableau1[[#This Row],[Date de Début]]-AU94</f>
        <v>45763</v>
      </c>
      <c r="AX94" s="217">
        <v>45757</v>
      </c>
      <c r="AY94" s="293"/>
      <c r="AZ94" s="28">
        <f>IF(Tableau1[[#This Row],[Date limite de fin de rédaction]]&lt;Tableau1[[#This Row],[Date de fin de rédaction]],1,0)</f>
        <v>0</v>
      </c>
      <c r="BA94" s="28">
        <f>IF(Tableau1[[#This Row],[Date limite de fin de vérification]]&lt;Tableau1[[#This Row],[Date de fin de vérification]],1,0)</f>
        <v>0</v>
      </c>
      <c r="BB94" s="28">
        <f>IF(Tableau1[[#This Row],[Date limite d''envoi a  l''exploitation]]&lt;Tableau1[[#This Row],[Date d''envoi à  l''exploitation
(Mettre en copier le demandeur et le rédacteur)]],1,0)</f>
        <v>1</v>
      </c>
      <c r="BC94" s="28">
        <f>IF(Tableau1[[#This Row],[Date limite de réception]]&lt;Tableau1[[#This Row],[Date de réception]],1,0)</f>
        <v>0</v>
      </c>
      <c r="BD94" s="53">
        <f>IF(Tableau1[[#This Row],[Date limite limite de dépose sur la GED]]&lt;Tableau1[[#This Row],[Date de dépose sur la GED]],1,0)</f>
        <v>0</v>
      </c>
      <c r="BE94" s="294"/>
      <c r="BF94" s="243"/>
      <c r="BG94" s="309"/>
      <c r="BH94" s="295"/>
      <c r="BI94" s="297"/>
      <c r="BJ94" s="300"/>
      <c r="BK94" s="242"/>
    </row>
    <row r="95" spans="1:63" x14ac:dyDescent="0.25">
      <c r="A95" s="313">
        <v>86</v>
      </c>
      <c r="B95" s="90" t="s">
        <v>152</v>
      </c>
      <c r="C95" s="90">
        <v>15152</v>
      </c>
      <c r="D95" s="98" t="s">
        <v>110</v>
      </c>
      <c r="E95" s="24" t="s">
        <v>252</v>
      </c>
      <c r="F95" s="21" t="s">
        <v>103</v>
      </c>
      <c r="G95" s="91" t="str">
        <f>"xxx-2025-"&amp;Tableau1[[#This Row],[N° de 
Ctx]]&amp;"-"&amp;Tableau1[[#This Row],[N° semaine]]&amp;"-"&amp; Tableau1[[#This Row],[Nature des travaux]]</f>
        <v>xxx-2025-86-S19-Contrat 86</v>
      </c>
      <c r="H95" s="208" t="str">
        <f>IF(Tableau1[[#This Row],[Nature des travaux]]=0,"Saisir nature des travaux",Tableau1[[#This Row],[Colonne1]])&amp;"-"&amp;Tableau1[[#This Row],[Jour]]</f>
        <v>xxx-2025-86-S19-Contrat 86-LuMa</v>
      </c>
      <c r="I95" s="20"/>
      <c r="J95" s="21"/>
      <c r="K95" s="21"/>
      <c r="L95" s="24" t="s">
        <v>85</v>
      </c>
      <c r="M95" s="213">
        <f>COUNTIF(Tableau1[[#This Row],[Secteur 1]:[Secteur 4]],"x")</f>
        <v>1</v>
      </c>
      <c r="N95" s="92" t="s">
        <v>92</v>
      </c>
      <c r="O95" s="92" t="str">
        <f>IF(Tableau1[[#This Row],[Date de Fin]]-Tableau1[[#This Row],[Date de Début]]&gt;1,"X"," ")</f>
        <v xml:space="preserve"> </v>
      </c>
      <c r="P95" s="20"/>
      <c r="Q95" s="21"/>
      <c r="R95" s="99">
        <v>45782</v>
      </c>
      <c r="S95" s="280" t="str">
        <f t="shared" si="55"/>
        <v>2025-05-05</v>
      </c>
      <c r="T95" s="209">
        <v>45783</v>
      </c>
      <c r="U95" s="280" t="str">
        <f t="shared" si="56"/>
        <v>2025-05-06</v>
      </c>
      <c r="V95" s="176" t="str">
        <f>PROPER(LEFT(TEXT(Tableau1[[#This Row],[Date de Début]],"jjjj"),2))&amp; "" &amp; PROPER(LEFT(TEXT(Tableau1[[#This Row],[Date de Début]]+1,"jjjj"),2))</f>
        <v>LuMa</v>
      </c>
      <c r="W95" s="175" t="str">
        <f>IF(Tableau1[[#This Row],[Nb jours]]&gt;1,PROPER(LEFT(TEXT(Tableau1[[#This Row],[Date de Début]]+1,"jjjj"),2))&amp; "" &amp; PROPER(LEFT(TEXT(Tableau1[[#This Row],[Date de Début]]+2,"jjjj"),2)),"")</f>
        <v/>
      </c>
      <c r="X95" s="175" t="str">
        <f>IF(Tableau1[[#This Row],[Nb jours]]&gt;2,PROPER(LEFT(TEXT(Tableau1[[#This Row],[Date de Début]]+2,"jjjj"),2))&amp; "" &amp; PROPER(LEFT(TEXT(Tableau1[[#This Row],[Date de Début]]+3,"jjjj"),2)),"")</f>
        <v/>
      </c>
      <c r="Y95" s="176" t="str">
        <f>IF(Tableau1[[#This Row],[Nb jours]]&gt;3,PROPER(LEFT(TEXT(Tableau1[[#This Row],[Date de Début]]+3,"jjjj"),2))&amp; "" &amp; PROPER(LEFT(TEXT(Tableau1[[#This Row],[Date de Début]]+4,"jjjj"),2)),"")</f>
        <v/>
      </c>
      <c r="Z95" s="175" t="str">
        <f>IF(Tableau1[[#This Row],[Nb jours]]&gt;4,PROPER(LEFT(TEXT(Tableau1[[#This Row],[Date de Début]]+4,"jjjj"),2))&amp; "" &amp; PROPER(LEFT(TEXT(Tableau1[[#This Row],[Date de Début]]+5,"jjjj"),2)),"")</f>
        <v/>
      </c>
      <c r="AA95" s="176" t="str">
        <f>IF(Tableau1[[#This Row],[Nb jours]]&gt;5,PROPER(LEFT(TEXT(Tableau1[[#This Row],[Date de Début]]+5,"jjjj"),2))&amp; "" &amp; PROPER(LEFT(TEXT(Tableau1[[#This Row],[Date de Début]]+6,"jjjj"),2)),"")</f>
        <v/>
      </c>
      <c r="AB95" s="177">
        <f>Tableau1[[#This Row],[Date de Fin]]-Tableau1[[#This Row],[Date de Début]]</f>
        <v>1</v>
      </c>
      <c r="AC95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95" s="42" t="s">
        <v>143</v>
      </c>
      <c r="AE95" s="27">
        <f t="shared" si="47"/>
        <v>28</v>
      </c>
      <c r="AF95" s="31">
        <f>Tableau1[[#This Row],[Date de Début]]-AE95</f>
        <v>45754</v>
      </c>
      <c r="AG95" s="93">
        <v>45744</v>
      </c>
      <c r="AH95" s="27">
        <f t="shared" si="48"/>
        <v>21</v>
      </c>
      <c r="AI95" s="254" t="str">
        <f t="shared" si="57"/>
        <v>2025-03-28</v>
      </c>
      <c r="AJ95" s="45" t="s">
        <v>155</v>
      </c>
      <c r="AK95" s="31">
        <f>Tableau1[[#This Row],[Date de Début]]-AH95</f>
        <v>45761</v>
      </c>
      <c r="AL95" s="217">
        <v>45747</v>
      </c>
      <c r="AM95" s="27">
        <f t="shared" si="50"/>
        <v>21</v>
      </c>
      <c r="AN95" s="264" t="str">
        <f>IF(AL95="","",TEXT(Tableau1[[#This Row],[Date de fin de vérification]],"AAAA-MM-JJ"))</f>
        <v>2025-03-31</v>
      </c>
      <c r="AO95" s="49">
        <f>Tableau1[[#This Row],[Date de Début]]-AM95</f>
        <v>45761</v>
      </c>
      <c r="AP95" s="217">
        <v>45757</v>
      </c>
      <c r="AQ95" s="27">
        <f t="shared" si="51"/>
        <v>14</v>
      </c>
      <c r="AR95" s="254" t="str">
        <f t="shared" si="58"/>
        <v>10/04/2025</v>
      </c>
      <c r="AS95" s="49">
        <f>Tableau1[[#This Row],[Date de Début]]-AQ95</f>
        <v>45768</v>
      </c>
      <c r="AT95" s="217">
        <v>45758</v>
      </c>
      <c r="AU95" s="27">
        <f t="shared" si="53"/>
        <v>14</v>
      </c>
      <c r="AV95" s="254" t="str">
        <f t="shared" si="59"/>
        <v>11-04-2025</v>
      </c>
      <c r="AW95" s="49">
        <f>Tableau1[[#This Row],[Date de Début]]-AU95</f>
        <v>45768</v>
      </c>
      <c r="AX95" s="217">
        <v>45758</v>
      </c>
      <c r="AY95" s="293"/>
      <c r="AZ95" s="28">
        <f>IF(Tableau1[[#This Row],[Date limite de fin de rédaction]]&lt;Tableau1[[#This Row],[Date de fin de rédaction]],1,0)</f>
        <v>0</v>
      </c>
      <c r="BA95" s="28">
        <f>IF(Tableau1[[#This Row],[Date limite de fin de vérification]]&lt;Tableau1[[#This Row],[Date de fin de vérification]],1,0)</f>
        <v>0</v>
      </c>
      <c r="BB95" s="28">
        <f>IF(Tableau1[[#This Row],[Date limite d''envoi a  l''exploitation]]&lt;Tableau1[[#This Row],[Date d''envoi à  l''exploitation
(Mettre en copier le demandeur et le rédacteur)]],1,0)</f>
        <v>0</v>
      </c>
      <c r="BC95" s="28">
        <f>IF(Tableau1[[#This Row],[Date limite de réception]]&lt;Tableau1[[#This Row],[Date de réception]],1,0)</f>
        <v>0</v>
      </c>
      <c r="BD95" s="53">
        <f>IF(Tableau1[[#This Row],[Date limite limite de dépose sur la GED]]&lt;Tableau1[[#This Row],[Date de dépose sur la GED]],1,0)</f>
        <v>0</v>
      </c>
      <c r="BE95" s="294"/>
      <c r="BF95" s="243"/>
      <c r="BG95" s="309"/>
      <c r="BH95" s="295"/>
      <c r="BI95" s="297"/>
      <c r="BJ95" s="300"/>
      <c r="BK95" s="242"/>
    </row>
    <row r="96" spans="1:63" x14ac:dyDescent="0.25">
      <c r="A96" s="313">
        <v>87</v>
      </c>
      <c r="B96" s="90" t="s">
        <v>152</v>
      </c>
      <c r="C96" s="90">
        <v>15153</v>
      </c>
      <c r="D96" s="98" t="s">
        <v>110</v>
      </c>
      <c r="E96" s="24" t="s">
        <v>253</v>
      </c>
      <c r="F96" s="21" t="s">
        <v>103</v>
      </c>
      <c r="G96" s="91" t="str">
        <f>"xxx-2025-"&amp;Tableau1[[#This Row],[N° de 
Ctx]]&amp;"-"&amp;Tableau1[[#This Row],[N° semaine]]&amp;"-"&amp; Tableau1[[#This Row],[Nature des travaux]]</f>
        <v>xxx-2025-87-S19-Contrat 87</v>
      </c>
      <c r="H96" s="208" t="str">
        <f>IF(Tableau1[[#This Row],[Nature des travaux]]=0,"Saisir nature des travaux",Tableau1[[#This Row],[Colonne1]])&amp;"-"&amp;Tableau1[[#This Row],[Jour]]</f>
        <v>xxx-2025-87-S19-Contrat 87-MaMe</v>
      </c>
      <c r="I96" s="20"/>
      <c r="J96" s="21"/>
      <c r="K96" s="21"/>
      <c r="L96" s="24" t="s">
        <v>85</v>
      </c>
      <c r="M96" s="213">
        <f>COUNTIF(Tableau1[[#This Row],[Secteur 1]:[Secteur 4]],"x")</f>
        <v>1</v>
      </c>
      <c r="N96" s="92" t="s">
        <v>92</v>
      </c>
      <c r="O96" s="92" t="str">
        <f>IF(Tableau1[[#This Row],[Date de Fin]]-Tableau1[[#This Row],[Date de Début]]&gt;1,"X"," ")</f>
        <v xml:space="preserve"> </v>
      </c>
      <c r="P96" s="20"/>
      <c r="Q96" s="21"/>
      <c r="R96" s="99">
        <v>45783</v>
      </c>
      <c r="S96" s="280" t="str">
        <f t="shared" si="55"/>
        <v>2025-05-06</v>
      </c>
      <c r="T96" s="209">
        <v>45784</v>
      </c>
      <c r="U96" s="280" t="str">
        <f t="shared" si="56"/>
        <v>2025-05-07</v>
      </c>
      <c r="V96" s="176" t="str">
        <f>PROPER(LEFT(TEXT(Tableau1[[#This Row],[Date de Début]],"jjjj"),2))&amp; "" &amp; PROPER(LEFT(TEXT(Tableau1[[#This Row],[Date de Début]]+1,"jjjj"),2))</f>
        <v>MaMe</v>
      </c>
      <c r="W96" s="175" t="str">
        <f>IF(Tableau1[[#This Row],[Nb jours]]&gt;1,PROPER(LEFT(TEXT(Tableau1[[#This Row],[Date de Début]]+1,"jjjj"),2))&amp; "" &amp; PROPER(LEFT(TEXT(Tableau1[[#This Row],[Date de Début]]+2,"jjjj"),2)),"")</f>
        <v/>
      </c>
      <c r="X96" s="175" t="str">
        <f>IF(Tableau1[[#This Row],[Nb jours]]&gt;2,PROPER(LEFT(TEXT(Tableau1[[#This Row],[Date de Début]]+2,"jjjj"),2))&amp; "" &amp; PROPER(LEFT(TEXT(Tableau1[[#This Row],[Date de Début]]+3,"jjjj"),2)),"")</f>
        <v/>
      </c>
      <c r="Y96" s="176" t="str">
        <f>IF(Tableau1[[#This Row],[Nb jours]]&gt;3,PROPER(LEFT(TEXT(Tableau1[[#This Row],[Date de Début]]+3,"jjjj"),2))&amp; "" &amp; PROPER(LEFT(TEXT(Tableau1[[#This Row],[Date de Début]]+4,"jjjj"),2)),"")</f>
        <v/>
      </c>
      <c r="Z96" s="175" t="str">
        <f>IF(Tableau1[[#This Row],[Nb jours]]&gt;4,PROPER(LEFT(TEXT(Tableau1[[#This Row],[Date de Début]]+4,"jjjj"),2))&amp; "" &amp; PROPER(LEFT(TEXT(Tableau1[[#This Row],[Date de Début]]+5,"jjjj"),2)),"")</f>
        <v/>
      </c>
      <c r="AA96" s="176" t="str">
        <f>IF(Tableau1[[#This Row],[Nb jours]]&gt;5,PROPER(LEFT(TEXT(Tableau1[[#This Row],[Date de Début]]+5,"jjjj"),2))&amp; "" &amp; PROPER(LEFT(TEXT(Tableau1[[#This Row],[Date de Début]]+6,"jjjj"),2)),"")</f>
        <v/>
      </c>
      <c r="AB96" s="177">
        <f>Tableau1[[#This Row],[Date de Fin]]-Tableau1[[#This Row],[Date de Début]]</f>
        <v>1</v>
      </c>
      <c r="AC96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96" s="42" t="s">
        <v>143</v>
      </c>
      <c r="AE96" s="27">
        <f t="shared" si="47"/>
        <v>28</v>
      </c>
      <c r="AF96" s="31">
        <f>Tableau1[[#This Row],[Date de Début]]-AE96</f>
        <v>45755</v>
      </c>
      <c r="AG96" s="93">
        <v>45744</v>
      </c>
      <c r="AH96" s="27">
        <f t="shared" si="48"/>
        <v>21</v>
      </c>
      <c r="AI96" s="254" t="str">
        <f t="shared" si="57"/>
        <v>2025-03-28</v>
      </c>
      <c r="AJ96" s="45" t="s">
        <v>156</v>
      </c>
      <c r="AK96" s="31">
        <f>Tableau1[[#This Row],[Date de Début]]-AH96</f>
        <v>45762</v>
      </c>
      <c r="AL96" s="217">
        <v>45757</v>
      </c>
      <c r="AM96" s="27">
        <f t="shared" si="50"/>
        <v>21</v>
      </c>
      <c r="AN96" s="264" t="str">
        <f>IF(AL96="","",TEXT(Tableau1[[#This Row],[Date de fin de vérification]],"AAAA-MM-JJ"))</f>
        <v>2025-04-10</v>
      </c>
      <c r="AO96" s="49">
        <f>Tableau1[[#This Row],[Date de Début]]-AM96</f>
        <v>45762</v>
      </c>
      <c r="AP96" s="217">
        <v>45757</v>
      </c>
      <c r="AQ96" s="27">
        <f t="shared" si="51"/>
        <v>14</v>
      </c>
      <c r="AR96" s="254" t="str">
        <f t="shared" si="58"/>
        <v>10/04/2025</v>
      </c>
      <c r="AS96" s="49">
        <f>Tableau1[[#This Row],[Date de Début]]-AQ96</f>
        <v>45769</v>
      </c>
      <c r="AT96" s="217">
        <v>45758</v>
      </c>
      <c r="AU96" s="27">
        <f t="shared" si="53"/>
        <v>14</v>
      </c>
      <c r="AV96" s="254" t="str">
        <f t="shared" si="59"/>
        <v>11-04-2025</v>
      </c>
      <c r="AW96" s="49">
        <f>Tableau1[[#This Row],[Date de Début]]-AU96</f>
        <v>45769</v>
      </c>
      <c r="AX96" s="217">
        <v>45758</v>
      </c>
      <c r="AY96" s="293"/>
      <c r="AZ96" s="28">
        <f>IF(Tableau1[[#This Row],[Date limite de fin de rédaction]]&lt;Tableau1[[#This Row],[Date de fin de rédaction]],1,0)</f>
        <v>0</v>
      </c>
      <c r="BA96" s="28">
        <f>IF(Tableau1[[#This Row],[Date limite de fin de vérification]]&lt;Tableau1[[#This Row],[Date de fin de vérification]],1,0)</f>
        <v>0</v>
      </c>
      <c r="BB96" s="28">
        <f>IF(Tableau1[[#This Row],[Date limite d''envoi a  l''exploitation]]&lt;Tableau1[[#This Row],[Date d''envoi à  l''exploitation
(Mettre en copier le demandeur et le rédacteur)]],1,0)</f>
        <v>0</v>
      </c>
      <c r="BC96" s="28">
        <f>IF(Tableau1[[#This Row],[Date limite de réception]]&lt;Tableau1[[#This Row],[Date de réception]],1,0)</f>
        <v>0</v>
      </c>
      <c r="BD96" s="53">
        <f>IF(Tableau1[[#This Row],[Date limite limite de dépose sur la GED]]&lt;Tableau1[[#This Row],[Date de dépose sur la GED]],1,0)</f>
        <v>0</v>
      </c>
      <c r="BE96" s="294"/>
      <c r="BF96" s="243"/>
      <c r="BG96" s="309"/>
      <c r="BH96" s="295"/>
      <c r="BI96" s="297"/>
      <c r="BJ96" s="300"/>
      <c r="BK96" s="242"/>
    </row>
    <row r="97" spans="1:63" x14ac:dyDescent="0.25">
      <c r="A97" s="313">
        <v>88</v>
      </c>
      <c r="B97" s="90" t="s">
        <v>152</v>
      </c>
      <c r="C97" s="90">
        <v>15153</v>
      </c>
      <c r="D97" s="98" t="s">
        <v>110</v>
      </c>
      <c r="E97" s="24" t="s">
        <v>254</v>
      </c>
      <c r="F97" s="21"/>
      <c r="G97" s="91" t="str">
        <f>"xxx-2025-"&amp;Tableau1[[#This Row],[N° de 
Ctx]]&amp;"-"&amp;Tableau1[[#This Row],[N° semaine]]&amp;"-"&amp; Tableau1[[#This Row],[Nature des travaux]]</f>
        <v>xxx-2025-88-S19-Contrat 88</v>
      </c>
      <c r="H97" s="208" t="str">
        <f>IF(Tableau1[[#This Row],[Nature des travaux]]=0,"Saisir nature des travaux",Tableau1[[#This Row],[Colonne1]])&amp;"-"&amp;Tableau1[[#This Row],[Jour]]</f>
        <v>xxx-2025-88-S19-Contrat 88-MeJe</v>
      </c>
      <c r="I97" s="20"/>
      <c r="J97" s="21"/>
      <c r="K97" s="21"/>
      <c r="L97" s="24" t="s">
        <v>85</v>
      </c>
      <c r="M97" s="213">
        <f>COUNTIF(Tableau1[[#This Row],[Secteur 1]:[Secteur 4]],"x")</f>
        <v>1</v>
      </c>
      <c r="N97" s="92" t="s">
        <v>92</v>
      </c>
      <c r="O97" s="92" t="str">
        <f>IF(Tableau1[[#This Row],[Date de Fin]]-Tableau1[[#This Row],[Date de Début]]&gt;1,"X"," ")</f>
        <v xml:space="preserve"> </v>
      </c>
      <c r="P97" s="20"/>
      <c r="Q97" s="21"/>
      <c r="R97" s="99">
        <v>45784</v>
      </c>
      <c r="S97" s="280" t="str">
        <f t="shared" si="55"/>
        <v>2025-05-07</v>
      </c>
      <c r="T97" s="209">
        <v>45785</v>
      </c>
      <c r="U97" s="280" t="str">
        <f t="shared" si="56"/>
        <v>2025-05-08</v>
      </c>
      <c r="V97" s="176" t="str">
        <f>PROPER(LEFT(TEXT(Tableau1[[#This Row],[Date de Début]],"jjjj"),2))&amp; "" &amp; PROPER(LEFT(TEXT(Tableau1[[#This Row],[Date de Début]]+1,"jjjj"),2))</f>
        <v>MeJe</v>
      </c>
      <c r="W97" s="175" t="str">
        <f>IF(Tableau1[[#This Row],[Nb jours]]&gt;1,PROPER(LEFT(TEXT(Tableau1[[#This Row],[Date de Début]]+1,"jjjj"),2))&amp; "" &amp; PROPER(LEFT(TEXT(Tableau1[[#This Row],[Date de Début]]+2,"jjjj"),2)),"")</f>
        <v/>
      </c>
      <c r="X97" s="175" t="str">
        <f>IF(Tableau1[[#This Row],[Nb jours]]&gt;2,PROPER(LEFT(TEXT(Tableau1[[#This Row],[Date de Début]]+2,"jjjj"),2))&amp; "" &amp; PROPER(LEFT(TEXT(Tableau1[[#This Row],[Date de Début]]+3,"jjjj"),2)),"")</f>
        <v/>
      </c>
      <c r="Y97" s="176" t="str">
        <f>IF(Tableau1[[#This Row],[Nb jours]]&gt;3,PROPER(LEFT(TEXT(Tableau1[[#This Row],[Date de Début]]+3,"jjjj"),2))&amp; "" &amp; PROPER(LEFT(TEXT(Tableau1[[#This Row],[Date de Début]]+4,"jjjj"),2)),"")</f>
        <v/>
      </c>
      <c r="Z97" s="175" t="str">
        <f>IF(Tableau1[[#This Row],[Nb jours]]&gt;4,PROPER(LEFT(TEXT(Tableau1[[#This Row],[Date de Début]]+4,"jjjj"),2))&amp; "" &amp; PROPER(LEFT(TEXT(Tableau1[[#This Row],[Date de Début]]+5,"jjjj"),2)),"")</f>
        <v/>
      </c>
      <c r="AA97" s="176" t="str">
        <f>IF(Tableau1[[#This Row],[Nb jours]]&gt;5,PROPER(LEFT(TEXT(Tableau1[[#This Row],[Date de Début]]+5,"jjjj"),2))&amp; "" &amp; PROPER(LEFT(TEXT(Tableau1[[#This Row],[Date de Début]]+6,"jjjj"),2)),"")</f>
        <v/>
      </c>
      <c r="AB97" s="177">
        <f>Tableau1[[#This Row],[Date de Fin]]-Tableau1[[#This Row],[Date de Début]]</f>
        <v>1</v>
      </c>
      <c r="AC97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97" s="42" t="s">
        <v>143</v>
      </c>
      <c r="AE97" s="27">
        <f t="shared" si="47"/>
        <v>28</v>
      </c>
      <c r="AF97" s="31">
        <f>Tableau1[[#This Row],[Date de Début]]-AE97</f>
        <v>45756</v>
      </c>
      <c r="AG97" s="93">
        <v>45744</v>
      </c>
      <c r="AH97" s="27">
        <f t="shared" si="48"/>
        <v>21</v>
      </c>
      <c r="AI97" s="254" t="str">
        <f t="shared" si="57"/>
        <v>2025-03-28</v>
      </c>
      <c r="AJ97" s="45" t="s">
        <v>156</v>
      </c>
      <c r="AK97" s="31">
        <f>Tableau1[[#This Row],[Date de Début]]-AH97</f>
        <v>45763</v>
      </c>
      <c r="AL97" s="217">
        <v>45757</v>
      </c>
      <c r="AM97" s="27">
        <f t="shared" si="50"/>
        <v>21</v>
      </c>
      <c r="AN97" s="264" t="str">
        <f>IF(AL97="","",TEXT(Tableau1[[#This Row],[Date de fin de vérification]],"AAAA-MM-JJ"))</f>
        <v>2025-04-10</v>
      </c>
      <c r="AO97" s="49">
        <f>Tableau1[[#This Row],[Date de Début]]-AM97</f>
        <v>45763</v>
      </c>
      <c r="AP97" s="217">
        <v>45757</v>
      </c>
      <c r="AQ97" s="27">
        <f t="shared" si="51"/>
        <v>14</v>
      </c>
      <c r="AR97" s="254" t="str">
        <f t="shared" si="58"/>
        <v>10/04/2025</v>
      </c>
      <c r="AS97" s="49">
        <f>Tableau1[[#This Row],[Date de Début]]-AQ97</f>
        <v>45770</v>
      </c>
      <c r="AT97" s="217">
        <v>45758</v>
      </c>
      <c r="AU97" s="27">
        <f t="shared" si="53"/>
        <v>14</v>
      </c>
      <c r="AV97" s="254" t="str">
        <f t="shared" si="59"/>
        <v>11-04-2025</v>
      </c>
      <c r="AW97" s="49">
        <f>Tableau1[[#This Row],[Date de Début]]-AU97</f>
        <v>45770</v>
      </c>
      <c r="AX97" s="217">
        <v>45758</v>
      </c>
      <c r="AY97" s="293"/>
      <c r="AZ97" s="28">
        <f>IF(Tableau1[[#This Row],[Date limite de fin de rédaction]]&lt;Tableau1[[#This Row],[Date de fin de rédaction]],1,0)</f>
        <v>0</v>
      </c>
      <c r="BA97" s="28">
        <f>IF(Tableau1[[#This Row],[Date limite de fin de vérification]]&lt;Tableau1[[#This Row],[Date de fin de vérification]],1,0)</f>
        <v>0</v>
      </c>
      <c r="BB97" s="28">
        <f>IF(Tableau1[[#This Row],[Date limite d''envoi a  l''exploitation]]&lt;Tableau1[[#This Row],[Date d''envoi à  l''exploitation
(Mettre en copier le demandeur et le rédacteur)]],1,0)</f>
        <v>0</v>
      </c>
      <c r="BC97" s="28">
        <f>IF(Tableau1[[#This Row],[Date limite de réception]]&lt;Tableau1[[#This Row],[Date de réception]],1,0)</f>
        <v>0</v>
      </c>
      <c r="BD97" s="53">
        <f>IF(Tableau1[[#This Row],[Date limite limite de dépose sur la GED]]&lt;Tableau1[[#This Row],[Date de dépose sur la GED]],1,0)</f>
        <v>0</v>
      </c>
      <c r="BE97" s="294"/>
      <c r="BF97" s="243"/>
      <c r="BG97" s="309"/>
      <c r="BH97" s="295"/>
      <c r="BI97" s="297"/>
      <c r="BJ97" s="300"/>
      <c r="BK97" s="242"/>
    </row>
    <row r="98" spans="1:63" x14ac:dyDescent="0.25">
      <c r="A98" s="313">
        <v>89</v>
      </c>
      <c r="B98" s="90" t="s">
        <v>152</v>
      </c>
      <c r="C98" s="90">
        <v>15154</v>
      </c>
      <c r="D98" s="98" t="str">
        <f>IF(Tableau1[[#This Row],[Date de Début]]=0,"Saisir date de début","S"&amp; _xlfn.ISOWEEKNUM(R98))</f>
        <v>S20</v>
      </c>
      <c r="E98" s="24" t="s">
        <v>255</v>
      </c>
      <c r="F98" s="21"/>
      <c r="G98" s="91" t="str">
        <f>"xxx-2025-"&amp;Tableau1[[#This Row],[N° de 
Ctx]]&amp;"-"&amp;Tableau1[[#This Row],[N° semaine]]&amp;"-"&amp; Tableau1[[#This Row],[Nature des travaux]]</f>
        <v>xxx-2025-89-S20-Contrat 89</v>
      </c>
      <c r="H98" s="208" t="str">
        <f>IF(Tableau1[[#This Row],[Nature des travaux]]=0,"Saisir nature des travaux",Tableau1[[#This Row],[Colonne1]])&amp;"-"&amp;Tableau1[[#This Row],[Jour]]</f>
        <v>xxx-2025-89-S20-Contrat 89-LuMa</v>
      </c>
      <c r="I98" s="20"/>
      <c r="J98" s="21"/>
      <c r="K98" s="21"/>
      <c r="L98" s="24" t="s">
        <v>85</v>
      </c>
      <c r="M98" s="213">
        <f>COUNTIF(Tableau1[[#This Row],[Secteur 1]:[Secteur 4]],"x")</f>
        <v>1</v>
      </c>
      <c r="N98" s="92" t="s">
        <v>92</v>
      </c>
      <c r="O98" s="92" t="str">
        <f>IF(Tableau1[[#This Row],[Date de Fin]]-Tableau1[[#This Row],[Date de Début]]&gt;1,"X"," ")</f>
        <v xml:space="preserve"> </v>
      </c>
      <c r="P98" s="20"/>
      <c r="Q98" s="21"/>
      <c r="R98" s="99">
        <v>45789</v>
      </c>
      <c r="S98" s="280" t="str">
        <f t="shared" si="55"/>
        <v>2025-05-12</v>
      </c>
      <c r="T98" s="209">
        <v>45790</v>
      </c>
      <c r="U98" s="280" t="str">
        <f t="shared" si="56"/>
        <v>2025-05-13</v>
      </c>
      <c r="V98" s="176" t="str">
        <f>PROPER(LEFT(TEXT(Tableau1[[#This Row],[Date de Début]],"jjjj"),2))&amp; "" &amp; PROPER(LEFT(TEXT(Tableau1[[#This Row],[Date de Début]]+1,"jjjj"),2))</f>
        <v>LuMa</v>
      </c>
      <c r="W98" s="175" t="str">
        <f>IF(Tableau1[[#This Row],[Nb jours]]&gt;1,PROPER(LEFT(TEXT(Tableau1[[#This Row],[Date de Début]]+1,"jjjj"),2))&amp; "" &amp; PROPER(LEFT(TEXT(Tableau1[[#This Row],[Date de Début]]+2,"jjjj"),2)),"")</f>
        <v/>
      </c>
      <c r="X98" s="175" t="str">
        <f>IF(Tableau1[[#This Row],[Nb jours]]&gt;2,PROPER(LEFT(TEXT(Tableau1[[#This Row],[Date de Début]]+2,"jjjj"),2))&amp; "" &amp; PROPER(LEFT(TEXT(Tableau1[[#This Row],[Date de Début]]+3,"jjjj"),2)),"")</f>
        <v/>
      </c>
      <c r="Y98" s="176" t="str">
        <f>IF(Tableau1[[#This Row],[Nb jours]]&gt;3,PROPER(LEFT(TEXT(Tableau1[[#This Row],[Date de Début]]+3,"jjjj"),2))&amp; "" &amp; PROPER(LEFT(TEXT(Tableau1[[#This Row],[Date de Début]]+4,"jjjj"),2)),"")</f>
        <v/>
      </c>
      <c r="Z98" s="175" t="str">
        <f>IF(Tableau1[[#This Row],[Nb jours]]&gt;4,PROPER(LEFT(TEXT(Tableau1[[#This Row],[Date de Début]]+4,"jjjj"),2))&amp; "" &amp; PROPER(LEFT(TEXT(Tableau1[[#This Row],[Date de Début]]+5,"jjjj"),2)),"")</f>
        <v/>
      </c>
      <c r="AA98" s="176" t="str">
        <f>IF(Tableau1[[#This Row],[Nb jours]]&gt;5,PROPER(LEFT(TEXT(Tableau1[[#This Row],[Date de Début]]+5,"jjjj"),2))&amp; "" &amp; PROPER(LEFT(TEXT(Tableau1[[#This Row],[Date de Début]]+6,"jjjj"),2)),"")</f>
        <v/>
      </c>
      <c r="AB98" s="177">
        <f>Tableau1[[#This Row],[Date de Fin]]-Tableau1[[#This Row],[Date de Début]]</f>
        <v>1</v>
      </c>
      <c r="AC98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98" s="42" t="s">
        <v>143</v>
      </c>
      <c r="AE98" s="27">
        <f t="shared" si="47"/>
        <v>28</v>
      </c>
      <c r="AF98" s="31">
        <f>Tableau1[[#This Row],[Date de Début]]-AE98</f>
        <v>45761</v>
      </c>
      <c r="AG98" s="93">
        <v>45747</v>
      </c>
      <c r="AH98" s="27">
        <f t="shared" si="48"/>
        <v>21</v>
      </c>
      <c r="AI98" s="254" t="str">
        <f t="shared" si="57"/>
        <v>2025-03-31</v>
      </c>
      <c r="AJ98" s="45" t="s">
        <v>156</v>
      </c>
      <c r="AK98" s="31">
        <f>Tableau1[[#This Row],[Date de Début]]-AH98</f>
        <v>45768</v>
      </c>
      <c r="AL98" s="217">
        <v>45757</v>
      </c>
      <c r="AM98" s="27">
        <f t="shared" si="50"/>
        <v>21</v>
      </c>
      <c r="AN98" s="264" t="str">
        <f>IF(AL98="","",TEXT(Tableau1[[#This Row],[Date de fin de vérification]],"AAAA-MM-JJ"))</f>
        <v>2025-04-10</v>
      </c>
      <c r="AO98" s="49">
        <f>Tableau1[[#This Row],[Date de Début]]-AM98</f>
        <v>45768</v>
      </c>
      <c r="AP98" s="217">
        <v>45757</v>
      </c>
      <c r="AQ98" s="27">
        <f t="shared" si="51"/>
        <v>14</v>
      </c>
      <c r="AR98" s="254" t="str">
        <f t="shared" si="58"/>
        <v>10/04/2025</v>
      </c>
      <c r="AS98" s="49">
        <f>Tableau1[[#This Row],[Date de Début]]-AQ98</f>
        <v>45775</v>
      </c>
      <c r="AT98" s="217">
        <v>45758</v>
      </c>
      <c r="AU98" s="27">
        <f t="shared" si="53"/>
        <v>14</v>
      </c>
      <c r="AV98" s="254" t="str">
        <f t="shared" si="59"/>
        <v>11-04-2025</v>
      </c>
      <c r="AW98" s="49">
        <f>Tableau1[[#This Row],[Date de Début]]-AU98</f>
        <v>45775</v>
      </c>
      <c r="AX98" s="217">
        <v>45758</v>
      </c>
      <c r="AY98" s="293"/>
      <c r="AZ98" s="28">
        <f>IF(Tableau1[[#This Row],[Date limite de fin de rédaction]]&lt;Tableau1[[#This Row],[Date de fin de rédaction]],1,0)</f>
        <v>0</v>
      </c>
      <c r="BA98" s="28">
        <f>IF(Tableau1[[#This Row],[Date limite de fin de vérification]]&lt;Tableau1[[#This Row],[Date de fin de vérification]],1,0)</f>
        <v>0</v>
      </c>
      <c r="BB98" s="28">
        <f>IF(Tableau1[[#This Row],[Date limite d''envoi a  l''exploitation]]&lt;Tableau1[[#This Row],[Date d''envoi à  l''exploitation
(Mettre en copier le demandeur et le rédacteur)]],1,0)</f>
        <v>0</v>
      </c>
      <c r="BC98" s="28">
        <f>IF(Tableau1[[#This Row],[Date limite de réception]]&lt;Tableau1[[#This Row],[Date de réception]],1,0)</f>
        <v>0</v>
      </c>
      <c r="BD98" s="53">
        <f>IF(Tableau1[[#This Row],[Date limite limite de dépose sur la GED]]&lt;Tableau1[[#This Row],[Date de dépose sur la GED]],1,0)</f>
        <v>0</v>
      </c>
      <c r="BE98" s="294"/>
      <c r="BF98" s="243"/>
      <c r="BG98" s="309"/>
      <c r="BH98" s="295"/>
      <c r="BI98" s="297"/>
      <c r="BJ98" s="300"/>
      <c r="BK98" s="242"/>
    </row>
    <row r="99" spans="1:63" x14ac:dyDescent="0.25">
      <c r="A99" s="313">
        <v>90</v>
      </c>
      <c r="B99" s="90" t="s">
        <v>152</v>
      </c>
      <c r="C99" s="90">
        <v>15154</v>
      </c>
      <c r="D99" s="98" t="str">
        <f>IF(Tableau1[[#This Row],[Date de Début]]=0,"Saisir date de début","S"&amp; _xlfn.ISOWEEKNUM(R99))</f>
        <v>S20</v>
      </c>
      <c r="E99" s="24" t="s">
        <v>256</v>
      </c>
      <c r="F99" s="21"/>
      <c r="G99" s="91" t="str">
        <f>"xxx-2025-"&amp;Tableau1[[#This Row],[N° de 
Ctx]]&amp;"-"&amp;Tableau1[[#This Row],[N° semaine]]&amp;"-"&amp; Tableau1[[#This Row],[Nature des travaux]]</f>
        <v>xxx-2025-90-S20-Contrat 90</v>
      </c>
      <c r="H99" s="208" t="str">
        <f>IF(Tableau1[[#This Row],[Nature des travaux]]=0,"Saisir nature des travaux",Tableau1[[#This Row],[Colonne1]])&amp;"-"&amp;Tableau1[[#This Row],[Jour]]</f>
        <v>xxx-2025-90-S20-Contrat 90-MaMe</v>
      </c>
      <c r="I99" s="20"/>
      <c r="J99" s="21"/>
      <c r="K99" s="21"/>
      <c r="L99" s="24" t="s">
        <v>85</v>
      </c>
      <c r="M99" s="213">
        <f>COUNTIF(Tableau1[[#This Row],[Secteur 1]:[Secteur 4]],"x")</f>
        <v>1</v>
      </c>
      <c r="N99" s="92" t="s">
        <v>92</v>
      </c>
      <c r="O99" s="92" t="str">
        <f>IF(Tableau1[[#This Row],[Date de Fin]]-Tableau1[[#This Row],[Date de Début]]&gt;1,"X"," ")</f>
        <v xml:space="preserve"> </v>
      </c>
      <c r="P99" s="20"/>
      <c r="Q99" s="21"/>
      <c r="R99" s="99">
        <v>45790</v>
      </c>
      <c r="S99" s="280" t="str">
        <f t="shared" si="55"/>
        <v>2025-05-13</v>
      </c>
      <c r="T99" s="209">
        <v>45791</v>
      </c>
      <c r="U99" s="280" t="str">
        <f t="shared" si="56"/>
        <v>2025-05-14</v>
      </c>
      <c r="V99" s="176" t="str">
        <f>PROPER(LEFT(TEXT(Tableau1[[#This Row],[Date de Début]],"jjjj"),2))&amp; "" &amp; PROPER(LEFT(TEXT(Tableau1[[#This Row],[Date de Début]]+1,"jjjj"),2))</f>
        <v>MaMe</v>
      </c>
      <c r="W99" s="175" t="str">
        <f>IF(Tableau1[[#This Row],[Nb jours]]&gt;1,PROPER(LEFT(TEXT(Tableau1[[#This Row],[Date de Début]]+1,"jjjj"),2))&amp; "" &amp; PROPER(LEFT(TEXT(Tableau1[[#This Row],[Date de Début]]+2,"jjjj"),2)),"")</f>
        <v/>
      </c>
      <c r="X99" s="175" t="str">
        <f>IF(Tableau1[[#This Row],[Nb jours]]&gt;2,PROPER(LEFT(TEXT(Tableau1[[#This Row],[Date de Début]]+2,"jjjj"),2))&amp; "" &amp; PROPER(LEFT(TEXT(Tableau1[[#This Row],[Date de Début]]+3,"jjjj"),2)),"")</f>
        <v/>
      </c>
      <c r="Y99" s="176" t="str">
        <f>IF(Tableau1[[#This Row],[Nb jours]]&gt;3,PROPER(LEFT(TEXT(Tableau1[[#This Row],[Date de Début]]+3,"jjjj"),2))&amp; "" &amp; PROPER(LEFT(TEXT(Tableau1[[#This Row],[Date de Début]]+4,"jjjj"),2)),"")</f>
        <v/>
      </c>
      <c r="Z99" s="175" t="str">
        <f>IF(Tableau1[[#This Row],[Nb jours]]&gt;4,PROPER(LEFT(TEXT(Tableau1[[#This Row],[Date de Début]]+4,"jjjj"),2))&amp; "" &amp; PROPER(LEFT(TEXT(Tableau1[[#This Row],[Date de Début]]+5,"jjjj"),2)),"")</f>
        <v/>
      </c>
      <c r="AA99" s="176" t="str">
        <f>IF(Tableau1[[#This Row],[Nb jours]]&gt;5,PROPER(LEFT(TEXT(Tableau1[[#This Row],[Date de Début]]+5,"jjjj"),2))&amp; "" &amp; PROPER(LEFT(TEXT(Tableau1[[#This Row],[Date de Début]]+6,"jjjj"),2)),"")</f>
        <v/>
      </c>
      <c r="AB99" s="177">
        <f>Tableau1[[#This Row],[Date de Fin]]-Tableau1[[#This Row],[Date de Début]]</f>
        <v>1</v>
      </c>
      <c r="AC99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99" s="42" t="s">
        <v>143</v>
      </c>
      <c r="AE99" s="27">
        <f t="shared" si="47"/>
        <v>28</v>
      </c>
      <c r="AF99" s="31">
        <f>Tableau1[[#This Row],[Date de Début]]-AE99</f>
        <v>45762</v>
      </c>
      <c r="AG99" s="93">
        <v>45747</v>
      </c>
      <c r="AH99" s="27">
        <f t="shared" si="48"/>
        <v>21</v>
      </c>
      <c r="AI99" s="254" t="str">
        <f t="shared" si="57"/>
        <v>2025-03-31</v>
      </c>
      <c r="AJ99" s="45" t="s">
        <v>156</v>
      </c>
      <c r="AK99" s="31">
        <f>Tableau1[[#This Row],[Date de Début]]-AH99</f>
        <v>45769</v>
      </c>
      <c r="AL99" s="217">
        <v>45757</v>
      </c>
      <c r="AM99" s="27">
        <f t="shared" si="50"/>
        <v>21</v>
      </c>
      <c r="AN99" s="264" t="str">
        <f>IF(AL99="","",TEXT(Tableau1[[#This Row],[Date de fin de vérification]],"AAAA-MM-JJ"))</f>
        <v>2025-04-10</v>
      </c>
      <c r="AO99" s="49">
        <f>Tableau1[[#This Row],[Date de Début]]-AM99</f>
        <v>45769</v>
      </c>
      <c r="AP99" s="217">
        <v>45757</v>
      </c>
      <c r="AQ99" s="27">
        <f t="shared" si="51"/>
        <v>14</v>
      </c>
      <c r="AR99" s="254" t="str">
        <f t="shared" si="58"/>
        <v>10/04/2025</v>
      </c>
      <c r="AS99" s="49">
        <f>Tableau1[[#This Row],[Date de Début]]-AQ99</f>
        <v>45776</v>
      </c>
      <c r="AT99" s="217">
        <v>45758</v>
      </c>
      <c r="AU99" s="27">
        <f t="shared" si="53"/>
        <v>14</v>
      </c>
      <c r="AV99" s="254" t="str">
        <f t="shared" si="59"/>
        <v>11-04-2025</v>
      </c>
      <c r="AW99" s="49">
        <f>Tableau1[[#This Row],[Date de Début]]-AU99</f>
        <v>45776</v>
      </c>
      <c r="AX99" s="217">
        <v>45758</v>
      </c>
      <c r="AY99" s="293"/>
      <c r="AZ99" s="28">
        <f>IF(Tableau1[[#This Row],[Date limite de fin de rédaction]]&lt;Tableau1[[#This Row],[Date de fin de rédaction]],1,0)</f>
        <v>0</v>
      </c>
      <c r="BA99" s="28">
        <f>IF(Tableau1[[#This Row],[Date limite de fin de vérification]]&lt;Tableau1[[#This Row],[Date de fin de vérification]],1,0)</f>
        <v>0</v>
      </c>
      <c r="BB99" s="28">
        <f>IF(Tableau1[[#This Row],[Date limite d''envoi a  l''exploitation]]&lt;Tableau1[[#This Row],[Date d''envoi à  l''exploitation
(Mettre en copier le demandeur et le rédacteur)]],1,0)</f>
        <v>0</v>
      </c>
      <c r="BC99" s="28">
        <f>IF(Tableau1[[#This Row],[Date limite de réception]]&lt;Tableau1[[#This Row],[Date de réception]],1,0)</f>
        <v>0</v>
      </c>
      <c r="BD99" s="53">
        <f>IF(Tableau1[[#This Row],[Date limite limite de dépose sur la GED]]&lt;Tableau1[[#This Row],[Date de dépose sur la GED]],1,0)</f>
        <v>0</v>
      </c>
      <c r="BE99" s="294"/>
      <c r="BF99" s="243"/>
      <c r="BG99" s="309"/>
      <c r="BH99" s="295"/>
      <c r="BI99" s="297"/>
      <c r="BJ99" s="300"/>
      <c r="BK99" s="242"/>
    </row>
    <row r="100" spans="1:63" x14ac:dyDescent="0.25">
      <c r="A100" s="313">
        <v>91</v>
      </c>
      <c r="B100" s="90" t="s">
        <v>152</v>
      </c>
      <c r="C100" s="90">
        <v>15154</v>
      </c>
      <c r="D100" s="98" t="str">
        <f>IF(Tableau1[[#This Row],[Date de Début]]=0,"Saisir date de début","S"&amp; _xlfn.ISOWEEKNUM(R100))</f>
        <v>S20</v>
      </c>
      <c r="E100" s="24" t="s">
        <v>257</v>
      </c>
      <c r="F100" s="21"/>
      <c r="G100" s="91" t="str">
        <f>"xxx-2025-"&amp;Tableau1[[#This Row],[N° de 
Ctx]]&amp;"-"&amp;Tableau1[[#This Row],[N° semaine]]&amp;"-"&amp; Tableau1[[#This Row],[Nature des travaux]]</f>
        <v>xxx-2025-91-S20-Contrat 91</v>
      </c>
      <c r="H100" s="208" t="str">
        <f>IF(Tableau1[[#This Row],[Nature des travaux]]=0,"Saisir nature des travaux",Tableau1[[#This Row],[Colonne1]])&amp;"-"&amp;Tableau1[[#This Row],[Jour]]</f>
        <v>xxx-2025-91-S20-Contrat 91-MeJe</v>
      </c>
      <c r="I100" s="20"/>
      <c r="J100" s="21"/>
      <c r="K100" s="21"/>
      <c r="L100" s="24" t="s">
        <v>85</v>
      </c>
      <c r="M100" s="213">
        <f>COUNTIF(Tableau1[[#This Row],[Secteur 1]:[Secteur 4]],"x")</f>
        <v>1</v>
      </c>
      <c r="N100" s="92" t="s">
        <v>92</v>
      </c>
      <c r="O100" s="92" t="str">
        <f>IF(Tableau1[[#This Row],[Date de Fin]]-Tableau1[[#This Row],[Date de Début]]&gt;1,"X"," ")</f>
        <v xml:space="preserve"> </v>
      </c>
      <c r="P100" s="20"/>
      <c r="Q100" s="21"/>
      <c r="R100" s="99">
        <v>45791</v>
      </c>
      <c r="S100" s="280" t="str">
        <f t="shared" si="55"/>
        <v>2025-05-14</v>
      </c>
      <c r="T100" s="209">
        <v>45792</v>
      </c>
      <c r="U100" s="280" t="str">
        <f t="shared" si="56"/>
        <v>2025-05-15</v>
      </c>
      <c r="V100" s="176" t="str">
        <f>PROPER(LEFT(TEXT(Tableau1[[#This Row],[Date de Début]],"jjjj"),2))&amp; "" &amp; PROPER(LEFT(TEXT(Tableau1[[#This Row],[Date de Début]]+1,"jjjj"),2))</f>
        <v>MeJe</v>
      </c>
      <c r="W100" s="175" t="str">
        <f>IF(Tableau1[[#This Row],[Nb jours]]&gt;1,PROPER(LEFT(TEXT(Tableau1[[#This Row],[Date de Début]]+1,"jjjj"),2))&amp; "" &amp; PROPER(LEFT(TEXT(Tableau1[[#This Row],[Date de Début]]+2,"jjjj"),2)),"")</f>
        <v/>
      </c>
      <c r="X100" s="175" t="str">
        <f>IF(Tableau1[[#This Row],[Nb jours]]&gt;2,PROPER(LEFT(TEXT(Tableau1[[#This Row],[Date de Début]]+2,"jjjj"),2))&amp; "" &amp; PROPER(LEFT(TEXT(Tableau1[[#This Row],[Date de Début]]+3,"jjjj"),2)),"")</f>
        <v/>
      </c>
      <c r="Y100" s="176" t="str">
        <f>IF(Tableau1[[#This Row],[Nb jours]]&gt;3,PROPER(LEFT(TEXT(Tableau1[[#This Row],[Date de Début]]+3,"jjjj"),2))&amp; "" &amp; PROPER(LEFT(TEXT(Tableau1[[#This Row],[Date de Début]]+4,"jjjj"),2)),"")</f>
        <v/>
      </c>
      <c r="Z100" s="175" t="str">
        <f>IF(Tableau1[[#This Row],[Nb jours]]&gt;4,PROPER(LEFT(TEXT(Tableau1[[#This Row],[Date de Début]]+4,"jjjj"),2))&amp; "" &amp; PROPER(LEFT(TEXT(Tableau1[[#This Row],[Date de Début]]+5,"jjjj"),2)),"")</f>
        <v/>
      </c>
      <c r="AA100" s="176" t="str">
        <f>IF(Tableau1[[#This Row],[Nb jours]]&gt;5,PROPER(LEFT(TEXT(Tableau1[[#This Row],[Date de Début]]+5,"jjjj"),2))&amp; "" &amp; PROPER(LEFT(TEXT(Tableau1[[#This Row],[Date de Début]]+6,"jjjj"),2)),"")</f>
        <v/>
      </c>
      <c r="AB100" s="177">
        <f>Tableau1[[#This Row],[Date de Fin]]-Tableau1[[#This Row],[Date de Début]]</f>
        <v>1</v>
      </c>
      <c r="AC100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100" s="42" t="s">
        <v>143</v>
      </c>
      <c r="AE100" s="27">
        <f t="shared" si="47"/>
        <v>28</v>
      </c>
      <c r="AF100" s="31">
        <f>Tableau1[[#This Row],[Date de Début]]-AE100</f>
        <v>45763</v>
      </c>
      <c r="AG100" s="93">
        <v>45747</v>
      </c>
      <c r="AH100" s="27">
        <f t="shared" si="48"/>
        <v>21</v>
      </c>
      <c r="AI100" s="254" t="str">
        <f t="shared" si="57"/>
        <v>2025-03-31</v>
      </c>
      <c r="AJ100" s="45" t="s">
        <v>156</v>
      </c>
      <c r="AK100" s="31">
        <f>Tableau1[[#This Row],[Date de Début]]-AH100</f>
        <v>45770</v>
      </c>
      <c r="AL100" s="217">
        <v>45757</v>
      </c>
      <c r="AM100" s="27">
        <f t="shared" si="50"/>
        <v>21</v>
      </c>
      <c r="AN100" s="264" t="str">
        <f>IF(AL100="","",TEXT(Tableau1[[#This Row],[Date de fin de vérification]],"AAAA-MM-JJ"))</f>
        <v>2025-04-10</v>
      </c>
      <c r="AO100" s="49">
        <f>Tableau1[[#This Row],[Date de Début]]-AM100</f>
        <v>45770</v>
      </c>
      <c r="AP100" s="217">
        <v>45757</v>
      </c>
      <c r="AQ100" s="27">
        <f t="shared" si="51"/>
        <v>14</v>
      </c>
      <c r="AR100" s="254" t="str">
        <f t="shared" si="58"/>
        <v>10/04/2025</v>
      </c>
      <c r="AS100" s="49">
        <f>Tableau1[[#This Row],[Date de Début]]-AQ100</f>
        <v>45777</v>
      </c>
      <c r="AT100" s="217">
        <v>45758</v>
      </c>
      <c r="AU100" s="27">
        <f t="shared" si="53"/>
        <v>14</v>
      </c>
      <c r="AV100" s="254" t="str">
        <f t="shared" si="59"/>
        <v>11-04-2025</v>
      </c>
      <c r="AW100" s="49">
        <f>Tableau1[[#This Row],[Date de Début]]-AU100</f>
        <v>45777</v>
      </c>
      <c r="AX100" s="217">
        <v>45758</v>
      </c>
      <c r="AY100" s="293"/>
      <c r="AZ100" s="28">
        <f>IF(Tableau1[[#This Row],[Date limite de fin de rédaction]]&lt;Tableau1[[#This Row],[Date de fin de rédaction]],1,0)</f>
        <v>0</v>
      </c>
      <c r="BA100" s="28">
        <f>IF(Tableau1[[#This Row],[Date limite de fin de vérification]]&lt;Tableau1[[#This Row],[Date de fin de vérification]],1,0)</f>
        <v>0</v>
      </c>
      <c r="BB100" s="28">
        <f>IF(Tableau1[[#This Row],[Date limite d''envoi a  l''exploitation]]&lt;Tableau1[[#This Row],[Date d''envoi à  l''exploitation
(Mettre en copier le demandeur et le rédacteur)]],1,0)</f>
        <v>0</v>
      </c>
      <c r="BC100" s="28">
        <f>IF(Tableau1[[#This Row],[Date limite de réception]]&lt;Tableau1[[#This Row],[Date de réception]],1,0)</f>
        <v>0</v>
      </c>
      <c r="BD100" s="53">
        <f>IF(Tableau1[[#This Row],[Date limite limite de dépose sur la GED]]&lt;Tableau1[[#This Row],[Date de dépose sur la GED]],1,0)</f>
        <v>0</v>
      </c>
      <c r="BE100" s="294"/>
      <c r="BF100" s="243"/>
      <c r="BG100" s="309"/>
      <c r="BH100" s="295"/>
      <c r="BI100" s="297"/>
      <c r="BJ100" s="300"/>
      <c r="BK100" s="242"/>
    </row>
    <row r="101" spans="1:63" x14ac:dyDescent="0.25">
      <c r="A101" s="313">
        <v>92</v>
      </c>
      <c r="B101" s="90" t="s">
        <v>152</v>
      </c>
      <c r="C101" s="90">
        <v>15155</v>
      </c>
      <c r="D101" s="98" t="str">
        <f>IF(Tableau1[[#This Row],[Date de Début]]=0,"Saisir date de début","S"&amp; _xlfn.ISOWEEKNUM(R101))</f>
        <v>S20</v>
      </c>
      <c r="E101" s="24" t="s">
        <v>258</v>
      </c>
      <c r="F101" s="21"/>
      <c r="G101" s="91" t="str">
        <f>"xxx-2025-"&amp;Tableau1[[#This Row],[N° de 
Ctx]]&amp;"-"&amp;Tableau1[[#This Row],[N° semaine]]&amp;"-"&amp; Tableau1[[#This Row],[Nature des travaux]]</f>
        <v>xxx-2025-92-S20-Contrat 92</v>
      </c>
      <c r="H101" s="208" t="str">
        <f>IF(Tableau1[[#This Row],[Nature des travaux]]=0,"Saisir nature des travaux",Tableau1[[#This Row],[Colonne1]])&amp;"-"&amp;Tableau1[[#This Row],[Jour]]</f>
        <v>xxx-2025-92-S20-Contrat 92-JeVe</v>
      </c>
      <c r="I101" s="20"/>
      <c r="J101" s="21"/>
      <c r="K101" s="21"/>
      <c r="L101" s="24" t="s">
        <v>85</v>
      </c>
      <c r="M101" s="213">
        <f>COUNTIF(Tableau1[[#This Row],[Secteur 1]:[Secteur 4]],"x")</f>
        <v>1</v>
      </c>
      <c r="N101" s="92" t="s">
        <v>92</v>
      </c>
      <c r="O101" s="92" t="str">
        <f>IF(Tableau1[[#This Row],[Date de Fin]]-Tableau1[[#This Row],[Date de Début]]&gt;1,"X"," ")</f>
        <v xml:space="preserve"> </v>
      </c>
      <c r="P101" s="20"/>
      <c r="Q101" s="21"/>
      <c r="R101" s="99">
        <v>45792</v>
      </c>
      <c r="S101" s="280" t="str">
        <f t="shared" si="55"/>
        <v>2025-05-15</v>
      </c>
      <c r="T101" s="209">
        <v>45793</v>
      </c>
      <c r="U101" s="280" t="str">
        <f t="shared" si="56"/>
        <v>2025-05-16</v>
      </c>
      <c r="V101" s="176" t="str">
        <f>PROPER(LEFT(TEXT(Tableau1[[#This Row],[Date de Début]],"jjjj"),2))&amp; "" &amp; PROPER(LEFT(TEXT(Tableau1[[#This Row],[Date de Début]]+1,"jjjj"),2))</f>
        <v>JeVe</v>
      </c>
      <c r="W101" s="175" t="str">
        <f>IF(Tableau1[[#This Row],[Nb jours]]&gt;1,PROPER(LEFT(TEXT(Tableau1[[#This Row],[Date de Début]]+1,"jjjj"),2))&amp; "" &amp; PROPER(LEFT(TEXT(Tableau1[[#This Row],[Date de Début]]+2,"jjjj"),2)),"")</f>
        <v/>
      </c>
      <c r="X101" s="175" t="str">
        <f>IF(Tableau1[[#This Row],[Nb jours]]&gt;2,PROPER(LEFT(TEXT(Tableau1[[#This Row],[Date de Début]]+2,"jjjj"),2))&amp; "" &amp; PROPER(LEFT(TEXT(Tableau1[[#This Row],[Date de Début]]+3,"jjjj"),2)),"")</f>
        <v/>
      </c>
      <c r="Y101" s="176" t="str">
        <f>IF(Tableau1[[#This Row],[Nb jours]]&gt;3,PROPER(LEFT(TEXT(Tableau1[[#This Row],[Date de Début]]+3,"jjjj"),2))&amp; "" &amp; PROPER(LEFT(TEXT(Tableau1[[#This Row],[Date de Début]]+4,"jjjj"),2)),"")</f>
        <v/>
      </c>
      <c r="Z101" s="175" t="str">
        <f>IF(Tableau1[[#This Row],[Nb jours]]&gt;4,PROPER(LEFT(TEXT(Tableau1[[#This Row],[Date de Début]]+4,"jjjj"),2))&amp; "" &amp; PROPER(LEFT(TEXT(Tableau1[[#This Row],[Date de Début]]+5,"jjjj"),2)),"")</f>
        <v/>
      </c>
      <c r="AA101" s="176" t="str">
        <f>IF(Tableau1[[#This Row],[Nb jours]]&gt;5,PROPER(LEFT(TEXT(Tableau1[[#This Row],[Date de Début]]+5,"jjjj"),2))&amp; "" &amp; PROPER(LEFT(TEXT(Tableau1[[#This Row],[Date de Début]]+6,"jjjj"),2)),"")</f>
        <v/>
      </c>
      <c r="AB101" s="177">
        <f>Tableau1[[#This Row],[Date de Fin]]-Tableau1[[#This Row],[Date de Début]]</f>
        <v>1</v>
      </c>
      <c r="AC101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101" s="42" t="s">
        <v>143</v>
      </c>
      <c r="AE101" s="27">
        <f t="shared" si="47"/>
        <v>28</v>
      </c>
      <c r="AF101" s="31">
        <f>Tableau1[[#This Row],[Date de Début]]-AE101</f>
        <v>45764</v>
      </c>
      <c r="AG101" s="93">
        <v>45747</v>
      </c>
      <c r="AH101" s="27">
        <f t="shared" si="48"/>
        <v>21</v>
      </c>
      <c r="AI101" s="254" t="str">
        <f>TEXT(AG101,"AAAA-MM-JJ")</f>
        <v>2025-03-31</v>
      </c>
      <c r="AJ101" s="45" t="s">
        <v>156</v>
      </c>
      <c r="AK101" s="31">
        <f>Tableau1[[#This Row],[Date de Début]]-AH101</f>
        <v>45771</v>
      </c>
      <c r="AL101" s="217">
        <v>45757</v>
      </c>
      <c r="AM101" s="27">
        <f t="shared" si="50"/>
        <v>21</v>
      </c>
      <c r="AN101" s="264" t="str">
        <f>IF(AL101="","",TEXT(Tableau1[[#This Row],[Date de fin de vérification]],"AAAA-MM-JJ"))</f>
        <v>2025-04-10</v>
      </c>
      <c r="AO101" s="49">
        <f>Tableau1[[#This Row],[Date de Début]]-AM101</f>
        <v>45771</v>
      </c>
      <c r="AP101" s="217">
        <v>45757</v>
      </c>
      <c r="AQ101" s="27">
        <f t="shared" si="51"/>
        <v>14</v>
      </c>
      <c r="AR101" s="254" t="str">
        <f t="shared" si="58"/>
        <v>10/04/2025</v>
      </c>
      <c r="AS101" s="49">
        <f>Tableau1[[#This Row],[Date de Début]]-AQ101</f>
        <v>45778</v>
      </c>
      <c r="AT101" s="217"/>
      <c r="AU101" s="27">
        <f t="shared" si="53"/>
        <v>14</v>
      </c>
      <c r="AV101" s="254" t="str">
        <f t="shared" si="59"/>
        <v>00-01-1900</v>
      </c>
      <c r="AW101" s="49">
        <f>Tableau1[[#This Row],[Date de Début]]-AU101</f>
        <v>45778</v>
      </c>
      <c r="AX101" s="217"/>
      <c r="AY101" s="293"/>
      <c r="AZ101" s="28">
        <f>IF(Tableau1[[#This Row],[Date limite de fin de rédaction]]&lt;Tableau1[[#This Row],[Date de fin de rédaction]],1,0)</f>
        <v>0</v>
      </c>
      <c r="BA101" s="28">
        <f>IF(Tableau1[[#This Row],[Date limite de fin de vérification]]&lt;Tableau1[[#This Row],[Date de fin de vérification]],1,0)</f>
        <v>0</v>
      </c>
      <c r="BB101" s="28">
        <f>IF(Tableau1[[#This Row],[Date limite d''envoi a  l''exploitation]]&lt;Tableau1[[#This Row],[Date d''envoi à  l''exploitation
(Mettre en copier le demandeur et le rédacteur)]],1,0)</f>
        <v>0</v>
      </c>
      <c r="BC101" s="28">
        <f>IF(Tableau1[[#This Row],[Date limite de réception]]&lt;Tableau1[[#This Row],[Date de réception]],1,0)</f>
        <v>0</v>
      </c>
      <c r="BD101" s="53">
        <f>IF(Tableau1[[#This Row],[Date limite limite de dépose sur la GED]]&lt;Tableau1[[#This Row],[Date de dépose sur la GED]],1,0)</f>
        <v>0</v>
      </c>
      <c r="BE101" s="294"/>
      <c r="BF101" s="243"/>
      <c r="BG101" s="309"/>
      <c r="BH101" s="295"/>
      <c r="BI101" s="297"/>
      <c r="BJ101" s="300"/>
      <c r="BK101" s="242"/>
    </row>
    <row r="102" spans="1:63" x14ac:dyDescent="0.25">
      <c r="A102" s="313">
        <v>93</v>
      </c>
      <c r="B102" s="90" t="s">
        <v>152</v>
      </c>
      <c r="C102" s="90">
        <v>15156</v>
      </c>
      <c r="D102" s="98" t="str">
        <f>IF(Tableau1[[#This Row],[Date de Début]]=0,"Saisir date de début","S"&amp; _xlfn.ISOWEEKNUM(R102))</f>
        <v>S23</v>
      </c>
      <c r="E102" s="24" t="s">
        <v>259</v>
      </c>
      <c r="F102" s="21"/>
      <c r="G102" s="91" t="str">
        <f>"xxx-2025-"&amp;Tableau1[[#This Row],[N° de 
Ctx]]&amp;"-"&amp;Tableau1[[#This Row],[N° semaine]]&amp;"-"&amp; Tableau1[[#This Row],[Nature des travaux]]</f>
        <v>xxx-2025-93-S23-Contrat 93</v>
      </c>
      <c r="H102" s="208" t="str">
        <f>IF(Tableau1[[#This Row],[Nature des travaux]]=0,"Saisir nature des travaux",Tableau1[[#This Row],[Colonne1]])&amp;"-"&amp;Tableau1[[#This Row],[Jour]]</f>
        <v>xxx-2025-93-S23-Contrat 93-LuMa</v>
      </c>
      <c r="I102" s="20"/>
      <c r="J102" s="21"/>
      <c r="K102" s="21"/>
      <c r="L102" s="24" t="s">
        <v>85</v>
      </c>
      <c r="M102" s="213">
        <f>COUNTIF(Tableau1[[#This Row],[Secteur 1]:[Secteur 4]],"x")</f>
        <v>1</v>
      </c>
      <c r="N102" s="92" t="s">
        <v>92</v>
      </c>
      <c r="O102" s="92" t="str">
        <f>IF(Tableau1[[#This Row],[Date de Fin]]-Tableau1[[#This Row],[Date de Début]]&gt;1,"X"," ")</f>
        <v xml:space="preserve"> </v>
      </c>
      <c r="P102" s="20"/>
      <c r="Q102" s="21"/>
      <c r="R102" s="99">
        <v>45810</v>
      </c>
      <c r="S102" s="280" t="str">
        <f t="shared" si="55"/>
        <v>2025-06-02</v>
      </c>
      <c r="T102" s="209">
        <v>45811</v>
      </c>
      <c r="U102" s="280" t="str">
        <f t="shared" si="56"/>
        <v>2025-06-03</v>
      </c>
      <c r="V102" s="176" t="str">
        <f>PROPER(LEFT(TEXT(Tableau1[[#This Row],[Date de Début]],"jjjj"),2))&amp; "" &amp; PROPER(LEFT(TEXT(Tableau1[[#This Row],[Date de Début]]+1,"jjjj"),2))</f>
        <v>LuMa</v>
      </c>
      <c r="W102" s="175" t="str">
        <f>IF(Tableau1[[#This Row],[Nb jours]]&gt;1,PROPER(LEFT(TEXT(Tableau1[[#This Row],[Date de Début]]+1,"jjjj"),2))&amp; "" &amp; PROPER(LEFT(TEXT(Tableau1[[#This Row],[Date de Début]]+2,"jjjj"),2)),"")</f>
        <v/>
      </c>
      <c r="X102" s="175" t="str">
        <f>IF(Tableau1[[#This Row],[Nb jours]]&gt;2,PROPER(LEFT(TEXT(Tableau1[[#This Row],[Date de Début]]+2,"jjjj"),2))&amp; "" &amp; PROPER(LEFT(TEXT(Tableau1[[#This Row],[Date de Début]]+3,"jjjj"),2)),"")</f>
        <v/>
      </c>
      <c r="Y102" s="176" t="str">
        <f>IF(Tableau1[[#This Row],[Nb jours]]&gt;3,PROPER(LEFT(TEXT(Tableau1[[#This Row],[Date de Début]]+3,"jjjj"),2))&amp; "" &amp; PROPER(LEFT(TEXT(Tableau1[[#This Row],[Date de Début]]+4,"jjjj"),2)),"")</f>
        <v/>
      </c>
      <c r="Z102" s="175" t="str">
        <f>IF(Tableau1[[#This Row],[Nb jours]]&gt;4,PROPER(LEFT(TEXT(Tableau1[[#This Row],[Date de Début]]+4,"jjjj"),2))&amp; "" &amp; PROPER(LEFT(TEXT(Tableau1[[#This Row],[Date de Début]]+5,"jjjj"),2)),"")</f>
        <v/>
      </c>
      <c r="AA102" s="176" t="str">
        <f>IF(Tableau1[[#This Row],[Nb jours]]&gt;5,PROPER(LEFT(TEXT(Tableau1[[#This Row],[Date de Début]]+5,"jjjj"),2))&amp; "" &amp; PROPER(LEFT(TEXT(Tableau1[[#This Row],[Date de Début]]+6,"jjjj"),2)),"")</f>
        <v/>
      </c>
      <c r="AB102" s="177">
        <f>Tableau1[[#This Row],[Date de Fin]]-Tableau1[[#This Row],[Date de Début]]</f>
        <v>1</v>
      </c>
      <c r="AC102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102" s="42" t="s">
        <v>143</v>
      </c>
      <c r="AE102" s="27">
        <f t="shared" si="47"/>
        <v>28</v>
      </c>
      <c r="AF102" s="31">
        <f>Tableau1[[#This Row],[Date de Début]]-AE102</f>
        <v>45782</v>
      </c>
      <c r="AG102" s="93"/>
      <c r="AH102" s="27">
        <f t="shared" si="48"/>
        <v>21</v>
      </c>
      <c r="AI102" s="254" t="str">
        <f>TEXT(AG102,"AAAA-MM-JJ")</f>
        <v>1900-01-00</v>
      </c>
      <c r="AJ102" s="45" t="s">
        <v>155</v>
      </c>
      <c r="AK102" s="31">
        <f>Tableau1[[#This Row],[Date de Début]]-AH102</f>
        <v>45789</v>
      </c>
      <c r="AL102" s="217"/>
      <c r="AM102" s="27">
        <f t="shared" si="50"/>
        <v>21</v>
      </c>
      <c r="AN102" s="264" t="str">
        <f>IF(AL102="","",TEXT(Tableau1[[#This Row],[Date de fin de vérification]],"AAAA-MM-JJ"))</f>
        <v/>
      </c>
      <c r="AO102" s="49">
        <f>Tableau1[[#This Row],[Date de Début]]-AM102</f>
        <v>45789</v>
      </c>
      <c r="AP102" s="217"/>
      <c r="AQ102" s="27">
        <f t="shared" si="51"/>
        <v>14</v>
      </c>
      <c r="AR102" s="254" t="str">
        <f t="shared" si="58"/>
        <v>00/01/1900</v>
      </c>
      <c r="AS102" s="49">
        <f>Tableau1[[#This Row],[Date de Début]]-AQ102</f>
        <v>45796</v>
      </c>
      <c r="AT102" s="217"/>
      <c r="AU102" s="27">
        <f t="shared" si="53"/>
        <v>14</v>
      </c>
      <c r="AV102" s="254" t="str">
        <f t="shared" si="59"/>
        <v>00-01-1900</v>
      </c>
      <c r="AW102" s="49">
        <f>Tableau1[[#This Row],[Date de Début]]-AU102</f>
        <v>45796</v>
      </c>
      <c r="AX102" s="217"/>
      <c r="AY102" s="293"/>
      <c r="AZ102" s="28">
        <f>IF(Tableau1[[#This Row],[Date limite de fin de rédaction]]&lt;Tableau1[[#This Row],[Date de fin de rédaction]],1,0)</f>
        <v>0</v>
      </c>
      <c r="BA102" s="28">
        <f>IF(Tableau1[[#This Row],[Date limite de fin de vérification]]&lt;Tableau1[[#This Row],[Date de fin de vérification]],1,0)</f>
        <v>0</v>
      </c>
      <c r="BB102" s="28">
        <f>IF(Tableau1[[#This Row],[Date limite d''envoi a  l''exploitation]]&lt;Tableau1[[#This Row],[Date d''envoi à  l''exploitation
(Mettre en copier le demandeur et le rédacteur)]],1,0)</f>
        <v>0</v>
      </c>
      <c r="BC102" s="28">
        <f>IF(Tableau1[[#This Row],[Date limite de réception]]&lt;Tableau1[[#This Row],[Date de réception]],1,0)</f>
        <v>0</v>
      </c>
      <c r="BD102" s="53">
        <f>IF(Tableau1[[#This Row],[Date limite limite de dépose sur la GED]]&lt;Tableau1[[#This Row],[Date de dépose sur la GED]],1,0)</f>
        <v>0</v>
      </c>
      <c r="BE102" s="294"/>
      <c r="BF102" s="243"/>
      <c r="BG102" s="309"/>
      <c r="BH102" s="295"/>
      <c r="BI102" s="297"/>
      <c r="BJ102" s="300"/>
      <c r="BK102" s="242"/>
    </row>
    <row r="103" spans="1:63" x14ac:dyDescent="0.25">
      <c r="A103" s="313">
        <v>94</v>
      </c>
      <c r="B103" s="90" t="s">
        <v>152</v>
      </c>
      <c r="C103" s="211">
        <v>15157</v>
      </c>
      <c r="D103" s="212" t="str">
        <f>IF(Tableau1[[#This Row],[Date de Début]]=0,"Saisir date de début","S"&amp; _xlfn.ISOWEEKNUM(R103))</f>
        <v>S23</v>
      </c>
      <c r="E103" s="24" t="s">
        <v>260</v>
      </c>
      <c r="F103" s="21"/>
      <c r="G103" s="213" t="str">
        <f>"xxx-2025-"&amp;Tableau1[[#This Row],[N° de 
Ctx]]&amp;"-"&amp;Tableau1[[#This Row],[N° semaine]]&amp;"-"&amp; Tableau1[[#This Row],[Nature des travaux]]</f>
        <v>xxx-2025-94-S23-Contrat 94</v>
      </c>
      <c r="H103" s="214" t="str">
        <f>IF(Tableau1[[#This Row],[Nature des travaux]]=0,"Saisir nature des travaux",Tableau1[[#This Row],[Colonne1]])&amp;"-"&amp;Tableau1[[#This Row],[Jour]]</f>
        <v>xxx-2025-94-S23-Contrat 94-MaMe</v>
      </c>
      <c r="I103" s="29"/>
      <c r="J103" s="24"/>
      <c r="K103" s="24"/>
      <c r="L103" s="24" t="s">
        <v>85</v>
      </c>
      <c r="M103" s="213">
        <f>COUNTIF(Tableau1[[#This Row],[Secteur 1]:[Secteur 4]],"x")</f>
        <v>1</v>
      </c>
      <c r="N103" s="92" t="s">
        <v>92</v>
      </c>
      <c r="O103" s="215" t="str">
        <f>IF(Tableau1[[#This Row],[Date de Fin]]-Tableau1[[#This Row],[Date de Début]]&gt;1,"X"," ")</f>
        <v xml:space="preserve"> </v>
      </c>
      <c r="P103" s="29"/>
      <c r="Q103" s="24"/>
      <c r="R103" s="116">
        <v>45811</v>
      </c>
      <c r="S103" s="285" t="str">
        <f t="shared" ref="S103:S104" si="60">TEXT(R103,"AAAA-MM-JJ")</f>
        <v>2025-06-03</v>
      </c>
      <c r="T103" s="216">
        <v>45812</v>
      </c>
      <c r="U103" s="280" t="str">
        <f t="shared" ref="U103:U104" si="61">TEXT(T103,"AAAA-MM-JJ")</f>
        <v>2025-06-04</v>
      </c>
      <c r="V103" s="176" t="str">
        <f>PROPER(LEFT(TEXT(Tableau1[[#This Row],[Date de Début]],"jjjj"),2))&amp; "" &amp; PROPER(LEFT(TEXT(Tableau1[[#This Row],[Date de Début]]+1,"jjjj"),2))</f>
        <v>MaMe</v>
      </c>
      <c r="W103" s="175" t="str">
        <f>IF(Tableau1[[#This Row],[Nb jours]]&gt;1,PROPER(LEFT(TEXT(Tableau1[[#This Row],[Date de Début]]+1,"jjjj"),2))&amp; "" &amp; PROPER(LEFT(TEXT(Tableau1[[#This Row],[Date de Début]]+2,"jjjj"),2)),"")</f>
        <v/>
      </c>
      <c r="X103" s="175" t="str">
        <f>IF(Tableau1[[#This Row],[Nb jours]]&gt;2,PROPER(LEFT(TEXT(Tableau1[[#This Row],[Date de Début]]+2,"jjjj"),2))&amp; "" &amp; PROPER(LEFT(TEXT(Tableau1[[#This Row],[Date de Début]]+3,"jjjj"),2)),"")</f>
        <v/>
      </c>
      <c r="Y103" s="176" t="str">
        <f>IF(Tableau1[[#This Row],[Nb jours]]&gt;3,PROPER(LEFT(TEXT(Tableau1[[#This Row],[Date de Début]]+3,"jjjj"),2))&amp; "" &amp; PROPER(LEFT(TEXT(Tableau1[[#This Row],[Date de Début]]+4,"jjjj"),2)),"")</f>
        <v/>
      </c>
      <c r="Z103" s="175" t="str">
        <f>IF(Tableau1[[#This Row],[Nb jours]]&gt;4,PROPER(LEFT(TEXT(Tableau1[[#This Row],[Date de Début]]+4,"jjjj"),2))&amp; "" &amp; PROPER(LEFT(TEXT(Tableau1[[#This Row],[Date de Début]]+5,"jjjj"),2)),"")</f>
        <v/>
      </c>
      <c r="AA103" s="176" t="str">
        <f>IF(Tableau1[[#This Row],[Nb jours]]&gt;5,PROPER(LEFT(TEXT(Tableau1[[#This Row],[Date de Début]]+5,"jjjj"),2))&amp; "" &amp; PROPER(LEFT(TEXT(Tableau1[[#This Row],[Date de Début]]+6,"jjjj"),2)),"")</f>
        <v/>
      </c>
      <c r="AB103" s="177">
        <f>Tableau1[[#This Row],[Date de Fin]]-Tableau1[[#This Row],[Date de Début]]</f>
        <v>1</v>
      </c>
      <c r="AC103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03" s="40" t="s">
        <v>143</v>
      </c>
      <c r="AE103" s="25">
        <f t="shared" si="47"/>
        <v>28</v>
      </c>
      <c r="AF103" s="30">
        <f>Tableau1[[#This Row],[Date de Début]]-AE103</f>
        <v>45783</v>
      </c>
      <c r="AG103" s="217"/>
      <c r="AH103" s="25">
        <f t="shared" si="48"/>
        <v>21</v>
      </c>
      <c r="AI103" s="256" t="str">
        <f t="shared" ref="AI103:AI104" si="62">TEXT(AG103,"AAAA-MM-JJ")</f>
        <v>1900-01-00</v>
      </c>
      <c r="AJ103" s="45" t="s">
        <v>155</v>
      </c>
      <c r="AK103" s="30">
        <f>Tableau1[[#This Row],[Date de Début]]-AH103</f>
        <v>45790</v>
      </c>
      <c r="AL103" s="217"/>
      <c r="AM103" s="25">
        <f t="shared" si="50"/>
        <v>21</v>
      </c>
      <c r="AN103" s="266" t="str">
        <f>IF(AL103="","",TEXT(Tableau1[[#This Row],[Date de fin de vérification]],"AAAA-MM-JJ"))</f>
        <v/>
      </c>
      <c r="AO103" s="48">
        <f>Tableau1[[#This Row],[Date de Début]]-AM103</f>
        <v>45790</v>
      </c>
      <c r="AP103" s="217"/>
      <c r="AQ103" s="25">
        <f t="shared" si="51"/>
        <v>14</v>
      </c>
      <c r="AR103" s="256" t="str">
        <f t="shared" ref="AR103:AR104" si="63">TEXT(AP103,"JJ/MM/AAAA")</f>
        <v>00/01/1900</v>
      </c>
      <c r="AS103" s="48">
        <f>Tableau1[[#This Row],[Date de Début]]-AQ103</f>
        <v>45797</v>
      </c>
      <c r="AT103" s="217"/>
      <c r="AU103" s="25">
        <f t="shared" si="53"/>
        <v>14</v>
      </c>
      <c r="AV103" s="256" t="str">
        <f t="shared" ref="AV103:AV104" si="64">TEXT(AT103,"JJ-MM-AAAA")</f>
        <v>00-01-1900</v>
      </c>
      <c r="AW103" s="48">
        <f>Tableau1[[#This Row],[Date de Début]]-AU103</f>
        <v>45797</v>
      </c>
      <c r="AX103" s="217"/>
      <c r="AY103" s="290"/>
      <c r="AZ103" s="26">
        <f>IF(Tableau1[[#This Row],[Date limite de fin de rédaction]]&lt;Tableau1[[#This Row],[Date de fin de rédaction]],1,0)</f>
        <v>0</v>
      </c>
      <c r="BA103" s="26">
        <f>IF(Tableau1[[#This Row],[Date limite de fin de vérification]]&lt;Tableau1[[#This Row],[Date de fin de vérification]],1,0)</f>
        <v>0</v>
      </c>
      <c r="BB103" s="26">
        <f>IF(Tableau1[[#This Row],[Date limite d''envoi a  l''exploitation]]&lt;Tableau1[[#This Row],[Date d''envoi à  l''exploitation
(Mettre en copier le demandeur et le rédacteur)]],1,0)</f>
        <v>0</v>
      </c>
      <c r="BC103" s="26">
        <f>IF(Tableau1[[#This Row],[Date limite de réception]]&lt;Tableau1[[#This Row],[Date de réception]],1,0)</f>
        <v>0</v>
      </c>
      <c r="BD103" s="52">
        <f>IF(Tableau1[[#This Row],[Date limite limite de dépose sur la GED]]&lt;Tableau1[[#This Row],[Date de dépose sur la GED]],1,0)</f>
        <v>0</v>
      </c>
      <c r="BE103" s="291"/>
      <c r="BF103" s="243"/>
      <c r="BG103" s="309"/>
      <c r="BH103" s="295"/>
      <c r="BI103" s="297"/>
      <c r="BJ103" s="300"/>
      <c r="BK103" s="242"/>
    </row>
    <row r="104" spans="1:63" x14ac:dyDescent="0.25">
      <c r="A104" s="313">
        <v>95</v>
      </c>
      <c r="B104" s="90" t="s">
        <v>152</v>
      </c>
      <c r="C104" s="211">
        <v>15157</v>
      </c>
      <c r="D104" s="212" t="str">
        <f>IF(Tableau1[[#This Row],[Date de Début]]=0,"Saisir date de début","S"&amp; _xlfn.ISOWEEKNUM(R104))</f>
        <v>S23</v>
      </c>
      <c r="E104" s="24" t="s">
        <v>261</v>
      </c>
      <c r="F104" s="21"/>
      <c r="G104" s="213" t="str">
        <f>"xxx-2025-"&amp;Tableau1[[#This Row],[N° de 
Ctx]]&amp;"-"&amp;Tableau1[[#This Row],[N° semaine]]&amp;"-"&amp; Tableau1[[#This Row],[Nature des travaux]]</f>
        <v>xxx-2025-95-S23-Contrat 95</v>
      </c>
      <c r="H104" s="214" t="str">
        <f>IF(Tableau1[[#This Row],[Nature des travaux]]=0,"Saisir nature des travaux",Tableau1[[#This Row],[Colonne1]])&amp;"-"&amp;Tableau1[[#This Row],[Jour]]</f>
        <v>xxx-2025-95-S23-Contrat 95-MeJe</v>
      </c>
      <c r="I104" s="29"/>
      <c r="J104" s="24"/>
      <c r="K104" s="24"/>
      <c r="L104" s="24" t="s">
        <v>85</v>
      </c>
      <c r="M104" s="213">
        <f>COUNTIF(Tableau1[[#This Row],[Secteur 1]:[Secteur 4]],"x")</f>
        <v>1</v>
      </c>
      <c r="N104" s="92" t="s">
        <v>92</v>
      </c>
      <c r="O104" s="215" t="str">
        <f>IF(Tableau1[[#This Row],[Date de Fin]]-Tableau1[[#This Row],[Date de Début]]&gt;1,"X"," ")</f>
        <v xml:space="preserve"> </v>
      </c>
      <c r="P104" s="29"/>
      <c r="Q104" s="24"/>
      <c r="R104" s="116">
        <v>45812</v>
      </c>
      <c r="S104" s="285" t="str">
        <f t="shared" si="60"/>
        <v>2025-06-04</v>
      </c>
      <c r="T104" s="216">
        <v>45813</v>
      </c>
      <c r="U104" s="276" t="str">
        <f t="shared" si="61"/>
        <v>2025-06-05</v>
      </c>
      <c r="V104" s="176" t="str">
        <f>PROPER(LEFT(TEXT(Tableau1[[#This Row],[Date de Début]],"jjjj"),2))&amp; "" &amp; PROPER(LEFT(TEXT(Tableau1[[#This Row],[Date de Début]]+1,"jjjj"),2))</f>
        <v>MeJe</v>
      </c>
      <c r="W104" s="175" t="str">
        <f>IF(Tableau1[[#This Row],[Nb jours]]&gt;1,PROPER(LEFT(TEXT(Tableau1[[#This Row],[Date de Début]]+1,"jjjj"),2))&amp; "" &amp; PROPER(LEFT(TEXT(Tableau1[[#This Row],[Date de Début]]+2,"jjjj"),2)),"")</f>
        <v/>
      </c>
      <c r="X104" s="175" t="str">
        <f>IF(Tableau1[[#This Row],[Nb jours]]&gt;2,PROPER(LEFT(TEXT(Tableau1[[#This Row],[Date de Début]]+2,"jjjj"),2))&amp; "" &amp; PROPER(LEFT(TEXT(Tableau1[[#This Row],[Date de Début]]+3,"jjjj"),2)),"")</f>
        <v/>
      </c>
      <c r="Y104" s="176" t="str">
        <f>IF(Tableau1[[#This Row],[Nb jours]]&gt;3,PROPER(LEFT(TEXT(Tableau1[[#This Row],[Date de Début]]+3,"jjjj"),2))&amp; "" &amp; PROPER(LEFT(TEXT(Tableau1[[#This Row],[Date de Début]]+4,"jjjj"),2)),"")</f>
        <v/>
      </c>
      <c r="Z104" s="175" t="str">
        <f>IF(Tableau1[[#This Row],[Nb jours]]&gt;4,PROPER(LEFT(TEXT(Tableau1[[#This Row],[Date de Début]]+4,"jjjj"),2))&amp; "" &amp; PROPER(LEFT(TEXT(Tableau1[[#This Row],[Date de Début]]+5,"jjjj"),2)),"")</f>
        <v/>
      </c>
      <c r="AA104" s="176" t="str">
        <f>IF(Tableau1[[#This Row],[Nb jours]]&gt;5,PROPER(LEFT(TEXT(Tableau1[[#This Row],[Date de Début]]+5,"jjjj"),2))&amp; "" &amp; PROPER(LEFT(TEXT(Tableau1[[#This Row],[Date de Début]]+6,"jjjj"),2)),"")</f>
        <v/>
      </c>
      <c r="AB104" s="177">
        <f>Tableau1[[#This Row],[Date de Fin]]-Tableau1[[#This Row],[Date de Début]]</f>
        <v>1</v>
      </c>
      <c r="AC104" s="218" t="str">
        <f>Tableau1[[#This Row],[Nuit 1]]&amp;Tableau1[[#This Row],[Nuit 2]]&amp;Tableau1[[#This Row],[Nuit 3]]&amp;Tableau1[[#This Row],[Nuit 4]]&amp;Tableau1[[#This Row],[Nuit 5]]&amp;Tableau1[[#This Row],[Nuit 6]]</f>
        <v>MeJe</v>
      </c>
      <c r="AD104" s="40" t="s">
        <v>143</v>
      </c>
      <c r="AE104" s="25">
        <f t="shared" si="47"/>
        <v>28</v>
      </c>
      <c r="AF104" s="30">
        <f>Tableau1[[#This Row],[Date de Début]]-AE104</f>
        <v>45784</v>
      </c>
      <c r="AG104" s="217"/>
      <c r="AH104" s="25">
        <f t="shared" si="48"/>
        <v>21</v>
      </c>
      <c r="AI104" s="256" t="str">
        <f t="shared" si="62"/>
        <v>1900-01-00</v>
      </c>
      <c r="AJ104" s="45" t="s">
        <v>155</v>
      </c>
      <c r="AK104" s="30">
        <f>Tableau1[[#This Row],[Date de Début]]-AH104</f>
        <v>45791</v>
      </c>
      <c r="AL104" s="217"/>
      <c r="AM104" s="25">
        <f t="shared" si="50"/>
        <v>21</v>
      </c>
      <c r="AN104" s="266" t="str">
        <f>IF(AL104="","",TEXT(Tableau1[[#This Row],[Date de fin de vérification]],"AAAA-MM-JJ"))</f>
        <v/>
      </c>
      <c r="AO104" s="48">
        <f>Tableau1[[#This Row],[Date de Début]]-AM104</f>
        <v>45791</v>
      </c>
      <c r="AP104" s="217"/>
      <c r="AQ104" s="25">
        <f t="shared" si="51"/>
        <v>14</v>
      </c>
      <c r="AR104" s="256" t="str">
        <f t="shared" si="63"/>
        <v>00/01/1900</v>
      </c>
      <c r="AS104" s="48">
        <f>Tableau1[[#This Row],[Date de Début]]-AQ104</f>
        <v>45798</v>
      </c>
      <c r="AT104" s="217"/>
      <c r="AU104" s="25">
        <f t="shared" si="53"/>
        <v>14</v>
      </c>
      <c r="AV104" s="256" t="str">
        <f t="shared" si="64"/>
        <v>00-01-1900</v>
      </c>
      <c r="AW104" s="48">
        <f>Tableau1[[#This Row],[Date de Début]]-AU104</f>
        <v>45798</v>
      </c>
      <c r="AX104" s="217"/>
      <c r="AY104" s="290"/>
      <c r="AZ104" s="26">
        <f>IF(Tableau1[[#This Row],[Date limite de fin de rédaction]]&lt;Tableau1[[#This Row],[Date de fin de rédaction]],1,0)</f>
        <v>0</v>
      </c>
      <c r="BA104" s="26">
        <f>IF(Tableau1[[#This Row],[Date limite de fin de vérification]]&lt;Tableau1[[#This Row],[Date de fin de vérification]],1,0)</f>
        <v>0</v>
      </c>
      <c r="BB104" s="26">
        <f>IF(Tableau1[[#This Row],[Date limite d''envoi a  l''exploitation]]&lt;Tableau1[[#This Row],[Date d''envoi à  l''exploitation
(Mettre en copier le demandeur et le rédacteur)]],1,0)</f>
        <v>0</v>
      </c>
      <c r="BC104" s="26">
        <f>IF(Tableau1[[#This Row],[Date limite de réception]]&lt;Tableau1[[#This Row],[Date de réception]],1,0)</f>
        <v>0</v>
      </c>
      <c r="BD104" s="52">
        <f>IF(Tableau1[[#This Row],[Date limite limite de dépose sur la GED]]&lt;Tableau1[[#This Row],[Date de dépose sur la GED]],1,0)</f>
        <v>0</v>
      </c>
      <c r="BE104" s="291"/>
      <c r="BF104" s="243"/>
      <c r="BG104" s="309"/>
      <c r="BH104" s="295"/>
      <c r="BI104" s="297"/>
      <c r="BJ104" s="300"/>
      <c r="BK104" s="242"/>
    </row>
    <row r="105" spans="1:63" x14ac:dyDescent="0.25">
      <c r="A105" s="313">
        <v>96</v>
      </c>
      <c r="B105" s="90" t="s">
        <v>152</v>
      </c>
      <c r="C105" s="90">
        <v>15158</v>
      </c>
      <c r="D105" s="98" t="str">
        <f>IF(Tableau1[[#This Row],[Date de Début]]=0,"Saisir date de début","S"&amp; _xlfn.ISOWEEKNUM(R105))</f>
        <v>S23</v>
      </c>
      <c r="E105" s="24" t="s">
        <v>262</v>
      </c>
      <c r="F105" s="21"/>
      <c r="G105" s="91" t="str">
        <f>"xxx-2025-"&amp;Tableau1[[#This Row],[N° de 
Ctx]]&amp;"-"&amp;Tableau1[[#This Row],[N° semaine]]&amp;"-"&amp; Tableau1[[#This Row],[Nature des travaux]]</f>
        <v>xxx-2025-96-S23-Contrat 96</v>
      </c>
      <c r="H105" s="208" t="str">
        <f>IF(Tableau1[[#This Row],[Nature des travaux]]=0,"Saisir nature des travaux",Tableau1[[#This Row],[Colonne1]])&amp;"-"&amp;Tableau1[[#This Row],[Jour]]</f>
        <v>xxx-2025-96-S23-Contrat 96-JeVe</v>
      </c>
      <c r="I105" s="20"/>
      <c r="J105" s="21"/>
      <c r="K105" s="21"/>
      <c r="L105" s="24" t="s">
        <v>85</v>
      </c>
      <c r="M105" s="213">
        <f>COUNTIF(Tableau1[[#This Row],[Secteur 1]:[Secteur 4]],"x")</f>
        <v>1</v>
      </c>
      <c r="N105" s="92" t="s">
        <v>92</v>
      </c>
      <c r="O105" s="92" t="str">
        <f>IF(Tableau1[[#This Row],[Date de Fin]]-Tableau1[[#This Row],[Date de Début]]&gt;1,"X"," ")</f>
        <v xml:space="preserve"> </v>
      </c>
      <c r="P105" s="20"/>
      <c r="Q105" s="21"/>
      <c r="R105" s="99">
        <v>45813</v>
      </c>
      <c r="S105" s="280" t="str">
        <f t="shared" ref="S105:S111" si="65">TEXT(R105,"AAAA-MM-JJ")</f>
        <v>2025-06-05</v>
      </c>
      <c r="T105" s="209">
        <v>45814</v>
      </c>
      <c r="U105" s="280" t="str">
        <f t="shared" ref="U105:U111" si="66">TEXT(T105,"AAAA-MM-JJ")</f>
        <v>2025-06-06</v>
      </c>
      <c r="V105" s="176" t="str">
        <f>PROPER(LEFT(TEXT(Tableau1[[#This Row],[Date de Début]],"jjjj"),2))&amp; "" &amp; PROPER(LEFT(TEXT(Tableau1[[#This Row],[Date de Début]]+1,"jjjj"),2))</f>
        <v>JeVe</v>
      </c>
      <c r="W105" s="175" t="str">
        <f>IF(Tableau1[[#This Row],[Nb jours]]&gt;1,PROPER(LEFT(TEXT(Tableau1[[#This Row],[Date de Début]]+1,"jjjj"),2))&amp; "" &amp; PROPER(LEFT(TEXT(Tableau1[[#This Row],[Date de Début]]+2,"jjjj"),2)),"")</f>
        <v/>
      </c>
      <c r="X105" s="175" t="str">
        <f>IF(Tableau1[[#This Row],[Nb jours]]&gt;2,PROPER(LEFT(TEXT(Tableau1[[#This Row],[Date de Début]]+2,"jjjj"),2))&amp; "" &amp; PROPER(LEFT(TEXT(Tableau1[[#This Row],[Date de Début]]+3,"jjjj"),2)),"")</f>
        <v/>
      </c>
      <c r="Y105" s="176" t="str">
        <f>IF(Tableau1[[#This Row],[Nb jours]]&gt;3,PROPER(LEFT(TEXT(Tableau1[[#This Row],[Date de Début]]+3,"jjjj"),2))&amp; "" &amp; PROPER(LEFT(TEXT(Tableau1[[#This Row],[Date de Début]]+4,"jjjj"),2)),"")</f>
        <v/>
      </c>
      <c r="Z105" s="175" t="str">
        <f>IF(Tableau1[[#This Row],[Nb jours]]&gt;4,PROPER(LEFT(TEXT(Tableau1[[#This Row],[Date de Début]]+4,"jjjj"),2))&amp; "" &amp; PROPER(LEFT(TEXT(Tableau1[[#This Row],[Date de Début]]+5,"jjjj"),2)),"")</f>
        <v/>
      </c>
      <c r="AA105" s="176" t="str">
        <f>IF(Tableau1[[#This Row],[Nb jours]]&gt;5,PROPER(LEFT(TEXT(Tableau1[[#This Row],[Date de Début]]+5,"jjjj"),2))&amp; "" &amp; PROPER(LEFT(TEXT(Tableau1[[#This Row],[Date de Début]]+6,"jjjj"),2)),"")</f>
        <v/>
      </c>
      <c r="AB105" s="177">
        <f>Tableau1[[#This Row],[Date de Fin]]-Tableau1[[#This Row],[Date de Début]]</f>
        <v>1</v>
      </c>
      <c r="AC105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105" s="42" t="s">
        <v>143</v>
      </c>
      <c r="AE105" s="27">
        <f t="shared" si="47"/>
        <v>28</v>
      </c>
      <c r="AF105" s="31">
        <f>Tableau1[[#This Row],[Date de Début]]-AE105</f>
        <v>45785</v>
      </c>
      <c r="AG105" s="93"/>
      <c r="AH105" s="27">
        <f t="shared" si="48"/>
        <v>21</v>
      </c>
      <c r="AI105" s="254" t="str">
        <f t="shared" ref="AI105:AI111" si="67">TEXT(AG105,"AAAA-MM-JJ")</f>
        <v>1900-01-00</v>
      </c>
      <c r="AJ105" s="45" t="s">
        <v>155</v>
      </c>
      <c r="AK105" s="31">
        <f>Tableau1[[#This Row],[Date de Début]]-AH105</f>
        <v>45792</v>
      </c>
      <c r="AL105" s="217"/>
      <c r="AM105" s="27">
        <f t="shared" si="50"/>
        <v>21</v>
      </c>
      <c r="AN105" s="264" t="str">
        <f>IF(AL105="","",TEXT(Tableau1[[#This Row],[Date de fin de vérification]],"AAAA-MM-JJ"))</f>
        <v/>
      </c>
      <c r="AO105" s="49">
        <f>Tableau1[[#This Row],[Date de Début]]-AM105</f>
        <v>45792</v>
      </c>
      <c r="AP105" s="217"/>
      <c r="AQ105" s="27">
        <f t="shared" si="51"/>
        <v>14</v>
      </c>
      <c r="AR105" s="254" t="str">
        <f t="shared" ref="AR105:AR111" si="68">TEXT(AP105,"JJ/MM/AAAA")</f>
        <v>00/01/1900</v>
      </c>
      <c r="AS105" s="49">
        <f>Tableau1[[#This Row],[Date de Début]]-AQ105</f>
        <v>45799</v>
      </c>
      <c r="AT105" s="217"/>
      <c r="AU105" s="27">
        <f t="shared" si="53"/>
        <v>14</v>
      </c>
      <c r="AV105" s="254" t="str">
        <f t="shared" ref="AV105:AV111" si="69">TEXT(AT105,"JJ-MM-AAAA")</f>
        <v>00-01-1900</v>
      </c>
      <c r="AW105" s="49">
        <f>Tableau1[[#This Row],[Date de Début]]-AU105</f>
        <v>45799</v>
      </c>
      <c r="AX105" s="217"/>
      <c r="AY105" s="293"/>
      <c r="AZ105" s="28">
        <f>IF(Tableau1[[#This Row],[Date limite de fin de rédaction]]&lt;Tableau1[[#This Row],[Date de fin de rédaction]],1,0)</f>
        <v>0</v>
      </c>
      <c r="BA105" s="28">
        <f>IF(Tableau1[[#This Row],[Date limite de fin de vérification]]&lt;Tableau1[[#This Row],[Date de fin de vérification]],1,0)</f>
        <v>0</v>
      </c>
      <c r="BB105" s="28">
        <f>IF(Tableau1[[#This Row],[Date limite d''envoi a  l''exploitation]]&lt;Tableau1[[#This Row],[Date d''envoi à  l''exploitation
(Mettre en copier le demandeur et le rédacteur)]],1,0)</f>
        <v>0</v>
      </c>
      <c r="BC105" s="28">
        <f>IF(Tableau1[[#This Row],[Date limite de réception]]&lt;Tableau1[[#This Row],[Date de réception]],1,0)</f>
        <v>0</v>
      </c>
      <c r="BD105" s="53">
        <f>IF(Tableau1[[#This Row],[Date limite limite de dépose sur la GED]]&lt;Tableau1[[#This Row],[Date de dépose sur la GED]],1,0)</f>
        <v>0</v>
      </c>
      <c r="BE105" s="294"/>
      <c r="BF105" s="243"/>
      <c r="BG105" s="309"/>
      <c r="BH105" s="295"/>
      <c r="BI105" s="297"/>
      <c r="BJ105" s="300"/>
      <c r="BK105" s="242"/>
    </row>
    <row r="106" spans="1:63" x14ac:dyDescent="0.25">
      <c r="A106" s="313">
        <v>97</v>
      </c>
      <c r="B106" s="90" t="s">
        <v>145</v>
      </c>
      <c r="C106" s="90">
        <v>15240</v>
      </c>
      <c r="D106" s="98" t="str">
        <f>IF(Tableau1[[#This Row],[Date de Début]]=0,"Saisir date de début","S"&amp; _xlfn.ISOWEEKNUM(R106))</f>
        <v>S11</v>
      </c>
      <c r="E106" s="24" t="s">
        <v>263</v>
      </c>
      <c r="F106" s="21"/>
      <c r="G106" s="91" t="str">
        <f>"xxx-2025-"&amp;Tableau1[[#This Row],[N° de 
Ctx]]&amp;"-"&amp;Tableau1[[#This Row],[N° semaine]]&amp;"-"&amp; Tableau1[[#This Row],[Nature des travaux]]</f>
        <v>xxx-2025-97-S11-Contrat 97</v>
      </c>
      <c r="H106" s="208" t="str">
        <f>IF(Tableau1[[#This Row],[Nature des travaux]]=0,"Saisir nature des travaux",Tableau1[[#This Row],[Colonne1]])&amp;"-"&amp;Tableau1[[#This Row],[Jour]]</f>
        <v>xxx-2025-97-S11-Contrat 97-JeVe</v>
      </c>
      <c r="I106" s="20"/>
      <c r="J106" s="21"/>
      <c r="K106" s="21" t="s">
        <v>85</v>
      </c>
      <c r="L106" s="21"/>
      <c r="M106" s="91">
        <f>COUNTIF(Tableau1[[#This Row],[Secteur 1]:[Secteur 4]],"x")</f>
        <v>1</v>
      </c>
      <c r="N106" s="92" t="s">
        <v>81</v>
      </c>
      <c r="O106" s="92" t="str">
        <f>IF(Tableau1[[#This Row],[Date de Fin]]-Tableau1[[#This Row],[Date de Début]]&gt;1,"X"," ")</f>
        <v xml:space="preserve"> </v>
      </c>
      <c r="P106" s="20"/>
      <c r="Q106" s="21"/>
      <c r="R106" s="99">
        <v>45729</v>
      </c>
      <c r="S106" s="280" t="str">
        <f t="shared" si="65"/>
        <v>2025-03-13</v>
      </c>
      <c r="T106" s="209">
        <v>45730</v>
      </c>
      <c r="U106" s="280" t="str">
        <f t="shared" si="66"/>
        <v>2025-03-14</v>
      </c>
      <c r="V106" s="176" t="str">
        <f>PROPER(LEFT(TEXT(Tableau1[[#This Row],[Date de Début]],"jjjj"),2))&amp; "" &amp; PROPER(LEFT(TEXT(Tableau1[[#This Row],[Date de Début]]+1,"jjjj"),2))</f>
        <v>JeVe</v>
      </c>
      <c r="W106" s="175" t="str">
        <f>IF(Tableau1[[#This Row],[Nb jours]]&gt;1,PROPER(LEFT(TEXT(Tableau1[[#This Row],[Date de Début]]+1,"jjjj"),2))&amp; "" &amp; PROPER(LEFT(TEXT(Tableau1[[#This Row],[Date de Début]]+2,"jjjj"),2)),"")</f>
        <v/>
      </c>
      <c r="X106" s="175" t="str">
        <f>IF(Tableau1[[#This Row],[Nb jours]]&gt;2,PROPER(LEFT(TEXT(Tableau1[[#This Row],[Date de Début]]+2,"jjjj"),2))&amp; "" &amp; PROPER(LEFT(TEXT(Tableau1[[#This Row],[Date de Début]]+3,"jjjj"),2)),"")</f>
        <v/>
      </c>
      <c r="Y106" s="176" t="str">
        <f>IF(Tableau1[[#This Row],[Nb jours]]&gt;3,PROPER(LEFT(TEXT(Tableau1[[#This Row],[Date de Début]]+3,"jjjj"),2))&amp; "" &amp; PROPER(LEFT(TEXT(Tableau1[[#This Row],[Date de Début]]+4,"jjjj"),2)),"")</f>
        <v/>
      </c>
      <c r="Z106" s="175" t="str">
        <f>IF(Tableau1[[#This Row],[Nb jours]]&gt;4,PROPER(LEFT(TEXT(Tableau1[[#This Row],[Date de Début]]+4,"jjjj"),2))&amp; "" &amp; PROPER(LEFT(TEXT(Tableau1[[#This Row],[Date de Début]]+5,"jjjj"),2)),"")</f>
        <v/>
      </c>
      <c r="AA106" s="176" t="str">
        <f>IF(Tableau1[[#This Row],[Nb jours]]&gt;5,PROPER(LEFT(TEXT(Tableau1[[#This Row],[Date de Début]]+5,"jjjj"),2))&amp; "" &amp; PROPER(LEFT(TEXT(Tableau1[[#This Row],[Date de Début]]+6,"jjjj"),2)),"")</f>
        <v/>
      </c>
      <c r="AB106" s="177">
        <f>Tableau1[[#This Row],[Date de Fin]]-Tableau1[[#This Row],[Date de Début]]</f>
        <v>1</v>
      </c>
      <c r="AC106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106" s="42" t="s">
        <v>155</v>
      </c>
      <c r="AE106" s="27">
        <f t="shared" ref="AE106:AE111" si="70">Tolérances_1</f>
        <v>28</v>
      </c>
      <c r="AF106" s="31">
        <f>Tableau1[[#This Row],[Date de Début]]-AE106</f>
        <v>45701</v>
      </c>
      <c r="AG106" s="93">
        <v>45729</v>
      </c>
      <c r="AH106" s="27">
        <f t="shared" ref="AH106:AH111" si="71">Tolérances_2</f>
        <v>21</v>
      </c>
      <c r="AI106" s="254" t="str">
        <f t="shared" si="67"/>
        <v>2025-03-13</v>
      </c>
      <c r="AJ106" s="45" t="s">
        <v>156</v>
      </c>
      <c r="AK106" s="31">
        <f>Tableau1[[#This Row],[Date de Début]]-AH106</f>
        <v>45708</v>
      </c>
      <c r="AL106" s="217">
        <v>45729</v>
      </c>
      <c r="AM106" s="27">
        <f t="shared" ref="AM106:AM111" si="72">Tolérances_3</f>
        <v>21</v>
      </c>
      <c r="AN106" s="264" t="str">
        <f>IF(AL106="","",TEXT(Tableau1[[#This Row],[Date de fin de vérification]],"AAAA-MM-JJ"))</f>
        <v>2025-03-13</v>
      </c>
      <c r="AO106" s="49">
        <f>Tableau1[[#This Row],[Date de Début]]-AM106</f>
        <v>45708</v>
      </c>
      <c r="AP106" s="217">
        <v>45729</v>
      </c>
      <c r="AQ106" s="27">
        <f t="shared" ref="AQ106:AQ111" si="73">Tolérances_4</f>
        <v>14</v>
      </c>
      <c r="AR106" s="254" t="str">
        <f t="shared" si="68"/>
        <v>13/03/2025</v>
      </c>
      <c r="AS106" s="49">
        <f>Tableau1[[#This Row],[Date de Début]]-AQ106</f>
        <v>45715</v>
      </c>
      <c r="AT106" s="217">
        <v>45729</v>
      </c>
      <c r="AU106" s="27">
        <f t="shared" ref="AU106:AU111" si="74">Tolérances_5</f>
        <v>14</v>
      </c>
      <c r="AV106" s="254" t="str">
        <f t="shared" si="69"/>
        <v>13-03-2025</v>
      </c>
      <c r="AW106" s="49">
        <f>Tableau1[[#This Row],[Date de Début]]-AU106</f>
        <v>45715</v>
      </c>
      <c r="AX106" s="217">
        <v>45729</v>
      </c>
      <c r="AY106" s="293"/>
      <c r="AZ106" s="28">
        <f>IF(Tableau1[[#This Row],[Date limite de fin de rédaction]]&lt;Tableau1[[#This Row],[Date de fin de rédaction]],1,0)</f>
        <v>1</v>
      </c>
      <c r="BA106" s="28">
        <f>IF(Tableau1[[#This Row],[Date limite de fin de vérification]]&lt;Tableau1[[#This Row],[Date de fin de vérification]],1,0)</f>
        <v>1</v>
      </c>
      <c r="BB106" s="28">
        <f>IF(Tableau1[[#This Row],[Date limite d''envoi a  l''exploitation]]&lt;Tableau1[[#This Row],[Date d''envoi à  l''exploitation
(Mettre en copier le demandeur et le rédacteur)]],1,0)</f>
        <v>1</v>
      </c>
      <c r="BC106" s="28">
        <f>IF(Tableau1[[#This Row],[Date limite de réception]]&lt;Tableau1[[#This Row],[Date de réception]],1,0)</f>
        <v>1</v>
      </c>
      <c r="BD106" s="28">
        <f>IF(Tableau1[[#This Row],[Date limite limite de dépose sur la GED]]&lt;Tableau1[[#This Row],[Date de dépose sur la GED]],1,0)</f>
        <v>1</v>
      </c>
      <c r="BE106" s="294"/>
      <c r="BF106" s="310"/>
      <c r="BG106" s="311"/>
      <c r="BH106" s="312"/>
      <c r="BI106" s="312"/>
      <c r="BJ106" s="312"/>
      <c r="BK106" s="127"/>
    </row>
    <row r="107" spans="1:63" ht="38.25" x14ac:dyDescent="0.25">
      <c r="A107" s="313">
        <v>98</v>
      </c>
      <c r="B107" s="90" t="s">
        <v>145</v>
      </c>
      <c r="C107" s="90" t="s">
        <v>111</v>
      </c>
      <c r="D107" s="98" t="str">
        <f>IF(Tableau1[[#This Row],[Date de Début]]=0,"Saisir date de début","S"&amp; _xlfn.ISOWEEKNUM(R107))</f>
        <v>S13</v>
      </c>
      <c r="E107" s="24" t="s">
        <v>264</v>
      </c>
      <c r="F107" s="21" t="s">
        <v>112</v>
      </c>
      <c r="G107" s="91" t="str">
        <f>"xxx-2025-"&amp;Tableau1[[#This Row],[N° de 
Ctx]]&amp;"-"&amp;Tableau1[[#This Row],[N° semaine]]&amp;"-"&amp; Tableau1[[#This Row],[Nature des travaux]]</f>
        <v>xxx-2025-98-S13-Contrat 98</v>
      </c>
      <c r="H107" s="208" t="str">
        <f>IF(Tableau1[[#This Row],[Nature des travaux]]=0,"Saisir nature des travaux",Tableau1[[#This Row],[Colonne1]])&amp;"-"&amp;Tableau1[[#This Row],[Jour]]</f>
        <v>xxx-2025-98-S13-Contrat 98-MeJeJeVe</v>
      </c>
      <c r="I107" s="20"/>
      <c r="J107" s="21"/>
      <c r="K107" s="21" t="s">
        <v>85</v>
      </c>
      <c r="L107" s="21"/>
      <c r="M107" s="91">
        <f>COUNTIF(Tableau1[[#This Row],[Secteur 1]:[Secteur 4]],"x")</f>
        <v>1</v>
      </c>
      <c r="N107" s="92" t="s">
        <v>81</v>
      </c>
      <c r="O107" s="92" t="str">
        <f>IF(Tableau1[[#This Row],[Date de Fin]]-Tableau1[[#This Row],[Date de Début]]&gt;1,"X"," ")</f>
        <v>X</v>
      </c>
      <c r="P107" s="20"/>
      <c r="Q107" s="21"/>
      <c r="R107" s="99">
        <v>45742</v>
      </c>
      <c r="S107" s="280" t="str">
        <f t="shared" si="65"/>
        <v>2025-03-26</v>
      </c>
      <c r="T107" s="209">
        <v>45744</v>
      </c>
      <c r="U107" s="280" t="str">
        <f t="shared" si="66"/>
        <v>2025-03-28</v>
      </c>
      <c r="V107" s="176" t="str">
        <f>PROPER(LEFT(TEXT(Tableau1[[#This Row],[Date de Début]],"jjjj"),2))&amp; "" &amp; PROPER(LEFT(TEXT(Tableau1[[#This Row],[Date de Début]]+1,"jjjj"),2))</f>
        <v>MeJe</v>
      </c>
      <c r="W107" s="175" t="str">
        <f>IF(Tableau1[[#This Row],[Nb jours]]&gt;1,PROPER(LEFT(TEXT(Tableau1[[#This Row],[Date de Début]]+1,"jjjj"),2))&amp; "" &amp; PROPER(LEFT(TEXT(Tableau1[[#This Row],[Date de Début]]+2,"jjjj"),2)),"")</f>
        <v>JeVe</v>
      </c>
      <c r="X107" s="175" t="str">
        <f>IF(Tableau1[[#This Row],[Nb jours]]&gt;2,PROPER(LEFT(TEXT(Tableau1[[#This Row],[Date de Début]]+2,"jjjj"),2))&amp; "" &amp; PROPER(LEFT(TEXT(Tableau1[[#This Row],[Date de Début]]+3,"jjjj"),2)),"")</f>
        <v/>
      </c>
      <c r="Y107" s="176" t="str">
        <f>IF(Tableau1[[#This Row],[Nb jours]]&gt;3,PROPER(LEFT(TEXT(Tableau1[[#This Row],[Date de Début]]+3,"jjjj"),2))&amp; "" &amp; PROPER(LEFT(TEXT(Tableau1[[#This Row],[Date de Début]]+4,"jjjj"),2)),"")</f>
        <v/>
      </c>
      <c r="Z107" s="175" t="str">
        <f>IF(Tableau1[[#This Row],[Nb jours]]&gt;4,PROPER(LEFT(TEXT(Tableau1[[#This Row],[Date de Début]]+4,"jjjj"),2))&amp; "" &amp; PROPER(LEFT(TEXT(Tableau1[[#This Row],[Date de Début]]+5,"jjjj"),2)),"")</f>
        <v/>
      </c>
      <c r="AA107" s="176" t="str">
        <f>IF(Tableau1[[#This Row],[Nb jours]]&gt;5,PROPER(LEFT(TEXT(Tableau1[[#This Row],[Date de Début]]+5,"jjjj"),2))&amp; "" &amp; PROPER(LEFT(TEXT(Tableau1[[#This Row],[Date de Début]]+6,"jjjj"),2)),"")</f>
        <v/>
      </c>
      <c r="AB107" s="177">
        <f>Tableau1[[#This Row],[Date de Fin]]-Tableau1[[#This Row],[Date de Début]]</f>
        <v>2</v>
      </c>
      <c r="AC107" s="207" t="str">
        <f>Tableau1[[#This Row],[Nuit 1]]&amp;Tableau1[[#This Row],[Nuit 2]]&amp;Tableau1[[#This Row],[Nuit 3]]&amp;Tableau1[[#This Row],[Nuit 4]]&amp;Tableau1[[#This Row],[Nuit 5]]&amp;Tableau1[[#This Row],[Nuit 6]]</f>
        <v>MeJeJeVe</v>
      </c>
      <c r="AD107" s="42" t="s">
        <v>155</v>
      </c>
      <c r="AE107" s="27">
        <f t="shared" si="70"/>
        <v>28</v>
      </c>
      <c r="AF107" s="31">
        <f>Tableau1[[#This Row],[Date de Début]]-AE107</f>
        <v>45714</v>
      </c>
      <c r="AG107" s="93">
        <v>45734</v>
      </c>
      <c r="AH107" s="27">
        <f t="shared" si="71"/>
        <v>21</v>
      </c>
      <c r="AI107" s="254" t="str">
        <f t="shared" si="67"/>
        <v>2025-03-18</v>
      </c>
      <c r="AJ107" s="45" t="s">
        <v>156</v>
      </c>
      <c r="AK107" s="31">
        <f>Tableau1[[#This Row],[Date de Début]]-AH107</f>
        <v>45721</v>
      </c>
      <c r="AL107" s="217">
        <v>45736</v>
      </c>
      <c r="AM107" s="27">
        <f t="shared" si="72"/>
        <v>21</v>
      </c>
      <c r="AN107" s="264" t="str">
        <f>IF(AL107="","",TEXT(Tableau1[[#This Row],[Date de fin de vérification]],"AAAA-MM-JJ"))</f>
        <v>2025-03-20</v>
      </c>
      <c r="AO107" s="49">
        <f>Tableau1[[#This Row],[Date de Début]]-AM107</f>
        <v>45721</v>
      </c>
      <c r="AP107" s="217">
        <v>45736</v>
      </c>
      <c r="AQ107" s="27">
        <f t="shared" si="73"/>
        <v>14</v>
      </c>
      <c r="AR107" s="254" t="str">
        <f t="shared" si="68"/>
        <v>20/03/2025</v>
      </c>
      <c r="AS107" s="49">
        <f>Tableau1[[#This Row],[Date de Début]]-AQ107</f>
        <v>45728</v>
      </c>
      <c r="AT107" s="217">
        <v>45736</v>
      </c>
      <c r="AU107" s="27">
        <f t="shared" si="74"/>
        <v>14</v>
      </c>
      <c r="AV107" s="254" t="str">
        <f t="shared" si="69"/>
        <v>20-03-2025</v>
      </c>
      <c r="AW107" s="49">
        <f>Tableau1[[#This Row],[Date de Début]]-AU107</f>
        <v>45728</v>
      </c>
      <c r="AX107" s="217">
        <v>45740</v>
      </c>
      <c r="AY107" s="293" t="str">
        <f t="shared" ref="AY107:AY114" si="75">TEXT(AX107,"AAAA-MM-JJ")</f>
        <v>2025-03-24</v>
      </c>
      <c r="AZ107" s="28">
        <f>IF(Tableau1[[#This Row],[Date limite de fin de rédaction]]&lt;Tableau1[[#This Row],[Date de fin de rédaction]],1,0)</f>
        <v>1</v>
      </c>
      <c r="BA107" s="28">
        <f>IF(Tableau1[[#This Row],[Date limite de fin de vérification]]&lt;Tableau1[[#This Row],[Date de fin de vérification]],1,0)</f>
        <v>1</v>
      </c>
      <c r="BB107" s="28">
        <f>IF(Tableau1[[#This Row],[Date limite d''envoi a  l''exploitation]]&lt;Tableau1[[#This Row],[Date d''envoi à  l''exploitation
(Mettre en copier le demandeur et le rédacteur)]],1,0)</f>
        <v>1</v>
      </c>
      <c r="BC107" s="28">
        <f>IF(Tableau1[[#This Row],[Date limite de réception]]&lt;Tableau1[[#This Row],[Date de réception]],1,0)</f>
        <v>1</v>
      </c>
      <c r="BD107" s="28">
        <f>IF(Tableau1[[#This Row],[Date limite limite de dépose sur la GED]]&lt;Tableau1[[#This Row],[Date de dépose sur la GED]],1,0)</f>
        <v>1</v>
      </c>
      <c r="BE107" s="294"/>
      <c r="BF107" s="310"/>
      <c r="BG107" s="311"/>
      <c r="BH107" s="312"/>
      <c r="BI107" s="312"/>
      <c r="BJ107" s="312"/>
      <c r="BK107" s="127"/>
    </row>
    <row r="108" spans="1:63" x14ac:dyDescent="0.25">
      <c r="A108" s="313">
        <v>99</v>
      </c>
      <c r="B108" s="90" t="s">
        <v>145</v>
      </c>
      <c r="C108" s="90">
        <v>15364</v>
      </c>
      <c r="D108" s="98" t="str">
        <f>IF(Tableau1[[#This Row],[Date de Début]]=0,"Saisir date de début","S"&amp; _xlfn.ISOWEEKNUM(R108))</f>
        <v>S14</v>
      </c>
      <c r="E108" s="24" t="s">
        <v>265</v>
      </c>
      <c r="F108" s="21" t="s">
        <v>113</v>
      </c>
      <c r="G108" s="91" t="str">
        <f>"xxx-2025-"&amp;Tableau1[[#This Row],[N° de 
Ctx]]&amp;"-"&amp;Tableau1[[#This Row],[N° semaine]]&amp;"-"&amp; Tableau1[[#This Row],[Nature des travaux]]</f>
        <v>xxx-2025-99-S14-Contrat 99</v>
      </c>
      <c r="H108" s="208" t="str">
        <f>IF(Tableau1[[#This Row],[Nature des travaux]]=0,"Saisir nature des travaux",Tableau1[[#This Row],[Colonne1]])&amp;"-"&amp;Tableau1[[#This Row],[Jour]]</f>
        <v>xxx-2025-99-S14-Contrat 99-LuMa</v>
      </c>
      <c r="I108" s="20"/>
      <c r="J108" s="21"/>
      <c r="K108" s="21" t="s">
        <v>85</v>
      </c>
      <c r="L108" s="21"/>
      <c r="M108" s="91">
        <f>COUNTIF(Tableau1[[#This Row],[Secteur 1]:[Secteur 4]],"x")</f>
        <v>1</v>
      </c>
      <c r="N108" s="92" t="s">
        <v>81</v>
      </c>
      <c r="O108" s="92" t="str">
        <f>IF(Tableau1[[#This Row],[Date de Fin]]-Tableau1[[#This Row],[Date de Début]]&gt;1,"X"," ")</f>
        <v xml:space="preserve"> </v>
      </c>
      <c r="P108" s="20"/>
      <c r="Q108" s="21"/>
      <c r="R108" s="99">
        <v>45747</v>
      </c>
      <c r="S108" s="280" t="str">
        <f t="shared" si="65"/>
        <v>2025-03-31</v>
      </c>
      <c r="T108" s="209">
        <v>45748</v>
      </c>
      <c r="U108" s="280" t="str">
        <f t="shared" si="66"/>
        <v>2025-04-01</v>
      </c>
      <c r="V108" s="176" t="str">
        <f>PROPER(LEFT(TEXT(Tableau1[[#This Row],[Date de Début]],"jjjj"),2))&amp; "" &amp; PROPER(LEFT(TEXT(Tableau1[[#This Row],[Date de Début]]+1,"jjjj"),2))</f>
        <v>LuMa</v>
      </c>
      <c r="W108" s="175" t="str">
        <f>IF(Tableau1[[#This Row],[Nb jours]]&gt;1,PROPER(LEFT(TEXT(Tableau1[[#This Row],[Date de Début]]+1,"jjjj"),2))&amp; "" &amp; PROPER(LEFT(TEXT(Tableau1[[#This Row],[Date de Début]]+2,"jjjj"),2)),"")</f>
        <v/>
      </c>
      <c r="X108" s="175" t="str">
        <f>IF(Tableau1[[#This Row],[Nb jours]]&gt;2,PROPER(LEFT(TEXT(Tableau1[[#This Row],[Date de Début]]+2,"jjjj"),2))&amp; "" &amp; PROPER(LEFT(TEXT(Tableau1[[#This Row],[Date de Début]]+3,"jjjj"),2)),"")</f>
        <v/>
      </c>
      <c r="Y108" s="176" t="str">
        <f>IF(Tableau1[[#This Row],[Nb jours]]&gt;3,PROPER(LEFT(TEXT(Tableau1[[#This Row],[Date de Début]]+3,"jjjj"),2))&amp; "" &amp; PROPER(LEFT(TEXT(Tableau1[[#This Row],[Date de Début]]+4,"jjjj"),2)),"")</f>
        <v/>
      </c>
      <c r="Z108" s="175" t="str">
        <f>IF(Tableau1[[#This Row],[Nb jours]]&gt;4,PROPER(LEFT(TEXT(Tableau1[[#This Row],[Date de Début]]+4,"jjjj"),2))&amp; "" &amp; PROPER(LEFT(TEXT(Tableau1[[#This Row],[Date de Début]]+5,"jjjj"),2)),"")</f>
        <v/>
      </c>
      <c r="AA108" s="176" t="str">
        <f>IF(Tableau1[[#This Row],[Nb jours]]&gt;5,PROPER(LEFT(TEXT(Tableau1[[#This Row],[Date de Début]]+5,"jjjj"),2))&amp; "" &amp; PROPER(LEFT(TEXT(Tableau1[[#This Row],[Date de Début]]+6,"jjjj"),2)),"")</f>
        <v/>
      </c>
      <c r="AB108" s="177">
        <f>Tableau1[[#This Row],[Date de Fin]]-Tableau1[[#This Row],[Date de Début]]</f>
        <v>1</v>
      </c>
      <c r="AC108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108" s="42" t="s">
        <v>155</v>
      </c>
      <c r="AE108" s="27">
        <f t="shared" si="70"/>
        <v>28</v>
      </c>
      <c r="AF108" s="31">
        <f>Tableau1[[#This Row],[Date de Début]]-AE108</f>
        <v>45719</v>
      </c>
      <c r="AG108" s="93">
        <v>45734</v>
      </c>
      <c r="AH108" s="27">
        <f t="shared" si="71"/>
        <v>21</v>
      </c>
      <c r="AI108" s="254" t="str">
        <f t="shared" si="67"/>
        <v>2025-03-18</v>
      </c>
      <c r="AJ108" s="45" t="s">
        <v>156</v>
      </c>
      <c r="AK108" s="31">
        <f>Tableau1[[#This Row],[Date de Début]]-AH108</f>
        <v>45726</v>
      </c>
      <c r="AL108" s="217">
        <v>45740</v>
      </c>
      <c r="AM108" s="27">
        <f t="shared" si="72"/>
        <v>21</v>
      </c>
      <c r="AN108" s="264" t="str">
        <f>IF(AL108="","",TEXT(Tableau1[[#This Row],[Date de fin de vérification]],"AAAA-MM-JJ"))</f>
        <v>2025-03-24</v>
      </c>
      <c r="AO108" s="49">
        <f>Tableau1[[#This Row],[Date de Début]]-AM108</f>
        <v>45726</v>
      </c>
      <c r="AP108" s="217">
        <v>45740</v>
      </c>
      <c r="AQ108" s="27">
        <f t="shared" si="73"/>
        <v>14</v>
      </c>
      <c r="AR108" s="254" t="str">
        <f t="shared" si="68"/>
        <v>24/03/2025</v>
      </c>
      <c r="AS108" s="49">
        <f>Tableau1[[#This Row],[Date de Début]]-AQ108</f>
        <v>45733</v>
      </c>
      <c r="AT108" s="217">
        <v>45741</v>
      </c>
      <c r="AU108" s="27">
        <f t="shared" si="74"/>
        <v>14</v>
      </c>
      <c r="AV108" s="254" t="str">
        <f t="shared" si="69"/>
        <v>25-03-2025</v>
      </c>
      <c r="AW108" s="49">
        <f>Tableau1[[#This Row],[Date de Début]]-AU108</f>
        <v>45733</v>
      </c>
      <c r="AX108" s="217">
        <v>45743</v>
      </c>
      <c r="AY108" s="293" t="str">
        <f t="shared" si="75"/>
        <v>2025-03-27</v>
      </c>
      <c r="AZ108" s="28">
        <f>IF(Tableau1[[#This Row],[Date limite de fin de rédaction]]&lt;Tableau1[[#This Row],[Date de fin de rédaction]],1,0)</f>
        <v>1</v>
      </c>
      <c r="BA108" s="28">
        <f>IF(Tableau1[[#This Row],[Date limite de fin de vérification]]&lt;Tableau1[[#This Row],[Date de fin de vérification]],1,0)</f>
        <v>1</v>
      </c>
      <c r="BB108" s="28">
        <f>IF(Tableau1[[#This Row],[Date limite d''envoi a  l''exploitation]]&lt;Tableau1[[#This Row],[Date d''envoi à  l''exploitation
(Mettre en copier le demandeur et le rédacteur)]],1,0)</f>
        <v>1</v>
      </c>
      <c r="BC108" s="28">
        <f>IF(Tableau1[[#This Row],[Date limite de réception]]&lt;Tableau1[[#This Row],[Date de réception]],1,0)</f>
        <v>1</v>
      </c>
      <c r="BD108" s="28">
        <f>IF(Tableau1[[#This Row],[Date limite limite de dépose sur la GED]]&lt;Tableau1[[#This Row],[Date de dépose sur la GED]],1,0)</f>
        <v>1</v>
      </c>
      <c r="BE108" s="294"/>
      <c r="BF108" s="310"/>
      <c r="BG108" s="311"/>
      <c r="BH108" s="314"/>
      <c r="BI108" s="314"/>
      <c r="BJ108" s="312"/>
      <c r="BK108" s="127"/>
    </row>
    <row r="109" spans="1:63" x14ac:dyDescent="0.25">
      <c r="A109" s="313">
        <v>100</v>
      </c>
      <c r="B109" s="90" t="s">
        <v>145</v>
      </c>
      <c r="C109" s="90">
        <v>15406</v>
      </c>
      <c r="D109" s="98" t="str">
        <f>IF(Tableau1[[#This Row],[Date de Début]]=0,"Saisir date de début","S"&amp; _xlfn.ISOWEEKNUM(R109))</f>
        <v>S14</v>
      </c>
      <c r="E109" s="24" t="s">
        <v>266</v>
      </c>
      <c r="F109" s="21"/>
      <c r="G109" s="91" t="str">
        <f>"xxx-2025-"&amp;Tableau1[[#This Row],[N° de 
Ctx]]&amp;"-"&amp;Tableau1[[#This Row],[N° semaine]]&amp;"-"&amp; Tableau1[[#This Row],[Nature des travaux]]</f>
        <v>xxx-2025-100-S14-Contrat 100</v>
      </c>
      <c r="H109" s="208" t="str">
        <f>IF(Tableau1[[#This Row],[Nature des travaux]]=0,"Saisir nature des travaux",Tableau1[[#This Row],[Colonne1]])&amp;"-"&amp;Tableau1[[#This Row],[Jour]]</f>
        <v>xxx-2025-100-S14-Contrat 100-MaMeMeJeJeVe</v>
      </c>
      <c r="I109" s="20"/>
      <c r="J109" s="21"/>
      <c r="K109" s="21" t="s">
        <v>85</v>
      </c>
      <c r="L109" s="21"/>
      <c r="M109" s="91">
        <f>COUNTIF(Tableau1[[#This Row],[Secteur 1]:[Secteur 4]],"x")</f>
        <v>1</v>
      </c>
      <c r="N109" s="92" t="s">
        <v>81</v>
      </c>
      <c r="O109" s="92" t="str">
        <f>IF(Tableau1[[#This Row],[Date de Fin]]-Tableau1[[#This Row],[Date de Début]]&gt;1,"X"," ")</f>
        <v>X</v>
      </c>
      <c r="P109" s="20"/>
      <c r="Q109" s="21"/>
      <c r="R109" s="99">
        <v>45748</v>
      </c>
      <c r="S109" s="280" t="str">
        <f t="shared" si="65"/>
        <v>2025-04-01</v>
      </c>
      <c r="T109" s="209">
        <v>45751</v>
      </c>
      <c r="U109" s="280" t="str">
        <f t="shared" si="66"/>
        <v>2025-04-04</v>
      </c>
      <c r="V109" s="176" t="str">
        <f>PROPER(LEFT(TEXT(Tableau1[[#This Row],[Date de Début]],"jjjj"),2))&amp; "" &amp; PROPER(LEFT(TEXT(Tableau1[[#This Row],[Date de Début]]+1,"jjjj"),2))</f>
        <v>MaMe</v>
      </c>
      <c r="W109" s="175" t="str">
        <f>IF(Tableau1[[#This Row],[Nb jours]]&gt;1,PROPER(LEFT(TEXT(Tableau1[[#This Row],[Date de Début]]+1,"jjjj"),2))&amp; "" &amp; PROPER(LEFT(TEXT(Tableau1[[#This Row],[Date de Début]]+2,"jjjj"),2)),"")</f>
        <v>MeJe</v>
      </c>
      <c r="X109" s="175" t="str">
        <f>IF(Tableau1[[#This Row],[Nb jours]]&gt;2,PROPER(LEFT(TEXT(Tableau1[[#This Row],[Date de Début]]+2,"jjjj"),2))&amp; "" &amp; PROPER(LEFT(TEXT(Tableau1[[#This Row],[Date de Début]]+3,"jjjj"),2)),"")</f>
        <v>JeVe</v>
      </c>
      <c r="Y109" s="176" t="str">
        <f>IF(Tableau1[[#This Row],[Nb jours]]&gt;3,PROPER(LEFT(TEXT(Tableau1[[#This Row],[Date de Début]]+3,"jjjj"),2))&amp; "" &amp; PROPER(LEFT(TEXT(Tableau1[[#This Row],[Date de Début]]+4,"jjjj"),2)),"")</f>
        <v/>
      </c>
      <c r="Z109" s="175" t="str">
        <f>IF(Tableau1[[#This Row],[Nb jours]]&gt;4,PROPER(LEFT(TEXT(Tableau1[[#This Row],[Date de Début]]+4,"jjjj"),2))&amp; "" &amp; PROPER(LEFT(TEXT(Tableau1[[#This Row],[Date de Début]]+5,"jjjj"),2)),"")</f>
        <v/>
      </c>
      <c r="AA109" s="176" t="str">
        <f>IF(Tableau1[[#This Row],[Nb jours]]&gt;5,PROPER(LEFT(TEXT(Tableau1[[#This Row],[Date de Début]]+5,"jjjj"),2))&amp; "" &amp; PROPER(LEFT(TEXT(Tableau1[[#This Row],[Date de Début]]+6,"jjjj"),2)),"")</f>
        <v/>
      </c>
      <c r="AB109" s="177">
        <f>Tableau1[[#This Row],[Date de Fin]]-Tableau1[[#This Row],[Date de Début]]</f>
        <v>3</v>
      </c>
      <c r="AC109" s="207" t="str">
        <f>Tableau1[[#This Row],[Nuit 1]]&amp;Tableau1[[#This Row],[Nuit 2]]&amp;Tableau1[[#This Row],[Nuit 3]]&amp;Tableau1[[#This Row],[Nuit 4]]&amp;Tableau1[[#This Row],[Nuit 5]]&amp;Tableau1[[#This Row],[Nuit 6]]</f>
        <v>MaMeMeJeJeVe</v>
      </c>
      <c r="AD109" s="42" t="s">
        <v>155</v>
      </c>
      <c r="AE109" s="27">
        <f t="shared" si="70"/>
        <v>28</v>
      </c>
      <c r="AF109" s="31">
        <f>Tableau1[[#This Row],[Date de Début]]-AE109</f>
        <v>45720</v>
      </c>
      <c r="AG109" s="93">
        <v>45734</v>
      </c>
      <c r="AH109" s="27">
        <f t="shared" si="71"/>
        <v>21</v>
      </c>
      <c r="AI109" s="254" t="str">
        <f t="shared" si="67"/>
        <v>2025-03-18</v>
      </c>
      <c r="AJ109" s="45" t="s">
        <v>156</v>
      </c>
      <c r="AK109" s="31">
        <f>Tableau1[[#This Row],[Date de Début]]-AH109</f>
        <v>45727</v>
      </c>
      <c r="AL109" s="217">
        <v>45740</v>
      </c>
      <c r="AM109" s="27">
        <f t="shared" si="72"/>
        <v>21</v>
      </c>
      <c r="AN109" s="264" t="str">
        <f>IF(AL109="","",TEXT(Tableau1[[#This Row],[Date de fin de vérification]],"AAAA-MM-JJ"))</f>
        <v>2025-03-24</v>
      </c>
      <c r="AO109" s="49">
        <f>Tableau1[[#This Row],[Date de Début]]-AM109</f>
        <v>45727</v>
      </c>
      <c r="AP109" s="217">
        <v>45740</v>
      </c>
      <c r="AQ109" s="27">
        <f t="shared" si="73"/>
        <v>14</v>
      </c>
      <c r="AR109" s="254" t="str">
        <f t="shared" si="68"/>
        <v>24/03/2025</v>
      </c>
      <c r="AS109" s="49">
        <f>Tableau1[[#This Row],[Date de Début]]-AQ109</f>
        <v>45734</v>
      </c>
      <c r="AT109" s="217">
        <v>45741</v>
      </c>
      <c r="AU109" s="27">
        <f t="shared" si="74"/>
        <v>14</v>
      </c>
      <c r="AV109" s="254" t="str">
        <f t="shared" si="69"/>
        <v>25-03-2025</v>
      </c>
      <c r="AW109" s="49">
        <f>Tableau1[[#This Row],[Date de Début]]-AU109</f>
        <v>45734</v>
      </c>
      <c r="AX109" s="217">
        <v>45743</v>
      </c>
      <c r="AY109" s="293" t="str">
        <f t="shared" si="75"/>
        <v>2025-03-27</v>
      </c>
      <c r="AZ109" s="28">
        <f>IF(Tableau1[[#This Row],[Date limite de fin de rédaction]]&lt;Tableau1[[#This Row],[Date de fin de rédaction]],1,0)</f>
        <v>1</v>
      </c>
      <c r="BA109" s="28">
        <f>IF(Tableau1[[#This Row],[Date limite de fin de vérification]]&lt;Tableau1[[#This Row],[Date de fin de vérification]],1,0)</f>
        <v>1</v>
      </c>
      <c r="BB109" s="28">
        <f>IF(Tableau1[[#This Row],[Date limite d''envoi a  l''exploitation]]&lt;Tableau1[[#This Row],[Date d''envoi à  l''exploitation
(Mettre en copier le demandeur et le rédacteur)]],1,0)</f>
        <v>1</v>
      </c>
      <c r="BC109" s="28">
        <f>IF(Tableau1[[#This Row],[Date limite de réception]]&lt;Tableau1[[#This Row],[Date de réception]],1,0)</f>
        <v>1</v>
      </c>
      <c r="BD109" s="28">
        <f>IF(Tableau1[[#This Row],[Date limite limite de dépose sur la GED]]&lt;Tableau1[[#This Row],[Date de dépose sur la GED]],1,0)</f>
        <v>1</v>
      </c>
      <c r="BE109" s="294"/>
      <c r="BF109" s="310"/>
      <c r="BG109" s="311"/>
      <c r="BH109" s="312"/>
      <c r="BI109" s="312"/>
      <c r="BJ109" s="312"/>
      <c r="BK109" s="127"/>
    </row>
    <row r="110" spans="1:63" x14ac:dyDescent="0.25">
      <c r="A110" s="313">
        <v>101</v>
      </c>
      <c r="B110" s="90" t="s">
        <v>151</v>
      </c>
      <c r="C110" s="90"/>
      <c r="D110" s="98" t="str">
        <f>IF(Tableau1[[#This Row],[Date de Début]]=0,"Saisir date de début","S"&amp; _xlfn.ISOWEEKNUM(R110))</f>
        <v>S13</v>
      </c>
      <c r="E110" s="24" t="s">
        <v>267</v>
      </c>
      <c r="F110" s="21"/>
      <c r="G110" s="91" t="str">
        <f>"xxx-2025-"&amp;Tableau1[[#This Row],[N° de 
Ctx]]&amp;"-"&amp;Tableau1[[#This Row],[N° semaine]]&amp;"-"&amp; Tableau1[[#This Row],[Nature des travaux]]</f>
        <v>xxx-2025-101-S13-Contrat 101</v>
      </c>
      <c r="H110" s="208" t="str">
        <f>IF(Tableau1[[#This Row],[Nature des travaux]]=0,"Saisir nature des travaux",Tableau1[[#This Row],[Colonne1]])&amp;"-"&amp;Tableau1[[#This Row],[Jour]]</f>
        <v>xxx-2025-101-S13-Contrat 101-MaMe</v>
      </c>
      <c r="I110" s="20"/>
      <c r="J110" s="21"/>
      <c r="K110" s="21" t="s">
        <v>85</v>
      </c>
      <c r="L110" s="21"/>
      <c r="M110" s="91">
        <f>COUNTIF(Tableau1[[#This Row],[Secteur 1]:[Secteur 4]],"x")</f>
        <v>1</v>
      </c>
      <c r="N110" s="92" t="s">
        <v>81</v>
      </c>
      <c r="O110" s="92" t="str">
        <f>IF(Tableau1[[#This Row],[Date de Fin]]-Tableau1[[#This Row],[Date de Début]]&gt;1,"X"," ")</f>
        <v xml:space="preserve"> </v>
      </c>
      <c r="P110" s="20"/>
      <c r="Q110" s="21"/>
      <c r="R110" s="99">
        <v>45741</v>
      </c>
      <c r="S110" s="280" t="str">
        <f t="shared" si="65"/>
        <v>2025-03-25</v>
      </c>
      <c r="T110" s="209">
        <v>45742</v>
      </c>
      <c r="U110" s="280" t="str">
        <f t="shared" si="66"/>
        <v>2025-03-26</v>
      </c>
      <c r="V110" s="176" t="str">
        <f>PROPER(LEFT(TEXT(Tableau1[[#This Row],[Date de Début]],"jjjj"),2))&amp; "" &amp; PROPER(LEFT(TEXT(Tableau1[[#This Row],[Date de Début]]+1,"jjjj"),2))</f>
        <v>MaMe</v>
      </c>
      <c r="W110" s="175" t="str">
        <f>IF(Tableau1[[#This Row],[Nb jours]]&gt;1,PROPER(LEFT(TEXT(Tableau1[[#This Row],[Date de Début]]+1,"jjjj"),2))&amp; "" &amp; PROPER(LEFT(TEXT(Tableau1[[#This Row],[Date de Début]]+2,"jjjj"),2)),"")</f>
        <v/>
      </c>
      <c r="X110" s="175" t="str">
        <f>IF(Tableau1[[#This Row],[Nb jours]]&gt;2,PROPER(LEFT(TEXT(Tableau1[[#This Row],[Date de Début]]+2,"jjjj"),2))&amp; "" &amp; PROPER(LEFT(TEXT(Tableau1[[#This Row],[Date de Début]]+3,"jjjj"),2)),"")</f>
        <v/>
      </c>
      <c r="Y110" s="176" t="str">
        <f>IF(Tableau1[[#This Row],[Nb jours]]&gt;3,PROPER(LEFT(TEXT(Tableau1[[#This Row],[Date de Début]]+3,"jjjj"),2))&amp; "" &amp; PROPER(LEFT(TEXT(Tableau1[[#This Row],[Date de Début]]+4,"jjjj"),2)),"")</f>
        <v/>
      </c>
      <c r="Z110" s="175" t="str">
        <f>IF(Tableau1[[#This Row],[Nb jours]]&gt;4,PROPER(LEFT(TEXT(Tableau1[[#This Row],[Date de Début]]+4,"jjjj"),2))&amp; "" &amp; PROPER(LEFT(TEXT(Tableau1[[#This Row],[Date de Début]]+5,"jjjj"),2)),"")</f>
        <v/>
      </c>
      <c r="AA110" s="176" t="str">
        <f>IF(Tableau1[[#This Row],[Nb jours]]&gt;5,PROPER(LEFT(TEXT(Tableau1[[#This Row],[Date de Début]]+5,"jjjj"),2))&amp; "" &amp; PROPER(LEFT(TEXT(Tableau1[[#This Row],[Date de Début]]+6,"jjjj"),2)),"")</f>
        <v/>
      </c>
      <c r="AB110" s="177">
        <f>Tableau1[[#This Row],[Date de Fin]]-Tableau1[[#This Row],[Date de Début]]</f>
        <v>1</v>
      </c>
      <c r="AC110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10" s="42" t="s">
        <v>155</v>
      </c>
      <c r="AE110" s="27">
        <f t="shared" si="70"/>
        <v>28</v>
      </c>
      <c r="AF110" s="31">
        <f>Tableau1[[#This Row],[Date de Début]]-AE110</f>
        <v>45713</v>
      </c>
      <c r="AG110" s="93">
        <v>45737</v>
      </c>
      <c r="AH110" s="27">
        <f t="shared" si="71"/>
        <v>21</v>
      </c>
      <c r="AI110" s="254" t="str">
        <f t="shared" si="67"/>
        <v>2025-03-21</v>
      </c>
      <c r="AJ110" s="45" t="s">
        <v>156</v>
      </c>
      <c r="AK110" s="31">
        <f>Tableau1[[#This Row],[Date de Début]]-AH110</f>
        <v>45720</v>
      </c>
      <c r="AL110" s="217">
        <v>45740</v>
      </c>
      <c r="AM110" s="27">
        <f t="shared" si="72"/>
        <v>21</v>
      </c>
      <c r="AN110" s="264" t="str">
        <f>IF(AL110="","",TEXT(Tableau1[[#This Row],[Date de fin de vérification]],"AAAA-MM-JJ"))</f>
        <v>2025-03-24</v>
      </c>
      <c r="AO110" s="49">
        <f>Tableau1[[#This Row],[Date de Début]]-AM110</f>
        <v>45720</v>
      </c>
      <c r="AP110" s="217">
        <v>45740</v>
      </c>
      <c r="AQ110" s="27">
        <f t="shared" si="73"/>
        <v>14</v>
      </c>
      <c r="AR110" s="254" t="str">
        <f t="shared" si="68"/>
        <v>24/03/2025</v>
      </c>
      <c r="AS110" s="49">
        <f>Tableau1[[#This Row],[Date de Début]]-AQ110</f>
        <v>45727</v>
      </c>
      <c r="AT110" s="217">
        <v>45740</v>
      </c>
      <c r="AU110" s="27">
        <f t="shared" si="74"/>
        <v>14</v>
      </c>
      <c r="AV110" s="254" t="str">
        <f t="shared" si="69"/>
        <v>24-03-2025</v>
      </c>
      <c r="AW110" s="49">
        <f>Tableau1[[#This Row],[Date de Début]]-AU110</f>
        <v>45727</v>
      </c>
      <c r="AX110" s="217">
        <v>45740</v>
      </c>
      <c r="AY110" s="293" t="str">
        <f t="shared" si="75"/>
        <v>2025-03-24</v>
      </c>
      <c r="AZ110" s="28">
        <f>IF(Tableau1[[#This Row],[Date limite de fin de rédaction]]&lt;Tableau1[[#This Row],[Date de fin de rédaction]],1,0)</f>
        <v>1</v>
      </c>
      <c r="BA110" s="28">
        <f>IF(Tableau1[[#This Row],[Date limite de fin de vérification]]&lt;Tableau1[[#This Row],[Date de fin de vérification]],1,0)</f>
        <v>1</v>
      </c>
      <c r="BB110" s="28">
        <f>IF(Tableau1[[#This Row],[Date limite d''envoi a  l''exploitation]]&lt;Tableau1[[#This Row],[Date d''envoi à  l''exploitation
(Mettre en copier le demandeur et le rédacteur)]],1,0)</f>
        <v>1</v>
      </c>
      <c r="BC110" s="28">
        <f>IF(Tableau1[[#This Row],[Date limite de réception]]&lt;Tableau1[[#This Row],[Date de réception]],1,0)</f>
        <v>1</v>
      </c>
      <c r="BD110" s="28">
        <f>IF(Tableau1[[#This Row],[Date limite limite de dépose sur la GED]]&lt;Tableau1[[#This Row],[Date de dépose sur la GED]],1,0)</f>
        <v>1</v>
      </c>
      <c r="BE110" s="294"/>
      <c r="BF110" s="310"/>
      <c r="BG110" s="311"/>
      <c r="BH110" s="312"/>
      <c r="BI110" s="312"/>
      <c r="BJ110" s="312"/>
      <c r="BK110" s="127"/>
    </row>
    <row r="111" spans="1:63" x14ac:dyDescent="0.25">
      <c r="A111" s="313">
        <v>102</v>
      </c>
      <c r="B111" s="90" t="s">
        <v>146</v>
      </c>
      <c r="C111" s="90"/>
      <c r="D111" s="98" t="str">
        <f>IF(Tableau1[[#This Row],[Date de Début]]=0,"Saisir date de début","S"&amp; _xlfn.ISOWEEKNUM(R111))</f>
        <v>S13</v>
      </c>
      <c r="E111" s="24" t="s">
        <v>268</v>
      </c>
      <c r="F111" s="21" t="s">
        <v>114</v>
      </c>
      <c r="G111" s="91" t="str">
        <f>"xxx-2025-"&amp;Tableau1[[#This Row],[N° de 
Ctx]]&amp;"-"&amp;Tableau1[[#This Row],[N° semaine]]&amp;"-"&amp; Tableau1[[#This Row],[Nature des travaux]]</f>
        <v>xxx-2025-102-S13-Contrat 102</v>
      </c>
      <c r="H111" s="208" t="str">
        <f>IF(Tableau1[[#This Row],[Nature des travaux]]=0,"Saisir nature des travaux",Tableau1[[#This Row],[Colonne1]])&amp;"-"&amp;Tableau1[[#This Row],[Jour]]</f>
        <v>xxx-2025-102-S13-Contrat 102-LuMa</v>
      </c>
      <c r="I111" s="20"/>
      <c r="J111" s="21"/>
      <c r="K111" s="21" t="s">
        <v>79</v>
      </c>
      <c r="L111" s="21"/>
      <c r="M111" s="91">
        <f>COUNTIF(Tableau1[[#This Row],[Secteur 1]:[Secteur 4]],"x")</f>
        <v>1</v>
      </c>
      <c r="N111" s="92" t="s">
        <v>81</v>
      </c>
      <c r="O111" s="92" t="str">
        <f>IF(Tableau1[[#This Row],[Date de Fin]]-Tableau1[[#This Row],[Date de Début]]&gt;1,"X"," ")</f>
        <v xml:space="preserve"> </v>
      </c>
      <c r="P111" s="20"/>
      <c r="Q111" s="21"/>
      <c r="R111" s="99">
        <v>45740</v>
      </c>
      <c r="S111" s="280" t="str">
        <f t="shared" si="65"/>
        <v>2025-03-24</v>
      </c>
      <c r="T111" s="209">
        <v>45740</v>
      </c>
      <c r="U111" s="280" t="str">
        <f t="shared" si="66"/>
        <v>2025-03-24</v>
      </c>
      <c r="V111" s="176" t="str">
        <f>PROPER(LEFT(TEXT(Tableau1[[#This Row],[Date de Début]],"jjjj"),2))&amp; "" &amp; PROPER(LEFT(TEXT(Tableau1[[#This Row],[Date de Début]]+1,"jjjj"),2))</f>
        <v>LuMa</v>
      </c>
      <c r="W111" s="175" t="str">
        <f>IF(Tableau1[[#This Row],[Nb jours]]&gt;1,PROPER(LEFT(TEXT(Tableau1[[#This Row],[Date de Début]]+1,"jjjj"),2))&amp; "" &amp; PROPER(LEFT(TEXT(Tableau1[[#This Row],[Date de Début]]+2,"jjjj"),2)),"")</f>
        <v/>
      </c>
      <c r="X111" s="175" t="str">
        <f>IF(Tableau1[[#This Row],[Nb jours]]&gt;2,PROPER(LEFT(TEXT(Tableau1[[#This Row],[Date de Début]]+2,"jjjj"),2))&amp; "" &amp; PROPER(LEFT(TEXT(Tableau1[[#This Row],[Date de Début]]+3,"jjjj"),2)),"")</f>
        <v/>
      </c>
      <c r="Y111" s="176" t="str">
        <f>IF(Tableau1[[#This Row],[Nb jours]]&gt;3,PROPER(LEFT(TEXT(Tableau1[[#This Row],[Date de Début]]+3,"jjjj"),2))&amp; "" &amp; PROPER(LEFT(TEXT(Tableau1[[#This Row],[Date de Début]]+4,"jjjj"),2)),"")</f>
        <v/>
      </c>
      <c r="Z111" s="175" t="str">
        <f>IF(Tableau1[[#This Row],[Nb jours]]&gt;4,PROPER(LEFT(TEXT(Tableau1[[#This Row],[Date de Début]]+4,"jjjj"),2))&amp; "" &amp; PROPER(LEFT(TEXT(Tableau1[[#This Row],[Date de Début]]+5,"jjjj"),2)),"")</f>
        <v/>
      </c>
      <c r="AA111" s="176" t="str">
        <f>IF(Tableau1[[#This Row],[Nb jours]]&gt;5,PROPER(LEFT(TEXT(Tableau1[[#This Row],[Date de Début]]+5,"jjjj"),2))&amp; "" &amp; PROPER(LEFT(TEXT(Tableau1[[#This Row],[Date de Début]]+6,"jjjj"),2)),"")</f>
        <v/>
      </c>
      <c r="AB111" s="177">
        <f>Tableau1[[#This Row],[Date de Fin]]-Tableau1[[#This Row],[Date de Début]]</f>
        <v>0</v>
      </c>
      <c r="AC111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111" s="42" t="s">
        <v>156</v>
      </c>
      <c r="AE111" s="27">
        <f t="shared" si="70"/>
        <v>28</v>
      </c>
      <c r="AF111" s="31">
        <f>Tableau1[[#This Row],[Date de Début]]-AE111</f>
        <v>45712</v>
      </c>
      <c r="AG111" s="93">
        <v>45740</v>
      </c>
      <c r="AH111" s="27">
        <f t="shared" si="71"/>
        <v>21</v>
      </c>
      <c r="AI111" s="254" t="str">
        <f t="shared" si="67"/>
        <v>2025-03-24</v>
      </c>
      <c r="AJ111" s="45" t="s">
        <v>155</v>
      </c>
      <c r="AK111" s="31">
        <f>Tableau1[[#This Row],[Date de Début]]-AH111</f>
        <v>45719</v>
      </c>
      <c r="AL111" s="217">
        <v>45740</v>
      </c>
      <c r="AM111" s="27">
        <f t="shared" si="72"/>
        <v>21</v>
      </c>
      <c r="AN111" s="264" t="str">
        <f>IF(AL111="","",TEXT(Tableau1[[#This Row],[Date de fin de vérification]],"AAAA-MM-JJ"))</f>
        <v>2025-03-24</v>
      </c>
      <c r="AO111" s="49">
        <f>Tableau1[[#This Row],[Date de Début]]-AM111</f>
        <v>45719</v>
      </c>
      <c r="AP111" s="217">
        <v>45740</v>
      </c>
      <c r="AQ111" s="27">
        <f t="shared" si="73"/>
        <v>14</v>
      </c>
      <c r="AR111" s="254" t="str">
        <f t="shared" si="68"/>
        <v>24/03/2025</v>
      </c>
      <c r="AS111" s="49">
        <f>Tableau1[[#This Row],[Date de Début]]-AQ111</f>
        <v>45726</v>
      </c>
      <c r="AT111" s="217">
        <v>45740</v>
      </c>
      <c r="AU111" s="27">
        <f t="shared" si="74"/>
        <v>14</v>
      </c>
      <c r="AV111" s="254" t="str">
        <f t="shared" si="69"/>
        <v>24-03-2025</v>
      </c>
      <c r="AW111" s="49">
        <f>Tableau1[[#This Row],[Date de Début]]-AU111</f>
        <v>45726</v>
      </c>
      <c r="AX111" s="217">
        <v>45740</v>
      </c>
      <c r="AY111" s="293" t="str">
        <f t="shared" si="75"/>
        <v>2025-03-24</v>
      </c>
      <c r="AZ111" s="28">
        <f>IF(Tableau1[[#This Row],[Date limite de fin de rédaction]]&lt;Tableau1[[#This Row],[Date de fin de rédaction]],1,0)</f>
        <v>1</v>
      </c>
      <c r="BA111" s="28">
        <f>IF(Tableau1[[#This Row],[Date limite de fin de vérification]]&lt;Tableau1[[#This Row],[Date de fin de vérification]],1,0)</f>
        <v>1</v>
      </c>
      <c r="BB111" s="28">
        <f>IF(Tableau1[[#This Row],[Date limite d''envoi a  l''exploitation]]&lt;Tableau1[[#This Row],[Date d''envoi à  l''exploitation
(Mettre en copier le demandeur et le rédacteur)]],1,0)</f>
        <v>1</v>
      </c>
      <c r="BC111" s="28">
        <f>IF(Tableau1[[#This Row],[Date limite de réception]]&lt;Tableau1[[#This Row],[Date de réception]],1,0)</f>
        <v>1</v>
      </c>
      <c r="BD111" s="28">
        <f>IF(Tableau1[[#This Row],[Date limite limite de dépose sur la GED]]&lt;Tableau1[[#This Row],[Date de dépose sur la GED]],1,0)</f>
        <v>1</v>
      </c>
      <c r="BE111" s="294"/>
      <c r="BF111" s="310"/>
      <c r="BG111" s="311"/>
      <c r="BH111" s="312"/>
      <c r="BI111" s="312"/>
      <c r="BJ111" s="312"/>
      <c r="BK111" s="127"/>
    </row>
    <row r="112" spans="1:63" x14ac:dyDescent="0.25">
      <c r="A112" s="313">
        <v>103</v>
      </c>
      <c r="B112" s="90" t="s">
        <v>149</v>
      </c>
      <c r="C112" s="90">
        <v>15446</v>
      </c>
      <c r="D112" s="98" t="s">
        <v>108</v>
      </c>
      <c r="E112" s="24" t="s">
        <v>269</v>
      </c>
      <c r="F112" s="317"/>
      <c r="G112" s="91" t="str">
        <f>"xxx-2025-"&amp;Tableau1[[#This Row],[N° de 
Ctx]]&amp;"-"&amp;Tableau1[[#This Row],[N° semaine]]&amp;"-"&amp; Tableau1[[#This Row],[Nature des travaux]]</f>
        <v>xxx-2025-103-S17-Contrat 103</v>
      </c>
      <c r="H112" s="208" t="str">
        <f>IF(Tableau1[[#This Row],[Nature des travaux]]=0,"Saisir nature des travaux",Tableau1[[#This Row],[Colonne1]])&amp;"-"&amp;Tableau1[[#This Row],[Jour]]</f>
        <v>xxx-2025-103-S17-Contrat 103-MaMe</v>
      </c>
      <c r="I112" s="20"/>
      <c r="J112" s="21"/>
      <c r="K112" s="21"/>
      <c r="L112" s="21" t="s">
        <v>85</v>
      </c>
      <c r="M112" s="91">
        <f>COUNTIF(Tableau1[[#This Row],[Secteur 1]:[Secteur 4]],"x")</f>
        <v>1</v>
      </c>
      <c r="N112" s="92" t="s">
        <v>92</v>
      </c>
      <c r="O112" s="92" t="str">
        <f>IF(Tableau1[[#This Row],[Date de Fin]]-Tableau1[[#This Row],[Date de Début]]&gt;1,"X"," ")</f>
        <v xml:space="preserve"> </v>
      </c>
      <c r="P112" s="20"/>
      <c r="Q112" s="21"/>
      <c r="R112" s="99">
        <v>45769</v>
      </c>
      <c r="S112" s="280" t="str">
        <f t="shared" ref="S112:S117" si="76">TEXT(R112,"AAAA-MM-JJ")</f>
        <v>2025-04-22</v>
      </c>
      <c r="T112" s="209">
        <v>45770</v>
      </c>
      <c r="U112" s="280" t="str">
        <f t="shared" ref="U112:U117" si="77">TEXT(T112,"AAAA-MM-JJ")</f>
        <v>2025-04-23</v>
      </c>
      <c r="V112" s="176" t="str">
        <f>PROPER(LEFT(TEXT(Tableau1[[#This Row],[Date de Début]],"jjjj"),2))&amp; "" &amp; PROPER(LEFT(TEXT(Tableau1[[#This Row],[Date de Début]]+1,"jjjj"),2))</f>
        <v>MaMe</v>
      </c>
      <c r="W112" s="175" t="str">
        <f>IF(Tableau1[[#This Row],[Nb jours]]&gt;1,PROPER(LEFT(TEXT(Tableau1[[#This Row],[Date de Début]]+1,"jjjj"),2))&amp; "" &amp; PROPER(LEFT(TEXT(Tableau1[[#This Row],[Date de Début]]+2,"jjjj"),2)),"")</f>
        <v/>
      </c>
      <c r="X112" s="175" t="str">
        <f>IF(Tableau1[[#This Row],[Nb jours]]&gt;2,PROPER(LEFT(TEXT(Tableau1[[#This Row],[Date de Début]]+2,"jjjj"),2))&amp; "" &amp; PROPER(LEFT(TEXT(Tableau1[[#This Row],[Date de Début]]+3,"jjjj"),2)),"")</f>
        <v/>
      </c>
      <c r="Y112" s="176" t="str">
        <f>IF(Tableau1[[#This Row],[Nb jours]]&gt;3,PROPER(LEFT(TEXT(Tableau1[[#This Row],[Date de Début]]+3,"jjjj"),2))&amp; "" &amp; PROPER(LEFT(TEXT(Tableau1[[#This Row],[Date de Début]]+4,"jjjj"),2)),"")</f>
        <v/>
      </c>
      <c r="Z112" s="175" t="str">
        <f>IF(Tableau1[[#This Row],[Nb jours]]&gt;4,PROPER(LEFT(TEXT(Tableau1[[#This Row],[Date de Début]]+4,"jjjj"),2))&amp; "" &amp; PROPER(LEFT(TEXT(Tableau1[[#This Row],[Date de Début]]+5,"jjjj"),2)),"")</f>
        <v/>
      </c>
      <c r="AA112" s="176" t="str">
        <f>IF(Tableau1[[#This Row],[Nb jours]]&gt;5,PROPER(LEFT(TEXT(Tableau1[[#This Row],[Date de Début]]+5,"jjjj"),2))&amp; "" &amp; PROPER(LEFT(TEXT(Tableau1[[#This Row],[Date de Début]]+6,"jjjj"),2)),"")</f>
        <v/>
      </c>
      <c r="AB112" s="177">
        <f>Tableau1[[#This Row],[Date de Fin]]-Tableau1[[#This Row],[Date de Début]]</f>
        <v>1</v>
      </c>
      <c r="AC112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12" s="42" t="s">
        <v>143</v>
      </c>
      <c r="AE112" s="27">
        <f t="shared" ref="AE112:AE117" si="78">Tolérances_1</f>
        <v>28</v>
      </c>
      <c r="AF112" s="31">
        <f>Tableau1[[#This Row],[Date de Début]]-AE112</f>
        <v>45741</v>
      </c>
      <c r="AG112" s="93">
        <v>45747</v>
      </c>
      <c r="AH112" s="27">
        <f t="shared" ref="AH112:AH117" si="79">Tolérances_2</f>
        <v>21</v>
      </c>
      <c r="AI112" s="254" t="str">
        <f t="shared" ref="AI112:AI117" si="80">TEXT(AG112,"AAAA-MM-JJ")</f>
        <v>2025-03-31</v>
      </c>
      <c r="AJ112" s="45" t="s">
        <v>156</v>
      </c>
      <c r="AK112" s="31">
        <f>Tableau1[[#This Row],[Date de Début]]-AH112</f>
        <v>45748</v>
      </c>
      <c r="AL112" s="217">
        <v>45751</v>
      </c>
      <c r="AM112" s="27">
        <f t="shared" ref="AM112:AM117" si="81">Tolérances_3</f>
        <v>21</v>
      </c>
      <c r="AN112" s="264" t="str">
        <f>IF(AL112="","",TEXT(Tableau1[[#This Row],[Date de fin de vérification]],"AAAA-MM-JJ"))</f>
        <v>2025-04-04</v>
      </c>
      <c r="AO112" s="49">
        <f>Tableau1[[#This Row],[Date de Début]]-AM112</f>
        <v>45748</v>
      </c>
      <c r="AP112" s="217">
        <v>45757</v>
      </c>
      <c r="AQ112" s="27">
        <f t="shared" ref="AQ112:AQ117" si="82">Tolérances_4</f>
        <v>14</v>
      </c>
      <c r="AR112" s="254" t="str">
        <f t="shared" ref="AR112:AR117" si="83">TEXT(AP112,"JJ/MM/AAAA")</f>
        <v>10/04/2025</v>
      </c>
      <c r="AS112" s="49">
        <f>Tableau1[[#This Row],[Date de Début]]-AQ112</f>
        <v>45755</v>
      </c>
      <c r="AT112" s="217">
        <v>45757</v>
      </c>
      <c r="AU112" s="27">
        <f t="shared" ref="AU112:AU117" si="84">Tolérances_5</f>
        <v>14</v>
      </c>
      <c r="AV112" s="254" t="str">
        <f t="shared" ref="AV112:AV117" si="85">TEXT(AT112,"JJ-MM-AAAA")</f>
        <v>10-04-2025</v>
      </c>
      <c r="AW112" s="49">
        <f>Tableau1[[#This Row],[Date de Début]]-AU112</f>
        <v>45755</v>
      </c>
      <c r="AX112" s="217">
        <v>45757</v>
      </c>
      <c r="AY112" s="293" t="str">
        <f t="shared" si="75"/>
        <v>2025-04-10</v>
      </c>
      <c r="AZ112" s="28">
        <f>IF(Tableau1[[#This Row],[Date limite de fin de rédaction]]&lt;Tableau1[[#This Row],[Date de fin de rédaction]],1,0)</f>
        <v>1</v>
      </c>
      <c r="BA112" s="28">
        <f>IF(Tableau1[[#This Row],[Date limite de fin de vérification]]&lt;Tableau1[[#This Row],[Date de fin de vérification]],1,0)</f>
        <v>1</v>
      </c>
      <c r="BB112" s="28">
        <f>IF(Tableau1[[#This Row],[Date limite d''envoi a  l''exploitation]]&lt;Tableau1[[#This Row],[Date d''envoi à  l''exploitation
(Mettre en copier le demandeur et le rédacteur)]],1,0)</f>
        <v>1</v>
      </c>
      <c r="BC112" s="28">
        <f>IF(Tableau1[[#This Row],[Date limite de réception]]&lt;Tableau1[[#This Row],[Date de réception]],1,0)</f>
        <v>1</v>
      </c>
      <c r="BD112" s="28">
        <f>IF(Tableau1[[#This Row],[Date limite limite de dépose sur la GED]]&lt;Tableau1[[#This Row],[Date de dépose sur la GED]],1,0)</f>
        <v>1</v>
      </c>
      <c r="BE112" s="294"/>
      <c r="BF112" s="310"/>
      <c r="BG112" s="311"/>
      <c r="BH112" s="312"/>
      <c r="BI112" s="312"/>
      <c r="BJ112" s="312"/>
      <c r="BK112" s="127"/>
    </row>
    <row r="113" spans="1:63" x14ac:dyDescent="0.25">
      <c r="A113" s="313">
        <v>104</v>
      </c>
      <c r="B113" s="90" t="s">
        <v>151</v>
      </c>
      <c r="C113" s="90">
        <v>15559</v>
      </c>
      <c r="D113" s="98" t="s">
        <v>115</v>
      </c>
      <c r="E113" s="24" t="s">
        <v>270</v>
      </c>
      <c r="F113" s="21"/>
      <c r="G113" s="91" t="str">
        <f>"xxx-2025-"&amp;Tableau1[[#This Row],[N° de 
Ctx]]&amp;"-"&amp;Tableau1[[#This Row],[N° semaine]]&amp;"-"&amp; Tableau1[[#This Row],[Nature des travaux]]</f>
        <v>xxx-2025-104-S20-Contrat 104</v>
      </c>
      <c r="H113" s="320" t="str">
        <f>IF(Tableau1[[#This Row],[Nature des travaux]]=0,"Saisir nature des travaux",Tableau1[[#This Row],[Colonne1]])&amp;"-"&amp;Tableau1[[#This Row],[Jour]]</f>
        <v>xxx-2025-104-S20-Contrat 104-MaMe</v>
      </c>
      <c r="I113" s="20"/>
      <c r="J113" s="21"/>
      <c r="K113" s="21"/>
      <c r="L113" s="21" t="s">
        <v>85</v>
      </c>
      <c r="M113" s="91">
        <f>COUNTIF(Tableau1[[#This Row],[Secteur 1]:[Secteur 4]],"x")</f>
        <v>1</v>
      </c>
      <c r="N113" s="92" t="s">
        <v>92</v>
      </c>
      <c r="O113" s="92" t="str">
        <f>IF(Tableau1[[#This Row],[Date de Fin]]-Tableau1[[#This Row],[Date de Début]]&gt;1,"X"," ")</f>
        <v xml:space="preserve"> </v>
      </c>
      <c r="P113" s="20"/>
      <c r="Q113" s="21"/>
      <c r="R113" s="99">
        <v>45790</v>
      </c>
      <c r="S113" s="280" t="str">
        <f t="shared" si="76"/>
        <v>2025-05-13</v>
      </c>
      <c r="T113" s="209">
        <v>45791</v>
      </c>
      <c r="U113" s="280" t="str">
        <f t="shared" si="77"/>
        <v>2025-05-14</v>
      </c>
      <c r="V113" s="176" t="str">
        <f>PROPER(LEFT(TEXT(Tableau1[[#This Row],[Date de Début]],"jjjj"),2))&amp; "" &amp; PROPER(LEFT(TEXT(Tableau1[[#This Row],[Date de Début]]+1,"jjjj"),2))</f>
        <v>MaMe</v>
      </c>
      <c r="W113" s="175" t="str">
        <f>IF(Tableau1[[#This Row],[Nb jours]]&gt;1,PROPER(LEFT(TEXT(Tableau1[[#This Row],[Date de Début]]+1,"jjjj"),2))&amp; "" &amp; PROPER(LEFT(TEXT(Tableau1[[#This Row],[Date de Début]]+2,"jjjj"),2)),"")</f>
        <v/>
      </c>
      <c r="X113" s="175" t="str">
        <f>IF(Tableau1[[#This Row],[Nb jours]]&gt;2,PROPER(LEFT(TEXT(Tableau1[[#This Row],[Date de Début]]+2,"jjjj"),2))&amp; "" &amp; PROPER(LEFT(TEXT(Tableau1[[#This Row],[Date de Début]]+3,"jjjj"),2)),"")</f>
        <v/>
      </c>
      <c r="Y113" s="176" t="str">
        <f>IF(Tableau1[[#This Row],[Nb jours]]&gt;3,PROPER(LEFT(TEXT(Tableau1[[#This Row],[Date de Début]]+3,"jjjj"),2))&amp; "" &amp; PROPER(LEFT(TEXT(Tableau1[[#This Row],[Date de Début]]+4,"jjjj"),2)),"")</f>
        <v/>
      </c>
      <c r="Z113" s="175" t="str">
        <f>IF(Tableau1[[#This Row],[Nb jours]]&gt;4,PROPER(LEFT(TEXT(Tableau1[[#This Row],[Date de Début]]+4,"jjjj"),2))&amp; "" &amp; PROPER(LEFT(TEXT(Tableau1[[#This Row],[Date de Début]]+5,"jjjj"),2)),"")</f>
        <v/>
      </c>
      <c r="AA113" s="176" t="str">
        <f>IF(Tableau1[[#This Row],[Nb jours]]&gt;5,PROPER(LEFT(TEXT(Tableau1[[#This Row],[Date de Début]]+5,"jjjj"),2))&amp; "" &amp; PROPER(LEFT(TEXT(Tableau1[[#This Row],[Date de Début]]+6,"jjjj"),2)),"")</f>
        <v/>
      </c>
      <c r="AB113" s="177">
        <f>Tableau1[[#This Row],[Date de Fin]]-Tableau1[[#This Row],[Date de Début]]</f>
        <v>1</v>
      </c>
      <c r="AC113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13" s="42" t="s">
        <v>143</v>
      </c>
      <c r="AE113" s="27">
        <f t="shared" si="78"/>
        <v>28</v>
      </c>
      <c r="AF113" s="31">
        <f>Tableau1[[#This Row],[Date de Début]]-AE113</f>
        <v>45762</v>
      </c>
      <c r="AG113" s="93">
        <v>45757</v>
      </c>
      <c r="AH113" s="27">
        <f t="shared" si="79"/>
        <v>21</v>
      </c>
      <c r="AI113" s="254" t="str">
        <f t="shared" si="80"/>
        <v>2025-04-10</v>
      </c>
      <c r="AJ113" s="45" t="s">
        <v>156</v>
      </c>
      <c r="AK113" s="31">
        <f>Tableau1[[#This Row],[Date de Début]]-AH113</f>
        <v>45769</v>
      </c>
      <c r="AL113" s="217">
        <v>45770</v>
      </c>
      <c r="AM113" s="27">
        <f t="shared" si="81"/>
        <v>21</v>
      </c>
      <c r="AN113" s="264" t="str">
        <f>IF(AL113="","",TEXT(Tableau1[[#This Row],[Date de fin de vérification]],"AAAA-MM-JJ"))</f>
        <v>2025-04-23</v>
      </c>
      <c r="AO113" s="49">
        <f>Tableau1[[#This Row],[Date de Début]]-AM113</f>
        <v>45769</v>
      </c>
      <c r="AP113" s="217"/>
      <c r="AQ113" s="27">
        <f t="shared" si="82"/>
        <v>14</v>
      </c>
      <c r="AR113" s="254" t="str">
        <f t="shared" si="83"/>
        <v>00/01/1900</v>
      </c>
      <c r="AS113" s="49">
        <f>Tableau1[[#This Row],[Date de Début]]-AQ113</f>
        <v>45776</v>
      </c>
      <c r="AT113" s="217"/>
      <c r="AU113" s="27">
        <f t="shared" si="84"/>
        <v>14</v>
      </c>
      <c r="AV113" s="254" t="str">
        <f t="shared" si="85"/>
        <v>00-01-1900</v>
      </c>
      <c r="AW113" s="49">
        <f>Tableau1[[#This Row],[Date de Début]]-AU113</f>
        <v>45776</v>
      </c>
      <c r="AX113" s="217"/>
      <c r="AY113" s="293" t="str">
        <f t="shared" si="75"/>
        <v>1900-01-00</v>
      </c>
      <c r="AZ113" s="28">
        <f>IF(Tableau1[[#This Row],[Date limite de fin de rédaction]]&lt;Tableau1[[#This Row],[Date de fin de rédaction]],1,0)</f>
        <v>0</v>
      </c>
      <c r="BA113" s="28">
        <f>IF(Tableau1[[#This Row],[Date limite de fin de vérification]]&lt;Tableau1[[#This Row],[Date de fin de vérification]],1,0)</f>
        <v>1</v>
      </c>
      <c r="BB113" s="28">
        <f>IF(Tableau1[[#This Row],[Date limite d''envoi a  l''exploitation]]&lt;Tableau1[[#This Row],[Date d''envoi à  l''exploitation
(Mettre en copier le demandeur et le rédacteur)]],1,0)</f>
        <v>0</v>
      </c>
      <c r="BC113" s="28">
        <f>IF(Tableau1[[#This Row],[Date limite de réception]]&lt;Tableau1[[#This Row],[Date de réception]],1,0)</f>
        <v>0</v>
      </c>
      <c r="BD113" s="28">
        <f>IF(Tableau1[[#This Row],[Date limite limite de dépose sur la GED]]&lt;Tableau1[[#This Row],[Date de dépose sur la GED]],1,0)</f>
        <v>0</v>
      </c>
      <c r="BE113" s="294"/>
      <c r="BF113" s="310"/>
      <c r="BG113" s="311"/>
      <c r="BH113" s="312"/>
      <c r="BI113" s="312"/>
      <c r="BJ113" s="312"/>
      <c r="BK113" s="127"/>
    </row>
    <row r="114" spans="1:63" x14ac:dyDescent="0.25">
      <c r="A114" s="313">
        <v>105</v>
      </c>
      <c r="B114" s="90" t="s">
        <v>150</v>
      </c>
      <c r="C114" s="90">
        <v>15559</v>
      </c>
      <c r="D114" s="98" t="s">
        <v>115</v>
      </c>
      <c r="E114" s="24" t="s">
        <v>271</v>
      </c>
      <c r="F114" s="21"/>
      <c r="G114" s="91" t="str">
        <f>"xxx-2025-"&amp;Tableau1[[#This Row],[N° de 
Ctx]]&amp;"-"&amp;Tableau1[[#This Row],[N° semaine]]&amp;"-"&amp; Tableau1[[#This Row],[Nature des travaux]]</f>
        <v>xxx-2025-105-S20-Contrat 105</v>
      </c>
      <c r="H114" s="320" t="str">
        <f>IF(Tableau1[[#This Row],[Nature des travaux]]=0,"Saisir nature des travaux",Tableau1[[#This Row],[Colonne1]])&amp;"-"&amp;Tableau1[[#This Row],[Jour]]</f>
        <v>xxx-2025-105-S20-Contrat 105-MeJe</v>
      </c>
      <c r="I114" s="20"/>
      <c r="J114" s="21"/>
      <c r="K114" s="21"/>
      <c r="L114" s="21" t="s">
        <v>85</v>
      </c>
      <c r="M114" s="91">
        <f>COUNTIF(Tableau1[[#This Row],[Secteur 1]:[Secteur 4]],"x")</f>
        <v>1</v>
      </c>
      <c r="N114" s="92" t="s">
        <v>92</v>
      </c>
      <c r="O114" s="92" t="str">
        <f>IF(Tableau1[[#This Row],[Date de Fin]]-Tableau1[[#This Row],[Date de Début]]&gt;1,"X"," ")</f>
        <v xml:space="preserve"> </v>
      </c>
      <c r="P114" s="20"/>
      <c r="Q114" s="21"/>
      <c r="R114" s="99">
        <v>45791</v>
      </c>
      <c r="S114" s="280" t="str">
        <f t="shared" si="76"/>
        <v>2025-05-14</v>
      </c>
      <c r="T114" s="209">
        <v>45792</v>
      </c>
      <c r="U114" s="280" t="str">
        <f t="shared" si="77"/>
        <v>2025-05-15</v>
      </c>
      <c r="V114" s="176" t="str">
        <f>PROPER(LEFT(TEXT(Tableau1[[#This Row],[Date de Début]],"jjjj"),2))&amp; "" &amp; PROPER(LEFT(TEXT(Tableau1[[#This Row],[Date de Début]]+1,"jjjj"),2))</f>
        <v>MeJe</v>
      </c>
      <c r="W114" s="175" t="str">
        <f>IF(Tableau1[[#This Row],[Nb jours]]&gt;1,PROPER(LEFT(TEXT(Tableau1[[#This Row],[Date de Début]]+1,"jjjj"),2))&amp; "" &amp; PROPER(LEFT(TEXT(Tableau1[[#This Row],[Date de Début]]+2,"jjjj"),2)),"")</f>
        <v/>
      </c>
      <c r="X114" s="175" t="str">
        <f>IF(Tableau1[[#This Row],[Nb jours]]&gt;2,PROPER(LEFT(TEXT(Tableau1[[#This Row],[Date de Début]]+2,"jjjj"),2))&amp; "" &amp; PROPER(LEFT(TEXT(Tableau1[[#This Row],[Date de Début]]+3,"jjjj"),2)),"")</f>
        <v/>
      </c>
      <c r="Y114" s="176" t="str">
        <f>IF(Tableau1[[#This Row],[Nb jours]]&gt;3,PROPER(LEFT(TEXT(Tableau1[[#This Row],[Date de Début]]+3,"jjjj"),2))&amp; "" &amp; PROPER(LEFT(TEXT(Tableau1[[#This Row],[Date de Début]]+4,"jjjj"),2)),"")</f>
        <v/>
      </c>
      <c r="Z114" s="175" t="str">
        <f>IF(Tableau1[[#This Row],[Nb jours]]&gt;4,PROPER(LEFT(TEXT(Tableau1[[#This Row],[Date de Début]]+4,"jjjj"),2))&amp; "" &amp; PROPER(LEFT(TEXT(Tableau1[[#This Row],[Date de Début]]+5,"jjjj"),2)),"")</f>
        <v/>
      </c>
      <c r="AA114" s="176" t="str">
        <f>IF(Tableau1[[#This Row],[Nb jours]]&gt;5,PROPER(LEFT(TEXT(Tableau1[[#This Row],[Date de Début]]+5,"jjjj"),2))&amp; "" &amp; PROPER(LEFT(TEXT(Tableau1[[#This Row],[Date de Début]]+6,"jjjj"),2)),"")</f>
        <v/>
      </c>
      <c r="AB114" s="177">
        <f>Tableau1[[#This Row],[Date de Fin]]-Tableau1[[#This Row],[Date de Début]]</f>
        <v>1</v>
      </c>
      <c r="AC114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114" s="42" t="s">
        <v>143</v>
      </c>
      <c r="AE114" s="27">
        <f t="shared" si="78"/>
        <v>28</v>
      </c>
      <c r="AF114" s="31">
        <f>Tableau1[[#This Row],[Date de Début]]-AE114</f>
        <v>45763</v>
      </c>
      <c r="AG114" s="93">
        <v>45757</v>
      </c>
      <c r="AH114" s="27">
        <f t="shared" si="79"/>
        <v>21</v>
      </c>
      <c r="AI114" s="254" t="str">
        <f t="shared" si="80"/>
        <v>2025-04-10</v>
      </c>
      <c r="AJ114" s="45" t="s">
        <v>156</v>
      </c>
      <c r="AK114" s="31">
        <f>Tableau1[[#This Row],[Date de Début]]-AH114</f>
        <v>45770</v>
      </c>
      <c r="AL114" s="217">
        <v>45770</v>
      </c>
      <c r="AM114" s="27">
        <f t="shared" si="81"/>
        <v>21</v>
      </c>
      <c r="AN114" s="264" t="str">
        <f>IF(AL114="","",TEXT(Tableau1[[#This Row],[Date de fin de vérification]],"AAAA-MM-JJ"))</f>
        <v>2025-04-23</v>
      </c>
      <c r="AO114" s="49">
        <f>Tableau1[[#This Row],[Date de Début]]-AM114</f>
        <v>45770</v>
      </c>
      <c r="AP114" s="217"/>
      <c r="AQ114" s="27">
        <f t="shared" si="82"/>
        <v>14</v>
      </c>
      <c r="AR114" s="254" t="str">
        <f t="shared" si="83"/>
        <v>00/01/1900</v>
      </c>
      <c r="AS114" s="49">
        <f>Tableau1[[#This Row],[Date de Début]]-AQ114</f>
        <v>45777</v>
      </c>
      <c r="AT114" s="217"/>
      <c r="AU114" s="27">
        <f t="shared" si="84"/>
        <v>14</v>
      </c>
      <c r="AV114" s="254" t="str">
        <f t="shared" si="85"/>
        <v>00-01-1900</v>
      </c>
      <c r="AW114" s="49">
        <f>Tableau1[[#This Row],[Date de Début]]-AU114</f>
        <v>45777</v>
      </c>
      <c r="AX114" s="217"/>
      <c r="AY114" s="293" t="str">
        <f t="shared" si="75"/>
        <v>1900-01-00</v>
      </c>
      <c r="AZ114" s="28">
        <f>IF(Tableau1[[#This Row],[Date limite de fin de rédaction]]&lt;Tableau1[[#This Row],[Date de fin de rédaction]],1,0)</f>
        <v>0</v>
      </c>
      <c r="BA114" s="28">
        <f>IF(Tableau1[[#This Row],[Date limite de fin de vérification]]&lt;Tableau1[[#This Row],[Date de fin de vérification]],1,0)</f>
        <v>0</v>
      </c>
      <c r="BB114" s="28">
        <f>IF(Tableau1[[#This Row],[Date limite d''envoi a  l''exploitation]]&lt;Tableau1[[#This Row],[Date d''envoi à  l''exploitation
(Mettre en copier le demandeur et le rédacteur)]],1,0)</f>
        <v>0</v>
      </c>
      <c r="BC114" s="28">
        <f>IF(Tableau1[[#This Row],[Date limite de réception]]&lt;Tableau1[[#This Row],[Date de réception]],1,0)</f>
        <v>0</v>
      </c>
      <c r="BD114" s="28">
        <f>IF(Tableau1[[#This Row],[Date limite limite de dépose sur la GED]]&lt;Tableau1[[#This Row],[Date de dépose sur la GED]],1,0)</f>
        <v>0</v>
      </c>
      <c r="BE114" s="294"/>
      <c r="BF114" s="310"/>
      <c r="BG114" s="311"/>
      <c r="BH114" s="312"/>
      <c r="BI114" s="312"/>
      <c r="BJ114" s="312"/>
      <c r="BK114" s="127"/>
    </row>
    <row r="115" spans="1:63" x14ac:dyDescent="0.25">
      <c r="A115" s="313">
        <v>106</v>
      </c>
      <c r="B115" s="90" t="s">
        <v>151</v>
      </c>
      <c r="C115" s="318">
        <v>15671</v>
      </c>
      <c r="D115" s="98" t="str">
        <f>IF(Tableau1[[#This Row],[Date de Début]]=0,"Saisir date de début","S"&amp; _xlfn.ISOWEEKNUM(R115))</f>
        <v>S21</v>
      </c>
      <c r="E115" s="24" t="s">
        <v>272</v>
      </c>
      <c r="F115" s="21"/>
      <c r="G115" s="91" t="str">
        <f>"xxx-2025-"&amp;Tableau1[[#This Row],[N° de 
Ctx]]&amp;"-"&amp;Tableau1[[#This Row],[N° semaine]]&amp;"-"&amp; Tableau1[[#This Row],[Nature des travaux]]</f>
        <v>xxx-2025-106-S21-Contrat 106</v>
      </c>
      <c r="H115" s="208" t="str">
        <f>IF(Tableau1[[#This Row],[Nature des travaux]]=0,"Saisir nature des travaux",Tableau1[[#This Row],[Colonne1]])&amp;"-"&amp;Tableau1[[#This Row],[Jour]]</f>
        <v>xxx-2025-106-S21-Contrat 106-LuMa</v>
      </c>
      <c r="I115" s="20"/>
      <c r="J115" s="21"/>
      <c r="K115" s="21" t="s">
        <v>85</v>
      </c>
      <c r="L115" s="21"/>
      <c r="M115" s="91">
        <f>COUNTIF(Tableau1[[#This Row],[Secteur 1]:[Secteur 4]],"x")</f>
        <v>1</v>
      </c>
      <c r="N115" s="92" t="s">
        <v>81</v>
      </c>
      <c r="O115" s="92" t="str">
        <f>IF(Tableau1[[#This Row],[Date de Fin]]-Tableau1[[#This Row],[Date de Début]]&gt;1,"X"," ")</f>
        <v xml:space="preserve"> </v>
      </c>
      <c r="P115" s="20"/>
      <c r="Q115" s="21"/>
      <c r="R115" s="99">
        <v>45796</v>
      </c>
      <c r="S115" s="280" t="str">
        <f t="shared" si="76"/>
        <v>2025-05-19</v>
      </c>
      <c r="T115" s="209">
        <v>45797</v>
      </c>
      <c r="U115" s="280" t="str">
        <f t="shared" si="77"/>
        <v>2025-05-20</v>
      </c>
      <c r="V115" s="176" t="str">
        <f>PROPER(LEFT(TEXT(Tableau1[[#This Row],[Date de Début]],"jjjj"),2))&amp; "" &amp; PROPER(LEFT(TEXT(Tableau1[[#This Row],[Date de Début]]+1,"jjjj"),2))</f>
        <v>LuMa</v>
      </c>
      <c r="W115" s="175" t="str">
        <f>IF(Tableau1[[#This Row],[Nb jours]]&gt;1,PROPER(LEFT(TEXT(Tableau1[[#This Row],[Date de Début]]+1,"jjjj"),2))&amp; "" &amp; PROPER(LEFT(TEXT(Tableau1[[#This Row],[Date de Début]]+2,"jjjj"),2)),"")</f>
        <v/>
      </c>
      <c r="X115" s="175" t="str">
        <f>IF(Tableau1[[#This Row],[Nb jours]]&gt;2,PROPER(LEFT(TEXT(Tableau1[[#This Row],[Date de Début]]+2,"jjjj"),2))&amp; "" &amp; PROPER(LEFT(TEXT(Tableau1[[#This Row],[Date de Début]]+3,"jjjj"),2)),"")</f>
        <v/>
      </c>
      <c r="Y115" s="176" t="str">
        <f>IF(Tableau1[[#This Row],[Nb jours]]&gt;3,PROPER(LEFT(TEXT(Tableau1[[#This Row],[Date de Début]]+3,"jjjj"),2))&amp; "" &amp; PROPER(LEFT(TEXT(Tableau1[[#This Row],[Date de Début]]+4,"jjjj"),2)),"")</f>
        <v/>
      </c>
      <c r="Z115" s="175" t="str">
        <f>IF(Tableau1[[#This Row],[Nb jours]]&gt;4,PROPER(LEFT(TEXT(Tableau1[[#This Row],[Date de Début]]+4,"jjjj"),2))&amp; "" &amp; PROPER(LEFT(TEXT(Tableau1[[#This Row],[Date de Début]]+5,"jjjj"),2)),"")</f>
        <v/>
      </c>
      <c r="AA115" s="176" t="str">
        <f>IF(Tableau1[[#This Row],[Nb jours]]&gt;5,PROPER(LEFT(TEXT(Tableau1[[#This Row],[Date de Début]]+5,"jjjj"),2))&amp; "" &amp; PROPER(LEFT(TEXT(Tableau1[[#This Row],[Date de Début]]+6,"jjjj"),2)),"")</f>
        <v/>
      </c>
      <c r="AB115" s="177">
        <f>Tableau1[[#This Row],[Date de Fin]]-Tableau1[[#This Row],[Date de Début]]</f>
        <v>1</v>
      </c>
      <c r="AC115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115" s="42" t="s">
        <v>155</v>
      </c>
      <c r="AE115" s="27">
        <f t="shared" si="78"/>
        <v>28</v>
      </c>
      <c r="AF115" s="31">
        <f>Tableau1[[#This Row],[Date de Début]]-AE115</f>
        <v>45768</v>
      </c>
      <c r="AG115" s="93">
        <v>45769</v>
      </c>
      <c r="AH115" s="27">
        <f t="shared" si="79"/>
        <v>21</v>
      </c>
      <c r="AI115" s="254" t="str">
        <f t="shared" si="80"/>
        <v>2025-04-22</v>
      </c>
      <c r="AJ115" s="45" t="s">
        <v>156</v>
      </c>
      <c r="AK115" s="31">
        <f>Tableau1[[#This Row],[Date de Début]]-AH115</f>
        <v>45775</v>
      </c>
      <c r="AL115" s="217">
        <v>45769</v>
      </c>
      <c r="AM115" s="27">
        <f t="shared" si="81"/>
        <v>21</v>
      </c>
      <c r="AN115" s="264" t="str">
        <f>IF(AL115="","",TEXT(Tableau1[[#This Row],[Date de fin de vérification]],"AAAA-MM-JJ"))</f>
        <v>2025-04-22</v>
      </c>
      <c r="AO115" s="49">
        <f>Tableau1[[#This Row],[Date de Début]]-AM115</f>
        <v>45775</v>
      </c>
      <c r="AP115" s="217">
        <v>45769</v>
      </c>
      <c r="AQ115" s="27">
        <f t="shared" si="82"/>
        <v>14</v>
      </c>
      <c r="AR115" s="254" t="str">
        <f t="shared" si="83"/>
        <v>22/04/2025</v>
      </c>
      <c r="AS115" s="49">
        <f>Tableau1[[#This Row],[Date de Début]]-AQ115</f>
        <v>45782</v>
      </c>
      <c r="AT115" s="217">
        <v>45800</v>
      </c>
      <c r="AU115" s="27">
        <f t="shared" si="84"/>
        <v>14</v>
      </c>
      <c r="AV115" s="254" t="str">
        <f t="shared" si="85"/>
        <v>23-05-2025</v>
      </c>
      <c r="AW115" s="49">
        <f>Tableau1[[#This Row],[Date de Début]]-AU115</f>
        <v>45782</v>
      </c>
      <c r="AX115" s="217">
        <v>45800</v>
      </c>
      <c r="AY115" s="293" t="str">
        <f t="shared" ref="AY115:AY128" si="86">TEXT(AX115,"AAAA-MM-JJ")</f>
        <v>2025-05-23</v>
      </c>
      <c r="AZ115" s="28">
        <f>IF(Tableau1[[#This Row],[Date limite de fin de rédaction]]&lt;Tableau1[[#This Row],[Date de fin de rédaction]],1,0)</f>
        <v>1</v>
      </c>
      <c r="BA115" s="28">
        <f>IF(Tableau1[[#This Row],[Date limite de fin de vérification]]&lt;Tableau1[[#This Row],[Date de fin de vérification]],1,0)</f>
        <v>0</v>
      </c>
      <c r="BB115" s="28">
        <f>IF(Tableau1[[#This Row],[Date limite d''envoi a  l''exploitation]]&lt;Tableau1[[#This Row],[Date d''envoi à  l''exploitation
(Mettre en copier le demandeur et le rédacteur)]],1,0)</f>
        <v>0</v>
      </c>
      <c r="BC115" s="28">
        <f>IF(Tableau1[[#This Row],[Date limite de réception]]&lt;Tableau1[[#This Row],[Date de réception]],1,0)</f>
        <v>1</v>
      </c>
      <c r="BD115" s="28">
        <f>IF(Tableau1[[#This Row],[Date limite limite de dépose sur la GED]]&lt;Tableau1[[#This Row],[Date de dépose sur la GED]],1,0)</f>
        <v>1</v>
      </c>
      <c r="BE115" s="294"/>
      <c r="BF115" s="310"/>
      <c r="BG115" s="311"/>
      <c r="BH115" s="312"/>
      <c r="BI115" s="312"/>
      <c r="BJ115" s="312"/>
      <c r="BK115" s="127"/>
    </row>
    <row r="116" spans="1:63" x14ac:dyDescent="0.25">
      <c r="A116" s="313">
        <v>107</v>
      </c>
      <c r="B116" s="90" t="s">
        <v>145</v>
      </c>
      <c r="C116" s="90">
        <v>15561</v>
      </c>
      <c r="D116" s="98" t="str">
        <f>IF(Tableau1[[#This Row],[Date de Début]]=0,"Saisir date de début","S"&amp; _xlfn.ISOWEEKNUM(R116))</f>
        <v>S19</v>
      </c>
      <c r="E116" s="24" t="s">
        <v>273</v>
      </c>
      <c r="F116" s="21"/>
      <c r="G116" s="91" t="str">
        <f>"xxx-2025-"&amp;Tableau1[[#This Row],[N° de 
Ctx]]&amp;"-"&amp;Tableau1[[#This Row],[N° semaine]]&amp;"-"&amp; Tableau1[[#This Row],[Nature des travaux]]</f>
        <v>xxx-2025-107-S19-Contrat 107</v>
      </c>
      <c r="H116" s="208" t="str">
        <f>IF(Tableau1[[#This Row],[Nature des travaux]]=0,"Saisir nature des travaux",Tableau1[[#This Row],[Colonne1]])&amp;"-"&amp;Tableau1[[#This Row],[Jour]]</f>
        <v>xxx-2025-107-S19-Contrat 107-LuMaMaMeMeJe</v>
      </c>
      <c r="I116" s="20"/>
      <c r="J116" s="21"/>
      <c r="K116" s="21" t="s">
        <v>85</v>
      </c>
      <c r="L116" s="21"/>
      <c r="M116" s="91">
        <f>COUNTIF(Tableau1[[#This Row],[Secteur 1]:[Secteur 4]],"x")</f>
        <v>1</v>
      </c>
      <c r="N116" s="92" t="s">
        <v>81</v>
      </c>
      <c r="O116" s="92" t="str">
        <f>IF(Tableau1[[#This Row],[Date de Fin]]-Tableau1[[#This Row],[Date de Début]]&gt;1,"X"," ")</f>
        <v>X</v>
      </c>
      <c r="P116" s="20"/>
      <c r="Q116" s="21"/>
      <c r="R116" s="99">
        <v>45782</v>
      </c>
      <c r="S116" s="280" t="str">
        <f t="shared" si="76"/>
        <v>2025-05-05</v>
      </c>
      <c r="T116" s="209">
        <v>45785</v>
      </c>
      <c r="U116" s="280" t="str">
        <f t="shared" si="77"/>
        <v>2025-05-08</v>
      </c>
      <c r="V116" s="176" t="str">
        <f>PROPER(LEFT(TEXT(Tableau1[[#This Row],[Date de Début]],"jjjj"),2))&amp; "" &amp; PROPER(LEFT(TEXT(Tableau1[[#This Row],[Date de Début]]+1,"jjjj"),2))</f>
        <v>LuMa</v>
      </c>
      <c r="W116" s="175" t="str">
        <f>IF(Tableau1[[#This Row],[Nb jours]]&gt;1,PROPER(LEFT(TEXT(Tableau1[[#This Row],[Date de Début]]+1,"jjjj"),2))&amp; "" &amp; PROPER(LEFT(TEXT(Tableau1[[#This Row],[Date de Début]]+2,"jjjj"),2)),"")</f>
        <v>MaMe</v>
      </c>
      <c r="X116" s="175" t="str">
        <f>IF(Tableau1[[#This Row],[Nb jours]]&gt;2,PROPER(LEFT(TEXT(Tableau1[[#This Row],[Date de Début]]+2,"jjjj"),2))&amp; "" &amp; PROPER(LEFT(TEXT(Tableau1[[#This Row],[Date de Début]]+3,"jjjj"),2)),"")</f>
        <v>MeJe</v>
      </c>
      <c r="Y116" s="176" t="str">
        <f>IF(Tableau1[[#This Row],[Nb jours]]&gt;3,PROPER(LEFT(TEXT(Tableau1[[#This Row],[Date de Début]]+3,"jjjj"),2))&amp; "" &amp; PROPER(LEFT(TEXT(Tableau1[[#This Row],[Date de Début]]+4,"jjjj"),2)),"")</f>
        <v/>
      </c>
      <c r="Z116" s="175" t="str">
        <f>IF(Tableau1[[#This Row],[Nb jours]]&gt;4,PROPER(LEFT(TEXT(Tableau1[[#This Row],[Date de Début]]+4,"jjjj"),2))&amp; "" &amp; PROPER(LEFT(TEXT(Tableau1[[#This Row],[Date de Début]]+5,"jjjj"),2)),"")</f>
        <v/>
      </c>
      <c r="AA116" s="176" t="str">
        <f>IF(Tableau1[[#This Row],[Nb jours]]&gt;5,PROPER(LEFT(TEXT(Tableau1[[#This Row],[Date de Début]]+5,"jjjj"),2))&amp; "" &amp; PROPER(LEFT(TEXT(Tableau1[[#This Row],[Date de Début]]+6,"jjjj"),2)),"")</f>
        <v/>
      </c>
      <c r="AB116" s="177">
        <f>Tableau1[[#This Row],[Date de Fin]]-Tableau1[[#This Row],[Date de Début]]</f>
        <v>3</v>
      </c>
      <c r="AC116" s="207" t="str">
        <f>Tableau1[[#This Row],[Nuit 1]]&amp;Tableau1[[#This Row],[Nuit 2]]&amp;Tableau1[[#This Row],[Nuit 3]]&amp;Tableau1[[#This Row],[Nuit 4]]&amp;Tableau1[[#This Row],[Nuit 5]]&amp;Tableau1[[#This Row],[Nuit 6]]</f>
        <v>LuMaMaMeMeJe</v>
      </c>
      <c r="AD116" s="42" t="s">
        <v>155</v>
      </c>
      <c r="AE116" s="27">
        <f t="shared" si="78"/>
        <v>28</v>
      </c>
      <c r="AF116" s="31">
        <f>Tableau1[[#This Row],[Date de Début]]-AE116</f>
        <v>45754</v>
      </c>
      <c r="AG116" s="93">
        <v>45761</v>
      </c>
      <c r="AH116" s="27">
        <f t="shared" si="79"/>
        <v>21</v>
      </c>
      <c r="AI116" s="254" t="str">
        <f t="shared" si="80"/>
        <v>2025-04-14</v>
      </c>
      <c r="AJ116" s="45" t="s">
        <v>156</v>
      </c>
      <c r="AK116" s="31">
        <f>Tableau1[[#This Row],[Date de Début]]-AH116</f>
        <v>45761</v>
      </c>
      <c r="AL116" s="217">
        <v>45769</v>
      </c>
      <c r="AM116" s="27">
        <f t="shared" si="81"/>
        <v>21</v>
      </c>
      <c r="AN116" s="264" t="str">
        <f>IF(AL116="","",TEXT(Tableau1[[#This Row],[Date de fin de vérification]],"AAAA-MM-JJ"))</f>
        <v>2025-04-22</v>
      </c>
      <c r="AO116" s="49">
        <f>Tableau1[[#This Row],[Date de Début]]-AM116</f>
        <v>45761</v>
      </c>
      <c r="AP116" s="217">
        <v>45769</v>
      </c>
      <c r="AQ116" s="27">
        <f t="shared" si="82"/>
        <v>14</v>
      </c>
      <c r="AR116" s="254" t="str">
        <f t="shared" si="83"/>
        <v>22/04/2025</v>
      </c>
      <c r="AS116" s="49">
        <f>Tableau1[[#This Row],[Date de Début]]-AQ116</f>
        <v>45768</v>
      </c>
      <c r="AT116" s="217">
        <v>45800</v>
      </c>
      <c r="AU116" s="27">
        <f t="shared" si="84"/>
        <v>14</v>
      </c>
      <c r="AV116" s="254" t="str">
        <f t="shared" si="85"/>
        <v>23-05-2025</v>
      </c>
      <c r="AW116" s="49">
        <f>Tableau1[[#This Row],[Date de Début]]-AU116</f>
        <v>45768</v>
      </c>
      <c r="AX116" s="217">
        <v>45800</v>
      </c>
      <c r="AY116" s="293" t="str">
        <f t="shared" si="86"/>
        <v>2025-05-23</v>
      </c>
      <c r="AZ116" s="28">
        <f>IF(Tableau1[[#This Row],[Date limite de fin de rédaction]]&lt;Tableau1[[#This Row],[Date de fin de rédaction]],1,0)</f>
        <v>1</v>
      </c>
      <c r="BA116" s="28">
        <f>IF(Tableau1[[#This Row],[Date limite de fin de vérification]]&lt;Tableau1[[#This Row],[Date de fin de vérification]],1,0)</f>
        <v>1</v>
      </c>
      <c r="BB116" s="28">
        <f>IF(Tableau1[[#This Row],[Date limite d''envoi a  l''exploitation]]&lt;Tableau1[[#This Row],[Date d''envoi à  l''exploitation
(Mettre en copier le demandeur et le rédacteur)]],1,0)</f>
        <v>1</v>
      </c>
      <c r="BC116" s="28">
        <f>IF(Tableau1[[#This Row],[Date limite de réception]]&lt;Tableau1[[#This Row],[Date de réception]],1,0)</f>
        <v>1</v>
      </c>
      <c r="BD116" s="28">
        <f>IF(Tableau1[[#This Row],[Date limite limite de dépose sur la GED]]&lt;Tableau1[[#This Row],[Date de dépose sur la GED]],1,0)</f>
        <v>1</v>
      </c>
      <c r="BE116" s="294"/>
      <c r="BF116" s="310"/>
      <c r="BG116" s="311"/>
      <c r="BH116" s="314"/>
      <c r="BI116" s="314"/>
      <c r="BJ116" s="312"/>
      <c r="BK116" s="127"/>
    </row>
    <row r="117" spans="1:63" x14ac:dyDescent="0.25">
      <c r="A117" s="313">
        <v>108</v>
      </c>
      <c r="B117" s="90" t="s">
        <v>145</v>
      </c>
      <c r="C117" s="90" t="s">
        <v>116</v>
      </c>
      <c r="D117" s="98" t="str">
        <f>IF(Tableau1[[#This Row],[Date de Début]]=0,"Saisir date de début","S"&amp; _xlfn.ISOWEEKNUM(R117))</f>
        <v>S23</v>
      </c>
      <c r="E117" s="24" t="s">
        <v>274</v>
      </c>
      <c r="F117" s="21"/>
      <c r="G117" s="91" t="str">
        <f>"xxx-2025-"&amp;Tableau1[[#This Row],[N° de 
Ctx]]&amp;"-"&amp;Tableau1[[#This Row],[N° semaine]]&amp;"-"&amp; Tableau1[[#This Row],[Nature des travaux]]</f>
        <v>xxx-2025-108-S23-Contrat 108</v>
      </c>
      <c r="H117" s="208" t="str">
        <f>IF(Tableau1[[#This Row],[Nature des travaux]]=0,"Saisir nature des travaux",Tableau1[[#This Row],[Colonne1]])&amp;"-"&amp;Tableau1[[#This Row],[Jour]]</f>
        <v>xxx-2025-108-S23-Contrat 108-LuMaMaMe</v>
      </c>
      <c r="I117" s="20"/>
      <c r="J117" s="21"/>
      <c r="K117" s="21" t="s">
        <v>85</v>
      </c>
      <c r="L117" s="21"/>
      <c r="M117" s="91">
        <f>COUNTIF(Tableau1[[#This Row],[Secteur 1]:[Secteur 4]],"x")</f>
        <v>1</v>
      </c>
      <c r="N117" s="92" t="s">
        <v>81</v>
      </c>
      <c r="O117" s="92" t="str">
        <f>IF(Tableau1[[#This Row],[Date de Fin]]-Tableau1[[#This Row],[Date de Début]]&gt;1,"X"," ")</f>
        <v>X</v>
      </c>
      <c r="P117" s="20"/>
      <c r="Q117" s="21"/>
      <c r="R117" s="99">
        <v>45810</v>
      </c>
      <c r="S117" s="280" t="str">
        <f t="shared" si="76"/>
        <v>2025-06-02</v>
      </c>
      <c r="T117" s="209">
        <v>45812</v>
      </c>
      <c r="U117" s="280" t="str">
        <f t="shared" si="77"/>
        <v>2025-06-04</v>
      </c>
      <c r="V117" s="176" t="str">
        <f>PROPER(LEFT(TEXT(Tableau1[[#This Row],[Date de Début]],"jjjj"),2))&amp; "" &amp; PROPER(LEFT(TEXT(Tableau1[[#This Row],[Date de Début]]+1,"jjjj"),2))</f>
        <v>LuMa</v>
      </c>
      <c r="W117" s="175" t="str">
        <f>IF(Tableau1[[#This Row],[Nb jours]]&gt;1,PROPER(LEFT(TEXT(Tableau1[[#This Row],[Date de Début]]+1,"jjjj"),2))&amp; "" &amp; PROPER(LEFT(TEXT(Tableau1[[#This Row],[Date de Début]]+2,"jjjj"),2)),"")</f>
        <v>MaMe</v>
      </c>
      <c r="X117" s="175" t="str">
        <f>IF(Tableau1[[#This Row],[Nb jours]]&gt;2,PROPER(LEFT(TEXT(Tableau1[[#This Row],[Date de Début]]+2,"jjjj"),2))&amp; "" &amp; PROPER(LEFT(TEXT(Tableau1[[#This Row],[Date de Début]]+3,"jjjj"),2)),"")</f>
        <v/>
      </c>
      <c r="Y117" s="176" t="str">
        <f>IF(Tableau1[[#This Row],[Nb jours]]&gt;3,PROPER(LEFT(TEXT(Tableau1[[#This Row],[Date de Début]]+3,"jjjj"),2))&amp; "" &amp; PROPER(LEFT(TEXT(Tableau1[[#This Row],[Date de Début]]+4,"jjjj"),2)),"")</f>
        <v/>
      </c>
      <c r="Z117" s="175" t="str">
        <f>IF(Tableau1[[#This Row],[Nb jours]]&gt;4,PROPER(LEFT(TEXT(Tableau1[[#This Row],[Date de Début]]+4,"jjjj"),2))&amp; "" &amp; PROPER(LEFT(TEXT(Tableau1[[#This Row],[Date de Début]]+5,"jjjj"),2)),"")</f>
        <v/>
      </c>
      <c r="AA117" s="176" t="str">
        <f>IF(Tableau1[[#This Row],[Nb jours]]&gt;5,PROPER(LEFT(TEXT(Tableau1[[#This Row],[Date de Début]]+5,"jjjj"),2))&amp; "" &amp; PROPER(LEFT(TEXT(Tableau1[[#This Row],[Date de Début]]+6,"jjjj"),2)),"")</f>
        <v/>
      </c>
      <c r="AB117" s="177">
        <f>Tableau1[[#This Row],[Date de Fin]]-Tableau1[[#This Row],[Date de Début]]</f>
        <v>2</v>
      </c>
      <c r="AC117" s="207" t="str">
        <f>Tableau1[[#This Row],[Nuit 1]]&amp;Tableau1[[#This Row],[Nuit 2]]&amp;Tableau1[[#This Row],[Nuit 3]]&amp;Tableau1[[#This Row],[Nuit 4]]&amp;Tableau1[[#This Row],[Nuit 5]]&amp;Tableau1[[#This Row],[Nuit 6]]</f>
        <v>LuMaMaMe</v>
      </c>
      <c r="AD117" s="42" t="s">
        <v>155</v>
      </c>
      <c r="AE117" s="27">
        <f t="shared" si="78"/>
        <v>28</v>
      </c>
      <c r="AF117" s="31">
        <f>Tableau1[[#This Row],[Date de Début]]-AE117</f>
        <v>45782</v>
      </c>
      <c r="AG117" s="93"/>
      <c r="AH117" s="27">
        <f t="shared" si="79"/>
        <v>21</v>
      </c>
      <c r="AI117" s="254" t="str">
        <f t="shared" si="80"/>
        <v>1900-01-00</v>
      </c>
      <c r="AJ117" s="45"/>
      <c r="AK117" s="31">
        <f>Tableau1[[#This Row],[Date de Début]]-AH117</f>
        <v>45789</v>
      </c>
      <c r="AL117" s="217"/>
      <c r="AM117" s="27">
        <f t="shared" si="81"/>
        <v>21</v>
      </c>
      <c r="AN117" s="264" t="str">
        <f>IF(AL117="","",TEXT(Tableau1[[#This Row],[Date de fin de vérification]],"AAAA-MM-JJ"))</f>
        <v/>
      </c>
      <c r="AO117" s="49">
        <f>Tableau1[[#This Row],[Date de Début]]-AM117</f>
        <v>45789</v>
      </c>
      <c r="AP117" s="217"/>
      <c r="AQ117" s="27">
        <f t="shared" si="82"/>
        <v>14</v>
      </c>
      <c r="AR117" s="254" t="str">
        <f t="shared" si="83"/>
        <v>00/01/1900</v>
      </c>
      <c r="AS117" s="49">
        <f>Tableau1[[#This Row],[Date de Début]]-AQ117</f>
        <v>45796</v>
      </c>
      <c r="AT117" s="217"/>
      <c r="AU117" s="27">
        <f t="shared" si="84"/>
        <v>14</v>
      </c>
      <c r="AV117" s="254" t="str">
        <f t="shared" si="85"/>
        <v>00-01-1900</v>
      </c>
      <c r="AW117" s="49">
        <f>Tableau1[[#This Row],[Date de Début]]-AU117</f>
        <v>45796</v>
      </c>
      <c r="AX117" s="217"/>
      <c r="AY117" s="293" t="str">
        <f t="shared" si="86"/>
        <v>1900-01-00</v>
      </c>
      <c r="AZ117" s="28">
        <f>IF(Tableau1[[#This Row],[Date limite de fin de rédaction]]&lt;Tableau1[[#This Row],[Date de fin de rédaction]],1,0)</f>
        <v>0</v>
      </c>
      <c r="BA117" s="28">
        <f>IF(Tableau1[[#This Row],[Date limite de fin de vérification]]&lt;Tableau1[[#This Row],[Date de fin de vérification]],1,0)</f>
        <v>0</v>
      </c>
      <c r="BB117" s="28">
        <f>IF(Tableau1[[#This Row],[Date limite d''envoi a  l''exploitation]]&lt;Tableau1[[#This Row],[Date d''envoi à  l''exploitation
(Mettre en copier le demandeur et le rédacteur)]],1,0)</f>
        <v>0</v>
      </c>
      <c r="BC117" s="28">
        <f>IF(Tableau1[[#This Row],[Date limite de réception]]&lt;Tableau1[[#This Row],[Date de réception]],1,0)</f>
        <v>0</v>
      </c>
      <c r="BD117" s="28">
        <f>IF(Tableau1[[#This Row],[Date limite limite de dépose sur la GED]]&lt;Tableau1[[#This Row],[Date de dépose sur la GED]],1,0)</f>
        <v>0</v>
      </c>
      <c r="BE117" s="294"/>
      <c r="BF117" s="310"/>
      <c r="BG117" s="311"/>
      <c r="BH117" s="314"/>
      <c r="BI117" s="314"/>
      <c r="BJ117" s="312"/>
      <c r="BK117" s="127"/>
    </row>
    <row r="118" spans="1:63" x14ac:dyDescent="0.25">
      <c r="A118" s="313">
        <v>109</v>
      </c>
      <c r="B118" s="90" t="s">
        <v>150</v>
      </c>
      <c r="C118" s="90">
        <v>15161</v>
      </c>
      <c r="D118" s="98" t="str">
        <f>IF(Tableau1[[#This Row],[Date de Début]]=0,"Saisir date de début","S"&amp; _xlfn.ISOWEEKNUM(R118))</f>
        <v>S24</v>
      </c>
      <c r="E118" s="24" t="s">
        <v>275</v>
      </c>
      <c r="F118" s="21"/>
      <c r="G118" s="91" t="str">
        <f>"xxx-2025-"&amp;Tableau1[[#This Row],[N° de 
Ctx]]&amp;"-"&amp;Tableau1[[#This Row],[N° semaine]]&amp;"-"&amp; Tableau1[[#This Row],[Nature des travaux]]</f>
        <v>xxx-2025-109-S24-Contrat 109</v>
      </c>
      <c r="H118" s="208" t="str">
        <f>IF(Tableau1[[#This Row],[Nature des travaux]]=0,"Saisir nature des travaux",Tableau1[[#This Row],[Colonne1]])&amp;"-"&amp;Tableau1[[#This Row],[Jour]]</f>
        <v>xxx-2025-109-S24-Contrat 109-MaMe</v>
      </c>
      <c r="I118" s="20"/>
      <c r="J118" s="21"/>
      <c r="K118" s="21"/>
      <c r="L118" s="21" t="s">
        <v>85</v>
      </c>
      <c r="M118" s="91">
        <v>1</v>
      </c>
      <c r="N118" s="92" t="s">
        <v>92</v>
      </c>
      <c r="O118" s="92" t="s">
        <v>117</v>
      </c>
      <c r="P118" s="20"/>
      <c r="Q118" s="21"/>
      <c r="R118" s="99">
        <v>45818</v>
      </c>
      <c r="S118" s="209">
        <v>45814</v>
      </c>
      <c r="T118" s="209">
        <v>45819</v>
      </c>
      <c r="U118" s="280" t="str">
        <f t="shared" ref="U118:U128" si="87">TEXT(T118,"AAAA-MM-JJ")</f>
        <v>2025-06-11</v>
      </c>
      <c r="V118" s="176" t="str">
        <f>PROPER(LEFT(TEXT(Tableau1[[#This Row],[Date de Début]],"jjjj"),2))&amp; "" &amp; PROPER(LEFT(TEXT(Tableau1[[#This Row],[Date de Début]]+1,"jjjj"),2))</f>
        <v>MaMe</v>
      </c>
      <c r="W118" s="175" t="str">
        <f>IF(Tableau1[[#This Row],[Nb jours]]&gt;1,PROPER(LEFT(TEXT(Tableau1[[#This Row],[Date de Début]]+1,"jjjj"),2))&amp; "" &amp; PROPER(LEFT(TEXT(Tableau1[[#This Row],[Date de Début]]+2,"jjjj"),2)),"")</f>
        <v/>
      </c>
      <c r="X118" s="175" t="str">
        <f>IF(Tableau1[[#This Row],[Nb jours]]&gt;2,PROPER(LEFT(TEXT(Tableau1[[#This Row],[Date de Début]]+2,"jjjj"),2))&amp; "" &amp; PROPER(LEFT(TEXT(Tableau1[[#This Row],[Date de Début]]+3,"jjjj"),2)),"")</f>
        <v/>
      </c>
      <c r="Y118" s="176" t="str">
        <f>IF(Tableau1[[#This Row],[Nb jours]]&gt;3,PROPER(LEFT(TEXT(Tableau1[[#This Row],[Date de Début]]+3,"jjjj"),2))&amp; "" &amp; PROPER(LEFT(TEXT(Tableau1[[#This Row],[Date de Début]]+4,"jjjj"),2)),"")</f>
        <v/>
      </c>
      <c r="Z118" s="175" t="str">
        <f>IF(Tableau1[[#This Row],[Nb jours]]&gt;4,PROPER(LEFT(TEXT(Tableau1[[#This Row],[Date de Début]]+4,"jjjj"),2))&amp; "" &amp; PROPER(LEFT(TEXT(Tableau1[[#This Row],[Date de Début]]+5,"jjjj"),2)),"")</f>
        <v/>
      </c>
      <c r="AA118" s="176" t="str">
        <f>IF(Tableau1[[#This Row],[Nb jours]]&gt;5,PROPER(LEFT(TEXT(Tableau1[[#This Row],[Date de Début]]+5,"jjjj"),2))&amp; "" &amp; PROPER(LEFT(TEXT(Tableau1[[#This Row],[Date de Début]]+6,"jjjj"),2)),"")</f>
        <v/>
      </c>
      <c r="AB118" s="177">
        <f>Tableau1[[#This Row],[Date de Fin]]-Tableau1[[#This Row],[Date de Début]]</f>
        <v>1</v>
      </c>
      <c r="AC118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18" s="42" t="s">
        <v>143</v>
      </c>
      <c r="AE118" s="27">
        <f t="shared" ref="AE118:AE128" si="88">Tolérances_1</f>
        <v>28</v>
      </c>
      <c r="AF118" s="31">
        <f>Tableau1[[#This Row],[Date de Début]]-AE118</f>
        <v>45790</v>
      </c>
      <c r="AG118" s="93"/>
      <c r="AH118" s="27">
        <f t="shared" ref="AH118:AH128" si="89">Tolérances_2</f>
        <v>21</v>
      </c>
      <c r="AI118" s="254" t="str">
        <f t="shared" ref="AI118:AI128" si="90">TEXT(AG118,"AAAA-MM-JJ")</f>
        <v>1900-01-00</v>
      </c>
      <c r="AJ118" s="45"/>
      <c r="AK118" s="31">
        <f>Tableau1[[#This Row],[Date de Début]]-AH118</f>
        <v>45797</v>
      </c>
      <c r="AL118" s="217"/>
      <c r="AM118" s="27">
        <f t="shared" ref="AM118:AM128" si="91">Tolérances_3</f>
        <v>21</v>
      </c>
      <c r="AN118" s="264" t="str">
        <f>IF(AL118="","",TEXT(Tableau1[[#This Row],[Date de fin de vérification]],"AAAA-MM-JJ"))</f>
        <v/>
      </c>
      <c r="AO118" s="49">
        <f>Tableau1[[#This Row],[Date de Début]]-AM118</f>
        <v>45797</v>
      </c>
      <c r="AP118" s="217"/>
      <c r="AQ118" s="27">
        <f t="shared" ref="AQ118:AQ128" si="92">Tolérances_4</f>
        <v>14</v>
      </c>
      <c r="AR118" s="254" t="str">
        <f t="shared" ref="AR118:AR128" si="93">TEXT(AP118,"JJ/MM/AAAA")</f>
        <v>00/01/1900</v>
      </c>
      <c r="AS118" s="49">
        <f>Tableau1[[#This Row],[Date de Début]]-AQ118</f>
        <v>45804</v>
      </c>
      <c r="AT118" s="217"/>
      <c r="AU118" s="27">
        <f t="shared" ref="AU118:AU128" si="94">Tolérances_5</f>
        <v>14</v>
      </c>
      <c r="AV118" s="254" t="str">
        <f t="shared" ref="AV118:AV128" si="95">TEXT(AT118,"JJ-MM-AAAA")</f>
        <v>00-01-1900</v>
      </c>
      <c r="AW118" s="49">
        <f>Tableau1[[#This Row],[Date de Début]]-AU118</f>
        <v>45804</v>
      </c>
      <c r="AX118" s="217"/>
      <c r="AY118" s="293" t="str">
        <f t="shared" si="86"/>
        <v>1900-01-00</v>
      </c>
      <c r="AZ118" s="28">
        <f>IF(Tableau1[[#This Row],[Date limite de fin de rédaction]]&lt;Tableau1[[#This Row],[Date de fin de rédaction]],1,0)</f>
        <v>0</v>
      </c>
      <c r="BA118" s="28">
        <f>IF(Tableau1[[#This Row],[Date limite de fin de vérification]]&lt;Tableau1[[#This Row],[Date de fin de vérification]],1,0)</f>
        <v>0</v>
      </c>
      <c r="BB118" s="28">
        <f>IF(Tableau1[[#This Row],[Date limite d''envoi a  l''exploitation]]&lt;Tableau1[[#This Row],[Date d''envoi à  l''exploitation
(Mettre en copier le demandeur et le rédacteur)]],1,0)</f>
        <v>0</v>
      </c>
      <c r="BC118" s="28">
        <f>IF(Tableau1[[#This Row],[Date limite de réception]]&lt;Tableau1[[#This Row],[Date de réception]],1,0)</f>
        <v>0</v>
      </c>
      <c r="BD118" s="28">
        <f>IF(Tableau1[[#This Row],[Date limite limite de dépose sur la GED]]&lt;Tableau1[[#This Row],[Date de dépose sur la GED]],1,0)</f>
        <v>0</v>
      </c>
      <c r="BE118" s="294"/>
      <c r="BF118" s="310"/>
      <c r="BG118" s="311"/>
      <c r="BH118" s="312"/>
      <c r="BI118" s="312"/>
      <c r="BJ118" s="312"/>
      <c r="BK118" s="127"/>
    </row>
    <row r="119" spans="1:63" x14ac:dyDescent="0.25">
      <c r="A119" s="313">
        <v>110</v>
      </c>
      <c r="B119" s="90" t="s">
        <v>150</v>
      </c>
      <c r="C119" s="211">
        <v>15161</v>
      </c>
      <c r="D119" s="212" t="str">
        <f>IF(Tableau1[[#This Row],[Date de Début]]=0,"Saisir date de début","S"&amp; _xlfn.ISOWEEKNUM(R119))</f>
        <v>S24</v>
      </c>
      <c r="E119" s="24" t="s">
        <v>276</v>
      </c>
      <c r="F119" s="21"/>
      <c r="G119" s="213" t="str">
        <f>"xxx-2025-"&amp;Tableau1[[#This Row],[N° de 
Ctx]]&amp;"-"&amp;Tableau1[[#This Row],[N° semaine]]&amp;"-"&amp; Tableau1[[#This Row],[Nature des travaux]]</f>
        <v>xxx-2025-110-S24-Contrat 110</v>
      </c>
      <c r="H119" s="214" t="str">
        <f>IF(Tableau1[[#This Row],[Nature des travaux]]=0,"Saisir nature des travaux",Tableau1[[#This Row],[Colonne1]])&amp;"-"&amp;Tableau1[[#This Row],[Jour]]</f>
        <v>xxx-2025-110-S24-Contrat 110-MeJe</v>
      </c>
      <c r="I119" s="29"/>
      <c r="J119" s="24"/>
      <c r="K119" s="24"/>
      <c r="L119" s="21" t="s">
        <v>85</v>
      </c>
      <c r="M119" s="91">
        <v>1</v>
      </c>
      <c r="N119" s="92" t="s">
        <v>92</v>
      </c>
      <c r="O119" s="215" t="str">
        <f>IF(Tableau1[[#This Row],[Date de Fin]]-Tableau1[[#This Row],[Date de Début]]&gt;1,"X"," ")</f>
        <v xml:space="preserve"> </v>
      </c>
      <c r="P119" s="29"/>
      <c r="Q119" s="24"/>
      <c r="R119" s="116">
        <v>45819</v>
      </c>
      <c r="S119" s="285" t="str">
        <f t="shared" ref="S119:S128" si="96">TEXT(R119,"AAAA-MM-JJ")</f>
        <v>2025-06-11</v>
      </c>
      <c r="T119" s="216">
        <v>45820</v>
      </c>
      <c r="U119" s="280" t="str">
        <f t="shared" si="87"/>
        <v>2025-06-12</v>
      </c>
      <c r="V119" s="176" t="str">
        <f>PROPER(LEFT(TEXT(Tableau1[[#This Row],[Date de Début]],"jjjj"),2))&amp; "" &amp; PROPER(LEFT(TEXT(Tableau1[[#This Row],[Date de Début]]+1,"jjjj"),2))</f>
        <v>MeJe</v>
      </c>
      <c r="W119" s="175" t="str">
        <f>IF(Tableau1[[#This Row],[Nb jours]]&gt;1,PROPER(LEFT(TEXT(Tableau1[[#This Row],[Date de Début]]+1,"jjjj"),2))&amp; "" &amp; PROPER(LEFT(TEXT(Tableau1[[#This Row],[Date de Début]]+2,"jjjj"),2)),"")</f>
        <v/>
      </c>
      <c r="X119" s="175" t="str">
        <f>IF(Tableau1[[#This Row],[Nb jours]]&gt;2,PROPER(LEFT(TEXT(Tableau1[[#This Row],[Date de Début]]+2,"jjjj"),2))&amp; "" &amp; PROPER(LEFT(TEXT(Tableau1[[#This Row],[Date de Début]]+3,"jjjj"),2)),"")</f>
        <v/>
      </c>
      <c r="Y119" s="176" t="str">
        <f>IF(Tableau1[[#This Row],[Nb jours]]&gt;3,PROPER(LEFT(TEXT(Tableau1[[#This Row],[Date de Début]]+3,"jjjj"),2))&amp; "" &amp; PROPER(LEFT(TEXT(Tableau1[[#This Row],[Date de Début]]+4,"jjjj"),2)),"")</f>
        <v/>
      </c>
      <c r="Z119" s="175" t="str">
        <f>IF(Tableau1[[#This Row],[Nb jours]]&gt;4,PROPER(LEFT(TEXT(Tableau1[[#This Row],[Date de Début]]+4,"jjjj"),2))&amp; "" &amp; PROPER(LEFT(TEXT(Tableau1[[#This Row],[Date de Début]]+5,"jjjj"),2)),"")</f>
        <v/>
      </c>
      <c r="AA119" s="176" t="str">
        <f>IF(Tableau1[[#This Row],[Nb jours]]&gt;5,PROPER(LEFT(TEXT(Tableau1[[#This Row],[Date de Début]]+5,"jjjj"),2))&amp; "" &amp; PROPER(LEFT(TEXT(Tableau1[[#This Row],[Date de Début]]+6,"jjjj"),2)),"")</f>
        <v/>
      </c>
      <c r="AB119" s="177">
        <f>Tableau1[[#This Row],[Date de Fin]]-Tableau1[[#This Row],[Date de Début]]</f>
        <v>1</v>
      </c>
      <c r="AC119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119" s="42" t="s">
        <v>143</v>
      </c>
      <c r="AE119" s="25">
        <f t="shared" si="88"/>
        <v>28</v>
      </c>
      <c r="AF119" s="30">
        <f>Tableau1[[#This Row],[Date de Début]]-AE119</f>
        <v>45791</v>
      </c>
      <c r="AG119" s="217"/>
      <c r="AH119" s="25">
        <f t="shared" si="89"/>
        <v>21</v>
      </c>
      <c r="AI119" s="256" t="str">
        <f t="shared" si="90"/>
        <v>1900-01-00</v>
      </c>
      <c r="AJ119" s="44"/>
      <c r="AK119" s="30">
        <f>Tableau1[[#This Row],[Date de Début]]-AH119</f>
        <v>45798</v>
      </c>
      <c r="AL119" s="217"/>
      <c r="AM119" s="25">
        <f t="shared" si="91"/>
        <v>21</v>
      </c>
      <c r="AN119" s="266" t="str">
        <f>IF(AL119="","",TEXT(Tableau1[[#This Row],[Date de fin de vérification]],"AAAA-MM-JJ"))</f>
        <v/>
      </c>
      <c r="AO119" s="48">
        <f>Tableau1[[#This Row],[Date de Début]]-AM119</f>
        <v>45798</v>
      </c>
      <c r="AP119" s="217"/>
      <c r="AQ119" s="25">
        <f t="shared" si="92"/>
        <v>14</v>
      </c>
      <c r="AR119" s="256" t="str">
        <f t="shared" si="93"/>
        <v>00/01/1900</v>
      </c>
      <c r="AS119" s="48">
        <f>Tableau1[[#This Row],[Date de Début]]-AQ119</f>
        <v>45805</v>
      </c>
      <c r="AT119" s="217"/>
      <c r="AU119" s="25">
        <f t="shared" si="94"/>
        <v>14</v>
      </c>
      <c r="AV119" s="256" t="str">
        <f t="shared" si="95"/>
        <v>00-01-1900</v>
      </c>
      <c r="AW119" s="48">
        <f>Tableau1[[#This Row],[Date de Début]]-AU119</f>
        <v>45805</v>
      </c>
      <c r="AX119" s="217"/>
      <c r="AY119" s="290" t="str">
        <f t="shared" si="86"/>
        <v>1900-01-00</v>
      </c>
      <c r="AZ119" s="26">
        <f>IF(Tableau1[[#This Row],[Date limite de fin de rédaction]]&lt;Tableau1[[#This Row],[Date de fin de rédaction]],1,0)</f>
        <v>0</v>
      </c>
      <c r="BA119" s="26">
        <f>IF(Tableau1[[#This Row],[Date limite de fin de vérification]]&lt;Tableau1[[#This Row],[Date de fin de vérification]],1,0)</f>
        <v>0</v>
      </c>
      <c r="BB119" s="26">
        <f>IF(Tableau1[[#This Row],[Date limite d''envoi a  l''exploitation]]&lt;Tableau1[[#This Row],[Date d''envoi à  l''exploitation
(Mettre en copier le demandeur et le rédacteur)]],1,0)</f>
        <v>0</v>
      </c>
      <c r="BC119" s="26">
        <f>IF(Tableau1[[#This Row],[Date limite de réception]]&lt;Tableau1[[#This Row],[Date de réception]],1,0)</f>
        <v>0</v>
      </c>
      <c r="BD119" s="26">
        <f>IF(Tableau1[[#This Row],[Date limite limite de dépose sur la GED]]&lt;Tableau1[[#This Row],[Date de dépose sur la GED]],1,0)</f>
        <v>0</v>
      </c>
      <c r="BE119" s="291"/>
      <c r="BF119" s="319"/>
      <c r="BG119" s="311"/>
      <c r="BH119" s="295"/>
      <c r="BI119" s="295"/>
      <c r="BJ119" s="295"/>
      <c r="BK119" s="127"/>
    </row>
    <row r="120" spans="1:63" x14ac:dyDescent="0.25">
      <c r="A120" s="313">
        <v>111</v>
      </c>
      <c r="B120" s="90" t="s">
        <v>150</v>
      </c>
      <c r="C120" s="90">
        <v>15161</v>
      </c>
      <c r="D120" s="98" t="str">
        <f>IF(Tableau1[[#This Row],[Date de Début]]=0,"Saisir date de début","S"&amp; _xlfn.ISOWEEKNUM(R120))</f>
        <v>S24</v>
      </c>
      <c r="E120" s="24" t="s">
        <v>277</v>
      </c>
      <c r="F120" s="21"/>
      <c r="G120" s="91" t="str">
        <f>"xxx-2025-"&amp;Tableau1[[#This Row],[N° de 
Ctx]]&amp;"-"&amp;Tableau1[[#This Row],[N° semaine]]&amp;"-"&amp; Tableau1[[#This Row],[Nature des travaux]]</f>
        <v>xxx-2025-111-S24-Contrat 111</v>
      </c>
      <c r="H120" s="208" t="str">
        <f>IF(Tableau1[[#This Row],[Nature des travaux]]=0,"Saisir nature des travaux",Tableau1[[#This Row],[Colonne1]])&amp;"-"&amp;Tableau1[[#This Row],[Jour]]</f>
        <v>xxx-2025-111-S24-Contrat 111-JeVe</v>
      </c>
      <c r="I120" s="20"/>
      <c r="J120" s="21"/>
      <c r="K120" s="21"/>
      <c r="L120" s="21" t="s">
        <v>85</v>
      </c>
      <c r="M120" s="91">
        <v>1</v>
      </c>
      <c r="N120" s="92" t="s">
        <v>92</v>
      </c>
      <c r="O120" s="92" t="str">
        <f>IF(Tableau1[[#This Row],[Date de Fin]]-Tableau1[[#This Row],[Date de Début]]&gt;1,"X"," ")</f>
        <v xml:space="preserve"> </v>
      </c>
      <c r="P120" s="20"/>
      <c r="Q120" s="21"/>
      <c r="R120" s="99">
        <v>45820</v>
      </c>
      <c r="S120" s="280" t="str">
        <f t="shared" si="96"/>
        <v>2025-06-12</v>
      </c>
      <c r="T120" s="209">
        <v>45821</v>
      </c>
      <c r="U120" s="280" t="str">
        <f t="shared" si="87"/>
        <v>2025-06-13</v>
      </c>
      <c r="V120" s="176" t="str">
        <f>PROPER(LEFT(TEXT(Tableau1[[#This Row],[Date de Début]],"jjjj"),2))&amp; "" &amp; PROPER(LEFT(TEXT(Tableau1[[#This Row],[Date de Début]]+1,"jjjj"),2))</f>
        <v>JeVe</v>
      </c>
      <c r="W120" s="175" t="str">
        <f>IF(Tableau1[[#This Row],[Nb jours]]&gt;1,PROPER(LEFT(TEXT(Tableau1[[#This Row],[Date de Début]]+1,"jjjj"),2))&amp; "" &amp; PROPER(LEFT(TEXT(Tableau1[[#This Row],[Date de Début]]+2,"jjjj"),2)),"")</f>
        <v/>
      </c>
      <c r="X120" s="175" t="str">
        <f>IF(Tableau1[[#This Row],[Nb jours]]&gt;2,PROPER(LEFT(TEXT(Tableau1[[#This Row],[Date de Début]]+2,"jjjj"),2))&amp; "" &amp; PROPER(LEFT(TEXT(Tableau1[[#This Row],[Date de Début]]+3,"jjjj"),2)),"")</f>
        <v/>
      </c>
      <c r="Y120" s="176" t="str">
        <f>IF(Tableau1[[#This Row],[Nb jours]]&gt;3,PROPER(LEFT(TEXT(Tableau1[[#This Row],[Date de Début]]+3,"jjjj"),2))&amp; "" &amp; PROPER(LEFT(TEXT(Tableau1[[#This Row],[Date de Début]]+4,"jjjj"),2)),"")</f>
        <v/>
      </c>
      <c r="Z120" s="175" t="str">
        <f>IF(Tableau1[[#This Row],[Nb jours]]&gt;4,PROPER(LEFT(TEXT(Tableau1[[#This Row],[Date de Début]]+4,"jjjj"),2))&amp; "" &amp; PROPER(LEFT(TEXT(Tableau1[[#This Row],[Date de Début]]+5,"jjjj"),2)),"")</f>
        <v/>
      </c>
      <c r="AA120" s="176" t="str">
        <f>IF(Tableau1[[#This Row],[Nb jours]]&gt;5,PROPER(LEFT(TEXT(Tableau1[[#This Row],[Date de Début]]+5,"jjjj"),2))&amp; "" &amp; PROPER(LEFT(TEXT(Tableau1[[#This Row],[Date de Début]]+6,"jjjj"),2)),"")</f>
        <v/>
      </c>
      <c r="AB120" s="177">
        <f>Tableau1[[#This Row],[Date de Fin]]-Tableau1[[#This Row],[Date de Début]]</f>
        <v>1</v>
      </c>
      <c r="AC120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120" s="42" t="s">
        <v>143</v>
      </c>
      <c r="AE120" s="27">
        <f t="shared" si="88"/>
        <v>28</v>
      </c>
      <c r="AF120" s="31">
        <f>Tableau1[[#This Row],[Date de Début]]-AE120</f>
        <v>45792</v>
      </c>
      <c r="AG120" s="93"/>
      <c r="AH120" s="27">
        <f t="shared" si="89"/>
        <v>21</v>
      </c>
      <c r="AI120" s="254" t="str">
        <f t="shared" si="90"/>
        <v>1900-01-00</v>
      </c>
      <c r="AJ120" s="45"/>
      <c r="AK120" s="31">
        <f>Tableau1[[#This Row],[Date de Début]]-AH120</f>
        <v>45799</v>
      </c>
      <c r="AL120" s="217"/>
      <c r="AM120" s="27">
        <f t="shared" si="91"/>
        <v>21</v>
      </c>
      <c r="AN120" s="264" t="str">
        <f>IF(AL120="","",TEXT(Tableau1[[#This Row],[Date de fin de vérification]],"AAAA-MM-JJ"))</f>
        <v/>
      </c>
      <c r="AO120" s="49">
        <f>Tableau1[[#This Row],[Date de Début]]-AM120</f>
        <v>45799</v>
      </c>
      <c r="AP120" s="217"/>
      <c r="AQ120" s="27">
        <f t="shared" si="92"/>
        <v>14</v>
      </c>
      <c r="AR120" s="254" t="str">
        <f t="shared" si="93"/>
        <v>00/01/1900</v>
      </c>
      <c r="AS120" s="49">
        <f>Tableau1[[#This Row],[Date de Début]]-AQ120</f>
        <v>45806</v>
      </c>
      <c r="AT120" s="217"/>
      <c r="AU120" s="27">
        <f t="shared" si="94"/>
        <v>14</v>
      </c>
      <c r="AV120" s="254" t="str">
        <f t="shared" si="95"/>
        <v>00-01-1900</v>
      </c>
      <c r="AW120" s="49">
        <f>Tableau1[[#This Row],[Date de Début]]-AU120</f>
        <v>45806</v>
      </c>
      <c r="AX120" s="217"/>
      <c r="AY120" s="293" t="str">
        <f t="shared" si="86"/>
        <v>1900-01-00</v>
      </c>
      <c r="AZ120" s="28">
        <f>IF(Tableau1[[#This Row],[Date limite de fin de rédaction]]&lt;Tableau1[[#This Row],[Date de fin de rédaction]],1,0)</f>
        <v>0</v>
      </c>
      <c r="BA120" s="28">
        <f>IF(Tableau1[[#This Row],[Date limite de fin de vérification]]&lt;Tableau1[[#This Row],[Date de fin de vérification]],1,0)</f>
        <v>0</v>
      </c>
      <c r="BB120" s="28">
        <f>IF(Tableau1[[#This Row],[Date limite d''envoi a  l''exploitation]]&lt;Tableau1[[#This Row],[Date d''envoi à  l''exploitation
(Mettre en copier le demandeur et le rédacteur)]],1,0)</f>
        <v>0</v>
      </c>
      <c r="BC120" s="28">
        <f>IF(Tableau1[[#This Row],[Date limite de réception]]&lt;Tableau1[[#This Row],[Date de réception]],1,0)</f>
        <v>0</v>
      </c>
      <c r="BD120" s="28">
        <f>IF(Tableau1[[#This Row],[Date limite limite de dépose sur la GED]]&lt;Tableau1[[#This Row],[Date de dépose sur la GED]],1,0)</f>
        <v>0</v>
      </c>
      <c r="BE120" s="294"/>
      <c r="BF120" s="310"/>
      <c r="BG120" s="311"/>
      <c r="BH120" s="312"/>
      <c r="BI120" s="312"/>
      <c r="BJ120" s="312"/>
      <c r="BK120" s="127"/>
    </row>
    <row r="121" spans="1:63" x14ac:dyDescent="0.25">
      <c r="A121" s="313">
        <v>112</v>
      </c>
      <c r="B121" s="90" t="s">
        <v>150</v>
      </c>
      <c r="C121" s="90">
        <v>15162</v>
      </c>
      <c r="D121" s="98" t="str">
        <f>IF(Tableau1[[#This Row],[Date de Début]]=0,"Saisir date de début","S"&amp; _xlfn.ISOWEEKNUM(R121))</f>
        <v>S25</v>
      </c>
      <c r="E121" s="24" t="s">
        <v>278</v>
      </c>
      <c r="F121" s="21"/>
      <c r="G121" s="91" t="str">
        <f>"xxx-2025-"&amp;Tableau1[[#This Row],[N° de 
Ctx]]&amp;"-"&amp;Tableau1[[#This Row],[N° semaine]]&amp;"-"&amp; Tableau1[[#This Row],[Nature des travaux]]</f>
        <v>xxx-2025-112-S25-Contrat 112</v>
      </c>
      <c r="H121" s="208" t="str">
        <f>IF(Tableau1[[#This Row],[Nature des travaux]]=0,"Saisir nature des travaux",Tableau1[[#This Row],[Colonne1]])&amp;"-"&amp;Tableau1[[#This Row],[Jour]]</f>
        <v>xxx-2025-112-S25-Contrat 112-LuMa</v>
      </c>
      <c r="I121" s="20"/>
      <c r="J121" s="21"/>
      <c r="K121" s="21"/>
      <c r="L121" s="21" t="s">
        <v>85</v>
      </c>
      <c r="M121" s="91">
        <v>1</v>
      </c>
      <c r="N121" s="92" t="s">
        <v>92</v>
      </c>
      <c r="O121" s="92" t="str">
        <f>IF(Tableau1[[#This Row],[Date de Fin]]-Tableau1[[#This Row],[Date de Début]]&gt;1,"X"," ")</f>
        <v xml:space="preserve"> </v>
      </c>
      <c r="P121" s="20"/>
      <c r="Q121" s="21"/>
      <c r="R121" s="99">
        <v>45824</v>
      </c>
      <c r="S121" s="280" t="str">
        <f t="shared" si="96"/>
        <v>2025-06-16</v>
      </c>
      <c r="T121" s="209">
        <v>45825</v>
      </c>
      <c r="U121" s="280" t="str">
        <f t="shared" si="87"/>
        <v>2025-06-17</v>
      </c>
      <c r="V121" s="176" t="str">
        <f>PROPER(LEFT(TEXT(Tableau1[[#This Row],[Date de Début]],"jjjj"),2))&amp; "" &amp; PROPER(LEFT(TEXT(Tableau1[[#This Row],[Date de Début]]+1,"jjjj"),2))</f>
        <v>LuMa</v>
      </c>
      <c r="W121" s="175" t="str">
        <f>IF(Tableau1[[#This Row],[Nb jours]]&gt;1,PROPER(LEFT(TEXT(Tableau1[[#This Row],[Date de Début]]+1,"jjjj"),2))&amp; "" &amp; PROPER(LEFT(TEXT(Tableau1[[#This Row],[Date de Début]]+2,"jjjj"),2)),"")</f>
        <v/>
      </c>
      <c r="X121" s="175" t="str">
        <f>IF(Tableau1[[#This Row],[Nb jours]]&gt;2,PROPER(LEFT(TEXT(Tableau1[[#This Row],[Date de Début]]+2,"jjjj"),2))&amp; "" &amp; PROPER(LEFT(TEXT(Tableau1[[#This Row],[Date de Début]]+3,"jjjj"),2)),"")</f>
        <v/>
      </c>
      <c r="Y121" s="176" t="str">
        <f>IF(Tableau1[[#This Row],[Nb jours]]&gt;3,PROPER(LEFT(TEXT(Tableau1[[#This Row],[Date de Début]]+3,"jjjj"),2))&amp; "" &amp; PROPER(LEFT(TEXT(Tableau1[[#This Row],[Date de Début]]+4,"jjjj"),2)),"")</f>
        <v/>
      </c>
      <c r="Z121" s="175" t="str">
        <f>IF(Tableau1[[#This Row],[Nb jours]]&gt;4,PROPER(LEFT(TEXT(Tableau1[[#This Row],[Date de Début]]+4,"jjjj"),2))&amp; "" &amp; PROPER(LEFT(TEXT(Tableau1[[#This Row],[Date de Début]]+5,"jjjj"),2)),"")</f>
        <v/>
      </c>
      <c r="AA121" s="176" t="str">
        <f>IF(Tableau1[[#This Row],[Nb jours]]&gt;5,PROPER(LEFT(TEXT(Tableau1[[#This Row],[Date de Début]]+5,"jjjj"),2))&amp; "" &amp; PROPER(LEFT(TEXT(Tableau1[[#This Row],[Date de Début]]+6,"jjjj"),2)),"")</f>
        <v/>
      </c>
      <c r="AB121" s="177">
        <f>Tableau1[[#This Row],[Date de Fin]]-Tableau1[[#This Row],[Date de Début]]</f>
        <v>1</v>
      </c>
      <c r="AC121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121" s="42" t="s">
        <v>143</v>
      </c>
      <c r="AE121" s="27">
        <f t="shared" si="88"/>
        <v>28</v>
      </c>
      <c r="AF121" s="31">
        <f>Tableau1[[#This Row],[Date de Début]]-AE121</f>
        <v>45796</v>
      </c>
      <c r="AG121" s="93"/>
      <c r="AH121" s="27">
        <f t="shared" si="89"/>
        <v>21</v>
      </c>
      <c r="AI121" s="254" t="str">
        <f t="shared" si="90"/>
        <v>1900-01-00</v>
      </c>
      <c r="AJ121" s="45"/>
      <c r="AK121" s="31">
        <f>Tableau1[[#This Row],[Date de Début]]-AH121</f>
        <v>45803</v>
      </c>
      <c r="AL121" s="217"/>
      <c r="AM121" s="27">
        <f t="shared" si="91"/>
        <v>21</v>
      </c>
      <c r="AN121" s="264" t="str">
        <f>IF(AL121="","",TEXT(Tableau1[[#This Row],[Date de fin de vérification]],"AAAA-MM-JJ"))</f>
        <v/>
      </c>
      <c r="AO121" s="49">
        <f>Tableau1[[#This Row],[Date de Début]]-AM121</f>
        <v>45803</v>
      </c>
      <c r="AP121" s="217"/>
      <c r="AQ121" s="27">
        <f t="shared" si="92"/>
        <v>14</v>
      </c>
      <c r="AR121" s="254" t="str">
        <f t="shared" si="93"/>
        <v>00/01/1900</v>
      </c>
      <c r="AS121" s="49">
        <f>Tableau1[[#This Row],[Date de Début]]-AQ121</f>
        <v>45810</v>
      </c>
      <c r="AT121" s="217"/>
      <c r="AU121" s="27">
        <f t="shared" si="94"/>
        <v>14</v>
      </c>
      <c r="AV121" s="254" t="str">
        <f t="shared" si="95"/>
        <v>00-01-1900</v>
      </c>
      <c r="AW121" s="49">
        <f>Tableau1[[#This Row],[Date de Début]]-AU121</f>
        <v>45810</v>
      </c>
      <c r="AX121" s="217"/>
      <c r="AY121" s="293" t="str">
        <f t="shared" si="86"/>
        <v>1900-01-00</v>
      </c>
      <c r="AZ121" s="28">
        <f>IF(Tableau1[[#This Row],[Date limite de fin de rédaction]]&lt;Tableau1[[#This Row],[Date de fin de rédaction]],1,0)</f>
        <v>0</v>
      </c>
      <c r="BA121" s="28">
        <f>IF(Tableau1[[#This Row],[Date limite de fin de vérification]]&lt;Tableau1[[#This Row],[Date de fin de vérification]],1,0)</f>
        <v>0</v>
      </c>
      <c r="BB121" s="28">
        <f>IF(Tableau1[[#This Row],[Date limite d''envoi a  l''exploitation]]&lt;Tableau1[[#This Row],[Date d''envoi à  l''exploitation
(Mettre en copier le demandeur et le rédacteur)]],1,0)</f>
        <v>0</v>
      </c>
      <c r="BC121" s="28">
        <f>IF(Tableau1[[#This Row],[Date limite de réception]]&lt;Tableau1[[#This Row],[Date de réception]],1,0)</f>
        <v>0</v>
      </c>
      <c r="BD121" s="28">
        <f>IF(Tableau1[[#This Row],[Date limite limite de dépose sur la GED]]&lt;Tableau1[[#This Row],[Date de dépose sur la GED]],1,0)</f>
        <v>0</v>
      </c>
      <c r="BE121" s="294"/>
      <c r="BF121" s="310"/>
      <c r="BG121" s="311"/>
      <c r="BH121" s="312"/>
      <c r="BI121" s="312"/>
      <c r="BJ121" s="312"/>
      <c r="BK121" s="127"/>
    </row>
    <row r="122" spans="1:63" x14ac:dyDescent="0.25">
      <c r="A122" s="313">
        <v>113</v>
      </c>
      <c r="B122" s="90" t="s">
        <v>150</v>
      </c>
      <c r="C122" s="90">
        <v>15162</v>
      </c>
      <c r="D122" s="98" t="str">
        <f>IF(Tableau1[[#This Row],[Date de Début]]=0,"Saisir date de début","S"&amp; _xlfn.ISOWEEKNUM(R122))</f>
        <v>S25</v>
      </c>
      <c r="E122" s="24" t="s">
        <v>279</v>
      </c>
      <c r="F122" s="21"/>
      <c r="G122" s="91" t="str">
        <f>"xxx-2025-"&amp;Tableau1[[#This Row],[N° de 
Ctx]]&amp;"-"&amp;Tableau1[[#This Row],[N° semaine]]&amp;"-"&amp; Tableau1[[#This Row],[Nature des travaux]]</f>
        <v>xxx-2025-113-S25-Contrat 113</v>
      </c>
      <c r="H122" s="208" t="str">
        <f>IF(Tableau1[[#This Row],[Nature des travaux]]=0,"Saisir nature des travaux",Tableau1[[#This Row],[Colonne1]])&amp;"-"&amp;Tableau1[[#This Row],[Jour]]</f>
        <v>xxx-2025-113-S25-Contrat 113-MaMe</v>
      </c>
      <c r="I122" s="20"/>
      <c r="J122" s="21"/>
      <c r="K122" s="21"/>
      <c r="L122" s="21" t="s">
        <v>85</v>
      </c>
      <c r="M122" s="91">
        <v>1</v>
      </c>
      <c r="N122" s="92" t="s">
        <v>92</v>
      </c>
      <c r="O122" s="92" t="str">
        <f>IF(Tableau1[[#This Row],[Date de Fin]]-Tableau1[[#This Row],[Date de Début]]&gt;1,"X"," ")</f>
        <v xml:space="preserve"> </v>
      </c>
      <c r="P122" s="20"/>
      <c r="Q122" s="21"/>
      <c r="R122" s="99">
        <v>45825</v>
      </c>
      <c r="S122" s="280" t="str">
        <f t="shared" si="96"/>
        <v>2025-06-17</v>
      </c>
      <c r="T122" s="209">
        <v>45826</v>
      </c>
      <c r="U122" s="280" t="str">
        <f t="shared" si="87"/>
        <v>2025-06-18</v>
      </c>
      <c r="V122" s="176" t="str">
        <f>PROPER(LEFT(TEXT(Tableau1[[#This Row],[Date de Début]],"jjjj"),2))&amp; "" &amp; PROPER(LEFT(TEXT(Tableau1[[#This Row],[Date de Début]]+1,"jjjj"),2))</f>
        <v>MaMe</v>
      </c>
      <c r="W122" s="175" t="str">
        <f>IF(Tableau1[[#This Row],[Nb jours]]&gt;1,PROPER(LEFT(TEXT(Tableau1[[#This Row],[Date de Début]]+1,"jjjj"),2))&amp; "" &amp; PROPER(LEFT(TEXT(Tableau1[[#This Row],[Date de Début]]+2,"jjjj"),2)),"")</f>
        <v/>
      </c>
      <c r="X122" s="175" t="str">
        <f>IF(Tableau1[[#This Row],[Nb jours]]&gt;2,PROPER(LEFT(TEXT(Tableau1[[#This Row],[Date de Début]]+2,"jjjj"),2))&amp; "" &amp; PROPER(LEFT(TEXT(Tableau1[[#This Row],[Date de Début]]+3,"jjjj"),2)),"")</f>
        <v/>
      </c>
      <c r="Y122" s="176" t="str">
        <f>IF(Tableau1[[#This Row],[Nb jours]]&gt;3,PROPER(LEFT(TEXT(Tableau1[[#This Row],[Date de Début]]+3,"jjjj"),2))&amp; "" &amp; PROPER(LEFT(TEXT(Tableau1[[#This Row],[Date de Début]]+4,"jjjj"),2)),"")</f>
        <v/>
      </c>
      <c r="Z122" s="175" t="str">
        <f>IF(Tableau1[[#This Row],[Nb jours]]&gt;4,PROPER(LEFT(TEXT(Tableau1[[#This Row],[Date de Début]]+4,"jjjj"),2))&amp; "" &amp; PROPER(LEFT(TEXT(Tableau1[[#This Row],[Date de Début]]+5,"jjjj"),2)),"")</f>
        <v/>
      </c>
      <c r="AA122" s="176" t="str">
        <f>IF(Tableau1[[#This Row],[Nb jours]]&gt;5,PROPER(LEFT(TEXT(Tableau1[[#This Row],[Date de Début]]+5,"jjjj"),2))&amp; "" &amp; PROPER(LEFT(TEXT(Tableau1[[#This Row],[Date de Début]]+6,"jjjj"),2)),"")</f>
        <v/>
      </c>
      <c r="AB122" s="177">
        <f>Tableau1[[#This Row],[Date de Fin]]-Tableau1[[#This Row],[Date de Début]]</f>
        <v>1</v>
      </c>
      <c r="AC122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22" s="42" t="s">
        <v>143</v>
      </c>
      <c r="AE122" s="27">
        <f t="shared" si="88"/>
        <v>28</v>
      </c>
      <c r="AF122" s="31">
        <f>Tableau1[[#This Row],[Date de Début]]-AE122</f>
        <v>45797</v>
      </c>
      <c r="AG122" s="93"/>
      <c r="AH122" s="27">
        <f t="shared" si="89"/>
        <v>21</v>
      </c>
      <c r="AI122" s="254" t="str">
        <f t="shared" si="90"/>
        <v>1900-01-00</v>
      </c>
      <c r="AJ122" s="45"/>
      <c r="AK122" s="31">
        <f>Tableau1[[#This Row],[Date de Début]]-AH122</f>
        <v>45804</v>
      </c>
      <c r="AL122" s="217"/>
      <c r="AM122" s="27">
        <f t="shared" si="91"/>
        <v>21</v>
      </c>
      <c r="AN122" s="264" t="str">
        <f>IF(AL122="","",TEXT(Tableau1[[#This Row],[Date de fin de vérification]],"AAAA-MM-JJ"))</f>
        <v/>
      </c>
      <c r="AO122" s="49">
        <f>Tableau1[[#This Row],[Date de Début]]-AM122</f>
        <v>45804</v>
      </c>
      <c r="AP122" s="217"/>
      <c r="AQ122" s="27">
        <f t="shared" si="92"/>
        <v>14</v>
      </c>
      <c r="AR122" s="254" t="str">
        <f t="shared" si="93"/>
        <v>00/01/1900</v>
      </c>
      <c r="AS122" s="49">
        <f>Tableau1[[#This Row],[Date de Début]]-AQ122</f>
        <v>45811</v>
      </c>
      <c r="AT122" s="217"/>
      <c r="AU122" s="27">
        <f t="shared" si="94"/>
        <v>14</v>
      </c>
      <c r="AV122" s="254" t="str">
        <f t="shared" si="95"/>
        <v>00-01-1900</v>
      </c>
      <c r="AW122" s="49">
        <f>Tableau1[[#This Row],[Date de Début]]-AU122</f>
        <v>45811</v>
      </c>
      <c r="AX122" s="217"/>
      <c r="AY122" s="293" t="str">
        <f t="shared" si="86"/>
        <v>1900-01-00</v>
      </c>
      <c r="AZ122" s="28">
        <f>IF(Tableau1[[#This Row],[Date limite de fin de rédaction]]&lt;Tableau1[[#This Row],[Date de fin de rédaction]],1,0)</f>
        <v>0</v>
      </c>
      <c r="BA122" s="28">
        <f>IF(Tableau1[[#This Row],[Date limite de fin de vérification]]&lt;Tableau1[[#This Row],[Date de fin de vérification]],1,0)</f>
        <v>0</v>
      </c>
      <c r="BB122" s="28">
        <f>IF(Tableau1[[#This Row],[Date limite d''envoi a  l''exploitation]]&lt;Tableau1[[#This Row],[Date d''envoi à  l''exploitation
(Mettre en copier le demandeur et le rédacteur)]],1,0)</f>
        <v>0</v>
      </c>
      <c r="BC122" s="28">
        <f>IF(Tableau1[[#This Row],[Date limite de réception]]&lt;Tableau1[[#This Row],[Date de réception]],1,0)</f>
        <v>0</v>
      </c>
      <c r="BD122" s="28">
        <f>IF(Tableau1[[#This Row],[Date limite limite de dépose sur la GED]]&lt;Tableau1[[#This Row],[Date de dépose sur la GED]],1,0)</f>
        <v>0</v>
      </c>
      <c r="BE122" s="294"/>
      <c r="BF122" s="310"/>
      <c r="BG122" s="311"/>
      <c r="BH122" s="312"/>
      <c r="BI122" s="312"/>
      <c r="BJ122" s="312"/>
      <c r="BK122" s="127"/>
    </row>
    <row r="123" spans="1:63" x14ac:dyDescent="0.25">
      <c r="A123" s="313">
        <v>114</v>
      </c>
      <c r="B123" s="90" t="s">
        <v>150</v>
      </c>
      <c r="C123" s="90">
        <v>15162</v>
      </c>
      <c r="D123" s="98" t="str">
        <f>IF(Tableau1[[#This Row],[Date de Début]]=0,"Saisir date de début","S"&amp; _xlfn.ISOWEEKNUM(R123))</f>
        <v>S25</v>
      </c>
      <c r="E123" s="24" t="s">
        <v>280</v>
      </c>
      <c r="F123" s="21"/>
      <c r="G123" s="91" t="str">
        <f>"xxx-2025-"&amp;Tableau1[[#This Row],[N° de 
Ctx]]&amp;"-"&amp;Tableau1[[#This Row],[N° semaine]]&amp;"-"&amp; Tableau1[[#This Row],[Nature des travaux]]</f>
        <v>xxx-2025-114-S25-Contrat 114</v>
      </c>
      <c r="H123" s="208" t="str">
        <f>IF(Tableau1[[#This Row],[Nature des travaux]]=0,"Saisir nature des travaux",Tableau1[[#This Row],[Colonne1]])&amp;"-"&amp;Tableau1[[#This Row],[Jour]]</f>
        <v>xxx-2025-114-S25-Contrat 114-MeJe</v>
      </c>
      <c r="I123" s="20"/>
      <c r="J123" s="21"/>
      <c r="K123" s="21"/>
      <c r="L123" s="21" t="s">
        <v>85</v>
      </c>
      <c r="M123" s="91">
        <v>1</v>
      </c>
      <c r="N123" s="92" t="s">
        <v>92</v>
      </c>
      <c r="O123" s="92" t="str">
        <f>IF(Tableau1[[#This Row],[Date de Fin]]-Tableau1[[#This Row],[Date de Début]]&gt;1,"X"," ")</f>
        <v xml:space="preserve"> </v>
      </c>
      <c r="P123" s="20"/>
      <c r="Q123" s="21"/>
      <c r="R123" s="99">
        <v>45826</v>
      </c>
      <c r="S123" s="280" t="str">
        <f t="shared" si="96"/>
        <v>2025-06-18</v>
      </c>
      <c r="T123" s="209">
        <v>45827</v>
      </c>
      <c r="U123" s="280" t="str">
        <f t="shared" si="87"/>
        <v>2025-06-19</v>
      </c>
      <c r="V123" s="176" t="str">
        <f>PROPER(LEFT(TEXT(Tableau1[[#This Row],[Date de Début]],"jjjj"),2))&amp; "" &amp; PROPER(LEFT(TEXT(Tableau1[[#This Row],[Date de Début]]+1,"jjjj"),2))</f>
        <v>MeJe</v>
      </c>
      <c r="W123" s="175" t="str">
        <f>IF(Tableau1[[#This Row],[Nb jours]]&gt;1,PROPER(LEFT(TEXT(Tableau1[[#This Row],[Date de Début]]+1,"jjjj"),2))&amp; "" &amp; PROPER(LEFT(TEXT(Tableau1[[#This Row],[Date de Début]]+2,"jjjj"),2)),"")</f>
        <v/>
      </c>
      <c r="X123" s="175" t="str">
        <f>IF(Tableau1[[#This Row],[Nb jours]]&gt;2,PROPER(LEFT(TEXT(Tableau1[[#This Row],[Date de Début]]+2,"jjjj"),2))&amp; "" &amp; PROPER(LEFT(TEXT(Tableau1[[#This Row],[Date de Début]]+3,"jjjj"),2)),"")</f>
        <v/>
      </c>
      <c r="Y123" s="176" t="str">
        <f>IF(Tableau1[[#This Row],[Nb jours]]&gt;3,PROPER(LEFT(TEXT(Tableau1[[#This Row],[Date de Début]]+3,"jjjj"),2))&amp; "" &amp; PROPER(LEFT(TEXT(Tableau1[[#This Row],[Date de Début]]+4,"jjjj"),2)),"")</f>
        <v/>
      </c>
      <c r="Z123" s="175" t="str">
        <f>IF(Tableau1[[#This Row],[Nb jours]]&gt;4,PROPER(LEFT(TEXT(Tableau1[[#This Row],[Date de Début]]+4,"jjjj"),2))&amp; "" &amp; PROPER(LEFT(TEXT(Tableau1[[#This Row],[Date de Début]]+5,"jjjj"),2)),"")</f>
        <v/>
      </c>
      <c r="AA123" s="176" t="str">
        <f>IF(Tableau1[[#This Row],[Nb jours]]&gt;5,PROPER(LEFT(TEXT(Tableau1[[#This Row],[Date de Début]]+5,"jjjj"),2))&amp; "" &amp; PROPER(LEFT(TEXT(Tableau1[[#This Row],[Date de Début]]+6,"jjjj"),2)),"")</f>
        <v/>
      </c>
      <c r="AB123" s="177">
        <f>Tableau1[[#This Row],[Date de Fin]]-Tableau1[[#This Row],[Date de Début]]</f>
        <v>1</v>
      </c>
      <c r="AC123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123" s="42" t="s">
        <v>143</v>
      </c>
      <c r="AE123" s="27">
        <f t="shared" si="88"/>
        <v>28</v>
      </c>
      <c r="AF123" s="31">
        <f>Tableau1[[#This Row],[Date de Début]]-AE123</f>
        <v>45798</v>
      </c>
      <c r="AG123" s="93"/>
      <c r="AH123" s="27">
        <f t="shared" si="89"/>
        <v>21</v>
      </c>
      <c r="AI123" s="254" t="str">
        <f t="shared" si="90"/>
        <v>1900-01-00</v>
      </c>
      <c r="AJ123" s="45"/>
      <c r="AK123" s="31">
        <f>Tableau1[[#This Row],[Date de Début]]-AH123</f>
        <v>45805</v>
      </c>
      <c r="AL123" s="217"/>
      <c r="AM123" s="27">
        <f t="shared" si="91"/>
        <v>21</v>
      </c>
      <c r="AN123" s="264" t="str">
        <f>IF(AL123="","",TEXT(Tableau1[[#This Row],[Date de fin de vérification]],"AAAA-MM-JJ"))</f>
        <v/>
      </c>
      <c r="AO123" s="49">
        <f>Tableau1[[#This Row],[Date de Début]]-AM123</f>
        <v>45805</v>
      </c>
      <c r="AP123" s="217"/>
      <c r="AQ123" s="27">
        <f t="shared" si="92"/>
        <v>14</v>
      </c>
      <c r="AR123" s="254" t="str">
        <f t="shared" si="93"/>
        <v>00/01/1900</v>
      </c>
      <c r="AS123" s="49">
        <f>Tableau1[[#This Row],[Date de Début]]-AQ123</f>
        <v>45812</v>
      </c>
      <c r="AT123" s="217"/>
      <c r="AU123" s="27">
        <f t="shared" si="94"/>
        <v>14</v>
      </c>
      <c r="AV123" s="254" t="str">
        <f t="shared" si="95"/>
        <v>00-01-1900</v>
      </c>
      <c r="AW123" s="49">
        <f>Tableau1[[#This Row],[Date de Début]]-AU123</f>
        <v>45812</v>
      </c>
      <c r="AX123" s="217"/>
      <c r="AY123" s="293" t="str">
        <f t="shared" si="86"/>
        <v>1900-01-00</v>
      </c>
      <c r="AZ123" s="28">
        <f>IF(Tableau1[[#This Row],[Date limite de fin de rédaction]]&lt;Tableau1[[#This Row],[Date de fin de rédaction]],1,0)</f>
        <v>0</v>
      </c>
      <c r="BA123" s="28">
        <f>IF(Tableau1[[#This Row],[Date limite de fin de vérification]]&lt;Tableau1[[#This Row],[Date de fin de vérification]],1,0)</f>
        <v>0</v>
      </c>
      <c r="BB123" s="28">
        <f>IF(Tableau1[[#This Row],[Date limite d''envoi a  l''exploitation]]&lt;Tableau1[[#This Row],[Date d''envoi à  l''exploitation
(Mettre en copier le demandeur et le rédacteur)]],1,0)</f>
        <v>0</v>
      </c>
      <c r="BC123" s="28">
        <f>IF(Tableau1[[#This Row],[Date limite de réception]]&lt;Tableau1[[#This Row],[Date de réception]],1,0)</f>
        <v>0</v>
      </c>
      <c r="BD123" s="28">
        <f>IF(Tableau1[[#This Row],[Date limite limite de dépose sur la GED]]&lt;Tableau1[[#This Row],[Date de dépose sur la GED]],1,0)</f>
        <v>0</v>
      </c>
      <c r="BE123" s="294"/>
      <c r="BF123" s="310"/>
      <c r="BG123" s="311"/>
      <c r="BH123" s="312"/>
      <c r="BI123" s="312"/>
      <c r="BJ123" s="312"/>
      <c r="BK123" s="127"/>
    </row>
    <row r="124" spans="1:63" x14ac:dyDescent="0.25">
      <c r="A124" s="313">
        <v>115</v>
      </c>
      <c r="B124" s="90" t="s">
        <v>150</v>
      </c>
      <c r="C124" s="90">
        <v>15162</v>
      </c>
      <c r="D124" s="98" t="str">
        <f>IF(Tableau1[[#This Row],[Date de Début]]=0,"Saisir date de début","S"&amp; _xlfn.ISOWEEKNUM(R124))</f>
        <v>S25</v>
      </c>
      <c r="E124" s="24" t="s">
        <v>281</v>
      </c>
      <c r="F124" s="21"/>
      <c r="G124" s="91" t="str">
        <f>"xxx-2025-"&amp;Tableau1[[#This Row],[N° de 
Ctx]]&amp;"-"&amp;Tableau1[[#This Row],[N° semaine]]&amp;"-"&amp; Tableau1[[#This Row],[Nature des travaux]]</f>
        <v>xxx-2025-115-S25-Contrat 115</v>
      </c>
      <c r="H124" s="208" t="str">
        <f>IF(Tableau1[[#This Row],[Nature des travaux]]=0,"Saisir nature des travaux",Tableau1[[#This Row],[Colonne1]])&amp;"-"&amp;Tableau1[[#This Row],[Jour]]</f>
        <v>xxx-2025-115-S25-Contrat 115-JeVe</v>
      </c>
      <c r="I124" s="20"/>
      <c r="J124" s="21"/>
      <c r="K124" s="21"/>
      <c r="L124" s="21" t="s">
        <v>85</v>
      </c>
      <c r="M124" s="91">
        <v>1</v>
      </c>
      <c r="N124" s="92" t="s">
        <v>92</v>
      </c>
      <c r="O124" s="92" t="str">
        <f>IF(Tableau1[[#This Row],[Date de Fin]]-Tableau1[[#This Row],[Date de Début]]&gt;1,"X"," ")</f>
        <v xml:space="preserve"> </v>
      </c>
      <c r="P124" s="20"/>
      <c r="Q124" s="21"/>
      <c r="R124" s="99">
        <v>45827</v>
      </c>
      <c r="S124" s="280" t="str">
        <f t="shared" si="96"/>
        <v>2025-06-19</v>
      </c>
      <c r="T124" s="209">
        <v>45828</v>
      </c>
      <c r="U124" s="280" t="str">
        <f t="shared" si="87"/>
        <v>2025-06-20</v>
      </c>
      <c r="V124" s="176" t="str">
        <f>PROPER(LEFT(TEXT(Tableau1[[#This Row],[Date de Début]],"jjjj"),2))&amp; "" &amp; PROPER(LEFT(TEXT(Tableau1[[#This Row],[Date de Début]]+1,"jjjj"),2))</f>
        <v>JeVe</v>
      </c>
      <c r="W124" s="175" t="str">
        <f>IF(Tableau1[[#This Row],[Nb jours]]&gt;1,PROPER(LEFT(TEXT(Tableau1[[#This Row],[Date de Début]]+1,"jjjj"),2))&amp; "" &amp; PROPER(LEFT(TEXT(Tableau1[[#This Row],[Date de Début]]+2,"jjjj"),2)),"")</f>
        <v/>
      </c>
      <c r="X124" s="175" t="str">
        <f>IF(Tableau1[[#This Row],[Nb jours]]&gt;2,PROPER(LEFT(TEXT(Tableau1[[#This Row],[Date de Début]]+2,"jjjj"),2))&amp; "" &amp; PROPER(LEFT(TEXT(Tableau1[[#This Row],[Date de Début]]+3,"jjjj"),2)),"")</f>
        <v/>
      </c>
      <c r="Y124" s="176" t="str">
        <f>IF(Tableau1[[#This Row],[Nb jours]]&gt;3,PROPER(LEFT(TEXT(Tableau1[[#This Row],[Date de Début]]+3,"jjjj"),2))&amp; "" &amp; PROPER(LEFT(TEXT(Tableau1[[#This Row],[Date de Début]]+4,"jjjj"),2)),"")</f>
        <v/>
      </c>
      <c r="Z124" s="175" t="str">
        <f>IF(Tableau1[[#This Row],[Nb jours]]&gt;4,PROPER(LEFT(TEXT(Tableau1[[#This Row],[Date de Début]]+4,"jjjj"),2))&amp; "" &amp; PROPER(LEFT(TEXT(Tableau1[[#This Row],[Date de Début]]+5,"jjjj"),2)),"")</f>
        <v/>
      </c>
      <c r="AA124" s="176" t="str">
        <f>IF(Tableau1[[#This Row],[Nb jours]]&gt;5,PROPER(LEFT(TEXT(Tableau1[[#This Row],[Date de Début]]+5,"jjjj"),2))&amp; "" &amp; PROPER(LEFT(TEXT(Tableau1[[#This Row],[Date de Début]]+6,"jjjj"),2)),"")</f>
        <v/>
      </c>
      <c r="AB124" s="177">
        <f>Tableau1[[#This Row],[Date de Fin]]-Tableau1[[#This Row],[Date de Début]]</f>
        <v>1</v>
      </c>
      <c r="AC124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124" s="42" t="s">
        <v>143</v>
      </c>
      <c r="AE124" s="27">
        <f t="shared" si="88"/>
        <v>28</v>
      </c>
      <c r="AF124" s="31">
        <f>Tableau1[[#This Row],[Date de Début]]-AE124</f>
        <v>45799</v>
      </c>
      <c r="AG124" s="93"/>
      <c r="AH124" s="27">
        <f t="shared" si="89"/>
        <v>21</v>
      </c>
      <c r="AI124" s="254" t="str">
        <f t="shared" si="90"/>
        <v>1900-01-00</v>
      </c>
      <c r="AJ124" s="45"/>
      <c r="AK124" s="31">
        <f>Tableau1[[#This Row],[Date de Début]]-AH124</f>
        <v>45806</v>
      </c>
      <c r="AL124" s="217"/>
      <c r="AM124" s="27">
        <f t="shared" si="91"/>
        <v>21</v>
      </c>
      <c r="AN124" s="264" t="str">
        <f>IF(AL124="","",TEXT(Tableau1[[#This Row],[Date de fin de vérification]],"AAAA-MM-JJ"))</f>
        <v/>
      </c>
      <c r="AO124" s="49">
        <f>Tableau1[[#This Row],[Date de Début]]-AM124</f>
        <v>45806</v>
      </c>
      <c r="AP124" s="217"/>
      <c r="AQ124" s="27">
        <f t="shared" si="92"/>
        <v>14</v>
      </c>
      <c r="AR124" s="254" t="str">
        <f t="shared" si="93"/>
        <v>00/01/1900</v>
      </c>
      <c r="AS124" s="49">
        <f>Tableau1[[#This Row],[Date de Début]]-AQ124</f>
        <v>45813</v>
      </c>
      <c r="AT124" s="217"/>
      <c r="AU124" s="27">
        <f t="shared" si="94"/>
        <v>14</v>
      </c>
      <c r="AV124" s="254" t="str">
        <f t="shared" si="95"/>
        <v>00-01-1900</v>
      </c>
      <c r="AW124" s="49">
        <f>Tableau1[[#This Row],[Date de Début]]-AU124</f>
        <v>45813</v>
      </c>
      <c r="AX124" s="217"/>
      <c r="AY124" s="293" t="str">
        <f t="shared" si="86"/>
        <v>1900-01-00</v>
      </c>
      <c r="AZ124" s="28">
        <f>IF(Tableau1[[#This Row],[Date limite de fin de rédaction]]&lt;Tableau1[[#This Row],[Date de fin de rédaction]],1,0)</f>
        <v>0</v>
      </c>
      <c r="BA124" s="28">
        <f>IF(Tableau1[[#This Row],[Date limite de fin de vérification]]&lt;Tableau1[[#This Row],[Date de fin de vérification]],1,0)</f>
        <v>0</v>
      </c>
      <c r="BB124" s="28">
        <f>IF(Tableau1[[#This Row],[Date limite d''envoi a  l''exploitation]]&lt;Tableau1[[#This Row],[Date d''envoi à  l''exploitation
(Mettre en copier le demandeur et le rédacteur)]],1,0)</f>
        <v>0</v>
      </c>
      <c r="BC124" s="28">
        <f>IF(Tableau1[[#This Row],[Date limite de réception]]&lt;Tableau1[[#This Row],[Date de réception]],1,0)</f>
        <v>0</v>
      </c>
      <c r="BD124" s="28">
        <f>IF(Tableau1[[#This Row],[Date limite limite de dépose sur la GED]]&lt;Tableau1[[#This Row],[Date de dépose sur la GED]],1,0)</f>
        <v>0</v>
      </c>
      <c r="BE124" s="294"/>
      <c r="BF124" s="310"/>
      <c r="BG124" s="311"/>
      <c r="BH124" s="312"/>
      <c r="BI124" s="312"/>
      <c r="BJ124" s="312"/>
      <c r="BK124" s="127"/>
    </row>
    <row r="125" spans="1:63" x14ac:dyDescent="0.25">
      <c r="A125" s="313">
        <v>116</v>
      </c>
      <c r="B125" s="90" t="s">
        <v>150</v>
      </c>
      <c r="C125" s="90">
        <v>15163</v>
      </c>
      <c r="D125" s="98" t="str">
        <f>IF(Tableau1[[#This Row],[Date de Début]]=0,"Saisir date de début","S"&amp; _xlfn.ISOWEEKNUM(R125))</f>
        <v>S26</v>
      </c>
      <c r="E125" s="24" t="s">
        <v>282</v>
      </c>
      <c r="F125" s="21"/>
      <c r="G125" s="91" t="str">
        <f>"xxx-2025-"&amp;Tableau1[[#This Row],[N° de 
Ctx]]&amp;"-"&amp;Tableau1[[#This Row],[N° semaine]]&amp;"-"&amp; Tableau1[[#This Row],[Nature des travaux]]</f>
        <v>xxx-2025-116-S26-Contrat 116</v>
      </c>
      <c r="H125" s="208" t="str">
        <f>IF(Tableau1[[#This Row],[Nature des travaux]]=0,"Saisir nature des travaux",Tableau1[[#This Row],[Colonne1]])&amp;"-"&amp;Tableau1[[#This Row],[Jour]]</f>
        <v>xxx-2025-116-S26-Contrat 116-LuMa</v>
      </c>
      <c r="I125" s="20"/>
      <c r="J125" s="21"/>
      <c r="K125" s="21"/>
      <c r="L125" s="21" t="s">
        <v>85</v>
      </c>
      <c r="M125" s="91">
        <v>1</v>
      </c>
      <c r="N125" s="92" t="s">
        <v>92</v>
      </c>
      <c r="O125" s="92" t="str">
        <f>IF(Tableau1[[#This Row],[Date de Fin]]-Tableau1[[#This Row],[Date de Début]]&gt;1,"X"," ")</f>
        <v xml:space="preserve"> </v>
      </c>
      <c r="P125" s="20"/>
      <c r="Q125" s="21"/>
      <c r="R125" s="99">
        <v>45831</v>
      </c>
      <c r="S125" s="280" t="str">
        <f t="shared" si="96"/>
        <v>2025-06-23</v>
      </c>
      <c r="T125" s="209">
        <v>45832</v>
      </c>
      <c r="U125" s="280" t="str">
        <f t="shared" si="87"/>
        <v>2025-06-24</v>
      </c>
      <c r="V125" s="176" t="str">
        <f>PROPER(LEFT(TEXT(Tableau1[[#This Row],[Date de Début]],"jjjj"),2))&amp; "" &amp; PROPER(LEFT(TEXT(Tableau1[[#This Row],[Date de Début]]+1,"jjjj"),2))</f>
        <v>LuMa</v>
      </c>
      <c r="W125" s="175" t="str">
        <f>IF(Tableau1[[#This Row],[Nb jours]]&gt;1,PROPER(LEFT(TEXT(Tableau1[[#This Row],[Date de Début]]+1,"jjjj"),2))&amp; "" &amp; PROPER(LEFT(TEXT(Tableau1[[#This Row],[Date de Début]]+2,"jjjj"),2)),"")</f>
        <v/>
      </c>
      <c r="X125" s="175" t="str">
        <f>IF(Tableau1[[#This Row],[Nb jours]]&gt;2,PROPER(LEFT(TEXT(Tableau1[[#This Row],[Date de Début]]+2,"jjjj"),2))&amp; "" &amp; PROPER(LEFT(TEXT(Tableau1[[#This Row],[Date de Début]]+3,"jjjj"),2)),"")</f>
        <v/>
      </c>
      <c r="Y125" s="176" t="str">
        <f>IF(Tableau1[[#This Row],[Nb jours]]&gt;3,PROPER(LEFT(TEXT(Tableau1[[#This Row],[Date de Début]]+3,"jjjj"),2))&amp; "" &amp; PROPER(LEFT(TEXT(Tableau1[[#This Row],[Date de Début]]+4,"jjjj"),2)),"")</f>
        <v/>
      </c>
      <c r="Z125" s="175" t="str">
        <f>IF(Tableau1[[#This Row],[Nb jours]]&gt;4,PROPER(LEFT(TEXT(Tableau1[[#This Row],[Date de Début]]+4,"jjjj"),2))&amp; "" &amp; PROPER(LEFT(TEXT(Tableau1[[#This Row],[Date de Début]]+5,"jjjj"),2)),"")</f>
        <v/>
      </c>
      <c r="AA125" s="176" t="str">
        <f>IF(Tableau1[[#This Row],[Nb jours]]&gt;5,PROPER(LEFT(TEXT(Tableau1[[#This Row],[Date de Début]]+5,"jjjj"),2))&amp; "" &amp; PROPER(LEFT(TEXT(Tableau1[[#This Row],[Date de Début]]+6,"jjjj"),2)),"")</f>
        <v/>
      </c>
      <c r="AB125" s="177">
        <f>Tableau1[[#This Row],[Date de Fin]]-Tableau1[[#This Row],[Date de Début]]</f>
        <v>1</v>
      </c>
      <c r="AC125" s="207" t="str">
        <f>Tableau1[[#This Row],[Nuit 1]]&amp;Tableau1[[#This Row],[Nuit 2]]&amp;Tableau1[[#This Row],[Nuit 3]]&amp;Tableau1[[#This Row],[Nuit 4]]&amp;Tableau1[[#This Row],[Nuit 5]]&amp;Tableau1[[#This Row],[Nuit 6]]</f>
        <v>LuMa</v>
      </c>
      <c r="AD125" s="42" t="s">
        <v>143</v>
      </c>
      <c r="AE125" s="27">
        <f t="shared" si="88"/>
        <v>28</v>
      </c>
      <c r="AF125" s="31">
        <f>Tableau1[[#This Row],[Date de Début]]-AE125</f>
        <v>45803</v>
      </c>
      <c r="AG125" s="93"/>
      <c r="AH125" s="27">
        <f t="shared" si="89"/>
        <v>21</v>
      </c>
      <c r="AI125" s="254" t="str">
        <f t="shared" si="90"/>
        <v>1900-01-00</v>
      </c>
      <c r="AJ125" s="45"/>
      <c r="AK125" s="31">
        <f>Tableau1[[#This Row],[Date de Début]]-AH125</f>
        <v>45810</v>
      </c>
      <c r="AL125" s="217"/>
      <c r="AM125" s="27">
        <f t="shared" si="91"/>
        <v>21</v>
      </c>
      <c r="AN125" s="264" t="str">
        <f>IF(AL125="","",TEXT(Tableau1[[#This Row],[Date de fin de vérification]],"AAAA-MM-JJ"))</f>
        <v/>
      </c>
      <c r="AO125" s="49">
        <f>Tableau1[[#This Row],[Date de Début]]-AM125</f>
        <v>45810</v>
      </c>
      <c r="AP125" s="217"/>
      <c r="AQ125" s="27">
        <f t="shared" si="92"/>
        <v>14</v>
      </c>
      <c r="AR125" s="254" t="str">
        <f t="shared" si="93"/>
        <v>00/01/1900</v>
      </c>
      <c r="AS125" s="49">
        <f>Tableau1[[#This Row],[Date de Début]]-AQ125</f>
        <v>45817</v>
      </c>
      <c r="AT125" s="217"/>
      <c r="AU125" s="27">
        <f t="shared" si="94"/>
        <v>14</v>
      </c>
      <c r="AV125" s="254" t="str">
        <f t="shared" si="95"/>
        <v>00-01-1900</v>
      </c>
      <c r="AW125" s="49">
        <f>Tableau1[[#This Row],[Date de Début]]-AU125</f>
        <v>45817</v>
      </c>
      <c r="AX125" s="217"/>
      <c r="AY125" s="293" t="str">
        <f t="shared" si="86"/>
        <v>1900-01-00</v>
      </c>
      <c r="AZ125" s="28">
        <f>IF(Tableau1[[#This Row],[Date limite de fin de rédaction]]&lt;Tableau1[[#This Row],[Date de fin de rédaction]],1,0)</f>
        <v>0</v>
      </c>
      <c r="BA125" s="28">
        <f>IF(Tableau1[[#This Row],[Date limite de fin de vérification]]&lt;Tableau1[[#This Row],[Date de fin de vérification]],1,0)</f>
        <v>0</v>
      </c>
      <c r="BB125" s="28">
        <f>IF(Tableau1[[#This Row],[Date limite d''envoi a  l''exploitation]]&lt;Tableau1[[#This Row],[Date d''envoi à  l''exploitation
(Mettre en copier le demandeur et le rédacteur)]],1,0)</f>
        <v>0</v>
      </c>
      <c r="BC125" s="28">
        <f>IF(Tableau1[[#This Row],[Date limite de réception]]&lt;Tableau1[[#This Row],[Date de réception]],1,0)</f>
        <v>0</v>
      </c>
      <c r="BD125" s="28">
        <f>IF(Tableau1[[#This Row],[Date limite limite de dépose sur la GED]]&lt;Tableau1[[#This Row],[Date de dépose sur la GED]],1,0)</f>
        <v>0</v>
      </c>
      <c r="BE125" s="294"/>
      <c r="BF125" s="310"/>
      <c r="BG125" s="311"/>
      <c r="BH125" s="312"/>
      <c r="BI125" s="312"/>
      <c r="BJ125" s="312"/>
      <c r="BK125" s="127"/>
    </row>
    <row r="126" spans="1:63" x14ac:dyDescent="0.25">
      <c r="A126" s="313">
        <v>117</v>
      </c>
      <c r="B126" s="90" t="s">
        <v>150</v>
      </c>
      <c r="C126" s="90">
        <v>15164</v>
      </c>
      <c r="D126" s="98" t="str">
        <f>IF(Tableau1[[#This Row],[Date de Début]]=0,"Saisir date de début","S"&amp; _xlfn.ISOWEEKNUM(R126))</f>
        <v>S26</v>
      </c>
      <c r="E126" s="24" t="s">
        <v>283</v>
      </c>
      <c r="F126" s="21"/>
      <c r="G126" s="91" t="str">
        <f>"xxx-2025-"&amp;Tableau1[[#This Row],[N° de 
Ctx]]&amp;"-"&amp;Tableau1[[#This Row],[N° semaine]]&amp;"-"&amp; Tableau1[[#This Row],[Nature des travaux]]</f>
        <v>xxx-2025-117-S26-Contrat 117</v>
      </c>
      <c r="H126" s="208" t="str">
        <f>IF(Tableau1[[#This Row],[Nature des travaux]]=0,"Saisir nature des travaux",Tableau1[[#This Row],[Colonne1]])&amp;"-"&amp;Tableau1[[#This Row],[Jour]]</f>
        <v>xxx-2025-117-S26-Contrat 117-MaMe</v>
      </c>
      <c r="I126" s="20"/>
      <c r="J126" s="21"/>
      <c r="K126" s="21"/>
      <c r="L126" s="21" t="s">
        <v>85</v>
      </c>
      <c r="M126" s="91">
        <v>1</v>
      </c>
      <c r="N126" s="92" t="s">
        <v>92</v>
      </c>
      <c r="O126" s="92" t="str">
        <f>IF(Tableau1[[#This Row],[Date de Fin]]-Tableau1[[#This Row],[Date de Début]]&gt;1,"X"," ")</f>
        <v xml:space="preserve"> </v>
      </c>
      <c r="P126" s="20"/>
      <c r="Q126" s="21"/>
      <c r="R126" s="99">
        <v>45832</v>
      </c>
      <c r="S126" s="280" t="str">
        <f t="shared" si="96"/>
        <v>2025-06-24</v>
      </c>
      <c r="T126" s="209">
        <v>45833</v>
      </c>
      <c r="U126" s="280" t="str">
        <f t="shared" si="87"/>
        <v>2025-06-25</v>
      </c>
      <c r="V126" s="176" t="str">
        <f>PROPER(LEFT(TEXT(Tableau1[[#This Row],[Date de Début]],"jjjj"),2))&amp; "" &amp; PROPER(LEFT(TEXT(Tableau1[[#This Row],[Date de Début]]+1,"jjjj"),2))</f>
        <v>MaMe</v>
      </c>
      <c r="W126" s="175" t="str">
        <f>IF(Tableau1[[#This Row],[Nb jours]]&gt;1,PROPER(LEFT(TEXT(Tableau1[[#This Row],[Date de Début]]+1,"jjjj"),2))&amp; "" &amp; PROPER(LEFT(TEXT(Tableau1[[#This Row],[Date de Début]]+2,"jjjj"),2)),"")</f>
        <v/>
      </c>
      <c r="X126" s="175" t="str">
        <f>IF(Tableau1[[#This Row],[Nb jours]]&gt;2,PROPER(LEFT(TEXT(Tableau1[[#This Row],[Date de Début]]+2,"jjjj"),2))&amp; "" &amp; PROPER(LEFT(TEXT(Tableau1[[#This Row],[Date de Début]]+3,"jjjj"),2)),"")</f>
        <v/>
      </c>
      <c r="Y126" s="176" t="str">
        <f>IF(Tableau1[[#This Row],[Nb jours]]&gt;3,PROPER(LEFT(TEXT(Tableau1[[#This Row],[Date de Début]]+3,"jjjj"),2))&amp; "" &amp; PROPER(LEFT(TEXT(Tableau1[[#This Row],[Date de Début]]+4,"jjjj"),2)),"")</f>
        <v/>
      </c>
      <c r="Z126" s="175" t="str">
        <f>IF(Tableau1[[#This Row],[Nb jours]]&gt;4,PROPER(LEFT(TEXT(Tableau1[[#This Row],[Date de Début]]+4,"jjjj"),2))&amp; "" &amp; PROPER(LEFT(TEXT(Tableau1[[#This Row],[Date de Début]]+5,"jjjj"),2)),"")</f>
        <v/>
      </c>
      <c r="AA126" s="176" t="str">
        <f>IF(Tableau1[[#This Row],[Nb jours]]&gt;5,PROPER(LEFT(TEXT(Tableau1[[#This Row],[Date de Début]]+5,"jjjj"),2))&amp; "" &amp; PROPER(LEFT(TEXT(Tableau1[[#This Row],[Date de Début]]+6,"jjjj"),2)),"")</f>
        <v/>
      </c>
      <c r="AB126" s="177">
        <f>Tableau1[[#This Row],[Date de Fin]]-Tableau1[[#This Row],[Date de Début]]</f>
        <v>1</v>
      </c>
      <c r="AC126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26" s="42" t="s">
        <v>143</v>
      </c>
      <c r="AE126" s="27">
        <f t="shared" si="88"/>
        <v>28</v>
      </c>
      <c r="AF126" s="31">
        <f>Tableau1[[#This Row],[Date de Début]]-AE126</f>
        <v>45804</v>
      </c>
      <c r="AG126" s="93"/>
      <c r="AH126" s="27">
        <f t="shared" si="89"/>
        <v>21</v>
      </c>
      <c r="AI126" s="254" t="str">
        <f t="shared" si="90"/>
        <v>1900-01-00</v>
      </c>
      <c r="AJ126" s="45"/>
      <c r="AK126" s="31">
        <f>Tableau1[[#This Row],[Date de Début]]-AH126</f>
        <v>45811</v>
      </c>
      <c r="AL126" s="217"/>
      <c r="AM126" s="27">
        <f t="shared" si="91"/>
        <v>21</v>
      </c>
      <c r="AN126" s="264" t="str">
        <f>IF(AL126="","",TEXT(Tableau1[[#This Row],[Date de fin de vérification]],"AAAA-MM-JJ"))</f>
        <v/>
      </c>
      <c r="AO126" s="49">
        <f>Tableau1[[#This Row],[Date de Début]]-AM126</f>
        <v>45811</v>
      </c>
      <c r="AP126" s="217"/>
      <c r="AQ126" s="27">
        <f t="shared" si="92"/>
        <v>14</v>
      </c>
      <c r="AR126" s="254" t="str">
        <f t="shared" si="93"/>
        <v>00/01/1900</v>
      </c>
      <c r="AS126" s="49">
        <f>Tableau1[[#This Row],[Date de Début]]-AQ126</f>
        <v>45818</v>
      </c>
      <c r="AT126" s="217"/>
      <c r="AU126" s="27">
        <f t="shared" si="94"/>
        <v>14</v>
      </c>
      <c r="AV126" s="254" t="str">
        <f t="shared" si="95"/>
        <v>00-01-1900</v>
      </c>
      <c r="AW126" s="49">
        <f>Tableau1[[#This Row],[Date de Début]]-AU126</f>
        <v>45818</v>
      </c>
      <c r="AX126" s="217"/>
      <c r="AY126" s="293" t="str">
        <f t="shared" si="86"/>
        <v>1900-01-00</v>
      </c>
      <c r="AZ126" s="28">
        <f>IF(Tableau1[[#This Row],[Date limite de fin de rédaction]]&lt;Tableau1[[#This Row],[Date de fin de rédaction]],1,0)</f>
        <v>0</v>
      </c>
      <c r="BA126" s="28">
        <f>IF(Tableau1[[#This Row],[Date limite de fin de vérification]]&lt;Tableau1[[#This Row],[Date de fin de vérification]],1,0)</f>
        <v>0</v>
      </c>
      <c r="BB126" s="28">
        <f>IF(Tableau1[[#This Row],[Date limite d''envoi a  l''exploitation]]&lt;Tableau1[[#This Row],[Date d''envoi à  l''exploitation
(Mettre en copier le demandeur et le rédacteur)]],1,0)</f>
        <v>0</v>
      </c>
      <c r="BC126" s="28">
        <f>IF(Tableau1[[#This Row],[Date limite de réception]]&lt;Tableau1[[#This Row],[Date de réception]],1,0)</f>
        <v>0</v>
      </c>
      <c r="BD126" s="28">
        <f>IF(Tableau1[[#This Row],[Date limite limite de dépose sur la GED]]&lt;Tableau1[[#This Row],[Date de dépose sur la GED]],1,0)</f>
        <v>0</v>
      </c>
      <c r="BE126" s="294"/>
      <c r="BF126" s="310"/>
      <c r="BG126" s="311"/>
      <c r="BH126" s="312"/>
      <c r="BI126" s="312"/>
      <c r="BJ126" s="312"/>
      <c r="BK126" s="127"/>
    </row>
    <row r="127" spans="1:63" x14ac:dyDescent="0.25">
      <c r="A127" s="313">
        <v>118</v>
      </c>
      <c r="B127" s="90" t="s">
        <v>150</v>
      </c>
      <c r="C127" s="90">
        <v>15164</v>
      </c>
      <c r="D127" s="98" t="str">
        <f>IF(Tableau1[[#This Row],[Date de Début]]=0,"Saisir date de début","S"&amp; _xlfn.ISOWEEKNUM(R127))</f>
        <v>S26</v>
      </c>
      <c r="E127" s="24" t="s">
        <v>284</v>
      </c>
      <c r="F127" s="21"/>
      <c r="G127" s="91" t="str">
        <f>"xxx-2025-"&amp;Tableau1[[#This Row],[N° de 
Ctx]]&amp;"-"&amp;Tableau1[[#This Row],[N° semaine]]&amp;"-"&amp; Tableau1[[#This Row],[Nature des travaux]]</f>
        <v>xxx-2025-118-S26-Contrat 118</v>
      </c>
      <c r="H127" s="208" t="str">
        <f>IF(Tableau1[[#This Row],[Nature des travaux]]=0,"Saisir nature des travaux",Tableau1[[#This Row],[Colonne1]])&amp;"-"&amp;Tableau1[[#This Row],[Jour]]</f>
        <v>xxx-2025-118-S26-Contrat 118-MeJe</v>
      </c>
      <c r="I127" s="20"/>
      <c r="J127" s="21"/>
      <c r="K127" s="21"/>
      <c r="L127" s="21" t="s">
        <v>85</v>
      </c>
      <c r="M127" s="91">
        <v>1</v>
      </c>
      <c r="N127" s="92" t="s">
        <v>92</v>
      </c>
      <c r="O127" s="92" t="str">
        <f>IF(Tableau1[[#This Row],[Date de Fin]]-Tableau1[[#This Row],[Date de Début]]&gt;1,"X"," ")</f>
        <v xml:space="preserve"> </v>
      </c>
      <c r="P127" s="20"/>
      <c r="Q127" s="21"/>
      <c r="R127" s="99">
        <v>45833</v>
      </c>
      <c r="S127" s="280" t="str">
        <f t="shared" si="96"/>
        <v>2025-06-25</v>
      </c>
      <c r="T127" s="209">
        <v>45834</v>
      </c>
      <c r="U127" s="280" t="str">
        <f t="shared" si="87"/>
        <v>2025-06-26</v>
      </c>
      <c r="V127" s="176" t="str">
        <f>PROPER(LEFT(TEXT(Tableau1[[#This Row],[Date de Début]],"jjjj"),2))&amp; "" &amp; PROPER(LEFT(TEXT(Tableau1[[#This Row],[Date de Début]]+1,"jjjj"),2))</f>
        <v>MeJe</v>
      </c>
      <c r="W127" s="175" t="str">
        <f>IF(Tableau1[[#This Row],[Nb jours]]&gt;1,PROPER(LEFT(TEXT(Tableau1[[#This Row],[Date de Début]]+1,"jjjj"),2))&amp; "" &amp; PROPER(LEFT(TEXT(Tableau1[[#This Row],[Date de Début]]+2,"jjjj"),2)),"")</f>
        <v/>
      </c>
      <c r="X127" s="175" t="str">
        <f>IF(Tableau1[[#This Row],[Nb jours]]&gt;2,PROPER(LEFT(TEXT(Tableau1[[#This Row],[Date de Début]]+2,"jjjj"),2))&amp; "" &amp; PROPER(LEFT(TEXT(Tableau1[[#This Row],[Date de Début]]+3,"jjjj"),2)),"")</f>
        <v/>
      </c>
      <c r="Y127" s="176" t="str">
        <f>IF(Tableau1[[#This Row],[Nb jours]]&gt;3,PROPER(LEFT(TEXT(Tableau1[[#This Row],[Date de Début]]+3,"jjjj"),2))&amp; "" &amp; PROPER(LEFT(TEXT(Tableau1[[#This Row],[Date de Début]]+4,"jjjj"),2)),"")</f>
        <v/>
      </c>
      <c r="Z127" s="175" t="str">
        <f>IF(Tableau1[[#This Row],[Nb jours]]&gt;4,PROPER(LEFT(TEXT(Tableau1[[#This Row],[Date de Début]]+4,"jjjj"),2))&amp; "" &amp; PROPER(LEFT(TEXT(Tableau1[[#This Row],[Date de Début]]+5,"jjjj"),2)),"")</f>
        <v/>
      </c>
      <c r="AA127" s="176" t="str">
        <f>IF(Tableau1[[#This Row],[Nb jours]]&gt;5,PROPER(LEFT(TEXT(Tableau1[[#This Row],[Date de Début]]+5,"jjjj"),2))&amp; "" &amp; PROPER(LEFT(TEXT(Tableau1[[#This Row],[Date de Début]]+6,"jjjj"),2)),"")</f>
        <v/>
      </c>
      <c r="AB127" s="177">
        <f>Tableau1[[#This Row],[Date de Fin]]-Tableau1[[#This Row],[Date de Début]]</f>
        <v>1</v>
      </c>
      <c r="AC127" s="207" t="str">
        <f>Tableau1[[#This Row],[Nuit 1]]&amp;Tableau1[[#This Row],[Nuit 2]]&amp;Tableau1[[#This Row],[Nuit 3]]&amp;Tableau1[[#This Row],[Nuit 4]]&amp;Tableau1[[#This Row],[Nuit 5]]&amp;Tableau1[[#This Row],[Nuit 6]]</f>
        <v>MeJe</v>
      </c>
      <c r="AD127" s="42" t="s">
        <v>143</v>
      </c>
      <c r="AE127" s="27">
        <f t="shared" si="88"/>
        <v>28</v>
      </c>
      <c r="AF127" s="31">
        <f>Tableau1[[#This Row],[Date de Début]]-AE127</f>
        <v>45805</v>
      </c>
      <c r="AG127" s="93"/>
      <c r="AH127" s="27">
        <f t="shared" si="89"/>
        <v>21</v>
      </c>
      <c r="AI127" s="254" t="str">
        <f t="shared" si="90"/>
        <v>1900-01-00</v>
      </c>
      <c r="AJ127" s="45"/>
      <c r="AK127" s="31">
        <f>Tableau1[[#This Row],[Date de Début]]-AH127</f>
        <v>45812</v>
      </c>
      <c r="AL127" s="217"/>
      <c r="AM127" s="27">
        <f t="shared" si="91"/>
        <v>21</v>
      </c>
      <c r="AN127" s="264" t="str">
        <f>IF(AL127="","",TEXT(Tableau1[[#This Row],[Date de fin de vérification]],"AAAA-MM-JJ"))</f>
        <v/>
      </c>
      <c r="AO127" s="49">
        <f>Tableau1[[#This Row],[Date de Début]]-AM127</f>
        <v>45812</v>
      </c>
      <c r="AP127" s="217"/>
      <c r="AQ127" s="27">
        <f t="shared" si="92"/>
        <v>14</v>
      </c>
      <c r="AR127" s="254" t="str">
        <f t="shared" si="93"/>
        <v>00/01/1900</v>
      </c>
      <c r="AS127" s="49">
        <f>Tableau1[[#This Row],[Date de Début]]-AQ127</f>
        <v>45819</v>
      </c>
      <c r="AT127" s="217"/>
      <c r="AU127" s="27">
        <f t="shared" si="94"/>
        <v>14</v>
      </c>
      <c r="AV127" s="254" t="str">
        <f t="shared" si="95"/>
        <v>00-01-1900</v>
      </c>
      <c r="AW127" s="49">
        <f>Tableau1[[#This Row],[Date de Début]]-AU127</f>
        <v>45819</v>
      </c>
      <c r="AX127" s="217"/>
      <c r="AY127" s="293" t="str">
        <f t="shared" si="86"/>
        <v>1900-01-00</v>
      </c>
      <c r="AZ127" s="28">
        <f>IF(Tableau1[[#This Row],[Date limite de fin de rédaction]]&lt;Tableau1[[#This Row],[Date de fin de rédaction]],1,0)</f>
        <v>0</v>
      </c>
      <c r="BA127" s="28">
        <f>IF(Tableau1[[#This Row],[Date limite de fin de vérification]]&lt;Tableau1[[#This Row],[Date de fin de vérification]],1,0)</f>
        <v>0</v>
      </c>
      <c r="BB127" s="28">
        <f>IF(Tableau1[[#This Row],[Date limite d''envoi a  l''exploitation]]&lt;Tableau1[[#This Row],[Date d''envoi à  l''exploitation
(Mettre en copier le demandeur et le rédacteur)]],1,0)</f>
        <v>0</v>
      </c>
      <c r="BC127" s="28">
        <f>IF(Tableau1[[#This Row],[Date limite de réception]]&lt;Tableau1[[#This Row],[Date de réception]],1,0)</f>
        <v>0</v>
      </c>
      <c r="BD127" s="28">
        <f>IF(Tableau1[[#This Row],[Date limite limite de dépose sur la GED]]&lt;Tableau1[[#This Row],[Date de dépose sur la GED]],1,0)</f>
        <v>0</v>
      </c>
      <c r="BE127" s="294"/>
      <c r="BF127" s="310"/>
      <c r="BG127" s="311"/>
      <c r="BH127" s="312"/>
      <c r="BI127" s="312"/>
      <c r="BJ127" s="312"/>
      <c r="BK127" s="127"/>
    </row>
    <row r="128" spans="1:63" x14ac:dyDescent="0.25">
      <c r="A128" s="313">
        <v>119</v>
      </c>
      <c r="B128" s="90" t="s">
        <v>150</v>
      </c>
      <c r="C128" s="90">
        <v>15164</v>
      </c>
      <c r="D128" s="98" t="str">
        <f>IF(Tableau1[[#This Row],[Date de Début]]=0,"Saisir date de début","S"&amp; _xlfn.ISOWEEKNUM(R128))</f>
        <v>S26</v>
      </c>
      <c r="E128" s="24" t="s">
        <v>285</v>
      </c>
      <c r="F128" s="21"/>
      <c r="G128" s="91" t="str">
        <f>"xxx-2025-"&amp;Tableau1[[#This Row],[N° de 
Ctx]]&amp;"-"&amp;Tableau1[[#This Row],[N° semaine]]&amp;"-"&amp; Tableau1[[#This Row],[Nature des travaux]]</f>
        <v>xxx-2025-119-S26-Contrat 119</v>
      </c>
      <c r="H128" s="208" t="str">
        <f>IF(Tableau1[[#This Row],[Nature des travaux]]=0,"Saisir nature des travaux",Tableau1[[#This Row],[Colonne1]])&amp;"-"&amp;Tableau1[[#This Row],[Jour]]</f>
        <v>xxx-2025-119-S26-Contrat 119-JeVe</v>
      </c>
      <c r="I128" s="20"/>
      <c r="J128" s="21"/>
      <c r="K128" s="21"/>
      <c r="L128" s="21" t="s">
        <v>85</v>
      </c>
      <c r="M128" s="91">
        <v>1</v>
      </c>
      <c r="N128" s="92" t="s">
        <v>92</v>
      </c>
      <c r="O128" s="92" t="str">
        <f>IF(Tableau1[[#This Row],[Date de Fin]]-Tableau1[[#This Row],[Date de Début]]&gt;1,"X"," ")</f>
        <v xml:space="preserve"> </v>
      </c>
      <c r="P128" s="20"/>
      <c r="Q128" s="21"/>
      <c r="R128" s="99">
        <v>45834</v>
      </c>
      <c r="S128" s="280" t="str">
        <f t="shared" si="96"/>
        <v>2025-06-26</v>
      </c>
      <c r="T128" s="209">
        <v>45835</v>
      </c>
      <c r="U128" s="280" t="str">
        <f t="shared" si="87"/>
        <v>2025-06-27</v>
      </c>
      <c r="V128" s="176" t="str">
        <f>PROPER(LEFT(TEXT(Tableau1[[#This Row],[Date de Début]],"jjjj"),2))&amp; "" &amp; PROPER(LEFT(TEXT(Tableau1[[#This Row],[Date de Début]]+1,"jjjj"),2))</f>
        <v>JeVe</v>
      </c>
      <c r="W128" s="175" t="str">
        <f>IF(Tableau1[[#This Row],[Nb jours]]&gt;1,PROPER(LEFT(TEXT(Tableau1[[#This Row],[Date de Début]]+1,"jjjj"),2))&amp; "" &amp; PROPER(LEFT(TEXT(Tableau1[[#This Row],[Date de Début]]+2,"jjjj"),2)),"")</f>
        <v/>
      </c>
      <c r="X128" s="175" t="str">
        <f>IF(Tableau1[[#This Row],[Nb jours]]&gt;2,PROPER(LEFT(TEXT(Tableau1[[#This Row],[Date de Début]]+2,"jjjj"),2))&amp; "" &amp; PROPER(LEFT(TEXT(Tableau1[[#This Row],[Date de Début]]+3,"jjjj"),2)),"")</f>
        <v/>
      </c>
      <c r="Y128" s="176" t="str">
        <f>IF(Tableau1[[#This Row],[Nb jours]]&gt;3,PROPER(LEFT(TEXT(Tableau1[[#This Row],[Date de Début]]+3,"jjjj"),2))&amp; "" &amp; PROPER(LEFT(TEXT(Tableau1[[#This Row],[Date de Début]]+4,"jjjj"),2)),"")</f>
        <v/>
      </c>
      <c r="Z128" s="175" t="str">
        <f>IF(Tableau1[[#This Row],[Nb jours]]&gt;4,PROPER(LEFT(TEXT(Tableau1[[#This Row],[Date de Début]]+4,"jjjj"),2))&amp; "" &amp; PROPER(LEFT(TEXT(Tableau1[[#This Row],[Date de Début]]+5,"jjjj"),2)),"")</f>
        <v/>
      </c>
      <c r="AA128" s="176" t="str">
        <f>IF(Tableau1[[#This Row],[Nb jours]]&gt;5,PROPER(LEFT(TEXT(Tableau1[[#This Row],[Date de Début]]+5,"jjjj"),2))&amp; "" &amp; PROPER(LEFT(TEXT(Tableau1[[#This Row],[Date de Début]]+6,"jjjj"),2)),"")</f>
        <v/>
      </c>
      <c r="AB128" s="177">
        <f>Tableau1[[#This Row],[Date de Fin]]-Tableau1[[#This Row],[Date de Début]]</f>
        <v>1</v>
      </c>
      <c r="AC128" s="207" t="str">
        <f>Tableau1[[#This Row],[Nuit 1]]&amp;Tableau1[[#This Row],[Nuit 2]]&amp;Tableau1[[#This Row],[Nuit 3]]&amp;Tableau1[[#This Row],[Nuit 4]]&amp;Tableau1[[#This Row],[Nuit 5]]&amp;Tableau1[[#This Row],[Nuit 6]]</f>
        <v>JeVe</v>
      </c>
      <c r="AD128" s="42" t="s">
        <v>143</v>
      </c>
      <c r="AE128" s="27">
        <f t="shared" si="88"/>
        <v>28</v>
      </c>
      <c r="AF128" s="31">
        <f>Tableau1[[#This Row],[Date de Début]]-AE128</f>
        <v>45806</v>
      </c>
      <c r="AG128" s="93"/>
      <c r="AH128" s="27">
        <f t="shared" si="89"/>
        <v>21</v>
      </c>
      <c r="AI128" s="254" t="str">
        <f t="shared" si="90"/>
        <v>1900-01-00</v>
      </c>
      <c r="AJ128" s="45"/>
      <c r="AK128" s="31">
        <f>Tableau1[[#This Row],[Date de Début]]-AH128</f>
        <v>45813</v>
      </c>
      <c r="AL128" s="217"/>
      <c r="AM128" s="27">
        <f t="shared" si="91"/>
        <v>21</v>
      </c>
      <c r="AN128" s="264" t="str">
        <f>IF(AL128="","",TEXT(Tableau1[[#This Row],[Date de fin de vérification]],"AAAA-MM-JJ"))</f>
        <v/>
      </c>
      <c r="AO128" s="49">
        <f>Tableau1[[#This Row],[Date de Début]]-AM128</f>
        <v>45813</v>
      </c>
      <c r="AP128" s="217"/>
      <c r="AQ128" s="27">
        <f t="shared" si="92"/>
        <v>14</v>
      </c>
      <c r="AR128" s="254" t="str">
        <f t="shared" si="93"/>
        <v>00/01/1900</v>
      </c>
      <c r="AS128" s="49">
        <f>Tableau1[[#This Row],[Date de Début]]-AQ128</f>
        <v>45820</v>
      </c>
      <c r="AT128" s="217"/>
      <c r="AU128" s="27">
        <f t="shared" si="94"/>
        <v>14</v>
      </c>
      <c r="AV128" s="254" t="str">
        <f t="shared" si="95"/>
        <v>00-01-1900</v>
      </c>
      <c r="AW128" s="49">
        <f>Tableau1[[#This Row],[Date de Début]]-AU128</f>
        <v>45820</v>
      </c>
      <c r="AX128" s="217"/>
      <c r="AY128" s="293" t="str">
        <f t="shared" si="86"/>
        <v>1900-01-00</v>
      </c>
      <c r="AZ128" s="28">
        <f>IF(Tableau1[[#This Row],[Date limite de fin de rédaction]]&lt;Tableau1[[#This Row],[Date de fin de rédaction]],1,0)</f>
        <v>0</v>
      </c>
      <c r="BA128" s="28">
        <f>IF(Tableau1[[#This Row],[Date limite de fin de vérification]]&lt;Tableau1[[#This Row],[Date de fin de vérification]],1,0)</f>
        <v>0</v>
      </c>
      <c r="BB128" s="28">
        <f>IF(Tableau1[[#This Row],[Date limite d''envoi a  l''exploitation]]&lt;Tableau1[[#This Row],[Date d''envoi à  l''exploitation
(Mettre en copier le demandeur et le rédacteur)]],1,0)</f>
        <v>0</v>
      </c>
      <c r="BC128" s="28">
        <f>IF(Tableau1[[#This Row],[Date limite de réception]]&lt;Tableau1[[#This Row],[Date de réception]],1,0)</f>
        <v>0</v>
      </c>
      <c r="BD128" s="28">
        <f>IF(Tableau1[[#This Row],[Date limite limite de dépose sur la GED]]&lt;Tableau1[[#This Row],[Date de dépose sur la GED]],1,0)</f>
        <v>0</v>
      </c>
      <c r="BE128" s="294"/>
      <c r="BF128" s="310"/>
      <c r="BG128" s="311"/>
      <c r="BH128" s="312"/>
      <c r="BI128" s="312"/>
      <c r="BJ128" s="312"/>
      <c r="BK128" s="127"/>
    </row>
    <row r="129" spans="1:63" x14ac:dyDescent="0.25">
      <c r="A129" s="313">
        <v>120</v>
      </c>
      <c r="B129" s="90" t="s">
        <v>151</v>
      </c>
      <c r="C129" s="211">
        <v>15672</v>
      </c>
      <c r="D129" s="212" t="str">
        <f>IF(Tableau1[[#This Row],[Date de Début]]=0,"Saisir date de début","S"&amp; _xlfn.ISOWEEKNUM(R129))</f>
        <v>S21</v>
      </c>
      <c r="E129" s="24" t="s">
        <v>286</v>
      </c>
      <c r="F129" s="21"/>
      <c r="G129" s="213" t="str">
        <f>"xxx-2025-"&amp;Tableau1[[#This Row],[N° de 
Ctx]]&amp;"-"&amp;Tableau1[[#This Row],[N° semaine]]&amp;"-"&amp; Tableau1[[#This Row],[Nature des travaux]]</f>
        <v>xxx-2025-120-S21-Contrat 120</v>
      </c>
      <c r="H129" s="214" t="str">
        <f>IF(Tableau1[[#This Row],[Nature des travaux]]=0,"Saisir nature des travaux",Tableau1[[#This Row],[Colonne1]])&amp;"-"&amp;Tableau1[[#This Row],[Jour]]</f>
        <v>xxx-2025-120-S21-Contrat 120-MaMe</v>
      </c>
      <c r="I129" s="29"/>
      <c r="J129" s="24"/>
      <c r="K129" s="24" t="s">
        <v>85</v>
      </c>
      <c r="L129" s="24"/>
      <c r="M129" s="213">
        <f>COUNTIF(Tableau1[[#This Row],[Secteur 1]:[Secteur 4]],"x")</f>
        <v>1</v>
      </c>
      <c r="N129" s="215" t="s">
        <v>81</v>
      </c>
      <c r="O129" s="215" t="str">
        <f>IF(Tableau1[[#This Row],[Date de Fin]]-Tableau1[[#This Row],[Date de Début]]&gt;1,"X"," ")</f>
        <v xml:space="preserve"> </v>
      </c>
      <c r="P129" s="29"/>
      <c r="Q129" s="24"/>
      <c r="R129" s="116">
        <v>45797</v>
      </c>
      <c r="S129" s="285" t="str">
        <f t="shared" ref="S129:S131" si="97">TEXT(R129,"AAAA-MM-JJ")</f>
        <v>2025-05-20</v>
      </c>
      <c r="T129" s="216">
        <v>45798</v>
      </c>
      <c r="U129" s="280" t="str">
        <f t="shared" ref="U129:U131" si="98">TEXT(T129,"AAAA-MM-JJ")</f>
        <v>2025-05-21</v>
      </c>
      <c r="V129" s="176" t="str">
        <f>PROPER(LEFT(TEXT(Tableau1[[#This Row],[Date de Début]],"jjjj"),2))&amp; "" &amp; PROPER(LEFT(TEXT(Tableau1[[#This Row],[Date de Début]]+1,"jjjj"),2))</f>
        <v>MaMe</v>
      </c>
      <c r="W129" s="175" t="str">
        <f>IF(Tableau1[[#This Row],[Nb jours]]&gt;1,PROPER(LEFT(TEXT(Tableau1[[#This Row],[Date de Début]]+1,"jjjj"),2))&amp; "" &amp; PROPER(LEFT(TEXT(Tableau1[[#This Row],[Date de Début]]+2,"jjjj"),2)),"")</f>
        <v/>
      </c>
      <c r="X129" s="175" t="str">
        <f>IF(Tableau1[[#This Row],[Nb jours]]&gt;2,PROPER(LEFT(TEXT(Tableau1[[#This Row],[Date de Début]]+2,"jjjj"),2))&amp; "" &amp; PROPER(LEFT(TEXT(Tableau1[[#This Row],[Date de Début]]+3,"jjjj"),2)),"")</f>
        <v/>
      </c>
      <c r="Y129" s="176" t="str">
        <f>IF(Tableau1[[#This Row],[Nb jours]]&gt;3,PROPER(LEFT(TEXT(Tableau1[[#This Row],[Date de Début]]+3,"jjjj"),2))&amp; "" &amp; PROPER(LEFT(TEXT(Tableau1[[#This Row],[Date de Début]]+4,"jjjj"),2)),"")</f>
        <v/>
      </c>
      <c r="Z129" s="175" t="str">
        <f>IF(Tableau1[[#This Row],[Nb jours]]&gt;4,PROPER(LEFT(TEXT(Tableau1[[#This Row],[Date de Début]]+4,"jjjj"),2))&amp; "" &amp; PROPER(LEFT(TEXT(Tableau1[[#This Row],[Date de Début]]+5,"jjjj"),2)),"")</f>
        <v/>
      </c>
      <c r="AA129" s="176" t="str">
        <f>IF(Tableau1[[#This Row],[Nb jours]]&gt;5,PROPER(LEFT(TEXT(Tableau1[[#This Row],[Date de Début]]+5,"jjjj"),2))&amp; "" &amp; PROPER(LEFT(TEXT(Tableau1[[#This Row],[Date de Début]]+6,"jjjj"),2)),"")</f>
        <v/>
      </c>
      <c r="AB129" s="177">
        <f>Tableau1[[#This Row],[Date de Fin]]-Tableau1[[#This Row],[Date de Début]]</f>
        <v>1</v>
      </c>
      <c r="AC129" s="207" t="str">
        <f>Tableau1[[#This Row],[Nuit 1]]&amp;Tableau1[[#This Row],[Nuit 2]]&amp;Tableau1[[#This Row],[Nuit 3]]&amp;Tableau1[[#This Row],[Nuit 4]]&amp;Tableau1[[#This Row],[Nuit 5]]&amp;Tableau1[[#This Row],[Nuit 6]]</f>
        <v>MaMe</v>
      </c>
      <c r="AD129" s="40" t="s">
        <v>155</v>
      </c>
      <c r="AE129" s="25">
        <f>Tolérances_1</f>
        <v>28</v>
      </c>
      <c r="AF129" s="30">
        <f>Tableau1[[#This Row],[Date de Début]]-AE129</f>
        <v>45769</v>
      </c>
      <c r="AG129" s="217">
        <v>45769</v>
      </c>
      <c r="AH129" s="25">
        <f>Tolérances_2</f>
        <v>21</v>
      </c>
      <c r="AI129" s="256" t="str">
        <f t="shared" ref="AI129:AI131" si="99">TEXT(AG129,"AAAA-MM-JJ")</f>
        <v>2025-04-22</v>
      </c>
      <c r="AJ129" s="44" t="s">
        <v>156</v>
      </c>
      <c r="AK129" s="30">
        <f>Tableau1[[#This Row],[Date de Début]]-AH129</f>
        <v>45776</v>
      </c>
      <c r="AL129" s="217">
        <v>45769</v>
      </c>
      <c r="AM129" s="25">
        <f>Tolérances_3</f>
        <v>21</v>
      </c>
      <c r="AN129" s="266" t="str">
        <f>IF(AL129="","",TEXT(Tableau1[[#This Row],[Date de fin de vérification]],"AAAA-MM-JJ"))</f>
        <v>2025-04-22</v>
      </c>
      <c r="AO129" s="48">
        <f>Tableau1[[#This Row],[Date de Début]]-AM129</f>
        <v>45776</v>
      </c>
      <c r="AP129" s="217">
        <v>45769</v>
      </c>
      <c r="AQ129" s="25">
        <f>Tolérances_4</f>
        <v>14</v>
      </c>
      <c r="AR129" s="256" t="str">
        <f t="shared" ref="AR129:AR131" si="100">TEXT(AP129,"JJ/MM/AAAA")</f>
        <v>22/04/2025</v>
      </c>
      <c r="AS129" s="48">
        <f>Tableau1[[#This Row],[Date de Début]]-AQ129</f>
        <v>45783</v>
      </c>
      <c r="AT129" s="217">
        <v>45800</v>
      </c>
      <c r="AU129" s="25">
        <f>Tolérances_5</f>
        <v>14</v>
      </c>
      <c r="AV129" s="256" t="str">
        <f t="shared" ref="AV129:AV131" si="101">TEXT(AT129,"JJ-MM-AAAA")</f>
        <v>23-05-2025</v>
      </c>
      <c r="AW129" s="48">
        <f>Tableau1[[#This Row],[Date de Début]]-AU129</f>
        <v>45783</v>
      </c>
      <c r="AX129" s="217">
        <v>45800</v>
      </c>
      <c r="AY129" s="290" t="str">
        <f t="shared" ref="AY129:AY131" si="102">TEXT(AX129,"AAAA-MM-JJ")</f>
        <v>2025-05-23</v>
      </c>
      <c r="AZ129" s="26">
        <f>IF(Tableau1[[#This Row],[Date limite de fin de rédaction]]&lt;Tableau1[[#This Row],[Date de fin de rédaction]],1,0)</f>
        <v>0</v>
      </c>
      <c r="BA129" s="26">
        <f>IF(Tableau1[[#This Row],[Date limite de fin de vérification]]&lt;Tableau1[[#This Row],[Date de fin de vérification]],1,0)</f>
        <v>0</v>
      </c>
      <c r="BB129" s="26">
        <f>IF(Tableau1[[#This Row],[Date limite d''envoi a  l''exploitation]]&lt;Tableau1[[#This Row],[Date d''envoi à  l''exploitation
(Mettre en copier le demandeur et le rédacteur)]],1,0)</f>
        <v>0</v>
      </c>
      <c r="BC129" s="26">
        <f>IF(Tableau1[[#This Row],[Date limite de réception]]&lt;Tableau1[[#This Row],[Date de réception]],1,0)</f>
        <v>1</v>
      </c>
      <c r="BD129" s="26">
        <f>IF(Tableau1[[#This Row],[Date limite limite de dépose sur la GED]]&lt;Tableau1[[#This Row],[Date de dépose sur la GED]],1,0)</f>
        <v>1</v>
      </c>
      <c r="BE129" s="291"/>
      <c r="BF129" s="319"/>
      <c r="BG129" s="311"/>
      <c r="BH129" s="295"/>
      <c r="BI129" s="295"/>
      <c r="BJ129" s="295"/>
      <c r="BK129" s="127"/>
    </row>
    <row r="130" spans="1:63" x14ac:dyDescent="0.25">
      <c r="A130" s="220">
        <v>121</v>
      </c>
      <c r="B130" s="90" t="s">
        <v>151</v>
      </c>
      <c r="C130" s="211" t="s">
        <v>118</v>
      </c>
      <c r="D130" s="212" t="str">
        <f>IF(Tableau1[[#This Row],[Date de Début]]=0,"Saisir date de début","S"&amp; _xlfn.ISOWEEKNUM(R130))</f>
        <v>S21</v>
      </c>
      <c r="E130" s="24" t="s">
        <v>287</v>
      </c>
      <c r="F130" s="21"/>
      <c r="G130" s="213" t="str">
        <f>"xxx-2025-"&amp;Tableau1[[#This Row],[N° de 
Ctx]]&amp;"-"&amp;Tableau1[[#This Row],[N° semaine]]&amp;"-"&amp; Tableau1[[#This Row],[Nature des travaux]]</f>
        <v>xxx-2025-121-S21-Contrat 121</v>
      </c>
      <c r="H130" s="214" t="str">
        <f>IF(Tableau1[[#This Row],[Nature des travaux]]=0,"Saisir nature des travaux",Tableau1[[#This Row],[Colonne1]])&amp;"-"&amp;Tableau1[[#This Row],[Jour]]</f>
        <v>xxx-2025-121-S21-Contrat 121-MeJe</v>
      </c>
      <c r="I130" s="29"/>
      <c r="J130" s="24"/>
      <c r="K130" s="24" t="s">
        <v>85</v>
      </c>
      <c r="L130" s="24"/>
      <c r="M130" s="213">
        <f>COUNTIF(Tableau1[[#This Row],[Secteur 1]:[Secteur 4]],"x")</f>
        <v>1</v>
      </c>
      <c r="N130" s="215" t="s">
        <v>81</v>
      </c>
      <c r="O130" s="215" t="str">
        <f>IF(Tableau1[[#This Row],[Date de Fin]]-Tableau1[[#This Row],[Date de Début]]&gt;1,"X"," ")</f>
        <v xml:space="preserve"> </v>
      </c>
      <c r="P130" s="29"/>
      <c r="Q130" s="24"/>
      <c r="R130" s="116">
        <v>45798</v>
      </c>
      <c r="S130" s="285" t="str">
        <f t="shared" si="97"/>
        <v>2025-05-21</v>
      </c>
      <c r="T130" s="216">
        <v>45799</v>
      </c>
      <c r="U130" s="276" t="str">
        <f t="shared" si="98"/>
        <v>2025-05-22</v>
      </c>
      <c r="V130" s="176" t="str">
        <f>PROPER(LEFT(TEXT(Tableau1[[#This Row],[Date de Début]],"jjjj"),2))&amp; "" &amp; PROPER(LEFT(TEXT(Tableau1[[#This Row],[Date de Début]]+1,"jjjj"),2))</f>
        <v>MeJe</v>
      </c>
      <c r="W130" s="175" t="str">
        <f>IF(Tableau1[[#This Row],[Nb jours]]&gt;1,PROPER(LEFT(TEXT(Tableau1[[#This Row],[Date de Début]]+1,"jjjj"),2))&amp; "" &amp; PROPER(LEFT(TEXT(Tableau1[[#This Row],[Date de Début]]+2,"jjjj"),2)),"")</f>
        <v/>
      </c>
      <c r="X130" s="175" t="str">
        <f>IF(Tableau1[[#This Row],[Nb jours]]&gt;2,PROPER(LEFT(TEXT(Tableau1[[#This Row],[Date de Début]]+2,"jjjj"),2))&amp; "" &amp; PROPER(LEFT(TEXT(Tableau1[[#This Row],[Date de Début]]+3,"jjjj"),2)),"")</f>
        <v/>
      </c>
      <c r="Y130" s="176" t="str">
        <f>IF(Tableau1[[#This Row],[Nb jours]]&gt;3,PROPER(LEFT(TEXT(Tableau1[[#This Row],[Date de Début]]+3,"jjjj"),2))&amp; "" &amp; PROPER(LEFT(TEXT(Tableau1[[#This Row],[Date de Début]]+4,"jjjj"),2)),"")</f>
        <v/>
      </c>
      <c r="Z130" s="175" t="str">
        <f>IF(Tableau1[[#This Row],[Nb jours]]&gt;4,PROPER(LEFT(TEXT(Tableau1[[#This Row],[Date de Début]]+4,"jjjj"),2))&amp; "" &amp; PROPER(LEFT(TEXT(Tableau1[[#This Row],[Date de Début]]+5,"jjjj"),2)),"")</f>
        <v/>
      </c>
      <c r="AA130" s="176" t="str">
        <f>IF(Tableau1[[#This Row],[Nb jours]]&gt;5,PROPER(LEFT(TEXT(Tableau1[[#This Row],[Date de Début]]+5,"jjjj"),2))&amp; "" &amp; PROPER(LEFT(TEXT(Tableau1[[#This Row],[Date de Début]]+6,"jjjj"),2)),"")</f>
        <v/>
      </c>
      <c r="AB130" s="177">
        <f>Tableau1[[#This Row],[Date de Fin]]-Tableau1[[#This Row],[Date de Début]]</f>
        <v>1</v>
      </c>
      <c r="AC130" s="218" t="str">
        <f>Tableau1[[#This Row],[Nuit 1]]&amp;Tableau1[[#This Row],[Nuit 2]]&amp;Tableau1[[#This Row],[Nuit 3]]&amp;Tableau1[[#This Row],[Nuit 4]]&amp;Tableau1[[#This Row],[Nuit 5]]&amp;Tableau1[[#This Row],[Nuit 6]]</f>
        <v>MeJe</v>
      </c>
      <c r="AD130" s="40" t="s">
        <v>155</v>
      </c>
      <c r="AE130" s="25">
        <f>Tolérances_1</f>
        <v>28</v>
      </c>
      <c r="AF130" s="30">
        <f>Tableau1[[#This Row],[Date de Début]]-AE130</f>
        <v>45770</v>
      </c>
      <c r="AG130" s="217"/>
      <c r="AH130" s="25">
        <f>Tolérances_2</f>
        <v>21</v>
      </c>
      <c r="AI130" s="256" t="str">
        <f t="shared" si="99"/>
        <v>1900-01-00</v>
      </c>
      <c r="AJ130" s="44" t="s">
        <v>156</v>
      </c>
      <c r="AK130" s="30">
        <f>Tableau1[[#This Row],[Date de Début]]-AH130</f>
        <v>45777</v>
      </c>
      <c r="AL130" s="217"/>
      <c r="AM130" s="25">
        <f>Tolérances_3</f>
        <v>21</v>
      </c>
      <c r="AN130" s="266" t="str">
        <f>IF(AL130="","",TEXT(Tableau1[[#This Row],[Date de fin de vérification]],"AAAA-MM-JJ"))</f>
        <v/>
      </c>
      <c r="AO130" s="48">
        <f>Tableau1[[#This Row],[Date de Début]]-AM130</f>
        <v>45777</v>
      </c>
      <c r="AP130" s="217"/>
      <c r="AQ130" s="25">
        <f>Tolérances_4</f>
        <v>14</v>
      </c>
      <c r="AR130" s="256" t="str">
        <f t="shared" si="100"/>
        <v>00/01/1900</v>
      </c>
      <c r="AS130" s="48">
        <f>Tableau1[[#This Row],[Date de Début]]-AQ130</f>
        <v>45784</v>
      </c>
      <c r="AT130" s="217"/>
      <c r="AU130" s="25">
        <f>Tolérances_5</f>
        <v>14</v>
      </c>
      <c r="AV130" s="256" t="str">
        <f t="shared" si="101"/>
        <v>00-01-1900</v>
      </c>
      <c r="AW130" s="48">
        <f>Tableau1[[#This Row],[Date de Début]]-AU130</f>
        <v>45784</v>
      </c>
      <c r="AX130" s="217"/>
      <c r="AY130" s="290" t="str">
        <f t="shared" si="102"/>
        <v>1900-01-00</v>
      </c>
      <c r="AZ130" s="26">
        <f>IF(Tableau1[[#This Row],[Date limite de fin de rédaction]]&lt;Tableau1[[#This Row],[Date de fin de rédaction]],1,0)</f>
        <v>0</v>
      </c>
      <c r="BA130" s="26">
        <f>IF(Tableau1[[#This Row],[Date limite de fin de vérification]]&lt;Tableau1[[#This Row],[Date de fin de vérification]],1,0)</f>
        <v>0</v>
      </c>
      <c r="BB130" s="26">
        <f>IF(Tableau1[[#This Row],[Date limite d''envoi a  l''exploitation]]&lt;Tableau1[[#This Row],[Date d''envoi à  l''exploitation
(Mettre en copier le demandeur et le rédacteur)]],1,0)</f>
        <v>0</v>
      </c>
      <c r="BC130" s="26">
        <f>IF(Tableau1[[#This Row],[Date limite de réception]]&lt;Tableau1[[#This Row],[Date de réception]],1,0)</f>
        <v>0</v>
      </c>
      <c r="BD130" s="26">
        <f>IF(Tableau1[[#This Row],[Date limite limite de dépose sur la GED]]&lt;Tableau1[[#This Row],[Date de dépose sur la GED]],1,0)</f>
        <v>0</v>
      </c>
      <c r="BE130" s="291"/>
      <c r="BF130" s="319"/>
      <c r="BG130" s="311"/>
      <c r="BH130" s="295"/>
      <c r="BI130" s="295"/>
      <c r="BJ130" s="295"/>
      <c r="BK130" s="127"/>
    </row>
    <row r="131" spans="1:63" x14ac:dyDescent="0.25">
      <c r="A131" s="220">
        <v>122</v>
      </c>
      <c r="B131" s="90" t="s">
        <v>151</v>
      </c>
      <c r="C131" s="90" t="s">
        <v>118</v>
      </c>
      <c r="D131" s="98" t="str">
        <f>IF(Tableau1[[#This Row],[Date de Début]]=0,"Saisir date de début","S"&amp; _xlfn.ISOWEEKNUM(R131))</f>
        <v>S21</v>
      </c>
      <c r="E131" s="24" t="s">
        <v>288</v>
      </c>
      <c r="F131" s="21"/>
      <c r="G131" s="91" t="str">
        <f>"xxx-2025-"&amp;Tableau1[[#This Row],[N° de 
Ctx]]&amp;"-"&amp;Tableau1[[#This Row],[N° semaine]]&amp;"-"&amp; Tableau1[[#This Row],[Nature des travaux]]</f>
        <v>xxx-2025-122-S21-Contrat 122</v>
      </c>
      <c r="H131" s="208" t="str">
        <f>IF(Tableau1[[#This Row],[Nature des travaux]]=0,"Saisir nature des travaux",Tableau1[[#This Row],[Colonne1]])&amp;"-"&amp;Tableau1[[#This Row],[Jour]]</f>
        <v>xxx-2025-122-S21-Contrat 122-JeVe</v>
      </c>
      <c r="I131" s="20"/>
      <c r="J131" s="21"/>
      <c r="K131" s="21" t="s">
        <v>85</v>
      </c>
      <c r="L131" s="21"/>
      <c r="M131" s="91">
        <f>COUNTIF(Tableau1[[#This Row],[Secteur 1]:[Secteur 4]],"x")</f>
        <v>1</v>
      </c>
      <c r="N131" s="92" t="s">
        <v>81</v>
      </c>
      <c r="O131" s="92" t="str">
        <f>IF(Tableau1[[#This Row],[Date de Fin]]-Tableau1[[#This Row],[Date de Début]]&gt;1,"X"," ")</f>
        <v xml:space="preserve"> </v>
      </c>
      <c r="P131" s="20"/>
      <c r="Q131" s="21"/>
      <c r="R131" s="99">
        <v>45799</v>
      </c>
      <c r="S131" s="280" t="str">
        <f t="shared" si="97"/>
        <v>2025-05-22</v>
      </c>
      <c r="T131" s="209">
        <v>45800</v>
      </c>
      <c r="U131" s="276" t="str">
        <f t="shared" si="98"/>
        <v>2025-05-23</v>
      </c>
      <c r="V131" s="176" t="str">
        <f>PROPER(LEFT(TEXT(Tableau1[[#This Row],[Date de Début]],"jjjj"),2))&amp; "" &amp; PROPER(LEFT(TEXT(Tableau1[[#This Row],[Date de Début]]+1,"jjjj"),2))</f>
        <v>JeVe</v>
      </c>
      <c r="W131" s="175" t="str">
        <f>IF(Tableau1[[#This Row],[Nb jours]]&gt;1,PROPER(LEFT(TEXT(Tableau1[[#This Row],[Date de Début]]+1,"jjjj"),2))&amp; "" &amp; PROPER(LEFT(TEXT(Tableau1[[#This Row],[Date de Début]]+2,"jjjj"),2)),"")</f>
        <v/>
      </c>
      <c r="X131" s="175" t="str">
        <f>IF(Tableau1[[#This Row],[Nb jours]]&gt;2,PROPER(LEFT(TEXT(Tableau1[[#This Row],[Date de Début]]+2,"jjjj"),2))&amp; "" &amp; PROPER(LEFT(TEXT(Tableau1[[#This Row],[Date de Début]]+3,"jjjj"),2)),"")</f>
        <v/>
      </c>
      <c r="Y131" s="176" t="str">
        <f>IF(Tableau1[[#This Row],[Nb jours]]&gt;3,PROPER(LEFT(TEXT(Tableau1[[#This Row],[Date de Début]]+3,"jjjj"),2))&amp; "" &amp; PROPER(LEFT(TEXT(Tableau1[[#This Row],[Date de Début]]+4,"jjjj"),2)),"")</f>
        <v/>
      </c>
      <c r="Z131" s="175" t="str">
        <f>IF(Tableau1[[#This Row],[Nb jours]]&gt;4,PROPER(LEFT(TEXT(Tableau1[[#This Row],[Date de Début]]+4,"jjjj"),2))&amp; "" &amp; PROPER(LEFT(TEXT(Tableau1[[#This Row],[Date de Début]]+5,"jjjj"),2)),"")</f>
        <v/>
      </c>
      <c r="AA131" s="176" t="str">
        <f>IF(Tableau1[[#This Row],[Nb jours]]&gt;5,PROPER(LEFT(TEXT(Tableau1[[#This Row],[Date de Début]]+5,"jjjj"),2))&amp; "" &amp; PROPER(LEFT(TEXT(Tableau1[[#This Row],[Date de Début]]+6,"jjjj"),2)),"")</f>
        <v/>
      </c>
      <c r="AB131" s="177">
        <f>Tableau1[[#This Row],[Date de Fin]]-Tableau1[[#This Row],[Date de Début]]</f>
        <v>1</v>
      </c>
      <c r="AC131" s="218" t="str">
        <f>Tableau1[[#This Row],[Nuit 1]]&amp;Tableau1[[#This Row],[Nuit 2]]&amp;Tableau1[[#This Row],[Nuit 3]]&amp;Tableau1[[#This Row],[Nuit 4]]&amp;Tableau1[[#This Row],[Nuit 5]]&amp;Tableau1[[#This Row],[Nuit 6]]</f>
        <v>JeVe</v>
      </c>
      <c r="AD131" s="42" t="s">
        <v>155</v>
      </c>
      <c r="AE131" s="27">
        <f>Tolérances_1</f>
        <v>28</v>
      </c>
      <c r="AF131" s="31">
        <f>Tableau1[[#This Row],[Date de Début]]-AE131</f>
        <v>45771</v>
      </c>
      <c r="AG131" s="93">
        <v>45770</v>
      </c>
      <c r="AH131" s="27">
        <f>Tolérances_2</f>
        <v>21</v>
      </c>
      <c r="AI131" s="254" t="str">
        <f t="shared" si="99"/>
        <v>2025-04-23</v>
      </c>
      <c r="AJ131" s="45" t="s">
        <v>156</v>
      </c>
      <c r="AK131" s="31">
        <f>Tableau1[[#This Row],[Date de Début]]-AH131</f>
        <v>45778</v>
      </c>
      <c r="AL131" s="217"/>
      <c r="AM131" s="27">
        <f>Tolérances_3</f>
        <v>21</v>
      </c>
      <c r="AN131" s="264" t="str">
        <f>IF(AL131="","",TEXT(Tableau1[[#This Row],[Date de fin de vérification]],"AAAA-MM-JJ"))</f>
        <v/>
      </c>
      <c r="AO131" s="49">
        <f>Tableau1[[#This Row],[Date de Début]]-AM131</f>
        <v>45778</v>
      </c>
      <c r="AP131" s="217"/>
      <c r="AQ131" s="27">
        <f>Tolérances_4</f>
        <v>14</v>
      </c>
      <c r="AR131" s="254" t="str">
        <f t="shared" si="100"/>
        <v>00/01/1900</v>
      </c>
      <c r="AS131" s="49">
        <f>Tableau1[[#This Row],[Date de Début]]-AQ131</f>
        <v>45785</v>
      </c>
      <c r="AT131" s="217"/>
      <c r="AU131" s="27">
        <f>Tolérances_5</f>
        <v>14</v>
      </c>
      <c r="AV131" s="254" t="str">
        <f t="shared" si="101"/>
        <v>00-01-1900</v>
      </c>
      <c r="AW131" s="49">
        <f>Tableau1[[#This Row],[Date de Début]]-AU131</f>
        <v>45785</v>
      </c>
      <c r="AX131" s="217"/>
      <c r="AY131" s="293" t="str">
        <f t="shared" si="102"/>
        <v>1900-01-00</v>
      </c>
      <c r="AZ131" s="28">
        <f>IF(Tableau1[[#This Row],[Date limite de fin de rédaction]]&lt;Tableau1[[#This Row],[Date de fin de rédaction]],1,0)</f>
        <v>0</v>
      </c>
      <c r="BA131" s="28">
        <f>IF(Tableau1[[#This Row],[Date limite de fin de vérification]]&lt;Tableau1[[#This Row],[Date de fin de vérification]],1,0)</f>
        <v>0</v>
      </c>
      <c r="BB131" s="28">
        <f>IF(Tableau1[[#This Row],[Date limite d''envoi a  l''exploitation]]&lt;Tableau1[[#This Row],[Date d''envoi à  l''exploitation
(Mettre en copier le demandeur et le rédacteur)]],1,0)</f>
        <v>0</v>
      </c>
      <c r="BC131" s="28">
        <f>IF(Tableau1[[#This Row],[Date limite de réception]]&lt;Tableau1[[#This Row],[Date de réception]],1,0)</f>
        <v>0</v>
      </c>
      <c r="BD131" s="28">
        <f>IF(Tableau1[[#This Row],[Date limite limite de dépose sur la GED]]&lt;Tableau1[[#This Row],[Date de dépose sur la GED]],1,0)</f>
        <v>0</v>
      </c>
      <c r="BE131" s="294"/>
      <c r="BF131" s="310"/>
      <c r="BG131" s="311"/>
      <c r="BH131" s="312"/>
      <c r="BI131" s="312"/>
      <c r="BJ131" s="312"/>
      <c r="BK131" s="127"/>
    </row>
    <row r="132" spans="1:63" x14ac:dyDescent="0.25">
      <c r="A132" s="313">
        <v>123</v>
      </c>
      <c r="B132" s="90" t="s">
        <v>151</v>
      </c>
      <c r="C132" s="90"/>
      <c r="D132" s="98" t="str">
        <f>IF(Tableau1[[#This Row],[Date de Début]]=0,"Saisir date de début","S"&amp; _xlfn.ISOWEEKNUM(R132))</f>
        <v>S25</v>
      </c>
      <c r="E132" s="24" t="s">
        <v>289</v>
      </c>
      <c r="F132" s="21"/>
      <c r="G132" s="91" t="str">
        <f>"xxx-2025-"&amp;Tableau1[[#This Row],[N° de 
Ctx]]&amp;"-"&amp;Tableau1[[#This Row],[N° semaine]]&amp;"-"&amp; Tableau1[[#This Row],[Nature des travaux]]</f>
        <v>xxx-2025-123-S25-Contrat 123</v>
      </c>
      <c r="H132" s="208" t="str">
        <f>IF(Tableau1[[#This Row],[Nature des travaux]]=0,"Saisir nature des travaux",Tableau1[[#This Row],[Colonne1]])&amp;"-"&amp;Tableau1[[#This Row],[Jour]]</f>
        <v>xxx-2025-123-S25-Contrat 123-LuMaMaMeMeJeJeVe</v>
      </c>
      <c r="I132" s="20"/>
      <c r="J132" s="21"/>
      <c r="K132" s="21" t="s">
        <v>85</v>
      </c>
      <c r="L132" s="21"/>
      <c r="M132" s="91">
        <f>COUNTIF(Tableau1[[#This Row],[Secteur 1]:[Secteur 4]],"x")</f>
        <v>1</v>
      </c>
      <c r="N132" s="92" t="s">
        <v>81</v>
      </c>
      <c r="O132" s="92" t="str">
        <f>IF(Tableau1[[#This Row],[Date de Fin]]-Tableau1[[#This Row],[Date de Début]]&gt;1,"X"," ")</f>
        <v>X</v>
      </c>
      <c r="P132" s="20"/>
      <c r="Q132" s="21"/>
      <c r="R132" s="99">
        <v>45824</v>
      </c>
      <c r="S132" s="280" t="str">
        <f>TEXT(R132,"AAAA-MM-JJ")</f>
        <v>2025-06-16</v>
      </c>
      <c r="T132" s="209">
        <v>45828</v>
      </c>
      <c r="U132" s="280" t="str">
        <f>TEXT(T132,"AAAA-MM-JJ")</f>
        <v>2025-06-20</v>
      </c>
      <c r="V132" s="176" t="str">
        <f>PROPER(LEFT(TEXT(Tableau1[[#This Row],[Date de Début]],"jjjj"),2))&amp; "" &amp; PROPER(LEFT(TEXT(Tableau1[[#This Row],[Date de Début]]+1,"jjjj"),2))</f>
        <v>LuMa</v>
      </c>
      <c r="W132" s="175" t="str">
        <f>IF(Tableau1[[#This Row],[Nb jours]]&gt;1,PROPER(LEFT(TEXT(Tableau1[[#This Row],[Date de Début]]+1,"jjjj"),2))&amp; "" &amp; PROPER(LEFT(TEXT(Tableau1[[#This Row],[Date de Début]]+2,"jjjj"),2)),"")</f>
        <v>MaMe</v>
      </c>
      <c r="X132" s="175" t="str">
        <f>IF(Tableau1[[#This Row],[Nb jours]]&gt;2,PROPER(LEFT(TEXT(Tableau1[[#This Row],[Date de Début]]+2,"jjjj"),2))&amp; "" &amp; PROPER(LEFT(TEXT(Tableau1[[#This Row],[Date de Début]]+3,"jjjj"),2)),"")</f>
        <v>MeJe</v>
      </c>
      <c r="Y132" s="176" t="str">
        <f>IF(Tableau1[[#This Row],[Nb jours]]&gt;3,PROPER(LEFT(TEXT(Tableau1[[#This Row],[Date de Début]]+3,"jjjj"),2))&amp; "" &amp; PROPER(LEFT(TEXT(Tableau1[[#This Row],[Date de Début]]+4,"jjjj"),2)),"")</f>
        <v>JeVe</v>
      </c>
      <c r="Z132" s="175" t="str">
        <f>IF(Tableau1[[#This Row],[Nb jours]]&gt;4,PROPER(LEFT(TEXT(Tableau1[[#This Row],[Date de Début]]+4,"jjjj"),2))&amp; "" &amp; PROPER(LEFT(TEXT(Tableau1[[#This Row],[Date de Début]]+5,"jjjj"),2)),"")</f>
        <v/>
      </c>
      <c r="AA132" s="176" t="str">
        <f>IF(Tableau1[[#This Row],[Nb jours]]&gt;5,PROPER(LEFT(TEXT(Tableau1[[#This Row],[Date de Début]]+5,"jjjj"),2))&amp; "" &amp; PROPER(LEFT(TEXT(Tableau1[[#This Row],[Date de Début]]+6,"jjjj"),2)),"")</f>
        <v/>
      </c>
      <c r="AB132" s="177">
        <f>Tableau1[[#This Row],[Date de Fin]]-Tableau1[[#This Row],[Date de Début]]</f>
        <v>4</v>
      </c>
      <c r="AC132" s="207" t="str">
        <f>Tableau1[[#This Row],[Nuit 1]]&amp;Tableau1[[#This Row],[Nuit 2]]&amp;Tableau1[[#This Row],[Nuit 3]]&amp;Tableau1[[#This Row],[Nuit 4]]&amp;Tableau1[[#This Row],[Nuit 5]]&amp;Tableau1[[#This Row],[Nuit 6]]</f>
        <v>LuMaMaMeMeJeJeVe</v>
      </c>
      <c r="AD132" s="42" t="s">
        <v>155</v>
      </c>
      <c r="AE132" s="27">
        <f>Tolérances_1</f>
        <v>28</v>
      </c>
      <c r="AF132" s="31">
        <f>Tableau1[[#This Row],[Date de Début]]-AE132</f>
        <v>45796</v>
      </c>
      <c r="AG132" s="93"/>
      <c r="AH132" s="27">
        <f>Tolérances_2</f>
        <v>21</v>
      </c>
      <c r="AI132" s="254" t="str">
        <f>TEXT(AG132,"AAAA-MM-JJ")</f>
        <v>1900-01-00</v>
      </c>
      <c r="AJ132" s="45" t="s">
        <v>156</v>
      </c>
      <c r="AK132" s="31">
        <f>Tableau1[[#This Row],[Date de Début]]-AH132</f>
        <v>45803</v>
      </c>
      <c r="AL132" s="217"/>
      <c r="AM132" s="27">
        <f>Tolérances_3</f>
        <v>21</v>
      </c>
      <c r="AN132" s="264" t="str">
        <f>IF(AL132="","",TEXT(Tableau1[[#This Row],[Date de fin de vérification]],"AAAA-MM-JJ"))</f>
        <v/>
      </c>
      <c r="AO132" s="49">
        <f>Tableau1[[#This Row],[Date de Début]]-AM132</f>
        <v>45803</v>
      </c>
      <c r="AP132" s="217"/>
      <c r="AQ132" s="27">
        <f>Tolérances_4</f>
        <v>14</v>
      </c>
      <c r="AR132" s="254" t="str">
        <f>TEXT(AP132,"JJ/MM/AAAA")</f>
        <v>00/01/1900</v>
      </c>
      <c r="AS132" s="49">
        <f>Tableau1[[#This Row],[Date de Début]]-AQ132</f>
        <v>45810</v>
      </c>
      <c r="AT132" s="217"/>
      <c r="AU132" s="27">
        <f>Tolérances_5</f>
        <v>14</v>
      </c>
      <c r="AV132" s="254" t="str">
        <f>TEXT(AT132,"JJ-MM-AAAA")</f>
        <v>00-01-1900</v>
      </c>
      <c r="AW132" s="49">
        <f>Tableau1[[#This Row],[Date de Début]]-AU132</f>
        <v>45810</v>
      </c>
      <c r="AX132" s="217"/>
      <c r="AY132" s="293" t="str">
        <f>TEXT(AX132,"AAAA-MM-JJ")</f>
        <v>1900-01-00</v>
      </c>
      <c r="AZ132" s="28">
        <f>IF(Tableau1[[#This Row],[Date limite de fin de rédaction]]&lt;Tableau1[[#This Row],[Date de fin de rédaction]],1,0)</f>
        <v>0</v>
      </c>
      <c r="BA132" s="28">
        <f>IF(Tableau1[[#This Row],[Date limite de fin de vérification]]&lt;Tableau1[[#This Row],[Date de fin de vérification]],1,0)</f>
        <v>0</v>
      </c>
      <c r="BB132" s="28">
        <f>IF(Tableau1[[#This Row],[Date limite d''envoi a  l''exploitation]]&lt;Tableau1[[#This Row],[Date d''envoi à  l''exploitation
(Mettre en copier le demandeur et le rédacteur)]],1,0)</f>
        <v>0</v>
      </c>
      <c r="BC132" s="28">
        <f>IF(Tableau1[[#This Row],[Date limite de réception]]&lt;Tableau1[[#This Row],[Date de réception]],1,0)</f>
        <v>0</v>
      </c>
      <c r="BD132" s="28">
        <f>IF(Tableau1[[#This Row],[Date limite limite de dépose sur la GED]]&lt;Tableau1[[#This Row],[Date de dépose sur la GED]],1,0)</f>
        <v>0</v>
      </c>
      <c r="BE132" s="294"/>
      <c r="BF132" s="310"/>
      <c r="BG132" s="311"/>
      <c r="BH132" s="312"/>
      <c r="BI132" s="312"/>
      <c r="BJ132" s="312"/>
      <c r="BK132" s="127"/>
    </row>
    <row r="133" spans="1:63" x14ac:dyDescent="0.25">
      <c r="D133" s="2"/>
      <c r="H133" s="2"/>
      <c r="AF133" s="2"/>
      <c r="AK133" s="2"/>
      <c r="AO133" s="2"/>
      <c r="AS133" s="2"/>
      <c r="AW133" s="2"/>
    </row>
    <row r="134" spans="1:63" x14ac:dyDescent="0.25">
      <c r="D134" s="2"/>
      <c r="H134" s="2"/>
      <c r="AF134" s="2"/>
      <c r="AK134" s="2"/>
      <c r="AO134" s="2"/>
      <c r="AS134" s="2"/>
      <c r="AW134" s="2"/>
    </row>
    <row r="135" spans="1:63" x14ac:dyDescent="0.25">
      <c r="D135" s="2"/>
      <c r="H135" s="2"/>
      <c r="AF135" s="2"/>
      <c r="AK135" s="2"/>
      <c r="AO135" s="2"/>
      <c r="AS135" s="2"/>
      <c r="AW135" s="2"/>
    </row>
    <row r="136" spans="1:63" x14ac:dyDescent="0.25">
      <c r="D136" s="2"/>
      <c r="H136" s="2"/>
      <c r="AF136" s="2"/>
      <c r="AK136" s="2"/>
      <c r="AO136" s="2"/>
      <c r="AS136" s="2"/>
      <c r="AW136" s="2"/>
    </row>
    <row r="137" spans="1:63" x14ac:dyDescent="0.25">
      <c r="D137" s="2"/>
      <c r="H137" s="2"/>
      <c r="AF137" s="2"/>
      <c r="AK137" s="2"/>
      <c r="AO137" s="2"/>
      <c r="AS137" s="2"/>
      <c r="AW137" s="2"/>
    </row>
    <row r="138" spans="1:63" x14ac:dyDescent="0.25">
      <c r="D138" s="2"/>
      <c r="H138" s="2"/>
      <c r="AF138" s="2"/>
      <c r="AK138" s="2"/>
      <c r="AO138" s="2"/>
      <c r="AS138" s="2"/>
      <c r="AW138" s="2"/>
    </row>
    <row r="139" spans="1:63" x14ac:dyDescent="0.25">
      <c r="D139" s="2"/>
      <c r="H139" s="2"/>
      <c r="AF139" s="2"/>
      <c r="AK139" s="2"/>
      <c r="AO139" s="2"/>
      <c r="AS139" s="2"/>
      <c r="AW139" s="2"/>
    </row>
    <row r="140" spans="1:63" x14ac:dyDescent="0.25">
      <c r="D140" s="2"/>
      <c r="E140" s="311"/>
      <c r="H140" s="2"/>
      <c r="AF140" s="2"/>
      <c r="AK140" s="2"/>
      <c r="AO140" s="2"/>
      <c r="AS140" s="2"/>
      <c r="AW140" s="2"/>
    </row>
    <row r="141" spans="1:63" x14ac:dyDescent="0.25">
      <c r="D141" s="2"/>
      <c r="H141" s="2"/>
      <c r="AF141" s="2"/>
      <c r="AK141" s="2"/>
      <c r="AO141" s="2"/>
      <c r="AS141" s="2"/>
      <c r="AW141" s="2"/>
    </row>
    <row r="142" spans="1:63" x14ac:dyDescent="0.25">
      <c r="D142" s="2"/>
      <c r="H142" s="2"/>
      <c r="AF142" s="2"/>
      <c r="AK142" s="2"/>
      <c r="AO142" s="2"/>
      <c r="AS142" s="2"/>
      <c r="AW142" s="2"/>
    </row>
    <row r="143" spans="1:63" x14ac:dyDescent="0.25">
      <c r="D143" s="2"/>
      <c r="H143" s="2"/>
      <c r="AF143" s="2"/>
      <c r="AK143" s="2"/>
      <c r="AO143" s="2"/>
      <c r="AS143" s="2"/>
      <c r="AW143" s="2"/>
    </row>
    <row r="144" spans="1:63" x14ac:dyDescent="0.25">
      <c r="D144" s="2"/>
      <c r="H144" s="2"/>
      <c r="AF144" s="2"/>
      <c r="AK144" s="2"/>
      <c r="AO144" s="2"/>
      <c r="AS144" s="2"/>
      <c r="AW144" s="2"/>
    </row>
    <row r="145" spans="4:49" x14ac:dyDescent="0.25">
      <c r="D145" s="2"/>
      <c r="H145" s="2"/>
      <c r="AF145" s="2"/>
      <c r="AK145" s="2"/>
      <c r="AO145" s="2"/>
      <c r="AS145" s="2"/>
      <c r="AW145" s="2"/>
    </row>
    <row r="146" spans="4:49" x14ac:dyDescent="0.25">
      <c r="D146" s="2"/>
      <c r="H146" s="2"/>
      <c r="AF146" s="2"/>
      <c r="AK146" s="2"/>
      <c r="AO146" s="2"/>
      <c r="AS146" s="2"/>
      <c r="AW146" s="2"/>
    </row>
    <row r="147" spans="4:49" x14ac:dyDescent="0.25">
      <c r="D147" s="2"/>
      <c r="H147" s="2"/>
      <c r="AF147" s="2"/>
      <c r="AK147" s="2"/>
      <c r="AO147" s="2"/>
      <c r="AS147" s="2"/>
      <c r="AW147" s="2"/>
    </row>
    <row r="148" spans="4:49" x14ac:dyDescent="0.25">
      <c r="D148" s="2"/>
      <c r="H148" s="2"/>
      <c r="AF148" s="2"/>
      <c r="AK148" s="2"/>
      <c r="AO148" s="2"/>
      <c r="AS148" s="2"/>
      <c r="AW148" s="2"/>
    </row>
    <row r="149" spans="4:49" x14ac:dyDescent="0.25">
      <c r="D149" s="2"/>
      <c r="H149" s="2"/>
      <c r="AF149" s="2"/>
      <c r="AK149" s="2"/>
      <c r="AO149" s="2"/>
      <c r="AS149" s="2"/>
      <c r="AW149" s="2"/>
    </row>
    <row r="150" spans="4:49" x14ac:dyDescent="0.25">
      <c r="D150" s="2"/>
      <c r="H150" s="2"/>
      <c r="AF150" s="2"/>
      <c r="AK150" s="2"/>
      <c r="AO150" s="2"/>
      <c r="AS150" s="2"/>
      <c r="AW150" s="2"/>
    </row>
    <row r="151" spans="4:49" x14ac:dyDescent="0.25">
      <c r="D151" s="2"/>
      <c r="H151" s="2"/>
      <c r="AF151" s="2"/>
      <c r="AK151" s="2"/>
      <c r="AO151" s="2"/>
      <c r="AS151" s="2"/>
      <c r="AW151" s="2"/>
    </row>
    <row r="152" spans="4:49" x14ac:dyDescent="0.25">
      <c r="D152" s="2"/>
      <c r="H152" s="2"/>
      <c r="AF152" s="2"/>
      <c r="AK152" s="2"/>
      <c r="AO152" s="2"/>
      <c r="AS152" s="2"/>
      <c r="AW152" s="2"/>
    </row>
    <row r="153" spans="4:49" x14ac:dyDescent="0.25">
      <c r="D153" s="2"/>
      <c r="H153" s="2"/>
      <c r="AF153" s="2"/>
      <c r="AK153" s="2"/>
      <c r="AO153" s="2"/>
      <c r="AS153" s="2"/>
      <c r="AW153" s="2"/>
    </row>
    <row r="154" spans="4:49" x14ac:dyDescent="0.25">
      <c r="D154" s="2"/>
      <c r="H154" s="2"/>
      <c r="AF154" s="2"/>
      <c r="AK154" s="2"/>
      <c r="AO154" s="2"/>
      <c r="AS154" s="2"/>
      <c r="AW154" s="2"/>
    </row>
    <row r="155" spans="4:49" x14ac:dyDescent="0.25">
      <c r="D155" s="2"/>
      <c r="H155" s="2"/>
      <c r="AF155" s="2"/>
      <c r="AK155" s="2"/>
      <c r="AO155" s="2"/>
      <c r="AS155" s="2"/>
      <c r="AW155" s="2"/>
    </row>
    <row r="156" spans="4:49" x14ac:dyDescent="0.25">
      <c r="D156" s="2"/>
      <c r="H156" s="2"/>
      <c r="AF156" s="2"/>
      <c r="AK156" s="2"/>
      <c r="AO156" s="2"/>
      <c r="AS156" s="2"/>
      <c r="AW156" s="2"/>
    </row>
    <row r="157" spans="4:49" x14ac:dyDescent="0.25">
      <c r="D157" s="2"/>
      <c r="H157" s="2"/>
      <c r="AF157" s="2"/>
      <c r="AK157" s="2"/>
      <c r="AO157" s="2"/>
      <c r="AS157" s="2"/>
      <c r="AW157" s="2"/>
    </row>
    <row r="158" spans="4:49" x14ac:dyDescent="0.25">
      <c r="D158" s="2"/>
      <c r="H158" s="2"/>
      <c r="AF158" s="2"/>
      <c r="AK158" s="2"/>
      <c r="AO158" s="2"/>
      <c r="AS158" s="2"/>
      <c r="AW158" s="2"/>
    </row>
    <row r="159" spans="4:49" x14ac:dyDescent="0.25">
      <c r="D159" s="2"/>
      <c r="H159" s="2"/>
      <c r="AF159" s="2"/>
      <c r="AK159" s="2"/>
      <c r="AO159" s="2"/>
      <c r="AS159" s="2"/>
      <c r="AW159" s="2"/>
    </row>
    <row r="160" spans="4:49" x14ac:dyDescent="0.25">
      <c r="D160" s="2"/>
      <c r="H160" s="2"/>
      <c r="AF160" s="2"/>
      <c r="AK160" s="2"/>
      <c r="AO160" s="2"/>
      <c r="AS160" s="2"/>
      <c r="AW160" s="2"/>
    </row>
    <row r="161" spans="4:49" x14ac:dyDescent="0.25">
      <c r="D161" s="2"/>
      <c r="H161" s="2"/>
      <c r="AF161" s="2"/>
      <c r="AK161" s="2"/>
      <c r="AO161" s="2"/>
      <c r="AS161" s="2"/>
      <c r="AW161" s="2"/>
    </row>
    <row r="162" spans="4:49" x14ac:dyDescent="0.25">
      <c r="D162" s="2"/>
      <c r="H162" s="2"/>
      <c r="AF162" s="2"/>
      <c r="AK162" s="2"/>
      <c r="AO162" s="2"/>
      <c r="AS162" s="2"/>
      <c r="AW162" s="2"/>
    </row>
    <row r="163" spans="4:49" x14ac:dyDescent="0.25">
      <c r="D163" s="2"/>
      <c r="H163" s="2"/>
      <c r="AF163" s="2"/>
      <c r="AK163" s="2"/>
      <c r="AO163" s="2"/>
      <c r="AS163" s="2"/>
      <c r="AW163" s="2"/>
    </row>
    <row r="164" spans="4:49" x14ac:dyDescent="0.25">
      <c r="D164" s="2"/>
      <c r="H164" s="2"/>
      <c r="AF164" s="2"/>
      <c r="AK164" s="2"/>
      <c r="AO164" s="2"/>
      <c r="AS164" s="2"/>
      <c r="AW164" s="2"/>
    </row>
    <row r="165" spans="4:49" x14ac:dyDescent="0.25">
      <c r="D165" s="2"/>
      <c r="H165" s="2"/>
      <c r="AF165" s="2"/>
      <c r="AK165" s="2"/>
      <c r="AO165" s="2"/>
      <c r="AS165" s="2"/>
      <c r="AW165" s="2"/>
    </row>
    <row r="166" spans="4:49" x14ac:dyDescent="0.25">
      <c r="D166" s="2"/>
      <c r="H166" s="2"/>
      <c r="AF166" s="2"/>
      <c r="AK166" s="2"/>
      <c r="AO166" s="2"/>
      <c r="AS166" s="2"/>
      <c r="AW166" s="2"/>
    </row>
    <row r="167" spans="4:49" x14ac:dyDescent="0.25">
      <c r="D167" s="2"/>
      <c r="H167" s="2"/>
      <c r="AF167" s="2"/>
      <c r="AK167" s="2"/>
      <c r="AO167" s="2"/>
      <c r="AS167" s="2"/>
      <c r="AW167" s="2"/>
    </row>
    <row r="168" spans="4:49" x14ac:dyDescent="0.25">
      <c r="D168" s="2"/>
      <c r="H168" s="2"/>
      <c r="AF168" s="2"/>
      <c r="AK168" s="2"/>
      <c r="AO168" s="2"/>
      <c r="AS168" s="2"/>
      <c r="AW168" s="2"/>
    </row>
    <row r="169" spans="4:49" x14ac:dyDescent="0.25">
      <c r="D169" s="2"/>
      <c r="H169" s="2"/>
      <c r="AF169" s="2"/>
      <c r="AK169" s="2"/>
      <c r="AO169" s="2"/>
      <c r="AS169" s="2"/>
      <c r="AW169" s="2"/>
    </row>
    <row r="170" spans="4:49" x14ac:dyDescent="0.25">
      <c r="D170" s="2"/>
      <c r="H170" s="2"/>
      <c r="AF170" s="2"/>
      <c r="AK170" s="2"/>
      <c r="AO170" s="2"/>
      <c r="AS170" s="2"/>
      <c r="AW170" s="2"/>
    </row>
    <row r="171" spans="4:49" x14ac:dyDescent="0.25">
      <c r="D171" s="2"/>
      <c r="H171" s="2"/>
      <c r="AF171" s="2"/>
      <c r="AK171" s="2"/>
      <c r="AO171" s="2"/>
      <c r="AS171" s="2"/>
      <c r="AW171" s="2"/>
    </row>
    <row r="172" spans="4:49" x14ac:dyDescent="0.25">
      <c r="D172" s="2"/>
      <c r="H172" s="2"/>
      <c r="AF172" s="2"/>
      <c r="AK172" s="2"/>
      <c r="AO172" s="2"/>
      <c r="AS172" s="2"/>
      <c r="AW172" s="2"/>
    </row>
    <row r="173" spans="4:49" x14ac:dyDescent="0.25">
      <c r="D173" s="2"/>
      <c r="H173" s="2"/>
      <c r="AF173" s="2"/>
      <c r="AK173" s="2"/>
      <c r="AO173" s="2"/>
      <c r="AS173" s="2"/>
      <c r="AW173" s="2"/>
    </row>
    <row r="174" spans="4:49" x14ac:dyDescent="0.25">
      <c r="D174" s="2"/>
      <c r="H174" s="2"/>
      <c r="AF174" s="2"/>
      <c r="AK174" s="2"/>
      <c r="AO174" s="2"/>
      <c r="AS174" s="2"/>
      <c r="AW174" s="2"/>
    </row>
    <row r="175" spans="4:49" x14ac:dyDescent="0.25">
      <c r="D175" s="2"/>
      <c r="H175" s="2"/>
      <c r="AF175" s="2"/>
      <c r="AK175" s="2"/>
      <c r="AO175" s="2"/>
      <c r="AS175" s="2"/>
      <c r="AW175" s="2"/>
    </row>
    <row r="176" spans="4:49" x14ac:dyDescent="0.25">
      <c r="D176" s="2"/>
      <c r="H176" s="2"/>
      <c r="AF176" s="2"/>
      <c r="AK176" s="2"/>
      <c r="AO176" s="2"/>
      <c r="AS176" s="2"/>
      <c r="AW176" s="2"/>
    </row>
    <row r="177" spans="4:49" x14ac:dyDescent="0.25">
      <c r="D177" s="2"/>
      <c r="H177" s="2"/>
      <c r="AF177" s="2"/>
      <c r="AK177" s="2"/>
      <c r="AO177" s="2"/>
      <c r="AS177" s="2"/>
      <c r="AW177" s="2"/>
    </row>
    <row r="178" spans="4:49" x14ac:dyDescent="0.25">
      <c r="D178" s="2"/>
      <c r="H178" s="2"/>
      <c r="AF178" s="2"/>
      <c r="AK178" s="2"/>
      <c r="AO178" s="2"/>
      <c r="AS178" s="2"/>
      <c r="AW178" s="2"/>
    </row>
    <row r="179" spans="4:49" x14ac:dyDescent="0.25">
      <c r="D179" s="2"/>
      <c r="H179" s="2"/>
      <c r="AF179" s="2"/>
      <c r="AK179" s="2"/>
      <c r="AO179" s="2"/>
      <c r="AS179" s="2"/>
      <c r="AW179" s="2"/>
    </row>
    <row r="180" spans="4:49" x14ac:dyDescent="0.25">
      <c r="D180" s="2"/>
      <c r="H180" s="2"/>
      <c r="AF180" s="2"/>
      <c r="AK180" s="2"/>
      <c r="AO180" s="2"/>
      <c r="AS180" s="2"/>
      <c r="AW180" s="2"/>
    </row>
    <row r="181" spans="4:49" x14ac:dyDescent="0.25">
      <c r="D181" s="2"/>
      <c r="H181" s="2"/>
      <c r="AF181" s="2"/>
      <c r="AK181" s="2"/>
      <c r="AO181" s="2"/>
      <c r="AS181" s="2"/>
      <c r="AW181" s="2"/>
    </row>
    <row r="182" spans="4:49" x14ac:dyDescent="0.25">
      <c r="D182" s="2"/>
      <c r="H182" s="2"/>
      <c r="AF182" s="2"/>
      <c r="AK182" s="2"/>
      <c r="AO182" s="2"/>
      <c r="AS182" s="2"/>
      <c r="AW182" s="2"/>
    </row>
    <row r="183" spans="4:49" x14ac:dyDescent="0.25">
      <c r="D183" s="2"/>
      <c r="H183" s="2"/>
      <c r="AF183" s="2"/>
      <c r="AK183" s="2"/>
      <c r="AO183" s="2"/>
      <c r="AS183" s="2"/>
      <c r="AW183" s="2"/>
    </row>
    <row r="184" spans="4:49" x14ac:dyDescent="0.25">
      <c r="D184" s="2"/>
      <c r="H184" s="2"/>
      <c r="AF184" s="2"/>
      <c r="AK184" s="2"/>
      <c r="AO184" s="2"/>
      <c r="AS184" s="2"/>
      <c r="AW184" s="2"/>
    </row>
    <row r="185" spans="4:49" x14ac:dyDescent="0.25">
      <c r="D185" s="2"/>
      <c r="H185" s="2"/>
      <c r="AF185" s="2"/>
      <c r="AK185" s="2"/>
      <c r="AO185" s="2"/>
      <c r="AS185" s="2"/>
      <c r="AW185" s="2"/>
    </row>
    <row r="186" spans="4:49" x14ac:dyDescent="0.25">
      <c r="D186" s="2"/>
      <c r="H186" s="2"/>
      <c r="AF186" s="2"/>
      <c r="AK186" s="2"/>
      <c r="AO186" s="2"/>
      <c r="AS186" s="2"/>
      <c r="AW186" s="2"/>
    </row>
    <row r="187" spans="4:49" x14ac:dyDescent="0.25">
      <c r="D187" s="2"/>
      <c r="H187" s="2"/>
      <c r="AF187" s="2"/>
      <c r="AK187" s="2"/>
      <c r="AO187" s="2"/>
      <c r="AS187" s="2"/>
      <c r="AW187" s="2"/>
    </row>
    <row r="188" spans="4:49" x14ac:dyDescent="0.25">
      <c r="D188" s="2"/>
      <c r="H188" s="2"/>
      <c r="AF188" s="2"/>
      <c r="AK188" s="2"/>
      <c r="AO188" s="2"/>
      <c r="AS188" s="2"/>
      <c r="AW188" s="2"/>
    </row>
    <row r="189" spans="4:49" x14ac:dyDescent="0.25">
      <c r="D189" s="2"/>
      <c r="H189" s="2"/>
      <c r="AF189" s="2"/>
      <c r="AK189" s="2"/>
      <c r="AO189" s="2"/>
      <c r="AS189" s="2"/>
      <c r="AW189" s="2"/>
    </row>
    <row r="190" spans="4:49" x14ac:dyDescent="0.25">
      <c r="D190" s="2"/>
      <c r="H190" s="2"/>
      <c r="AF190" s="2"/>
      <c r="AK190" s="2"/>
      <c r="AO190" s="2"/>
      <c r="AS190" s="2"/>
      <c r="AW190" s="2"/>
    </row>
    <row r="191" spans="4:49" x14ac:dyDescent="0.25">
      <c r="D191" s="2"/>
      <c r="H191" s="2"/>
      <c r="AF191" s="2"/>
      <c r="AK191" s="2"/>
      <c r="AO191" s="2"/>
      <c r="AS191" s="2"/>
      <c r="AW191" s="2"/>
    </row>
    <row r="192" spans="4:49" x14ac:dyDescent="0.25">
      <c r="D192" s="2"/>
      <c r="H192" s="2"/>
      <c r="AF192" s="2"/>
      <c r="AK192" s="2"/>
      <c r="AO192" s="2"/>
      <c r="AS192" s="2"/>
      <c r="AW192" s="2"/>
    </row>
    <row r="193" spans="4:49" x14ac:dyDescent="0.25">
      <c r="D193" s="2"/>
      <c r="H193" s="2"/>
      <c r="AF193" s="2"/>
      <c r="AK193" s="2"/>
      <c r="AO193" s="2"/>
      <c r="AS193" s="2"/>
      <c r="AW193" s="2"/>
    </row>
    <row r="194" spans="4:49" x14ac:dyDescent="0.25">
      <c r="D194" s="2"/>
      <c r="H194" s="2"/>
      <c r="AF194" s="2"/>
      <c r="AK194" s="2"/>
      <c r="AO194" s="2"/>
      <c r="AS194" s="2"/>
      <c r="AW194" s="2"/>
    </row>
    <row r="195" spans="4:49" x14ac:dyDescent="0.25">
      <c r="D195" s="2"/>
      <c r="H195" s="2"/>
      <c r="AF195" s="2"/>
      <c r="AK195" s="2"/>
      <c r="AO195" s="2"/>
      <c r="AS195" s="2"/>
      <c r="AW195" s="2"/>
    </row>
    <row r="196" spans="4:49" x14ac:dyDescent="0.25">
      <c r="D196" s="2"/>
      <c r="H196" s="2"/>
      <c r="AF196" s="2"/>
      <c r="AK196" s="2"/>
      <c r="AO196" s="2"/>
      <c r="AS196" s="2"/>
      <c r="AW196" s="2"/>
    </row>
    <row r="197" spans="4:49" x14ac:dyDescent="0.25">
      <c r="D197" s="2"/>
      <c r="H197" s="2"/>
      <c r="AF197" s="2"/>
      <c r="AK197" s="2"/>
      <c r="AO197" s="2"/>
      <c r="AS197" s="2"/>
      <c r="AW197" s="2"/>
    </row>
    <row r="198" spans="4:49" x14ac:dyDescent="0.25">
      <c r="D198" s="2"/>
      <c r="H198" s="2"/>
      <c r="AF198" s="2"/>
      <c r="AK198" s="2"/>
      <c r="AO198" s="2"/>
      <c r="AS198" s="2"/>
      <c r="AW198" s="2"/>
    </row>
    <row r="199" spans="4:49" x14ac:dyDescent="0.25">
      <c r="D199" s="2"/>
      <c r="H199" s="2"/>
      <c r="AF199" s="2"/>
      <c r="AK199" s="2"/>
      <c r="AO199" s="2"/>
      <c r="AS199" s="2"/>
      <c r="AW199" s="2"/>
    </row>
    <row r="200" spans="4:49" x14ac:dyDescent="0.25">
      <c r="D200" s="2"/>
      <c r="H200" s="2"/>
      <c r="AF200" s="2"/>
      <c r="AK200" s="2"/>
      <c r="AO200" s="2"/>
      <c r="AS200" s="2"/>
      <c r="AW200" s="2"/>
    </row>
    <row r="201" spans="4:49" x14ac:dyDescent="0.25">
      <c r="D201" s="2"/>
      <c r="H201" s="2"/>
      <c r="AF201" s="2"/>
      <c r="AK201" s="2"/>
      <c r="AO201" s="2"/>
      <c r="AS201" s="2"/>
      <c r="AW201" s="2"/>
    </row>
    <row r="202" spans="4:49" x14ac:dyDescent="0.25">
      <c r="D202" s="2"/>
      <c r="H202" s="2"/>
      <c r="AF202" s="2"/>
      <c r="AK202" s="2"/>
      <c r="AO202" s="2"/>
      <c r="AS202" s="2"/>
      <c r="AW202" s="2"/>
    </row>
    <row r="203" spans="4:49" x14ac:dyDescent="0.25">
      <c r="D203" s="2"/>
      <c r="H203" s="2"/>
      <c r="AF203" s="2"/>
      <c r="AK203" s="2"/>
      <c r="AO203" s="2"/>
      <c r="AS203" s="2"/>
      <c r="AW203" s="2"/>
    </row>
    <row r="204" spans="4:49" x14ac:dyDescent="0.25">
      <c r="D204" s="2"/>
      <c r="H204" s="2"/>
      <c r="AF204" s="2"/>
      <c r="AK204" s="2"/>
      <c r="AO204" s="2"/>
      <c r="AS204" s="2"/>
      <c r="AW204" s="2"/>
    </row>
    <row r="205" spans="4:49" x14ac:dyDescent="0.25">
      <c r="D205" s="2"/>
      <c r="H205" s="2"/>
      <c r="AF205" s="2"/>
      <c r="AK205" s="2"/>
      <c r="AO205" s="2"/>
      <c r="AS205" s="2"/>
      <c r="AW205" s="2"/>
    </row>
    <row r="206" spans="4:49" x14ac:dyDescent="0.25">
      <c r="D206" s="2"/>
      <c r="H206" s="2"/>
      <c r="AF206" s="2"/>
      <c r="AK206" s="2"/>
      <c r="AO206" s="2"/>
      <c r="AS206" s="2"/>
      <c r="AW206" s="2"/>
    </row>
    <row r="207" spans="4:49" x14ac:dyDescent="0.25">
      <c r="D207" s="2"/>
      <c r="H207" s="2"/>
      <c r="AF207" s="2"/>
      <c r="AK207" s="2"/>
      <c r="AO207" s="2"/>
      <c r="AS207" s="2"/>
      <c r="AW207" s="2"/>
    </row>
    <row r="208" spans="4:49" x14ac:dyDescent="0.25">
      <c r="D208" s="2"/>
      <c r="H208" s="2"/>
      <c r="AF208" s="2"/>
      <c r="AK208" s="2"/>
      <c r="AO208" s="2"/>
      <c r="AS208" s="2"/>
      <c r="AW208" s="2"/>
    </row>
    <row r="209" spans="4:49" x14ac:dyDescent="0.25">
      <c r="D209" s="2"/>
      <c r="H209" s="2"/>
      <c r="AF209" s="2"/>
      <c r="AK209" s="2"/>
      <c r="AO209" s="2"/>
      <c r="AS209" s="2"/>
      <c r="AW209" s="2"/>
    </row>
    <row r="210" spans="4:49" x14ac:dyDescent="0.25">
      <c r="D210" s="2"/>
      <c r="H210" s="2"/>
      <c r="AF210" s="2"/>
      <c r="AK210" s="2"/>
      <c r="AO210" s="2"/>
      <c r="AS210" s="2"/>
      <c r="AW210" s="2"/>
    </row>
    <row r="211" spans="4:49" x14ac:dyDescent="0.25">
      <c r="D211" s="2"/>
      <c r="H211" s="2"/>
      <c r="AF211" s="2"/>
      <c r="AK211" s="2"/>
      <c r="AO211" s="2"/>
      <c r="AS211" s="2"/>
      <c r="AW211" s="2"/>
    </row>
    <row r="212" spans="4:49" x14ac:dyDescent="0.25">
      <c r="D212" s="2"/>
      <c r="H212" s="2"/>
      <c r="AF212" s="2"/>
      <c r="AK212" s="2"/>
      <c r="AO212" s="2"/>
      <c r="AS212" s="2"/>
      <c r="AW212" s="2"/>
    </row>
    <row r="213" spans="4:49" x14ac:dyDescent="0.25">
      <c r="D213" s="2"/>
      <c r="H213" s="2"/>
      <c r="AF213" s="2"/>
      <c r="AK213" s="2"/>
      <c r="AO213" s="2"/>
      <c r="AS213" s="2"/>
      <c r="AW213" s="2"/>
    </row>
    <row r="214" spans="4:49" x14ac:dyDescent="0.25">
      <c r="D214" s="2"/>
      <c r="H214" s="2"/>
      <c r="AF214" s="2"/>
      <c r="AK214" s="2"/>
      <c r="AO214" s="2"/>
      <c r="AS214" s="2"/>
      <c r="AW214" s="2"/>
    </row>
    <row r="215" spans="4:49" x14ac:dyDescent="0.25">
      <c r="D215" s="2"/>
      <c r="H215" s="2"/>
      <c r="AF215" s="2"/>
      <c r="AK215" s="2"/>
      <c r="AO215" s="2"/>
      <c r="AS215" s="2"/>
      <c r="AW215" s="2"/>
    </row>
    <row r="216" spans="4:49" x14ac:dyDescent="0.25">
      <c r="D216" s="2"/>
      <c r="H216" s="2"/>
      <c r="AF216" s="2"/>
      <c r="AK216" s="2"/>
      <c r="AO216" s="2"/>
      <c r="AS216" s="2"/>
      <c r="AW216" s="2"/>
    </row>
    <row r="217" spans="4:49" x14ac:dyDescent="0.25">
      <c r="D217" s="2"/>
      <c r="H217" s="2"/>
      <c r="AF217" s="2"/>
      <c r="AK217" s="2"/>
      <c r="AO217" s="2"/>
      <c r="AS217" s="2"/>
      <c r="AW217" s="2"/>
    </row>
    <row r="218" spans="4:49" x14ac:dyDescent="0.25">
      <c r="D218" s="2"/>
      <c r="H218" s="2"/>
      <c r="AF218" s="2"/>
      <c r="AK218" s="2"/>
      <c r="AO218" s="2"/>
      <c r="AS218" s="2"/>
      <c r="AW218" s="2"/>
    </row>
    <row r="219" spans="4:49" x14ac:dyDescent="0.25">
      <c r="D219" s="2"/>
      <c r="H219" s="2"/>
      <c r="AF219" s="2"/>
      <c r="AK219" s="2"/>
      <c r="AO219" s="2"/>
      <c r="AS219" s="2"/>
      <c r="AW219" s="2"/>
    </row>
    <row r="220" spans="4:49" x14ac:dyDescent="0.25">
      <c r="D220" s="2"/>
      <c r="H220" s="2"/>
      <c r="AF220" s="2"/>
      <c r="AK220" s="2"/>
      <c r="AO220" s="2"/>
      <c r="AS220" s="2"/>
      <c r="AW220" s="2"/>
    </row>
    <row r="221" spans="4:49" x14ac:dyDescent="0.25">
      <c r="D221" s="2"/>
      <c r="H221" s="2"/>
      <c r="AF221" s="2"/>
      <c r="AK221" s="2"/>
      <c r="AO221" s="2"/>
      <c r="AS221" s="2"/>
      <c r="AW221" s="2"/>
    </row>
    <row r="222" spans="4:49" x14ac:dyDescent="0.25">
      <c r="D222" s="2"/>
      <c r="H222" s="2"/>
      <c r="AF222" s="2"/>
      <c r="AK222" s="2"/>
      <c r="AO222" s="2"/>
      <c r="AS222" s="2"/>
      <c r="AW222" s="2"/>
    </row>
    <row r="223" spans="4:49" x14ac:dyDescent="0.25">
      <c r="D223" s="2"/>
      <c r="H223" s="2"/>
      <c r="AF223" s="2"/>
      <c r="AK223" s="2"/>
      <c r="AO223" s="2"/>
      <c r="AS223" s="2"/>
      <c r="AW223" s="2"/>
    </row>
    <row r="224" spans="4:49" x14ac:dyDescent="0.25">
      <c r="D224" s="2"/>
      <c r="H224" s="2"/>
      <c r="AF224" s="2"/>
      <c r="AK224" s="2"/>
      <c r="AO224" s="2"/>
      <c r="AS224" s="2"/>
      <c r="AW224" s="2"/>
    </row>
    <row r="225" spans="4:49" x14ac:dyDescent="0.25">
      <c r="D225" s="2"/>
      <c r="H225" s="2"/>
      <c r="AF225" s="2"/>
      <c r="AK225" s="2"/>
      <c r="AO225" s="2"/>
      <c r="AS225" s="2"/>
      <c r="AW225" s="2"/>
    </row>
    <row r="226" spans="4:49" x14ac:dyDescent="0.25">
      <c r="D226" s="2"/>
      <c r="H226" s="2"/>
      <c r="AF226" s="2"/>
      <c r="AK226" s="2"/>
      <c r="AO226" s="2"/>
      <c r="AS226" s="2"/>
      <c r="AW226" s="2"/>
    </row>
    <row r="227" spans="4:49" x14ac:dyDescent="0.25">
      <c r="D227" s="2"/>
      <c r="H227" s="2"/>
      <c r="AF227" s="2"/>
      <c r="AK227" s="2"/>
      <c r="AO227" s="2"/>
      <c r="AS227" s="2"/>
      <c r="AW227" s="2"/>
    </row>
    <row r="228" spans="4:49" x14ac:dyDescent="0.25">
      <c r="D228" s="2"/>
      <c r="H228" s="2"/>
      <c r="AF228" s="2"/>
      <c r="AK228" s="2"/>
      <c r="AO228" s="2"/>
      <c r="AS228" s="2"/>
      <c r="AW228" s="2"/>
    </row>
    <row r="229" spans="4:49" x14ac:dyDescent="0.25">
      <c r="D229" s="2"/>
      <c r="H229" s="2"/>
      <c r="AF229" s="2"/>
      <c r="AK229" s="2"/>
      <c r="AO229" s="2"/>
      <c r="AS229" s="2"/>
      <c r="AW229" s="2"/>
    </row>
    <row r="230" spans="4:49" x14ac:dyDescent="0.25">
      <c r="D230" s="2"/>
      <c r="H230" s="2"/>
      <c r="AF230" s="2"/>
      <c r="AK230" s="2"/>
      <c r="AO230" s="2"/>
      <c r="AS230" s="2"/>
      <c r="AW230" s="2"/>
    </row>
    <row r="231" spans="4:49" x14ac:dyDescent="0.25">
      <c r="D231" s="2"/>
      <c r="H231" s="2"/>
      <c r="AF231" s="2"/>
      <c r="AK231" s="2"/>
      <c r="AO231" s="2"/>
      <c r="AS231" s="2"/>
      <c r="AW231" s="2"/>
    </row>
    <row r="232" spans="4:49" x14ac:dyDescent="0.25">
      <c r="D232" s="2"/>
      <c r="H232" s="2"/>
      <c r="AF232" s="2"/>
      <c r="AK232" s="2"/>
      <c r="AO232" s="2"/>
      <c r="AS232" s="2"/>
      <c r="AW232" s="2"/>
    </row>
    <row r="233" spans="4:49" x14ac:dyDescent="0.25">
      <c r="D233" s="2"/>
      <c r="H233" s="2"/>
      <c r="AF233" s="2"/>
      <c r="AK233" s="2"/>
      <c r="AO233" s="2"/>
      <c r="AS233" s="2"/>
      <c r="AW233" s="2"/>
    </row>
    <row r="234" spans="4:49" x14ac:dyDescent="0.25">
      <c r="D234" s="2"/>
      <c r="H234" s="2"/>
      <c r="AF234" s="2"/>
      <c r="AK234" s="2"/>
      <c r="AO234" s="2"/>
      <c r="AS234" s="2"/>
      <c r="AW234" s="2"/>
    </row>
    <row r="235" spans="4:49" x14ac:dyDescent="0.25">
      <c r="D235" s="2"/>
      <c r="H235" s="2"/>
      <c r="AF235" s="2"/>
      <c r="AK235" s="2"/>
      <c r="AO235" s="2"/>
      <c r="AS235" s="2"/>
      <c r="AW235" s="2"/>
    </row>
    <row r="236" spans="4:49" x14ac:dyDescent="0.25">
      <c r="D236" s="2"/>
      <c r="H236" s="2"/>
      <c r="AF236" s="2"/>
      <c r="AK236" s="2"/>
      <c r="AO236" s="2"/>
      <c r="AS236" s="2"/>
      <c r="AW236" s="2"/>
    </row>
    <row r="237" spans="4:49" x14ac:dyDescent="0.25">
      <c r="D237" s="2"/>
      <c r="H237" s="2"/>
      <c r="AF237" s="2"/>
      <c r="AK237" s="2"/>
      <c r="AO237" s="2"/>
      <c r="AS237" s="2"/>
      <c r="AW237" s="2"/>
    </row>
    <row r="238" spans="4:49" x14ac:dyDescent="0.25">
      <c r="D238" s="2"/>
      <c r="H238" s="2"/>
      <c r="AF238" s="2"/>
      <c r="AK238" s="2"/>
      <c r="AO238" s="2"/>
      <c r="AS238" s="2"/>
      <c r="AW238" s="2"/>
    </row>
    <row r="239" spans="4:49" x14ac:dyDescent="0.25">
      <c r="D239" s="2"/>
      <c r="H239" s="2"/>
      <c r="AF239" s="2"/>
      <c r="AK239" s="2"/>
      <c r="AO239" s="2"/>
      <c r="AS239" s="2"/>
      <c r="AW239" s="2"/>
    </row>
    <row r="240" spans="4:49" x14ac:dyDescent="0.25">
      <c r="D240" s="2"/>
      <c r="H240" s="2"/>
      <c r="AF240" s="2"/>
      <c r="AK240" s="2"/>
      <c r="AO240" s="2"/>
      <c r="AS240" s="2"/>
      <c r="AW240" s="2"/>
    </row>
    <row r="241" spans="4:49" x14ac:dyDescent="0.25">
      <c r="D241" s="2"/>
      <c r="H241" s="2"/>
      <c r="AF241" s="2"/>
      <c r="AK241" s="2"/>
      <c r="AO241" s="2"/>
      <c r="AS241" s="2"/>
      <c r="AW241" s="2"/>
    </row>
    <row r="242" spans="4:49" x14ac:dyDescent="0.25">
      <c r="D242" s="2"/>
      <c r="H242" s="2"/>
      <c r="AF242" s="2"/>
      <c r="AK242" s="2"/>
      <c r="AO242" s="2"/>
      <c r="AS242" s="2"/>
      <c r="AW242" s="2"/>
    </row>
    <row r="243" spans="4:49" x14ac:dyDescent="0.25">
      <c r="D243" s="2"/>
      <c r="H243" s="2"/>
      <c r="AF243" s="2"/>
      <c r="AK243" s="2"/>
      <c r="AO243" s="2"/>
      <c r="AS243" s="2"/>
      <c r="AW243" s="2"/>
    </row>
    <row r="244" spans="4:49" x14ac:dyDescent="0.25">
      <c r="D244" s="2"/>
      <c r="H244" s="2"/>
      <c r="AF244" s="2"/>
      <c r="AK244" s="2"/>
      <c r="AO244" s="2"/>
      <c r="AS244" s="2"/>
      <c r="AW244" s="2"/>
    </row>
    <row r="245" spans="4:49" x14ac:dyDescent="0.25">
      <c r="D245" s="2"/>
      <c r="H245" s="2"/>
      <c r="AF245" s="2"/>
      <c r="AK245" s="2"/>
      <c r="AO245" s="2"/>
      <c r="AS245" s="2"/>
      <c r="AW245" s="2"/>
    </row>
    <row r="246" spans="4:49" x14ac:dyDescent="0.25">
      <c r="D246" s="2"/>
      <c r="H246" s="2"/>
      <c r="AF246" s="2"/>
      <c r="AK246" s="2"/>
      <c r="AO246" s="2"/>
      <c r="AS246" s="2"/>
      <c r="AW246" s="2"/>
    </row>
    <row r="247" spans="4:49" x14ac:dyDescent="0.25">
      <c r="D247" s="2"/>
      <c r="H247" s="2"/>
      <c r="AF247" s="2"/>
      <c r="AK247" s="2"/>
      <c r="AO247" s="2"/>
      <c r="AS247" s="2"/>
      <c r="AW247" s="2"/>
    </row>
    <row r="248" spans="4:49" x14ac:dyDescent="0.25">
      <c r="D248" s="2"/>
      <c r="H248" s="2"/>
      <c r="AF248" s="2"/>
      <c r="AK248" s="2"/>
      <c r="AO248" s="2"/>
      <c r="AS248" s="2"/>
      <c r="AW248" s="2"/>
    </row>
    <row r="249" spans="4:49" x14ac:dyDescent="0.25">
      <c r="D249" s="2"/>
      <c r="H249" s="2"/>
      <c r="AF249" s="2"/>
      <c r="AK249" s="2"/>
      <c r="AO249" s="2"/>
      <c r="AS249" s="2"/>
      <c r="AW249" s="2"/>
    </row>
    <row r="250" spans="4:49" x14ac:dyDescent="0.25">
      <c r="D250" s="2"/>
      <c r="H250" s="2"/>
      <c r="AF250" s="2"/>
      <c r="AK250" s="2"/>
      <c r="AO250" s="2"/>
      <c r="AS250" s="2"/>
      <c r="AW250" s="2"/>
    </row>
    <row r="251" spans="4:49" x14ac:dyDescent="0.25">
      <c r="D251" s="2"/>
      <c r="H251" s="2"/>
      <c r="AF251" s="2"/>
      <c r="AK251" s="2"/>
      <c r="AO251" s="2"/>
      <c r="AS251" s="2"/>
      <c r="AW251" s="2"/>
    </row>
    <row r="252" spans="4:49" x14ac:dyDescent="0.25">
      <c r="D252" s="2"/>
      <c r="H252" s="2"/>
      <c r="AF252" s="2"/>
      <c r="AK252" s="2"/>
      <c r="AO252" s="2"/>
      <c r="AS252" s="2"/>
      <c r="AW252" s="2"/>
    </row>
    <row r="253" spans="4:49" x14ac:dyDescent="0.25">
      <c r="D253" s="2"/>
      <c r="H253" s="2"/>
      <c r="AF253" s="2"/>
      <c r="AK253" s="2"/>
      <c r="AO253" s="2"/>
      <c r="AS253" s="2"/>
      <c r="AW253" s="2"/>
    </row>
    <row r="254" spans="4:49" x14ac:dyDescent="0.25">
      <c r="D254" s="2"/>
      <c r="H254" s="2"/>
      <c r="AF254" s="2"/>
      <c r="AK254" s="2"/>
      <c r="AO254" s="2"/>
      <c r="AS254" s="2"/>
      <c r="AW254" s="2"/>
    </row>
    <row r="255" spans="4:49" x14ac:dyDescent="0.25">
      <c r="D255" s="2"/>
      <c r="H255" s="2"/>
      <c r="AF255" s="2"/>
      <c r="AK255" s="2"/>
      <c r="AO255" s="2"/>
      <c r="AS255" s="2"/>
      <c r="AW255" s="2"/>
    </row>
    <row r="256" spans="4:49" x14ac:dyDescent="0.25">
      <c r="D256" s="2"/>
      <c r="H256" s="2"/>
      <c r="AF256" s="2"/>
      <c r="AK256" s="2"/>
      <c r="AO256" s="2"/>
      <c r="AS256" s="2"/>
      <c r="AW256" s="2"/>
    </row>
    <row r="257" spans="4:49" x14ac:dyDescent="0.25">
      <c r="D257" s="2"/>
      <c r="H257" s="2"/>
      <c r="AF257" s="2"/>
      <c r="AK257" s="2"/>
      <c r="AO257" s="2"/>
      <c r="AS257" s="2"/>
      <c r="AW257" s="2"/>
    </row>
    <row r="258" spans="4:49" x14ac:dyDescent="0.25">
      <c r="D258" s="2"/>
      <c r="H258" s="2"/>
      <c r="AF258" s="2"/>
      <c r="AK258" s="2"/>
      <c r="AO258" s="2"/>
      <c r="AS258" s="2"/>
      <c r="AW258" s="2"/>
    </row>
    <row r="259" spans="4:49" x14ac:dyDescent="0.25">
      <c r="D259" s="2"/>
      <c r="H259" s="2"/>
      <c r="AF259" s="2"/>
      <c r="AK259" s="2"/>
      <c r="AO259" s="2"/>
      <c r="AS259" s="2"/>
      <c r="AW259" s="2"/>
    </row>
    <row r="260" spans="4:49" x14ac:dyDescent="0.25">
      <c r="D260" s="2"/>
      <c r="H260" s="2"/>
      <c r="AF260" s="2"/>
      <c r="AK260" s="2"/>
      <c r="AO260" s="2"/>
      <c r="AS260" s="2"/>
      <c r="AW260" s="2"/>
    </row>
    <row r="261" spans="4:49" x14ac:dyDescent="0.25">
      <c r="D261" s="2"/>
      <c r="H261" s="2"/>
      <c r="AF261" s="2"/>
      <c r="AK261" s="2"/>
      <c r="AO261" s="2"/>
      <c r="AS261" s="2"/>
      <c r="AW261" s="2"/>
    </row>
    <row r="262" spans="4:49" x14ac:dyDescent="0.25">
      <c r="D262" s="2"/>
      <c r="H262" s="2"/>
      <c r="AF262" s="2"/>
      <c r="AK262" s="2"/>
      <c r="AO262" s="2"/>
      <c r="AS262" s="2"/>
      <c r="AW262" s="2"/>
    </row>
    <row r="263" spans="4:49" x14ac:dyDescent="0.25">
      <c r="D263" s="2"/>
      <c r="H263" s="2"/>
      <c r="AF263" s="2"/>
      <c r="AK263" s="2"/>
      <c r="AO263" s="2"/>
      <c r="AS263" s="2"/>
      <c r="AW263" s="2"/>
    </row>
    <row r="264" spans="4:49" x14ac:dyDescent="0.25">
      <c r="D264" s="2"/>
      <c r="H264" s="2"/>
      <c r="AF264" s="2"/>
      <c r="AK264" s="2"/>
      <c r="AO264" s="2"/>
      <c r="AS264" s="2"/>
      <c r="AW264" s="2"/>
    </row>
    <row r="265" spans="4:49" x14ac:dyDescent="0.25">
      <c r="D265" s="2"/>
      <c r="H265" s="2"/>
      <c r="AF265" s="2"/>
      <c r="AK265" s="2"/>
      <c r="AO265" s="2"/>
      <c r="AS265" s="2"/>
      <c r="AW265" s="2"/>
    </row>
    <row r="266" spans="4:49" x14ac:dyDescent="0.25">
      <c r="D266" s="2"/>
      <c r="H266" s="2"/>
      <c r="AF266" s="2"/>
      <c r="AK266" s="2"/>
      <c r="AO266" s="2"/>
      <c r="AS266" s="2"/>
      <c r="AW266" s="2"/>
    </row>
    <row r="267" spans="4:49" x14ac:dyDescent="0.25">
      <c r="D267" s="2"/>
      <c r="H267" s="2"/>
      <c r="AF267" s="2"/>
      <c r="AK267" s="2"/>
      <c r="AO267" s="2"/>
      <c r="AS267" s="2"/>
      <c r="AW267" s="2"/>
    </row>
    <row r="268" spans="4:49" x14ac:dyDescent="0.25">
      <c r="D268" s="2"/>
      <c r="H268" s="2"/>
      <c r="AF268" s="2"/>
      <c r="AK268" s="2"/>
      <c r="AO268" s="2"/>
      <c r="AS268" s="2"/>
      <c r="AW268" s="2"/>
    </row>
    <row r="269" spans="4:49" x14ac:dyDescent="0.25">
      <c r="D269" s="2"/>
      <c r="H269" s="2"/>
      <c r="AF269" s="2"/>
      <c r="AK269" s="2"/>
      <c r="AO269" s="2"/>
      <c r="AS269" s="2"/>
      <c r="AW269" s="2"/>
    </row>
    <row r="270" spans="4:49" x14ac:dyDescent="0.25">
      <c r="D270" s="2"/>
      <c r="H270" s="2"/>
      <c r="AF270" s="2"/>
      <c r="AK270" s="2"/>
      <c r="AO270" s="2"/>
      <c r="AS270" s="2"/>
      <c r="AW270" s="2"/>
    </row>
    <row r="271" spans="4:49" x14ac:dyDescent="0.25">
      <c r="D271" s="2"/>
      <c r="H271" s="2"/>
      <c r="AF271" s="2"/>
      <c r="AK271" s="2"/>
      <c r="AO271" s="2"/>
      <c r="AS271" s="2"/>
      <c r="AW271" s="2"/>
    </row>
    <row r="272" spans="4:49" x14ac:dyDescent="0.25">
      <c r="D272" s="2"/>
      <c r="H272" s="2"/>
      <c r="AF272" s="2"/>
      <c r="AK272" s="2"/>
      <c r="AO272" s="2"/>
      <c r="AS272" s="2"/>
      <c r="AW272" s="2"/>
    </row>
    <row r="273" spans="4:49" x14ac:dyDescent="0.25">
      <c r="D273" s="2"/>
      <c r="H273" s="2"/>
      <c r="AF273" s="2"/>
      <c r="AK273" s="2"/>
      <c r="AO273" s="2"/>
      <c r="AS273" s="2"/>
      <c r="AW273" s="2"/>
    </row>
    <row r="274" spans="4:49" x14ac:dyDescent="0.25">
      <c r="D274" s="2"/>
      <c r="H274" s="2"/>
      <c r="AF274" s="2"/>
      <c r="AK274" s="2"/>
      <c r="AO274" s="2"/>
      <c r="AS274" s="2"/>
      <c r="AW274" s="2"/>
    </row>
    <row r="275" spans="4:49" x14ac:dyDescent="0.25">
      <c r="D275" s="2"/>
      <c r="H275" s="2"/>
      <c r="AF275" s="2"/>
      <c r="AK275" s="2"/>
      <c r="AO275" s="2"/>
      <c r="AS275" s="2"/>
      <c r="AW275" s="2"/>
    </row>
    <row r="276" spans="4:49" x14ac:dyDescent="0.25">
      <c r="D276" s="2"/>
      <c r="H276" s="2"/>
      <c r="AF276" s="2"/>
      <c r="AK276" s="2"/>
      <c r="AO276" s="2"/>
      <c r="AS276" s="2"/>
      <c r="AW276" s="2"/>
    </row>
    <row r="277" spans="4:49" x14ac:dyDescent="0.25">
      <c r="D277" s="2"/>
      <c r="H277" s="2"/>
      <c r="AF277" s="2"/>
      <c r="AK277" s="2"/>
      <c r="AO277" s="2"/>
      <c r="AS277" s="2"/>
      <c r="AW277" s="2"/>
    </row>
    <row r="278" spans="4:49" x14ac:dyDescent="0.25">
      <c r="D278" s="2"/>
      <c r="H278" s="2"/>
      <c r="AF278" s="2"/>
      <c r="AK278" s="2"/>
      <c r="AO278" s="2"/>
      <c r="AS278" s="2"/>
      <c r="AW278" s="2"/>
    </row>
    <row r="279" spans="4:49" x14ac:dyDescent="0.25">
      <c r="D279" s="2"/>
      <c r="H279" s="2"/>
      <c r="AF279" s="2"/>
      <c r="AK279" s="2"/>
      <c r="AO279" s="2"/>
      <c r="AS279" s="2"/>
      <c r="AW279" s="2"/>
    </row>
    <row r="280" spans="4:49" x14ac:dyDescent="0.25">
      <c r="D280" s="2"/>
      <c r="H280" s="2"/>
      <c r="AF280" s="2"/>
      <c r="AK280" s="2"/>
      <c r="AO280" s="2"/>
      <c r="AS280" s="2"/>
      <c r="AW280" s="2"/>
    </row>
    <row r="281" spans="4:49" x14ac:dyDescent="0.25">
      <c r="D281" s="2"/>
      <c r="H281" s="2"/>
      <c r="AF281" s="2"/>
      <c r="AK281" s="2"/>
      <c r="AO281" s="2"/>
      <c r="AS281" s="2"/>
      <c r="AW281" s="2"/>
    </row>
    <row r="282" spans="4:49" x14ac:dyDescent="0.25">
      <c r="D282" s="2"/>
      <c r="H282" s="2"/>
      <c r="AF282" s="2"/>
      <c r="AK282" s="2"/>
      <c r="AO282" s="2"/>
      <c r="AS282" s="2"/>
      <c r="AW282" s="2"/>
    </row>
    <row r="283" spans="4:49" x14ac:dyDescent="0.25">
      <c r="D283" s="2"/>
      <c r="H283" s="2"/>
      <c r="AF283" s="2"/>
      <c r="AK283" s="2"/>
      <c r="AO283" s="2"/>
      <c r="AS283" s="2"/>
      <c r="AW283" s="2"/>
    </row>
    <row r="284" spans="4:49" x14ac:dyDescent="0.25">
      <c r="D284" s="2"/>
      <c r="H284" s="2"/>
      <c r="AF284" s="2"/>
      <c r="AK284" s="2"/>
      <c r="AO284" s="2"/>
      <c r="AS284" s="2"/>
      <c r="AW284" s="2"/>
    </row>
    <row r="285" spans="4:49" x14ac:dyDescent="0.25">
      <c r="D285" s="2"/>
      <c r="H285" s="2"/>
      <c r="AF285" s="2"/>
      <c r="AK285" s="2"/>
      <c r="AO285" s="2"/>
      <c r="AS285" s="2"/>
      <c r="AW285" s="2"/>
    </row>
    <row r="286" spans="4:49" x14ac:dyDescent="0.25">
      <c r="D286" s="2"/>
      <c r="H286" s="2"/>
      <c r="AF286" s="2"/>
      <c r="AK286" s="2"/>
      <c r="AO286" s="2"/>
      <c r="AS286" s="2"/>
      <c r="AW286" s="2"/>
    </row>
    <row r="287" spans="4:49" x14ac:dyDescent="0.25">
      <c r="D287" s="2"/>
      <c r="H287" s="2"/>
      <c r="AF287" s="2"/>
      <c r="AK287" s="2"/>
      <c r="AO287" s="2"/>
      <c r="AS287" s="2"/>
      <c r="AW287" s="2"/>
    </row>
    <row r="288" spans="4:49" x14ac:dyDescent="0.25">
      <c r="D288" s="2"/>
      <c r="H288" s="2"/>
      <c r="AF288" s="2"/>
      <c r="AK288" s="2"/>
      <c r="AO288" s="2"/>
      <c r="AS288" s="2"/>
      <c r="AW288" s="2"/>
    </row>
    <row r="289" spans="4:49" x14ac:dyDescent="0.25">
      <c r="D289" s="2"/>
      <c r="H289" s="2"/>
      <c r="AF289" s="2"/>
      <c r="AK289" s="2"/>
      <c r="AO289" s="2"/>
      <c r="AS289" s="2"/>
      <c r="AW289" s="2"/>
    </row>
    <row r="290" spans="4:49" x14ac:dyDescent="0.25">
      <c r="D290" s="2"/>
      <c r="H290" s="2"/>
      <c r="AF290" s="2"/>
      <c r="AK290" s="2"/>
      <c r="AO290" s="2"/>
      <c r="AS290" s="2"/>
      <c r="AW290" s="2"/>
    </row>
    <row r="291" spans="4:49" x14ac:dyDescent="0.25">
      <c r="D291" s="2"/>
      <c r="H291" s="2"/>
      <c r="AF291" s="2"/>
      <c r="AK291" s="2"/>
      <c r="AO291" s="2"/>
      <c r="AS291" s="2"/>
      <c r="AW291" s="2"/>
    </row>
    <row r="292" spans="4:49" x14ac:dyDescent="0.25">
      <c r="D292" s="2"/>
      <c r="H292" s="2"/>
      <c r="AF292" s="2"/>
      <c r="AK292" s="2"/>
      <c r="AO292" s="2"/>
      <c r="AS292" s="2"/>
      <c r="AW292" s="2"/>
    </row>
    <row r="293" spans="4:49" x14ac:dyDescent="0.25">
      <c r="D293" s="2"/>
      <c r="H293" s="2"/>
      <c r="AF293" s="2"/>
      <c r="AK293" s="2"/>
      <c r="AO293" s="2"/>
      <c r="AS293" s="2"/>
      <c r="AW293" s="2"/>
    </row>
    <row r="294" spans="4:49" x14ac:dyDescent="0.25">
      <c r="D294" s="2"/>
      <c r="H294" s="2"/>
      <c r="AF294" s="2"/>
      <c r="AK294" s="2"/>
      <c r="AO294" s="2"/>
      <c r="AS294" s="2"/>
      <c r="AW294" s="2"/>
    </row>
    <row r="295" spans="4:49" x14ac:dyDescent="0.25">
      <c r="D295" s="2"/>
      <c r="H295" s="2"/>
      <c r="AF295" s="2"/>
      <c r="AK295" s="2"/>
      <c r="AO295" s="2"/>
      <c r="AS295" s="2"/>
      <c r="AW295" s="2"/>
    </row>
    <row r="296" spans="4:49" x14ac:dyDescent="0.25">
      <c r="D296" s="2"/>
      <c r="H296" s="2"/>
      <c r="AF296" s="2"/>
      <c r="AK296" s="2"/>
      <c r="AO296" s="2"/>
      <c r="AS296" s="2"/>
      <c r="AW296" s="2"/>
    </row>
    <row r="297" spans="4:49" x14ac:dyDescent="0.25">
      <c r="D297" s="2"/>
      <c r="H297" s="2"/>
      <c r="AF297" s="2"/>
      <c r="AK297" s="2"/>
      <c r="AO297" s="2"/>
      <c r="AS297" s="2"/>
      <c r="AW297" s="2"/>
    </row>
    <row r="298" spans="4:49" x14ac:dyDescent="0.25">
      <c r="D298" s="2"/>
      <c r="H298" s="2"/>
      <c r="AF298" s="2"/>
      <c r="AK298" s="2"/>
      <c r="AO298" s="2"/>
      <c r="AS298" s="2"/>
      <c r="AW298" s="2"/>
    </row>
    <row r="299" spans="4:49" x14ac:dyDescent="0.25">
      <c r="D299" s="2"/>
      <c r="H299" s="2"/>
      <c r="AF299" s="2"/>
      <c r="AK299" s="2"/>
      <c r="AO299" s="2"/>
      <c r="AS299" s="2"/>
      <c r="AW299" s="2"/>
    </row>
    <row r="300" spans="4:49" x14ac:dyDescent="0.25">
      <c r="D300" s="2"/>
      <c r="H300" s="2"/>
      <c r="AF300" s="2"/>
      <c r="AK300" s="2"/>
      <c r="AO300" s="2"/>
      <c r="AS300" s="2"/>
      <c r="AW300" s="2"/>
    </row>
    <row r="301" spans="4:49" x14ac:dyDescent="0.25">
      <c r="D301" s="2"/>
      <c r="H301" s="2"/>
      <c r="AF301" s="2"/>
      <c r="AK301" s="2"/>
      <c r="AO301" s="2"/>
      <c r="AS301" s="2"/>
      <c r="AW301" s="2"/>
    </row>
    <row r="302" spans="4:49" x14ac:dyDescent="0.25">
      <c r="D302" s="2"/>
      <c r="H302" s="2"/>
      <c r="AF302" s="2"/>
      <c r="AK302" s="2"/>
      <c r="AO302" s="2"/>
      <c r="AS302" s="2"/>
      <c r="AW302" s="2"/>
    </row>
    <row r="303" spans="4:49" x14ac:dyDescent="0.25">
      <c r="D303" s="2"/>
      <c r="H303" s="2"/>
      <c r="AF303" s="2"/>
      <c r="AK303" s="2"/>
      <c r="AO303" s="2"/>
      <c r="AS303" s="2"/>
      <c r="AW303" s="2"/>
    </row>
    <row r="304" spans="4:49" x14ac:dyDescent="0.25">
      <c r="D304" s="2"/>
      <c r="H304" s="2"/>
      <c r="AF304" s="2"/>
      <c r="AK304" s="2"/>
      <c r="AO304" s="2"/>
      <c r="AS304" s="2"/>
      <c r="AW304" s="2"/>
    </row>
    <row r="305" spans="4:49" x14ac:dyDescent="0.25">
      <c r="D305" s="2"/>
      <c r="H305" s="2"/>
      <c r="AF305" s="2"/>
      <c r="AK305" s="2"/>
      <c r="AO305" s="2"/>
      <c r="AS305" s="2"/>
      <c r="AW305" s="2"/>
    </row>
    <row r="306" spans="4:49" x14ac:dyDescent="0.25">
      <c r="D306" s="2"/>
      <c r="H306" s="2"/>
      <c r="AF306" s="2"/>
      <c r="AK306" s="2"/>
      <c r="AO306" s="2"/>
      <c r="AS306" s="2"/>
      <c r="AW306" s="2"/>
    </row>
    <row r="307" spans="4:49" x14ac:dyDescent="0.25">
      <c r="D307" s="2"/>
      <c r="H307" s="2"/>
      <c r="AF307" s="2"/>
      <c r="AK307" s="2"/>
      <c r="AO307" s="2"/>
      <c r="AS307" s="2"/>
      <c r="AW307" s="2"/>
    </row>
    <row r="308" spans="4:49" x14ac:dyDescent="0.25">
      <c r="D308" s="2"/>
      <c r="H308" s="2"/>
      <c r="AF308" s="2"/>
      <c r="AK308" s="2"/>
      <c r="AO308" s="2"/>
      <c r="AS308" s="2"/>
      <c r="AW308" s="2"/>
    </row>
    <row r="309" spans="4:49" x14ac:dyDescent="0.25">
      <c r="D309" s="2"/>
      <c r="H309" s="2"/>
      <c r="AF309" s="2"/>
      <c r="AK309" s="2"/>
      <c r="AO309" s="2"/>
      <c r="AS309" s="2"/>
      <c r="AW309" s="2"/>
    </row>
    <row r="310" spans="4:49" x14ac:dyDescent="0.25">
      <c r="D310" s="2"/>
      <c r="H310" s="2"/>
      <c r="AF310" s="2"/>
      <c r="AK310" s="2"/>
      <c r="AO310" s="2"/>
      <c r="AS310" s="2"/>
      <c r="AW310" s="2"/>
    </row>
    <row r="311" spans="4:49" x14ac:dyDescent="0.25">
      <c r="D311" s="2"/>
      <c r="H311" s="2"/>
      <c r="AF311" s="2"/>
      <c r="AK311" s="2"/>
      <c r="AO311" s="2"/>
      <c r="AS311" s="2"/>
      <c r="AW311" s="2"/>
    </row>
    <row r="312" spans="4:49" x14ac:dyDescent="0.25">
      <c r="D312" s="2"/>
      <c r="H312" s="2"/>
      <c r="AF312" s="2"/>
      <c r="AK312" s="2"/>
      <c r="AO312" s="2"/>
      <c r="AS312" s="2"/>
      <c r="AW312" s="2"/>
    </row>
    <row r="313" spans="4:49" x14ac:dyDescent="0.25">
      <c r="D313" s="2"/>
      <c r="H313" s="2"/>
      <c r="AF313" s="2"/>
      <c r="AK313" s="2"/>
      <c r="AO313" s="2"/>
      <c r="AS313" s="2"/>
      <c r="AW313" s="2"/>
    </row>
    <row r="314" spans="4:49" x14ac:dyDescent="0.25">
      <c r="D314" s="2"/>
      <c r="H314" s="2"/>
      <c r="AF314" s="2"/>
      <c r="AK314" s="2"/>
      <c r="AO314" s="2"/>
      <c r="AS314" s="2"/>
      <c r="AW314" s="2"/>
    </row>
    <row r="315" spans="4:49" x14ac:dyDescent="0.25">
      <c r="D315" s="2"/>
      <c r="H315" s="2"/>
      <c r="AF315" s="2"/>
      <c r="AK315" s="2"/>
      <c r="AO315" s="2"/>
      <c r="AS315" s="2"/>
      <c r="AW315" s="2"/>
    </row>
    <row r="316" spans="4:49" x14ac:dyDescent="0.25">
      <c r="D316" s="2"/>
      <c r="H316" s="2"/>
      <c r="AF316" s="2"/>
      <c r="AK316" s="2"/>
      <c r="AO316" s="2"/>
      <c r="AS316" s="2"/>
      <c r="AW316" s="2"/>
    </row>
    <row r="317" spans="4:49" x14ac:dyDescent="0.25">
      <c r="D317" s="2"/>
      <c r="H317" s="2"/>
      <c r="AF317" s="2"/>
      <c r="AK317" s="2"/>
      <c r="AO317" s="2"/>
      <c r="AS317" s="2"/>
      <c r="AW317" s="2"/>
    </row>
    <row r="318" spans="4:49" x14ac:dyDescent="0.25">
      <c r="D318" s="2"/>
      <c r="H318" s="2"/>
      <c r="AF318" s="2"/>
      <c r="AK318" s="2"/>
      <c r="AO318" s="2"/>
      <c r="AS318" s="2"/>
      <c r="AW318" s="2"/>
    </row>
    <row r="319" spans="4:49" x14ac:dyDescent="0.25">
      <c r="D319" s="2"/>
      <c r="H319" s="2"/>
      <c r="AF319" s="2"/>
      <c r="AK319" s="2"/>
      <c r="AO319" s="2"/>
      <c r="AS319" s="2"/>
      <c r="AW319" s="2"/>
    </row>
    <row r="320" spans="4:49" x14ac:dyDescent="0.25">
      <c r="D320" s="2"/>
      <c r="H320" s="2"/>
      <c r="AF320" s="2"/>
      <c r="AK320" s="2"/>
      <c r="AO320" s="2"/>
      <c r="AS320" s="2"/>
      <c r="AW320" s="2"/>
    </row>
    <row r="321" spans="4:49" x14ac:dyDescent="0.25">
      <c r="D321" s="2"/>
      <c r="H321" s="2"/>
      <c r="AF321" s="2"/>
      <c r="AK321" s="2"/>
      <c r="AO321" s="2"/>
      <c r="AS321" s="2"/>
      <c r="AW321" s="2"/>
    </row>
    <row r="322" spans="4:49" x14ac:dyDescent="0.25">
      <c r="D322" s="2"/>
      <c r="H322" s="2"/>
      <c r="AF322" s="2"/>
      <c r="AK322" s="2"/>
      <c r="AO322" s="2"/>
      <c r="AS322" s="2"/>
      <c r="AW322" s="2"/>
    </row>
    <row r="323" spans="4:49" x14ac:dyDescent="0.25">
      <c r="D323" s="2"/>
      <c r="H323" s="2"/>
      <c r="AF323" s="2"/>
      <c r="AK323" s="2"/>
      <c r="AO323" s="2"/>
      <c r="AS323" s="2"/>
      <c r="AW323" s="2"/>
    </row>
    <row r="324" spans="4:49" x14ac:dyDescent="0.25">
      <c r="D324" s="2"/>
      <c r="H324" s="2"/>
      <c r="AF324" s="2"/>
      <c r="AK324" s="2"/>
      <c r="AO324" s="2"/>
      <c r="AS324" s="2"/>
      <c r="AW324" s="2"/>
    </row>
    <row r="325" spans="4:49" x14ac:dyDescent="0.25">
      <c r="D325" s="2"/>
      <c r="H325" s="2"/>
      <c r="AF325" s="2"/>
      <c r="AK325" s="2"/>
      <c r="AO325" s="2"/>
      <c r="AS325" s="2"/>
      <c r="AW325" s="2"/>
    </row>
    <row r="326" spans="4:49" x14ac:dyDescent="0.25">
      <c r="D326" s="2"/>
      <c r="H326" s="2"/>
      <c r="AF326" s="2"/>
      <c r="AK326" s="2"/>
      <c r="AO326" s="2"/>
      <c r="AS326" s="2"/>
      <c r="AW326" s="2"/>
    </row>
    <row r="327" spans="4:49" x14ac:dyDescent="0.25">
      <c r="D327" s="2"/>
      <c r="H327" s="2"/>
      <c r="AF327" s="2"/>
      <c r="AK327" s="2"/>
      <c r="AO327" s="2"/>
      <c r="AS327" s="2"/>
      <c r="AW327" s="2"/>
    </row>
    <row r="328" spans="4:49" x14ac:dyDescent="0.25">
      <c r="D328" s="2"/>
      <c r="H328" s="2"/>
      <c r="AF328" s="2"/>
      <c r="AK328" s="2"/>
      <c r="AO328" s="2"/>
      <c r="AS328" s="2"/>
      <c r="AW328" s="2"/>
    </row>
    <row r="329" spans="4:49" x14ac:dyDescent="0.25">
      <c r="D329" s="2"/>
      <c r="H329" s="2"/>
      <c r="AF329" s="2"/>
      <c r="AK329" s="2"/>
      <c r="AO329" s="2"/>
      <c r="AS329" s="2"/>
      <c r="AW329" s="2"/>
    </row>
    <row r="330" spans="4:49" x14ac:dyDescent="0.25">
      <c r="D330" s="2"/>
      <c r="H330" s="2"/>
      <c r="AF330" s="2"/>
      <c r="AK330" s="2"/>
      <c r="AO330" s="2"/>
      <c r="AS330" s="2"/>
      <c r="AW330" s="2"/>
    </row>
    <row r="331" spans="4:49" x14ac:dyDescent="0.25">
      <c r="D331" s="2"/>
      <c r="H331" s="2"/>
      <c r="AF331" s="2"/>
      <c r="AK331" s="2"/>
      <c r="AO331" s="2"/>
      <c r="AS331" s="2"/>
      <c r="AW331" s="2"/>
    </row>
    <row r="332" spans="4:49" x14ac:dyDescent="0.25">
      <c r="D332" s="2"/>
      <c r="H332" s="2"/>
      <c r="AF332" s="2"/>
      <c r="AK332" s="2"/>
      <c r="AO332" s="2"/>
      <c r="AS332" s="2"/>
      <c r="AW332" s="2"/>
    </row>
    <row r="333" spans="4:49" x14ac:dyDescent="0.25">
      <c r="D333" s="2"/>
      <c r="H333" s="2"/>
      <c r="AF333" s="2"/>
      <c r="AK333" s="2"/>
      <c r="AO333" s="2"/>
      <c r="AS333" s="2"/>
      <c r="AW333" s="2"/>
    </row>
    <row r="334" spans="4:49" x14ac:dyDescent="0.25">
      <c r="D334" s="2"/>
      <c r="H334" s="2"/>
      <c r="AF334" s="2"/>
      <c r="AK334" s="2"/>
      <c r="AO334" s="2"/>
      <c r="AS334" s="2"/>
      <c r="AW334" s="2"/>
    </row>
    <row r="335" spans="4:49" x14ac:dyDescent="0.25">
      <c r="D335" s="2"/>
      <c r="H335" s="2"/>
      <c r="AF335" s="2"/>
      <c r="AK335" s="2"/>
      <c r="AO335" s="2"/>
      <c r="AS335" s="2"/>
      <c r="AW335" s="2"/>
    </row>
    <row r="336" spans="4:49" x14ac:dyDescent="0.25">
      <c r="D336" s="2"/>
      <c r="H336" s="2"/>
      <c r="AF336" s="2"/>
      <c r="AK336" s="2"/>
      <c r="AO336" s="2"/>
      <c r="AS336" s="2"/>
      <c r="AW336" s="2"/>
    </row>
    <row r="337" spans="4:49" x14ac:dyDescent="0.25">
      <c r="D337" s="2"/>
      <c r="H337" s="2"/>
      <c r="AF337" s="2"/>
      <c r="AK337" s="2"/>
      <c r="AO337" s="2"/>
      <c r="AS337" s="2"/>
      <c r="AW337" s="2"/>
    </row>
    <row r="338" spans="4:49" x14ac:dyDescent="0.25">
      <c r="D338" s="2"/>
      <c r="H338" s="2"/>
      <c r="AF338" s="2"/>
      <c r="AK338" s="2"/>
      <c r="AO338" s="2"/>
      <c r="AS338" s="2"/>
      <c r="AW338" s="2"/>
    </row>
    <row r="339" spans="4:49" x14ac:dyDescent="0.25">
      <c r="D339" s="2"/>
      <c r="H339" s="2"/>
      <c r="AF339" s="2"/>
      <c r="AK339" s="2"/>
      <c r="AO339" s="2"/>
      <c r="AS339" s="2"/>
      <c r="AW339" s="2"/>
    </row>
    <row r="340" spans="4:49" x14ac:dyDescent="0.25">
      <c r="D340" s="2"/>
      <c r="H340" s="2"/>
      <c r="AF340" s="2"/>
      <c r="AK340" s="2"/>
      <c r="AO340" s="2"/>
      <c r="AS340" s="2"/>
      <c r="AW340" s="2"/>
    </row>
    <row r="341" spans="4:49" x14ac:dyDescent="0.25">
      <c r="D341" s="2"/>
      <c r="H341" s="2"/>
      <c r="AF341" s="2"/>
      <c r="AK341" s="2"/>
      <c r="AO341" s="2"/>
      <c r="AS341" s="2"/>
      <c r="AW341" s="2"/>
    </row>
    <row r="342" spans="4:49" x14ac:dyDescent="0.25">
      <c r="D342" s="2"/>
      <c r="H342" s="2"/>
      <c r="AF342" s="2"/>
      <c r="AK342" s="2"/>
      <c r="AO342" s="2"/>
      <c r="AS342" s="2"/>
      <c r="AW342" s="2"/>
    </row>
    <row r="343" spans="4:49" x14ac:dyDescent="0.25">
      <c r="D343" s="2"/>
      <c r="H343" s="2"/>
      <c r="AF343" s="2"/>
      <c r="AK343" s="2"/>
      <c r="AO343" s="2"/>
      <c r="AS343" s="2"/>
      <c r="AW343" s="2"/>
    </row>
    <row r="344" spans="4:49" x14ac:dyDescent="0.25">
      <c r="D344" s="2"/>
      <c r="H344" s="2"/>
      <c r="AF344" s="2"/>
      <c r="AK344" s="2"/>
      <c r="AO344" s="2"/>
      <c r="AS344" s="2"/>
      <c r="AW344" s="2"/>
    </row>
    <row r="345" spans="4:49" x14ac:dyDescent="0.25">
      <c r="D345" s="2"/>
      <c r="H345" s="2"/>
      <c r="AF345" s="2"/>
      <c r="AK345" s="2"/>
      <c r="AO345" s="2"/>
      <c r="AS345" s="2"/>
      <c r="AW345" s="2"/>
    </row>
    <row r="346" spans="4:49" x14ac:dyDescent="0.25">
      <c r="D346" s="2"/>
      <c r="H346" s="2"/>
      <c r="AF346" s="2"/>
      <c r="AK346" s="2"/>
      <c r="AO346" s="2"/>
      <c r="AS346" s="2"/>
      <c r="AW346" s="2"/>
    </row>
    <row r="347" spans="4:49" x14ac:dyDescent="0.25">
      <c r="D347" s="2"/>
      <c r="H347" s="2"/>
      <c r="AF347" s="2"/>
      <c r="AK347" s="2"/>
      <c r="AO347" s="2"/>
      <c r="AS347" s="2"/>
      <c r="AW347" s="2"/>
    </row>
    <row r="348" spans="4:49" x14ac:dyDescent="0.25">
      <c r="D348" s="2"/>
      <c r="H348" s="2"/>
      <c r="AF348" s="2"/>
      <c r="AK348" s="2"/>
      <c r="AO348" s="2"/>
      <c r="AS348" s="2"/>
      <c r="AW348" s="2"/>
    </row>
    <row r="349" spans="4:49" x14ac:dyDescent="0.25">
      <c r="D349" s="2"/>
      <c r="H349" s="2"/>
      <c r="AF349" s="2"/>
      <c r="AK349" s="2"/>
      <c r="AO349" s="2"/>
      <c r="AS349" s="2"/>
      <c r="AW349" s="2"/>
    </row>
    <row r="350" spans="4:49" x14ac:dyDescent="0.25">
      <c r="D350" s="2"/>
      <c r="H350" s="2"/>
      <c r="AF350" s="2"/>
      <c r="AK350" s="2"/>
      <c r="AO350" s="2"/>
      <c r="AS350" s="2"/>
      <c r="AW350" s="2"/>
    </row>
    <row r="351" spans="4:49" x14ac:dyDescent="0.25">
      <c r="D351" s="2"/>
      <c r="H351" s="2"/>
      <c r="AF351" s="2"/>
      <c r="AK351" s="2"/>
      <c r="AO351" s="2"/>
      <c r="AS351" s="2"/>
      <c r="AW351" s="2"/>
    </row>
    <row r="352" spans="4:49" x14ac:dyDescent="0.25">
      <c r="D352" s="2"/>
      <c r="H352" s="2"/>
      <c r="AF352" s="2"/>
      <c r="AK352" s="2"/>
      <c r="AO352" s="2"/>
      <c r="AS352" s="2"/>
      <c r="AW352" s="2"/>
    </row>
    <row r="353" spans="4:49" x14ac:dyDescent="0.25">
      <c r="D353" s="2"/>
      <c r="H353" s="2"/>
      <c r="AF353" s="2"/>
      <c r="AK353" s="2"/>
      <c r="AO353" s="2"/>
      <c r="AS353" s="2"/>
      <c r="AW353" s="2"/>
    </row>
    <row r="354" spans="4:49" x14ac:dyDescent="0.25">
      <c r="D354" s="2"/>
      <c r="H354" s="2"/>
      <c r="AF354" s="2"/>
      <c r="AK354" s="2"/>
      <c r="AO354" s="2"/>
      <c r="AS354" s="2"/>
      <c r="AW354" s="2"/>
    </row>
    <row r="355" spans="4:49" x14ac:dyDescent="0.25">
      <c r="D355" s="2"/>
      <c r="H355" s="2"/>
      <c r="AF355" s="2"/>
      <c r="AK355" s="2"/>
      <c r="AO355" s="2"/>
      <c r="AS355" s="2"/>
      <c r="AW355" s="2"/>
    </row>
    <row r="356" spans="4:49" x14ac:dyDescent="0.25">
      <c r="D356" s="2"/>
      <c r="H356" s="2"/>
      <c r="AF356" s="2"/>
      <c r="AK356" s="2"/>
      <c r="AO356" s="2"/>
      <c r="AS356" s="2"/>
      <c r="AW356" s="2"/>
    </row>
    <row r="357" spans="4:49" x14ac:dyDescent="0.25">
      <c r="D357" s="2"/>
      <c r="H357" s="2"/>
      <c r="AF357" s="2"/>
      <c r="AK357" s="2"/>
      <c r="AO357" s="2"/>
      <c r="AS357" s="2"/>
      <c r="AW357" s="2"/>
    </row>
    <row r="358" spans="4:49" x14ac:dyDescent="0.25">
      <c r="D358" s="2"/>
      <c r="H358" s="2"/>
      <c r="AF358" s="2"/>
      <c r="AK358" s="2"/>
      <c r="AO358" s="2"/>
      <c r="AS358" s="2"/>
      <c r="AW358" s="2"/>
    </row>
    <row r="359" spans="4:49" x14ac:dyDescent="0.25">
      <c r="D359" s="2"/>
      <c r="H359" s="2"/>
      <c r="AF359" s="2"/>
      <c r="AK359" s="2"/>
      <c r="AO359" s="2"/>
      <c r="AS359" s="2"/>
      <c r="AW359" s="2"/>
    </row>
    <row r="360" spans="4:49" x14ac:dyDescent="0.25">
      <c r="D360" s="2"/>
      <c r="H360" s="2"/>
      <c r="AF360" s="2"/>
      <c r="AK360" s="2"/>
      <c r="AO360" s="2"/>
      <c r="AS360" s="2"/>
      <c r="AW360" s="2"/>
    </row>
    <row r="361" spans="4:49" x14ac:dyDescent="0.25">
      <c r="D361" s="2"/>
      <c r="H361" s="2"/>
      <c r="AF361" s="2"/>
      <c r="AK361" s="2"/>
      <c r="AO361" s="2"/>
      <c r="AS361" s="2"/>
      <c r="AW361" s="2"/>
    </row>
    <row r="362" spans="4:49" x14ac:dyDescent="0.25">
      <c r="D362" s="2"/>
      <c r="H362" s="2"/>
      <c r="AF362" s="2"/>
      <c r="AK362" s="2"/>
      <c r="AO362" s="2"/>
      <c r="AS362" s="2"/>
      <c r="AW362" s="2"/>
    </row>
    <row r="363" spans="4:49" x14ac:dyDescent="0.25">
      <c r="D363" s="2"/>
      <c r="H363" s="2"/>
      <c r="AF363" s="2"/>
      <c r="AK363" s="2"/>
      <c r="AO363" s="2"/>
      <c r="AS363" s="2"/>
      <c r="AW363" s="2"/>
    </row>
    <row r="364" spans="4:49" x14ac:dyDescent="0.25">
      <c r="D364" s="2"/>
      <c r="H364" s="2"/>
      <c r="AF364" s="2"/>
      <c r="AK364" s="2"/>
      <c r="AO364" s="2"/>
      <c r="AS364" s="2"/>
      <c r="AW364" s="2"/>
    </row>
    <row r="365" spans="4:49" x14ac:dyDescent="0.25">
      <c r="D365" s="2"/>
      <c r="H365" s="2"/>
      <c r="AF365" s="2"/>
      <c r="AK365" s="2"/>
      <c r="AO365" s="2"/>
      <c r="AS365" s="2"/>
      <c r="AW365" s="2"/>
    </row>
    <row r="366" spans="4:49" x14ac:dyDescent="0.25">
      <c r="D366" s="2"/>
      <c r="H366" s="2"/>
      <c r="AF366" s="2"/>
      <c r="AK366" s="2"/>
      <c r="AO366" s="2"/>
      <c r="AS366" s="2"/>
      <c r="AW366" s="2"/>
    </row>
    <row r="367" spans="4:49" x14ac:dyDescent="0.25">
      <c r="D367" s="2"/>
      <c r="H367" s="2"/>
      <c r="AF367" s="2"/>
      <c r="AK367" s="2"/>
      <c r="AO367" s="2"/>
      <c r="AS367" s="2"/>
      <c r="AW367" s="2"/>
    </row>
    <row r="368" spans="4:49" x14ac:dyDescent="0.25">
      <c r="D368" s="2"/>
      <c r="H368" s="2"/>
      <c r="AF368" s="2"/>
      <c r="AK368" s="2"/>
      <c r="AO368" s="2"/>
      <c r="AS368" s="2"/>
      <c r="AW368" s="2"/>
    </row>
    <row r="369" spans="4:49" x14ac:dyDescent="0.25">
      <c r="D369" s="2"/>
      <c r="H369" s="2"/>
      <c r="AF369" s="2"/>
      <c r="AK369" s="2"/>
      <c r="AO369" s="2"/>
      <c r="AS369" s="2"/>
      <c r="AW369" s="2"/>
    </row>
    <row r="370" spans="4:49" x14ac:dyDescent="0.25">
      <c r="D370" s="2"/>
      <c r="H370" s="2"/>
      <c r="AF370" s="2"/>
      <c r="AK370" s="2"/>
      <c r="AO370" s="2"/>
      <c r="AS370" s="2"/>
      <c r="AW370" s="2"/>
    </row>
    <row r="371" spans="4:49" x14ac:dyDescent="0.25">
      <c r="D371" s="2"/>
      <c r="H371" s="2"/>
      <c r="AF371" s="2"/>
      <c r="AK371" s="2"/>
      <c r="AO371" s="2"/>
      <c r="AS371" s="2"/>
      <c r="AW371" s="2"/>
    </row>
    <row r="372" spans="4:49" x14ac:dyDescent="0.25">
      <c r="D372" s="2"/>
      <c r="H372" s="2"/>
      <c r="AF372" s="2"/>
      <c r="AK372" s="2"/>
      <c r="AO372" s="2"/>
      <c r="AS372" s="2"/>
      <c r="AW372" s="2"/>
    </row>
    <row r="373" spans="4:49" x14ac:dyDescent="0.25">
      <c r="D373" s="2"/>
      <c r="H373" s="2"/>
      <c r="AF373" s="2"/>
      <c r="AK373" s="2"/>
      <c r="AO373" s="2"/>
      <c r="AS373" s="2"/>
      <c r="AW373" s="2"/>
    </row>
    <row r="374" spans="4:49" x14ac:dyDescent="0.25">
      <c r="D374" s="2"/>
      <c r="H374" s="2"/>
      <c r="AF374" s="2"/>
      <c r="AK374" s="2"/>
      <c r="AO374" s="2"/>
      <c r="AS374" s="2"/>
      <c r="AW374" s="2"/>
    </row>
    <row r="375" spans="4:49" x14ac:dyDescent="0.25">
      <c r="D375" s="2"/>
      <c r="H375" s="2"/>
      <c r="AF375" s="2"/>
      <c r="AK375" s="2"/>
      <c r="AO375" s="2"/>
      <c r="AS375" s="2"/>
      <c r="AW375" s="2"/>
    </row>
    <row r="376" spans="4:49" x14ac:dyDescent="0.25">
      <c r="D376" s="2"/>
      <c r="H376" s="2"/>
      <c r="AF376" s="2"/>
      <c r="AK376" s="2"/>
      <c r="AO376" s="2"/>
      <c r="AS376" s="2"/>
      <c r="AW376" s="2"/>
    </row>
    <row r="377" spans="4:49" x14ac:dyDescent="0.25">
      <c r="D377" s="2"/>
      <c r="H377" s="2"/>
      <c r="AF377" s="2"/>
      <c r="AK377" s="2"/>
      <c r="AO377" s="2"/>
      <c r="AS377" s="2"/>
      <c r="AW377" s="2"/>
    </row>
    <row r="378" spans="4:49" x14ac:dyDescent="0.25">
      <c r="D378" s="2"/>
      <c r="H378" s="2"/>
      <c r="AF378" s="2"/>
      <c r="AK378" s="2"/>
      <c r="AO378" s="2"/>
      <c r="AS378" s="2"/>
      <c r="AW378" s="2"/>
    </row>
    <row r="379" spans="4:49" x14ac:dyDescent="0.25">
      <c r="D379" s="2"/>
      <c r="H379" s="2"/>
      <c r="AF379" s="2"/>
      <c r="AK379" s="2"/>
      <c r="AO379" s="2"/>
      <c r="AS379" s="2"/>
      <c r="AW379" s="2"/>
    </row>
    <row r="380" spans="4:49" x14ac:dyDescent="0.25">
      <c r="D380" s="2"/>
      <c r="H380" s="2"/>
      <c r="AF380" s="2"/>
      <c r="AK380" s="2"/>
      <c r="AO380" s="2"/>
      <c r="AS380" s="2"/>
      <c r="AW380" s="2"/>
    </row>
    <row r="381" spans="4:49" x14ac:dyDescent="0.25">
      <c r="D381" s="2"/>
      <c r="H381" s="2"/>
      <c r="AF381" s="2"/>
      <c r="AK381" s="2"/>
      <c r="AO381" s="2"/>
      <c r="AS381" s="2"/>
      <c r="AW381" s="2"/>
    </row>
    <row r="382" spans="4:49" x14ac:dyDescent="0.25">
      <c r="D382" s="2"/>
      <c r="H382" s="2"/>
      <c r="AF382" s="2"/>
      <c r="AK382" s="2"/>
      <c r="AO382" s="2"/>
      <c r="AS382" s="2"/>
      <c r="AW382" s="2"/>
    </row>
    <row r="383" spans="4:49" x14ac:dyDescent="0.25">
      <c r="D383" s="2"/>
      <c r="H383" s="2"/>
      <c r="AF383" s="2"/>
      <c r="AK383" s="2"/>
      <c r="AO383" s="2"/>
      <c r="AS383" s="2"/>
      <c r="AW383" s="2"/>
    </row>
    <row r="384" spans="4:49" x14ac:dyDescent="0.25">
      <c r="D384" s="2"/>
      <c r="H384" s="2"/>
      <c r="AF384" s="2"/>
      <c r="AK384" s="2"/>
      <c r="AO384" s="2"/>
      <c r="AS384" s="2"/>
      <c r="AW384" s="2"/>
    </row>
    <row r="385" spans="4:49" x14ac:dyDescent="0.25">
      <c r="D385" s="2"/>
      <c r="H385" s="2"/>
      <c r="AF385" s="2"/>
      <c r="AK385" s="2"/>
      <c r="AO385" s="2"/>
      <c r="AS385" s="2"/>
      <c r="AW385" s="2"/>
    </row>
    <row r="386" spans="4:49" x14ac:dyDescent="0.25">
      <c r="D386" s="2"/>
      <c r="H386" s="2"/>
      <c r="AF386" s="2"/>
      <c r="AK386" s="2"/>
      <c r="AO386" s="2"/>
      <c r="AS386" s="2"/>
      <c r="AW386" s="2"/>
    </row>
    <row r="387" spans="4:49" x14ac:dyDescent="0.25">
      <c r="D387" s="2"/>
      <c r="H387" s="2"/>
      <c r="AF387" s="2"/>
      <c r="AK387" s="2"/>
      <c r="AO387" s="2"/>
      <c r="AS387" s="2"/>
      <c r="AW387" s="2"/>
    </row>
    <row r="388" spans="4:49" x14ac:dyDescent="0.25">
      <c r="D388" s="2"/>
      <c r="H388" s="2"/>
      <c r="AF388" s="2"/>
      <c r="AK388" s="2"/>
      <c r="AO388" s="2"/>
      <c r="AS388" s="2"/>
      <c r="AW388" s="2"/>
    </row>
    <row r="389" spans="4:49" x14ac:dyDescent="0.25">
      <c r="D389" s="2"/>
      <c r="H389" s="2"/>
      <c r="AF389" s="2"/>
      <c r="AK389" s="2"/>
      <c r="AO389" s="2"/>
      <c r="AS389" s="2"/>
      <c r="AW389" s="2"/>
    </row>
    <row r="390" spans="4:49" x14ac:dyDescent="0.25">
      <c r="D390" s="2"/>
      <c r="H390" s="2"/>
      <c r="AF390" s="2"/>
      <c r="AK390" s="2"/>
      <c r="AO390" s="2"/>
      <c r="AS390" s="2"/>
      <c r="AW390" s="2"/>
    </row>
    <row r="391" spans="4:49" x14ac:dyDescent="0.25">
      <c r="D391" s="2"/>
      <c r="H391" s="2"/>
      <c r="AF391" s="2"/>
      <c r="AK391" s="2"/>
      <c r="AO391" s="2"/>
      <c r="AS391" s="2"/>
      <c r="AW391" s="2"/>
    </row>
    <row r="392" spans="4:49" x14ac:dyDescent="0.25">
      <c r="D392" s="2"/>
      <c r="H392" s="2"/>
      <c r="AF392" s="2"/>
      <c r="AK392" s="2"/>
      <c r="AO392" s="2"/>
      <c r="AS392" s="2"/>
      <c r="AW392" s="2"/>
    </row>
    <row r="393" spans="4:49" x14ac:dyDescent="0.25">
      <c r="D393" s="2"/>
      <c r="H393" s="2"/>
      <c r="AF393" s="2"/>
      <c r="AK393" s="2"/>
      <c r="AO393" s="2"/>
      <c r="AS393" s="2"/>
      <c r="AW393" s="2"/>
    </row>
    <row r="394" spans="4:49" x14ac:dyDescent="0.25">
      <c r="D394" s="2"/>
      <c r="H394" s="2"/>
      <c r="AF394" s="2"/>
      <c r="AK394" s="2"/>
      <c r="AO394" s="2"/>
      <c r="AS394" s="2"/>
      <c r="AW394" s="2"/>
    </row>
    <row r="395" spans="4:49" x14ac:dyDescent="0.25">
      <c r="D395" s="2"/>
      <c r="H395" s="2"/>
      <c r="AF395" s="2"/>
      <c r="AK395" s="2"/>
      <c r="AO395" s="2"/>
      <c r="AS395" s="2"/>
      <c r="AW395" s="2"/>
    </row>
    <row r="396" spans="4:49" x14ac:dyDescent="0.25">
      <c r="D396" s="2"/>
      <c r="H396" s="2"/>
      <c r="AF396" s="2"/>
      <c r="AK396" s="2"/>
      <c r="AO396" s="2"/>
      <c r="AS396" s="2"/>
      <c r="AW396" s="2"/>
    </row>
    <row r="397" spans="4:49" x14ac:dyDescent="0.25">
      <c r="D397" s="2"/>
      <c r="H397" s="2"/>
      <c r="AF397" s="2"/>
      <c r="AK397" s="2"/>
      <c r="AO397" s="2"/>
      <c r="AS397" s="2"/>
      <c r="AW397" s="2"/>
    </row>
    <row r="398" spans="4:49" x14ac:dyDescent="0.25">
      <c r="D398" s="2"/>
      <c r="H398" s="2"/>
      <c r="AF398" s="2"/>
      <c r="AK398" s="2"/>
      <c r="AO398" s="2"/>
      <c r="AS398" s="2"/>
      <c r="AW398" s="2"/>
    </row>
    <row r="399" spans="4:49" x14ac:dyDescent="0.25">
      <c r="D399" s="2"/>
      <c r="H399" s="2"/>
      <c r="AF399" s="2"/>
      <c r="AK399" s="2"/>
      <c r="AO399" s="2"/>
      <c r="AS399" s="2"/>
      <c r="AW399" s="2"/>
    </row>
    <row r="400" spans="4:49" x14ac:dyDescent="0.25">
      <c r="D400" s="2"/>
      <c r="H400" s="2"/>
      <c r="AF400" s="2"/>
      <c r="AK400" s="2"/>
      <c r="AO400" s="2"/>
      <c r="AS400" s="2"/>
      <c r="AW400" s="2"/>
    </row>
    <row r="401" spans="4:49" x14ac:dyDescent="0.25">
      <c r="D401" s="2"/>
      <c r="H401" s="2"/>
      <c r="AF401" s="2"/>
      <c r="AK401" s="2"/>
      <c r="AO401" s="2"/>
      <c r="AS401" s="2"/>
      <c r="AW401" s="2"/>
    </row>
    <row r="402" spans="4:49" x14ac:dyDescent="0.25">
      <c r="D402" s="2"/>
      <c r="H402" s="2"/>
      <c r="AF402" s="2"/>
      <c r="AK402" s="2"/>
      <c r="AO402" s="2"/>
      <c r="AS402" s="2"/>
      <c r="AW402" s="2"/>
    </row>
    <row r="403" spans="4:49" x14ac:dyDescent="0.25">
      <c r="D403" s="2"/>
      <c r="H403" s="2"/>
      <c r="AF403" s="2"/>
      <c r="AK403" s="2"/>
      <c r="AO403" s="2"/>
      <c r="AS403" s="2"/>
      <c r="AW403" s="2"/>
    </row>
    <row r="404" spans="4:49" x14ac:dyDescent="0.25">
      <c r="D404" s="2"/>
      <c r="H404" s="2"/>
      <c r="AF404" s="2"/>
      <c r="AK404" s="2"/>
      <c r="AO404" s="2"/>
      <c r="AS404" s="2"/>
      <c r="AW404" s="2"/>
    </row>
    <row r="405" spans="4:49" x14ac:dyDescent="0.25">
      <c r="D405" s="2"/>
      <c r="H405" s="2"/>
      <c r="AF405" s="2"/>
      <c r="AK405" s="2"/>
      <c r="AO405" s="2"/>
      <c r="AS405" s="2"/>
      <c r="AW405" s="2"/>
    </row>
    <row r="406" spans="4:49" x14ac:dyDescent="0.25">
      <c r="D406" s="2"/>
      <c r="H406" s="2"/>
      <c r="AF406" s="2"/>
      <c r="AK406" s="2"/>
      <c r="AO406" s="2"/>
      <c r="AS406" s="2"/>
      <c r="AW406" s="2"/>
    </row>
    <row r="407" spans="4:49" x14ac:dyDescent="0.25">
      <c r="D407" s="2"/>
      <c r="H407" s="2"/>
      <c r="AF407" s="2"/>
      <c r="AK407" s="2"/>
      <c r="AO407" s="2"/>
      <c r="AS407" s="2"/>
      <c r="AW407" s="2"/>
    </row>
    <row r="408" spans="4:49" x14ac:dyDescent="0.25">
      <c r="D408" s="2"/>
      <c r="H408" s="2"/>
      <c r="AF408" s="2"/>
      <c r="AK408" s="2"/>
      <c r="AO408" s="2"/>
      <c r="AS408" s="2"/>
      <c r="AW408" s="2"/>
    </row>
    <row r="409" spans="4:49" x14ac:dyDescent="0.25">
      <c r="D409" s="2"/>
      <c r="H409" s="2"/>
      <c r="AF409" s="2"/>
      <c r="AK409" s="2"/>
      <c r="AO409" s="2"/>
      <c r="AS409" s="2"/>
      <c r="AW409" s="2"/>
    </row>
    <row r="410" spans="4:49" x14ac:dyDescent="0.25">
      <c r="D410" s="2"/>
      <c r="H410" s="2"/>
      <c r="AF410" s="2"/>
      <c r="AK410" s="2"/>
      <c r="AO410" s="2"/>
      <c r="AS410" s="2"/>
      <c r="AW410" s="2"/>
    </row>
    <row r="411" spans="4:49" x14ac:dyDescent="0.25">
      <c r="D411" s="2"/>
      <c r="H411" s="2"/>
      <c r="AF411" s="2"/>
      <c r="AK411" s="2"/>
      <c r="AO411" s="2"/>
      <c r="AS411" s="2"/>
      <c r="AW411" s="2"/>
    </row>
    <row r="412" spans="4:49" x14ac:dyDescent="0.25">
      <c r="D412" s="2"/>
      <c r="H412" s="2"/>
      <c r="AF412" s="2"/>
      <c r="AK412" s="2"/>
      <c r="AO412" s="2"/>
      <c r="AS412" s="2"/>
      <c r="AW412" s="2"/>
    </row>
    <row r="413" spans="4:49" x14ac:dyDescent="0.25">
      <c r="D413" s="2"/>
      <c r="H413" s="2"/>
      <c r="AF413" s="2"/>
      <c r="AK413" s="2"/>
      <c r="AO413" s="2"/>
      <c r="AS413" s="2"/>
      <c r="AW413" s="2"/>
    </row>
    <row r="414" spans="4:49" x14ac:dyDescent="0.25">
      <c r="D414" s="2"/>
      <c r="H414" s="2"/>
      <c r="AF414" s="2"/>
      <c r="AK414" s="2"/>
      <c r="AO414" s="2"/>
      <c r="AS414" s="2"/>
      <c r="AW414" s="2"/>
    </row>
    <row r="415" spans="4:49" x14ac:dyDescent="0.25">
      <c r="D415" s="2"/>
      <c r="H415" s="2"/>
      <c r="AF415" s="2"/>
      <c r="AK415" s="2"/>
      <c r="AO415" s="2"/>
      <c r="AS415" s="2"/>
      <c r="AW415" s="2"/>
    </row>
    <row r="416" spans="4:49" x14ac:dyDescent="0.25">
      <c r="D416" s="2"/>
      <c r="H416" s="2"/>
      <c r="AF416" s="2"/>
      <c r="AK416" s="2"/>
      <c r="AO416" s="2"/>
      <c r="AS416" s="2"/>
      <c r="AW416" s="2"/>
    </row>
    <row r="417" spans="4:49" x14ac:dyDescent="0.25">
      <c r="D417" s="2"/>
      <c r="H417" s="2"/>
      <c r="AF417" s="2"/>
      <c r="AK417" s="2"/>
      <c r="AO417" s="2"/>
      <c r="AS417" s="2"/>
      <c r="AW417" s="2"/>
    </row>
    <row r="418" spans="4:49" x14ac:dyDescent="0.25">
      <c r="D418" s="2"/>
      <c r="H418" s="2"/>
      <c r="AF418" s="2"/>
      <c r="AK418" s="2"/>
      <c r="AO418" s="2"/>
      <c r="AS418" s="2"/>
      <c r="AW418" s="2"/>
    </row>
    <row r="419" spans="4:49" x14ac:dyDescent="0.25">
      <c r="D419" s="2"/>
      <c r="H419" s="2"/>
      <c r="AF419" s="2"/>
      <c r="AK419" s="2"/>
      <c r="AO419" s="2"/>
      <c r="AS419" s="2"/>
      <c r="AW419" s="2"/>
    </row>
    <row r="420" spans="4:49" x14ac:dyDescent="0.25">
      <c r="D420" s="2"/>
      <c r="H420" s="2"/>
      <c r="AF420" s="2"/>
      <c r="AK420" s="2"/>
      <c r="AO420" s="2"/>
      <c r="AS420" s="2"/>
      <c r="AW420" s="2"/>
    </row>
    <row r="421" spans="4:49" x14ac:dyDescent="0.25">
      <c r="D421" s="2"/>
      <c r="H421" s="2"/>
      <c r="AF421" s="2"/>
      <c r="AK421" s="2"/>
      <c r="AO421" s="2"/>
      <c r="AS421" s="2"/>
      <c r="AW421" s="2"/>
    </row>
    <row r="422" spans="4:49" x14ac:dyDescent="0.25">
      <c r="D422" s="2"/>
      <c r="H422" s="2"/>
      <c r="AF422" s="2"/>
      <c r="AK422" s="2"/>
      <c r="AO422" s="2"/>
      <c r="AS422" s="2"/>
      <c r="AW422" s="2"/>
    </row>
    <row r="423" spans="4:49" x14ac:dyDescent="0.25">
      <c r="D423" s="2"/>
      <c r="H423" s="2"/>
      <c r="AF423" s="2"/>
      <c r="AK423" s="2"/>
      <c r="AO423" s="2"/>
      <c r="AS423" s="2"/>
      <c r="AW423" s="2"/>
    </row>
    <row r="424" spans="4:49" x14ac:dyDescent="0.25">
      <c r="D424" s="2"/>
      <c r="H424" s="2"/>
      <c r="AF424" s="2"/>
      <c r="AK424" s="2"/>
      <c r="AO424" s="2"/>
      <c r="AS424" s="2"/>
      <c r="AW424" s="2"/>
    </row>
    <row r="425" spans="4:49" x14ac:dyDescent="0.25">
      <c r="D425" s="2"/>
      <c r="H425" s="2"/>
      <c r="AF425" s="2"/>
      <c r="AK425" s="2"/>
      <c r="AO425" s="2"/>
      <c r="AS425" s="2"/>
      <c r="AW425" s="2"/>
    </row>
    <row r="426" spans="4:49" x14ac:dyDescent="0.25">
      <c r="D426" s="2"/>
      <c r="H426" s="2"/>
      <c r="AF426" s="2"/>
      <c r="AK426" s="2"/>
      <c r="AO426" s="2"/>
      <c r="AS426" s="2"/>
      <c r="AW426" s="2"/>
    </row>
    <row r="427" spans="4:49" x14ac:dyDescent="0.25">
      <c r="D427" s="2"/>
      <c r="H427" s="2"/>
      <c r="AF427" s="2"/>
      <c r="AK427" s="2"/>
      <c r="AO427" s="2"/>
      <c r="AS427" s="2"/>
      <c r="AW427" s="2"/>
    </row>
    <row r="428" spans="4:49" x14ac:dyDescent="0.25">
      <c r="D428" s="2"/>
      <c r="H428" s="2"/>
      <c r="AF428" s="2"/>
      <c r="AK428" s="2"/>
      <c r="AO428" s="2"/>
      <c r="AS428" s="2"/>
      <c r="AW428" s="2"/>
    </row>
    <row r="429" spans="4:49" x14ac:dyDescent="0.25">
      <c r="D429" s="2"/>
      <c r="H429" s="2"/>
      <c r="AF429" s="2"/>
      <c r="AK429" s="2"/>
      <c r="AO429" s="2"/>
      <c r="AS429" s="2"/>
      <c r="AW429" s="2"/>
    </row>
    <row r="430" spans="4:49" x14ac:dyDescent="0.25">
      <c r="D430" s="2"/>
      <c r="H430" s="2"/>
      <c r="AF430" s="2"/>
      <c r="AK430" s="2"/>
      <c r="AO430" s="2"/>
      <c r="AS430" s="2"/>
      <c r="AW430" s="2"/>
    </row>
    <row r="431" spans="4:49" x14ac:dyDescent="0.25">
      <c r="D431" s="2"/>
      <c r="H431" s="2"/>
      <c r="AF431" s="2"/>
      <c r="AK431" s="2"/>
      <c r="AO431" s="2"/>
      <c r="AS431" s="2"/>
      <c r="AW431" s="2"/>
    </row>
    <row r="432" spans="4:49" x14ac:dyDescent="0.25">
      <c r="D432" s="2"/>
      <c r="H432" s="2"/>
      <c r="AF432" s="2"/>
      <c r="AK432" s="2"/>
      <c r="AO432" s="2"/>
      <c r="AS432" s="2"/>
      <c r="AW432" s="2"/>
    </row>
    <row r="433" spans="4:49" x14ac:dyDescent="0.25">
      <c r="D433" s="2"/>
      <c r="H433" s="2"/>
      <c r="AF433" s="2"/>
      <c r="AK433" s="2"/>
      <c r="AO433" s="2"/>
      <c r="AS433" s="2"/>
      <c r="AW433" s="2"/>
    </row>
    <row r="434" spans="4:49" x14ac:dyDescent="0.25">
      <c r="D434" s="2"/>
      <c r="H434" s="2"/>
      <c r="AF434" s="2"/>
      <c r="AK434" s="2"/>
      <c r="AO434" s="2"/>
      <c r="AS434" s="2"/>
      <c r="AW434" s="2"/>
    </row>
    <row r="435" spans="4:49" x14ac:dyDescent="0.25">
      <c r="D435" s="2"/>
      <c r="H435" s="2"/>
      <c r="AF435" s="2"/>
      <c r="AK435" s="2"/>
      <c r="AO435" s="2"/>
      <c r="AS435" s="2"/>
      <c r="AW435" s="2"/>
    </row>
    <row r="436" spans="4:49" x14ac:dyDescent="0.25">
      <c r="D436" s="2"/>
      <c r="H436" s="2"/>
      <c r="AF436" s="2"/>
      <c r="AK436" s="2"/>
      <c r="AO436" s="2"/>
      <c r="AS436" s="2"/>
      <c r="AW436" s="2"/>
    </row>
    <row r="437" spans="4:49" x14ac:dyDescent="0.25">
      <c r="D437" s="2"/>
      <c r="H437" s="2"/>
      <c r="AF437" s="2"/>
      <c r="AK437" s="2"/>
      <c r="AO437" s="2"/>
      <c r="AS437" s="2"/>
      <c r="AW437" s="2"/>
    </row>
    <row r="438" spans="4:49" x14ac:dyDescent="0.25">
      <c r="D438" s="2"/>
      <c r="H438" s="2"/>
      <c r="AF438" s="2"/>
      <c r="AK438" s="2"/>
      <c r="AO438" s="2"/>
      <c r="AS438" s="2"/>
      <c r="AW438" s="2"/>
    </row>
    <row r="439" spans="4:49" x14ac:dyDescent="0.25">
      <c r="D439" s="2"/>
      <c r="H439" s="2"/>
      <c r="AF439" s="2"/>
      <c r="AK439" s="2"/>
      <c r="AO439" s="2"/>
      <c r="AS439" s="2"/>
      <c r="AW439" s="2"/>
    </row>
    <row r="440" spans="4:49" x14ac:dyDescent="0.25">
      <c r="D440" s="2"/>
      <c r="H440" s="2"/>
      <c r="AF440" s="2"/>
      <c r="AK440" s="2"/>
      <c r="AO440" s="2"/>
      <c r="AS440" s="2"/>
      <c r="AW440" s="2"/>
    </row>
    <row r="441" spans="4:49" x14ac:dyDescent="0.25">
      <c r="D441" s="2"/>
      <c r="H441" s="2"/>
      <c r="AF441" s="2"/>
      <c r="AK441" s="2"/>
      <c r="AO441" s="2"/>
      <c r="AS441" s="2"/>
      <c r="AW441" s="2"/>
    </row>
    <row r="442" spans="4:49" x14ac:dyDescent="0.25">
      <c r="D442" s="2"/>
      <c r="H442" s="2"/>
      <c r="AF442" s="2"/>
      <c r="AK442" s="2"/>
      <c r="AO442" s="2"/>
      <c r="AS442" s="2"/>
      <c r="AW442" s="2"/>
    </row>
    <row r="443" spans="4:49" x14ac:dyDescent="0.25">
      <c r="D443" s="2"/>
      <c r="H443" s="2"/>
      <c r="AF443" s="2"/>
      <c r="AK443" s="2"/>
      <c r="AO443" s="2"/>
      <c r="AS443" s="2"/>
      <c r="AW443" s="2"/>
    </row>
    <row r="444" spans="4:49" x14ac:dyDescent="0.25">
      <c r="D444" s="2"/>
      <c r="H444" s="2"/>
      <c r="AF444" s="2"/>
      <c r="AK444" s="2"/>
      <c r="AO444" s="2"/>
      <c r="AS444" s="2"/>
      <c r="AW444" s="2"/>
    </row>
    <row r="445" spans="4:49" x14ac:dyDescent="0.25">
      <c r="D445" s="2"/>
      <c r="H445" s="2"/>
      <c r="AF445" s="2"/>
      <c r="AK445" s="2"/>
      <c r="AO445" s="2"/>
      <c r="AS445" s="2"/>
      <c r="AW445" s="2"/>
    </row>
    <row r="446" spans="4:49" x14ac:dyDescent="0.25">
      <c r="D446" s="2"/>
      <c r="H446" s="2"/>
      <c r="AF446" s="2"/>
      <c r="AK446" s="2"/>
      <c r="AO446" s="2"/>
      <c r="AS446" s="2"/>
      <c r="AW446" s="2"/>
    </row>
    <row r="447" spans="4:49" x14ac:dyDescent="0.25">
      <c r="D447" s="2"/>
      <c r="H447" s="2"/>
      <c r="AF447" s="2"/>
      <c r="AK447" s="2"/>
      <c r="AO447" s="2"/>
      <c r="AS447" s="2"/>
      <c r="AW447" s="2"/>
    </row>
    <row r="448" spans="4:49" x14ac:dyDescent="0.25">
      <c r="D448" s="2"/>
      <c r="H448" s="2"/>
      <c r="AF448" s="2"/>
      <c r="AK448" s="2"/>
      <c r="AO448" s="2"/>
      <c r="AS448" s="2"/>
      <c r="AW448" s="2"/>
    </row>
    <row r="449" spans="4:49" x14ac:dyDescent="0.25">
      <c r="D449" s="2"/>
      <c r="H449" s="2"/>
      <c r="AF449" s="2"/>
      <c r="AK449" s="2"/>
      <c r="AO449" s="2"/>
      <c r="AS449" s="2"/>
      <c r="AW449" s="2"/>
    </row>
    <row r="450" spans="4:49" x14ac:dyDescent="0.25">
      <c r="D450" s="2"/>
      <c r="H450" s="2"/>
      <c r="AF450" s="2"/>
      <c r="AK450" s="2"/>
      <c r="AO450" s="2"/>
      <c r="AS450" s="2"/>
      <c r="AW450" s="2"/>
    </row>
    <row r="451" spans="4:49" x14ac:dyDescent="0.25">
      <c r="D451" s="2"/>
      <c r="H451" s="2"/>
      <c r="AF451" s="2"/>
      <c r="AK451" s="2"/>
      <c r="AO451" s="2"/>
      <c r="AS451" s="2"/>
      <c r="AW451" s="2"/>
    </row>
    <row r="452" spans="4:49" x14ac:dyDescent="0.25">
      <c r="D452" s="2"/>
      <c r="H452" s="2"/>
      <c r="AF452" s="2"/>
      <c r="AK452" s="2"/>
      <c r="AO452" s="2"/>
      <c r="AS452" s="2"/>
      <c r="AW452" s="2"/>
    </row>
    <row r="453" spans="4:49" x14ac:dyDescent="0.25">
      <c r="D453" s="2"/>
      <c r="H453" s="2"/>
      <c r="AF453" s="2"/>
      <c r="AK453" s="2"/>
      <c r="AO453" s="2"/>
      <c r="AS453" s="2"/>
      <c r="AW453" s="2"/>
    </row>
    <row r="454" spans="4:49" x14ac:dyDescent="0.25">
      <c r="D454" s="2"/>
      <c r="H454" s="2"/>
      <c r="AF454" s="2"/>
      <c r="AK454" s="2"/>
      <c r="AO454" s="2"/>
      <c r="AS454" s="2"/>
      <c r="AW454" s="2"/>
    </row>
    <row r="455" spans="4:49" x14ac:dyDescent="0.25">
      <c r="D455" s="2"/>
      <c r="H455" s="2"/>
      <c r="AF455" s="2"/>
      <c r="AK455" s="2"/>
      <c r="AO455" s="2"/>
      <c r="AS455" s="2"/>
      <c r="AW455" s="2"/>
    </row>
    <row r="456" spans="4:49" x14ac:dyDescent="0.25">
      <c r="D456" s="2"/>
      <c r="H456" s="2"/>
      <c r="AF456" s="2"/>
      <c r="AK456" s="2"/>
      <c r="AO456" s="2"/>
      <c r="AS456" s="2"/>
      <c r="AW456" s="2"/>
    </row>
    <row r="457" spans="4:49" x14ac:dyDescent="0.25">
      <c r="D457" s="2"/>
      <c r="H457" s="2"/>
      <c r="AF457" s="2"/>
      <c r="AK457" s="2"/>
      <c r="AO457" s="2"/>
      <c r="AS457" s="2"/>
      <c r="AW457" s="2"/>
    </row>
    <row r="458" spans="4:49" x14ac:dyDescent="0.25">
      <c r="D458" s="2"/>
      <c r="H458" s="2"/>
      <c r="AF458" s="2"/>
      <c r="AK458" s="2"/>
      <c r="AO458" s="2"/>
      <c r="AS458" s="2"/>
      <c r="AW458" s="2"/>
    </row>
    <row r="459" spans="4:49" x14ac:dyDescent="0.25">
      <c r="D459" s="2"/>
      <c r="H459" s="2"/>
      <c r="AF459" s="2"/>
      <c r="AK459" s="2"/>
      <c r="AO459" s="2"/>
      <c r="AS459" s="2"/>
      <c r="AW459" s="2"/>
    </row>
    <row r="460" spans="4:49" x14ac:dyDescent="0.25">
      <c r="D460" s="2"/>
      <c r="H460" s="2"/>
      <c r="AF460" s="2"/>
      <c r="AK460" s="2"/>
      <c r="AO460" s="2"/>
      <c r="AS460" s="2"/>
      <c r="AW460" s="2"/>
    </row>
    <row r="461" spans="4:49" x14ac:dyDescent="0.25">
      <c r="D461" s="2"/>
      <c r="H461" s="2"/>
      <c r="AF461" s="2"/>
      <c r="AK461" s="2"/>
      <c r="AO461" s="2"/>
      <c r="AS461" s="2"/>
      <c r="AW461" s="2"/>
    </row>
    <row r="462" spans="4:49" x14ac:dyDescent="0.25">
      <c r="D462" s="2"/>
      <c r="H462" s="2"/>
      <c r="AF462" s="2"/>
      <c r="AK462" s="2"/>
      <c r="AO462" s="2"/>
      <c r="AS462" s="2"/>
      <c r="AW462" s="2"/>
    </row>
    <row r="463" spans="4:49" x14ac:dyDescent="0.25">
      <c r="D463" s="2"/>
      <c r="H463" s="2"/>
      <c r="AF463" s="2"/>
      <c r="AK463" s="2"/>
      <c r="AO463" s="2"/>
      <c r="AS463" s="2"/>
      <c r="AW463" s="2"/>
    </row>
    <row r="464" spans="4:49" x14ac:dyDescent="0.25">
      <c r="D464" s="2"/>
      <c r="H464" s="2"/>
      <c r="AF464" s="2"/>
      <c r="AK464" s="2"/>
      <c r="AO464" s="2"/>
      <c r="AS464" s="2"/>
      <c r="AW464" s="2"/>
    </row>
    <row r="465" spans="4:49" x14ac:dyDescent="0.25">
      <c r="D465" s="2"/>
      <c r="H465" s="2"/>
      <c r="AF465" s="2"/>
      <c r="AK465" s="2"/>
      <c r="AO465" s="2"/>
      <c r="AS465" s="2"/>
      <c r="AW465" s="2"/>
    </row>
    <row r="466" spans="4:49" x14ac:dyDescent="0.25">
      <c r="D466" s="2"/>
      <c r="H466" s="2"/>
      <c r="AF466" s="2"/>
      <c r="AK466" s="2"/>
      <c r="AO466" s="2"/>
      <c r="AS466" s="2"/>
      <c r="AW466" s="2"/>
    </row>
    <row r="467" spans="4:49" x14ac:dyDescent="0.25">
      <c r="D467" s="2"/>
      <c r="H467" s="2"/>
      <c r="AF467" s="2"/>
      <c r="AK467" s="2"/>
      <c r="AO467" s="2"/>
      <c r="AS467" s="2"/>
      <c r="AW467" s="2"/>
    </row>
    <row r="468" spans="4:49" x14ac:dyDescent="0.25">
      <c r="D468" s="2"/>
      <c r="H468" s="2"/>
      <c r="AF468" s="2"/>
      <c r="AK468" s="2"/>
      <c r="AO468" s="2"/>
      <c r="AS468" s="2"/>
      <c r="AW468" s="2"/>
    </row>
    <row r="469" spans="4:49" x14ac:dyDescent="0.25">
      <c r="D469" s="2"/>
      <c r="H469" s="2"/>
      <c r="AF469" s="2"/>
      <c r="AK469" s="2"/>
      <c r="AO469" s="2"/>
      <c r="AS469" s="2"/>
      <c r="AW469" s="2"/>
    </row>
    <row r="470" spans="4:49" x14ac:dyDescent="0.25">
      <c r="D470" s="2"/>
      <c r="H470" s="2"/>
      <c r="AF470" s="2"/>
      <c r="AK470" s="2"/>
      <c r="AO470" s="2"/>
      <c r="AS470" s="2"/>
      <c r="AW470" s="2"/>
    </row>
    <row r="471" spans="4:49" x14ac:dyDescent="0.25">
      <c r="D471" s="2"/>
      <c r="H471" s="2"/>
      <c r="AF471" s="2"/>
      <c r="AK471" s="2"/>
      <c r="AO471" s="2"/>
      <c r="AS471" s="2"/>
      <c r="AW471" s="2"/>
    </row>
    <row r="472" spans="4:49" x14ac:dyDescent="0.25">
      <c r="D472" s="2"/>
      <c r="H472" s="2"/>
      <c r="AF472" s="2"/>
      <c r="AK472" s="2"/>
      <c r="AO472" s="2"/>
      <c r="AS472" s="2"/>
      <c r="AW472" s="2"/>
    </row>
    <row r="473" spans="4:49" x14ac:dyDescent="0.25">
      <c r="D473" s="2"/>
      <c r="H473" s="2"/>
      <c r="AF473" s="2"/>
      <c r="AK473" s="2"/>
      <c r="AO473" s="2"/>
      <c r="AS473" s="2"/>
      <c r="AW473" s="2"/>
    </row>
    <row r="474" spans="4:49" x14ac:dyDescent="0.25">
      <c r="D474" s="2"/>
      <c r="H474" s="2"/>
      <c r="AF474" s="2"/>
      <c r="AK474" s="2"/>
      <c r="AO474" s="2"/>
      <c r="AS474" s="2"/>
      <c r="AW474" s="2"/>
    </row>
    <row r="475" spans="4:49" x14ac:dyDescent="0.25">
      <c r="D475" s="2"/>
      <c r="H475" s="2"/>
      <c r="AF475" s="2"/>
      <c r="AK475" s="2"/>
      <c r="AO475" s="2"/>
      <c r="AS475" s="2"/>
      <c r="AW475" s="2"/>
    </row>
    <row r="476" spans="4:49" x14ac:dyDescent="0.25">
      <c r="D476" s="2"/>
      <c r="H476" s="2"/>
      <c r="AF476" s="2"/>
      <c r="AK476" s="2"/>
      <c r="AO476" s="2"/>
      <c r="AS476" s="2"/>
      <c r="AW476" s="2"/>
    </row>
    <row r="477" spans="4:49" x14ac:dyDescent="0.25">
      <c r="D477" s="2"/>
      <c r="H477" s="2"/>
      <c r="AF477" s="2"/>
      <c r="AK477" s="2"/>
      <c r="AO477" s="2"/>
      <c r="AS477" s="2"/>
      <c r="AW477" s="2"/>
    </row>
    <row r="478" spans="4:49" x14ac:dyDescent="0.25">
      <c r="D478" s="2"/>
      <c r="H478" s="2"/>
      <c r="AF478" s="2"/>
      <c r="AK478" s="2"/>
      <c r="AO478" s="2"/>
      <c r="AS478" s="2"/>
      <c r="AW478" s="2"/>
    </row>
    <row r="479" spans="4:49" x14ac:dyDescent="0.25">
      <c r="D479" s="2"/>
      <c r="H479" s="2"/>
      <c r="AF479" s="2"/>
      <c r="AK479" s="2"/>
      <c r="AO479" s="2"/>
      <c r="AS479" s="2"/>
      <c r="AW479" s="2"/>
    </row>
    <row r="480" spans="4:49" x14ac:dyDescent="0.25">
      <c r="D480" s="2"/>
      <c r="H480" s="2"/>
      <c r="AF480" s="2"/>
      <c r="AK480" s="2"/>
      <c r="AO480" s="2"/>
      <c r="AS480" s="2"/>
      <c r="AW480" s="2"/>
    </row>
    <row r="481" spans="4:49" x14ac:dyDescent="0.25">
      <c r="D481" s="2"/>
      <c r="H481" s="2"/>
      <c r="AF481" s="2"/>
      <c r="AK481" s="2"/>
      <c r="AO481" s="2"/>
      <c r="AS481" s="2"/>
      <c r="AW481" s="2"/>
    </row>
    <row r="482" spans="4:49" x14ac:dyDescent="0.25">
      <c r="D482" s="2"/>
      <c r="H482" s="2"/>
      <c r="AF482" s="2"/>
      <c r="AK482" s="2"/>
      <c r="AO482" s="2"/>
      <c r="AS482" s="2"/>
      <c r="AW482" s="2"/>
    </row>
    <row r="483" spans="4:49" x14ac:dyDescent="0.25">
      <c r="D483" s="2"/>
      <c r="H483" s="2"/>
      <c r="AF483" s="2"/>
      <c r="AK483" s="2"/>
      <c r="AO483" s="2"/>
      <c r="AS483" s="2"/>
      <c r="AW483" s="2"/>
    </row>
    <row r="484" spans="4:49" x14ac:dyDescent="0.25">
      <c r="D484" s="2"/>
      <c r="H484" s="2"/>
      <c r="AF484" s="2"/>
      <c r="AK484" s="2"/>
      <c r="AO484" s="2"/>
      <c r="AS484" s="2"/>
      <c r="AW484" s="2"/>
    </row>
    <row r="485" spans="4:49" x14ac:dyDescent="0.25">
      <c r="D485" s="2"/>
      <c r="H485" s="2"/>
      <c r="AF485" s="2"/>
      <c r="AK485" s="2"/>
      <c r="AO485" s="2"/>
      <c r="AS485" s="2"/>
      <c r="AW485" s="2"/>
    </row>
    <row r="486" spans="4:49" x14ac:dyDescent="0.25">
      <c r="D486" s="2"/>
      <c r="H486" s="2"/>
      <c r="AF486" s="2"/>
      <c r="AK486" s="2"/>
      <c r="AO486" s="2"/>
      <c r="AS486" s="2"/>
      <c r="AW486" s="2"/>
    </row>
    <row r="487" spans="4:49" x14ac:dyDescent="0.25">
      <c r="D487" s="2"/>
      <c r="H487" s="2"/>
      <c r="AF487" s="2"/>
      <c r="AK487" s="2"/>
      <c r="AO487" s="2"/>
      <c r="AS487" s="2"/>
      <c r="AW487" s="2"/>
    </row>
    <row r="488" spans="4:49" x14ac:dyDescent="0.25">
      <c r="D488" s="2"/>
      <c r="H488" s="2"/>
      <c r="AF488" s="2"/>
      <c r="AK488" s="2"/>
      <c r="AO488" s="2"/>
      <c r="AS488" s="2"/>
      <c r="AW488" s="2"/>
    </row>
    <row r="489" spans="4:49" x14ac:dyDescent="0.25">
      <c r="D489" s="2"/>
      <c r="H489" s="2"/>
      <c r="AF489" s="2"/>
      <c r="AK489" s="2"/>
      <c r="AO489" s="2"/>
      <c r="AS489" s="2"/>
      <c r="AW489" s="2"/>
    </row>
    <row r="490" spans="4:49" x14ac:dyDescent="0.25">
      <c r="D490" s="2"/>
      <c r="H490" s="2"/>
      <c r="AF490" s="2"/>
      <c r="AK490" s="2"/>
      <c r="AO490" s="2"/>
      <c r="AS490" s="2"/>
      <c r="AW490" s="2"/>
    </row>
    <row r="491" spans="4:49" x14ac:dyDescent="0.25">
      <c r="D491" s="2"/>
      <c r="H491" s="2"/>
      <c r="AF491" s="2"/>
      <c r="AK491" s="2"/>
      <c r="AO491" s="2"/>
      <c r="AS491" s="2"/>
      <c r="AW491" s="2"/>
    </row>
    <row r="492" spans="4:49" x14ac:dyDescent="0.25">
      <c r="D492" s="2"/>
      <c r="H492" s="2"/>
      <c r="AF492" s="2"/>
      <c r="AK492" s="2"/>
      <c r="AO492" s="2"/>
      <c r="AS492" s="2"/>
      <c r="AW492" s="2"/>
    </row>
    <row r="493" spans="4:49" x14ac:dyDescent="0.25">
      <c r="D493" s="2"/>
      <c r="H493" s="2"/>
      <c r="AF493" s="2"/>
      <c r="AK493" s="2"/>
      <c r="AO493" s="2"/>
      <c r="AS493" s="2"/>
      <c r="AW493" s="2"/>
    </row>
    <row r="494" spans="4:49" x14ac:dyDescent="0.25">
      <c r="D494" s="2"/>
      <c r="H494" s="2"/>
      <c r="AF494" s="2"/>
      <c r="AK494" s="2"/>
      <c r="AO494" s="2"/>
      <c r="AS494" s="2"/>
      <c r="AW494" s="2"/>
    </row>
    <row r="495" spans="4:49" x14ac:dyDescent="0.25">
      <c r="D495" s="2"/>
      <c r="H495" s="2"/>
      <c r="AF495" s="2"/>
      <c r="AK495" s="2"/>
      <c r="AO495" s="2"/>
      <c r="AS495" s="2"/>
      <c r="AW495" s="2"/>
    </row>
    <row r="496" spans="4:49" x14ac:dyDescent="0.25">
      <c r="D496" s="2"/>
      <c r="H496" s="2"/>
      <c r="AF496" s="2"/>
      <c r="AK496" s="2"/>
      <c r="AO496" s="2"/>
      <c r="AS496" s="2"/>
      <c r="AW496" s="2"/>
    </row>
    <row r="497" spans="4:49" x14ac:dyDescent="0.25">
      <c r="D497" s="2"/>
      <c r="H497" s="2"/>
      <c r="AF497" s="2"/>
      <c r="AK497" s="2"/>
      <c r="AO497" s="2"/>
      <c r="AS497" s="2"/>
      <c r="AW497" s="2"/>
    </row>
    <row r="498" spans="4:49" x14ac:dyDescent="0.25">
      <c r="D498" s="2"/>
      <c r="H498" s="2"/>
      <c r="AF498" s="2"/>
      <c r="AK498" s="2"/>
      <c r="AO498" s="2"/>
      <c r="AS498" s="2"/>
      <c r="AW498" s="2"/>
    </row>
    <row r="499" spans="4:49" x14ac:dyDescent="0.25">
      <c r="D499" s="2"/>
      <c r="H499" s="2"/>
      <c r="AF499" s="2"/>
      <c r="AK499" s="2"/>
      <c r="AO499" s="2"/>
      <c r="AS499" s="2"/>
      <c r="AW499" s="2"/>
    </row>
    <row r="500" spans="4:49" x14ac:dyDescent="0.25">
      <c r="D500" s="2"/>
      <c r="H500" s="2"/>
      <c r="AF500" s="2"/>
      <c r="AK500" s="2"/>
      <c r="AO500" s="2"/>
      <c r="AS500" s="2"/>
      <c r="AW500" s="2"/>
    </row>
    <row r="501" spans="4:49" x14ac:dyDescent="0.25">
      <c r="D501" s="2"/>
      <c r="H501" s="2"/>
      <c r="AF501" s="2"/>
      <c r="AK501" s="2"/>
      <c r="AO501" s="2"/>
      <c r="AS501" s="2"/>
      <c r="AW501" s="2"/>
    </row>
    <row r="502" spans="4:49" x14ac:dyDescent="0.25">
      <c r="D502" s="2"/>
      <c r="H502" s="2"/>
      <c r="AF502" s="2"/>
      <c r="AK502" s="2"/>
      <c r="AO502" s="2"/>
      <c r="AS502" s="2"/>
      <c r="AW502" s="2"/>
    </row>
    <row r="503" spans="4:49" x14ac:dyDescent="0.25">
      <c r="D503" s="2"/>
      <c r="H503" s="2"/>
      <c r="AF503" s="2"/>
      <c r="AK503" s="2"/>
      <c r="AO503" s="2"/>
      <c r="AS503" s="2"/>
      <c r="AW503" s="2"/>
    </row>
    <row r="504" spans="4:49" x14ac:dyDescent="0.25">
      <c r="D504" s="2"/>
      <c r="H504" s="2"/>
      <c r="AF504" s="2"/>
      <c r="AK504" s="2"/>
      <c r="AO504" s="2"/>
      <c r="AS504" s="2"/>
      <c r="AW504" s="2"/>
    </row>
    <row r="505" spans="4:49" x14ac:dyDescent="0.25">
      <c r="D505" s="2"/>
      <c r="H505" s="2"/>
      <c r="AF505" s="2"/>
      <c r="AK505" s="2"/>
      <c r="AO505" s="2"/>
      <c r="AS505" s="2"/>
      <c r="AW505" s="2"/>
    </row>
    <row r="506" spans="4:49" x14ac:dyDescent="0.25">
      <c r="D506" s="2"/>
      <c r="H506" s="2"/>
      <c r="AF506" s="2"/>
      <c r="AK506" s="2"/>
      <c r="AO506" s="2"/>
      <c r="AS506" s="2"/>
      <c r="AW506" s="2"/>
    </row>
    <row r="507" spans="4:49" x14ac:dyDescent="0.25">
      <c r="D507" s="2"/>
      <c r="H507" s="2"/>
      <c r="AF507" s="2"/>
      <c r="AK507" s="2"/>
      <c r="AO507" s="2"/>
      <c r="AS507" s="2"/>
      <c r="AW507" s="2"/>
    </row>
    <row r="508" spans="4:49" x14ac:dyDescent="0.25">
      <c r="D508" s="2"/>
      <c r="H508" s="2"/>
      <c r="AF508" s="2"/>
      <c r="AK508" s="2"/>
      <c r="AO508" s="2"/>
      <c r="AS508" s="2"/>
      <c r="AW508" s="2"/>
    </row>
    <row r="509" spans="4:49" x14ac:dyDescent="0.25">
      <c r="D509" s="2"/>
      <c r="H509" s="2"/>
      <c r="AF509" s="2"/>
      <c r="AK509" s="2"/>
      <c r="AO509" s="2"/>
      <c r="AS509" s="2"/>
      <c r="AW509" s="2"/>
    </row>
    <row r="510" spans="4:49" x14ac:dyDescent="0.25">
      <c r="D510" s="2"/>
      <c r="H510" s="2"/>
      <c r="AF510" s="2"/>
      <c r="AK510" s="2"/>
      <c r="AO510" s="2"/>
      <c r="AS510" s="2"/>
      <c r="AW510" s="2"/>
    </row>
    <row r="511" spans="4:49" x14ac:dyDescent="0.25">
      <c r="D511" s="2"/>
      <c r="H511" s="2"/>
      <c r="AF511" s="2"/>
      <c r="AK511" s="2"/>
      <c r="AO511" s="2"/>
      <c r="AS511" s="2"/>
      <c r="AW511" s="2"/>
    </row>
    <row r="512" spans="4:49" x14ac:dyDescent="0.25">
      <c r="D512" s="2"/>
      <c r="H512" s="2"/>
      <c r="AF512" s="2"/>
      <c r="AK512" s="2"/>
      <c r="AO512" s="2"/>
      <c r="AS512" s="2"/>
      <c r="AW512" s="2"/>
    </row>
    <row r="513" spans="4:49" x14ac:dyDescent="0.25">
      <c r="D513" s="2"/>
      <c r="H513" s="2"/>
      <c r="AF513" s="2"/>
      <c r="AK513" s="2"/>
      <c r="AO513" s="2"/>
      <c r="AS513" s="2"/>
      <c r="AW513" s="2"/>
    </row>
    <row r="514" spans="4:49" x14ac:dyDescent="0.25">
      <c r="D514" s="2"/>
      <c r="H514" s="2"/>
      <c r="AF514" s="2"/>
      <c r="AK514" s="2"/>
      <c r="AO514" s="2"/>
      <c r="AS514" s="2"/>
      <c r="AW514" s="2"/>
    </row>
    <row r="515" spans="4:49" x14ac:dyDescent="0.25">
      <c r="D515" s="2"/>
      <c r="H515" s="2"/>
      <c r="AF515" s="2"/>
      <c r="AK515" s="2"/>
      <c r="AO515" s="2"/>
      <c r="AS515" s="2"/>
      <c r="AW515" s="2"/>
    </row>
    <row r="516" spans="4:49" x14ac:dyDescent="0.25">
      <c r="D516" s="2"/>
      <c r="H516" s="2"/>
      <c r="AF516" s="2"/>
      <c r="AK516" s="2"/>
      <c r="AO516" s="2"/>
      <c r="AS516" s="2"/>
      <c r="AW516" s="2"/>
    </row>
    <row r="517" spans="4:49" x14ac:dyDescent="0.25">
      <c r="D517" s="2"/>
      <c r="H517" s="2"/>
      <c r="AF517" s="2"/>
      <c r="AK517" s="2"/>
      <c r="AO517" s="2"/>
      <c r="AS517" s="2"/>
      <c r="AW517" s="2"/>
    </row>
    <row r="518" spans="4:49" x14ac:dyDescent="0.25">
      <c r="D518" s="2"/>
      <c r="H518" s="2"/>
      <c r="AF518" s="2"/>
      <c r="AK518" s="2"/>
      <c r="AO518" s="2"/>
      <c r="AS518" s="2"/>
      <c r="AW518" s="2"/>
    </row>
    <row r="519" spans="4:49" x14ac:dyDescent="0.25">
      <c r="D519" s="2"/>
      <c r="H519" s="2"/>
      <c r="AF519" s="2"/>
      <c r="AK519" s="2"/>
      <c r="AO519" s="2"/>
      <c r="AS519" s="2"/>
      <c r="AW519" s="2"/>
    </row>
    <row r="520" spans="4:49" x14ac:dyDescent="0.25">
      <c r="D520" s="2"/>
      <c r="H520" s="2"/>
      <c r="AF520" s="2"/>
      <c r="AK520" s="2"/>
      <c r="AO520" s="2"/>
      <c r="AS520" s="2"/>
      <c r="AW520" s="2"/>
    </row>
    <row r="521" spans="4:49" x14ac:dyDescent="0.25">
      <c r="D521" s="2"/>
      <c r="H521" s="2"/>
      <c r="AF521" s="2"/>
      <c r="AK521" s="2"/>
      <c r="AO521" s="2"/>
      <c r="AS521" s="2"/>
      <c r="AW521" s="2"/>
    </row>
    <row r="522" spans="4:49" x14ac:dyDescent="0.25">
      <c r="D522" s="2"/>
      <c r="H522" s="2"/>
      <c r="AF522" s="2"/>
      <c r="AK522" s="2"/>
      <c r="AO522" s="2"/>
      <c r="AS522" s="2"/>
      <c r="AW522" s="2"/>
    </row>
    <row r="523" spans="4:49" x14ac:dyDescent="0.25">
      <c r="D523" s="2"/>
      <c r="H523" s="2"/>
      <c r="AF523" s="2"/>
      <c r="AK523" s="2"/>
      <c r="AO523" s="2"/>
      <c r="AS523" s="2"/>
      <c r="AW523" s="2"/>
    </row>
    <row r="524" spans="4:49" x14ac:dyDescent="0.25">
      <c r="D524" s="2"/>
      <c r="H524" s="2"/>
      <c r="AF524" s="2"/>
      <c r="AK524" s="2"/>
      <c r="AO524" s="2"/>
      <c r="AS524" s="2"/>
      <c r="AW524" s="2"/>
    </row>
    <row r="525" spans="4:49" x14ac:dyDescent="0.25">
      <c r="D525" s="2"/>
      <c r="H525" s="2"/>
      <c r="AF525" s="2"/>
      <c r="AK525" s="2"/>
      <c r="AO525" s="2"/>
      <c r="AS525" s="2"/>
      <c r="AW525" s="2"/>
    </row>
    <row r="526" spans="4:49" x14ac:dyDescent="0.25">
      <c r="D526" s="2"/>
      <c r="H526" s="2"/>
      <c r="AF526" s="2"/>
      <c r="AK526" s="2"/>
      <c r="AO526" s="2"/>
      <c r="AS526" s="2"/>
      <c r="AW526" s="2"/>
    </row>
    <row r="527" spans="4:49" x14ac:dyDescent="0.25">
      <c r="D527" s="2"/>
      <c r="H527" s="2"/>
      <c r="AF527" s="2"/>
      <c r="AK527" s="2"/>
      <c r="AO527" s="2"/>
      <c r="AS527" s="2"/>
      <c r="AW527" s="2"/>
    </row>
    <row r="528" spans="4:49" x14ac:dyDescent="0.25">
      <c r="D528" s="2"/>
      <c r="H528" s="2"/>
      <c r="AF528" s="2"/>
      <c r="AK528" s="2"/>
      <c r="AO528" s="2"/>
      <c r="AS528" s="2"/>
      <c r="AW528" s="2"/>
    </row>
    <row r="529" spans="4:49" x14ac:dyDescent="0.25">
      <c r="D529" s="2"/>
      <c r="H529" s="2"/>
      <c r="AF529" s="2"/>
      <c r="AK529" s="2"/>
      <c r="AO529" s="2"/>
      <c r="AS529" s="2"/>
      <c r="AW529" s="2"/>
    </row>
    <row r="530" spans="4:49" x14ac:dyDescent="0.25">
      <c r="D530" s="2"/>
      <c r="H530" s="2"/>
      <c r="AF530" s="2"/>
      <c r="AK530" s="2"/>
      <c r="AO530" s="2"/>
      <c r="AS530" s="2"/>
      <c r="AW530" s="2"/>
    </row>
    <row r="531" spans="4:49" x14ac:dyDescent="0.25">
      <c r="D531" s="2"/>
      <c r="H531" s="2"/>
      <c r="AF531" s="2"/>
      <c r="AK531" s="2"/>
      <c r="AO531" s="2"/>
      <c r="AS531" s="2"/>
      <c r="AW531" s="2"/>
    </row>
    <row r="532" spans="4:49" x14ac:dyDescent="0.25">
      <c r="D532" s="2"/>
      <c r="H532" s="2"/>
      <c r="AF532" s="2"/>
      <c r="AK532" s="2"/>
      <c r="AO532" s="2"/>
      <c r="AS532" s="2"/>
      <c r="AW532" s="2"/>
    </row>
    <row r="533" spans="4:49" x14ac:dyDescent="0.25">
      <c r="D533" s="2"/>
      <c r="H533" s="2"/>
      <c r="AF533" s="2"/>
      <c r="AK533" s="2"/>
      <c r="AO533" s="2"/>
      <c r="AS533" s="2"/>
      <c r="AW533" s="2"/>
    </row>
    <row r="534" spans="4:49" x14ac:dyDescent="0.25">
      <c r="D534" s="2"/>
      <c r="H534" s="2"/>
      <c r="AF534" s="2"/>
      <c r="AK534" s="2"/>
      <c r="AO534" s="2"/>
      <c r="AS534" s="2"/>
      <c r="AW534" s="2"/>
    </row>
    <row r="535" spans="4:49" x14ac:dyDescent="0.25">
      <c r="D535" s="2"/>
      <c r="H535" s="2"/>
      <c r="AF535" s="2"/>
      <c r="AK535" s="2"/>
      <c r="AO535" s="2"/>
      <c r="AS535" s="2"/>
      <c r="AW535" s="2"/>
    </row>
    <row r="536" spans="4:49" x14ac:dyDescent="0.25">
      <c r="D536" s="2"/>
      <c r="H536" s="2"/>
      <c r="AF536" s="2"/>
      <c r="AK536" s="2"/>
      <c r="AO536" s="2"/>
      <c r="AS536" s="2"/>
      <c r="AW536" s="2"/>
    </row>
    <row r="537" spans="4:49" x14ac:dyDescent="0.25">
      <c r="D537" s="2"/>
      <c r="H537" s="2"/>
      <c r="AF537" s="2"/>
      <c r="AK537" s="2"/>
      <c r="AO537" s="2"/>
      <c r="AS537" s="2"/>
      <c r="AW537" s="2"/>
    </row>
    <row r="538" spans="4:49" x14ac:dyDescent="0.25">
      <c r="D538" s="2"/>
      <c r="H538" s="2"/>
      <c r="AF538" s="2"/>
      <c r="AK538" s="2"/>
      <c r="AO538" s="2"/>
      <c r="AS538" s="2"/>
      <c r="AW538" s="2"/>
    </row>
    <row r="539" spans="4:49" x14ac:dyDescent="0.25">
      <c r="D539" s="2"/>
      <c r="H539" s="2"/>
      <c r="AF539" s="2"/>
      <c r="AK539" s="2"/>
      <c r="AO539" s="2"/>
      <c r="AS539" s="2"/>
      <c r="AW539" s="2"/>
    </row>
    <row r="540" spans="4:49" x14ac:dyDescent="0.25">
      <c r="D540" s="2"/>
      <c r="H540" s="2"/>
      <c r="AF540" s="2"/>
      <c r="AK540" s="2"/>
      <c r="AO540" s="2"/>
      <c r="AS540" s="2"/>
      <c r="AW540" s="2"/>
    </row>
    <row r="541" spans="4:49" x14ac:dyDescent="0.25">
      <c r="D541" s="2"/>
      <c r="H541" s="2"/>
      <c r="AF541" s="2"/>
      <c r="AK541" s="2"/>
      <c r="AO541" s="2"/>
      <c r="AS541" s="2"/>
      <c r="AW541" s="2"/>
    </row>
    <row r="542" spans="4:49" x14ac:dyDescent="0.25">
      <c r="D542" s="2"/>
      <c r="H542" s="2"/>
      <c r="AF542" s="2"/>
      <c r="AK542" s="2"/>
      <c r="AO542" s="2"/>
      <c r="AS542" s="2"/>
      <c r="AW542" s="2"/>
    </row>
    <row r="543" spans="4:49" x14ac:dyDescent="0.25">
      <c r="D543" s="2"/>
      <c r="H543" s="2"/>
      <c r="AF543" s="2"/>
      <c r="AK543" s="2"/>
      <c r="AO543" s="2"/>
      <c r="AS543" s="2"/>
      <c r="AW543" s="2"/>
    </row>
    <row r="544" spans="4:49" x14ac:dyDescent="0.25">
      <c r="D544" s="2"/>
      <c r="H544" s="2"/>
      <c r="AF544" s="2"/>
      <c r="AK544" s="2"/>
      <c r="AO544" s="2"/>
      <c r="AS544" s="2"/>
      <c r="AW544" s="2"/>
    </row>
    <row r="545" spans="4:49" x14ac:dyDescent="0.25">
      <c r="D545" s="2"/>
      <c r="H545" s="2"/>
      <c r="AF545" s="2"/>
      <c r="AK545" s="2"/>
      <c r="AO545" s="2"/>
      <c r="AS545" s="2"/>
      <c r="AW545" s="2"/>
    </row>
    <row r="546" spans="4:49" x14ac:dyDescent="0.25">
      <c r="D546" s="2"/>
      <c r="H546" s="2"/>
      <c r="AF546" s="2"/>
      <c r="AK546" s="2"/>
      <c r="AO546" s="2"/>
      <c r="AS546" s="2"/>
      <c r="AW546" s="2"/>
    </row>
    <row r="547" spans="4:49" x14ac:dyDescent="0.25">
      <c r="D547" s="2"/>
      <c r="H547" s="2"/>
      <c r="AF547" s="2"/>
      <c r="AK547" s="2"/>
      <c r="AO547" s="2"/>
      <c r="AS547" s="2"/>
      <c r="AW547" s="2"/>
    </row>
    <row r="548" spans="4:49" x14ac:dyDescent="0.25">
      <c r="D548" s="2"/>
      <c r="H548" s="2"/>
      <c r="AF548" s="2"/>
      <c r="AK548" s="2"/>
      <c r="AO548" s="2"/>
      <c r="AS548" s="2"/>
      <c r="AW548" s="2"/>
    </row>
    <row r="549" spans="4:49" x14ac:dyDescent="0.25">
      <c r="D549" s="2"/>
      <c r="H549" s="2"/>
      <c r="AF549" s="2"/>
      <c r="AK549" s="2"/>
      <c r="AO549" s="2"/>
      <c r="AS549" s="2"/>
      <c r="AW549" s="2"/>
    </row>
    <row r="550" spans="4:49" x14ac:dyDescent="0.25">
      <c r="D550" s="2"/>
      <c r="H550" s="2"/>
      <c r="AF550" s="2"/>
      <c r="AK550" s="2"/>
      <c r="AO550" s="2"/>
      <c r="AS550" s="2"/>
      <c r="AW550" s="2"/>
    </row>
    <row r="551" spans="4:49" x14ac:dyDescent="0.25">
      <c r="D551" s="2"/>
      <c r="H551" s="2"/>
      <c r="AF551" s="2"/>
      <c r="AK551" s="2"/>
      <c r="AO551" s="2"/>
      <c r="AS551" s="2"/>
      <c r="AW551" s="2"/>
    </row>
    <row r="552" spans="4:49" x14ac:dyDescent="0.25">
      <c r="D552" s="2"/>
      <c r="H552" s="2"/>
      <c r="AF552" s="2"/>
      <c r="AK552" s="2"/>
      <c r="AO552" s="2"/>
      <c r="AS552" s="2"/>
      <c r="AW552" s="2"/>
    </row>
    <row r="553" spans="4:49" x14ac:dyDescent="0.25">
      <c r="D553" s="2"/>
      <c r="H553" s="2"/>
      <c r="AF553" s="2"/>
      <c r="AK553" s="2"/>
      <c r="AO553" s="2"/>
      <c r="AS553" s="2"/>
      <c r="AW553" s="2"/>
    </row>
    <row r="554" spans="4:49" x14ac:dyDescent="0.25">
      <c r="D554" s="2"/>
      <c r="H554" s="2"/>
      <c r="AF554" s="2"/>
      <c r="AK554" s="2"/>
      <c r="AO554" s="2"/>
      <c r="AS554" s="2"/>
      <c r="AW554" s="2"/>
    </row>
  </sheetData>
  <sheetProtection formatCells="0" formatColumns="0" formatRows="0" sort="0" autoFilter="0"/>
  <protectedRanges>
    <protectedRange sqref="AW1:AW1048576" name="GED"/>
    <protectedRange sqref="AS1:AS1048576" name="réception"/>
    <protectedRange sqref="AO1:AO1048576" name="exploitation"/>
    <protectedRange sqref="AK1:AK1048576" name="vérification"/>
    <protectedRange sqref="AF1:AF1048576" name="rédaction"/>
    <protectedRange sqref="H1:H5 H7:H1048576" name="Noms du contrat"/>
    <protectedRange sqref="A1:A1048576" name="Numéro du contrat"/>
    <protectedRange sqref="D1:D5 F47:F48 D7:D1048576" name="Numéro de la semaine"/>
    <protectedRange sqref="A1:XFD7" name="Entête"/>
  </protectedRanges>
  <sortState xmlns:xlrd2="http://schemas.microsoft.com/office/spreadsheetml/2017/richdata2" ref="A8:BF9">
    <sortCondition ref="E9"/>
  </sortState>
  <mergeCells count="19">
    <mergeCell ref="I3:R3"/>
    <mergeCell ref="I4:R4"/>
    <mergeCell ref="I5:R5"/>
    <mergeCell ref="AD1:AS5"/>
    <mergeCell ref="AW1:BF5"/>
    <mergeCell ref="B6:C6"/>
    <mergeCell ref="A2:C2"/>
    <mergeCell ref="A3:C3"/>
    <mergeCell ref="A4:C4"/>
    <mergeCell ref="A5:C5"/>
    <mergeCell ref="I6:N6"/>
    <mergeCell ref="O6:R6"/>
    <mergeCell ref="I1:R1"/>
    <mergeCell ref="I2:R2"/>
    <mergeCell ref="D2:G2"/>
    <mergeCell ref="D3:G3"/>
    <mergeCell ref="D4:G4"/>
    <mergeCell ref="D5:G5"/>
    <mergeCell ref="D6:F6"/>
  </mergeCells>
  <phoneticPr fontId="5" type="noConversion"/>
  <conditionalFormatting sqref="A9">
    <cfRule type="expression" dxfId="80" priority="105">
      <formula>VALUE(_semISO($R9,""))&lt;VALUE(_semISO(TODAY()-7,""))</formula>
    </cfRule>
  </conditionalFormatting>
  <conditionalFormatting sqref="D2:D5 H2:I5">
    <cfRule type="cellIs" dxfId="79" priority="87" operator="equal">
      <formula>0</formula>
    </cfRule>
  </conditionalFormatting>
  <conditionalFormatting sqref="T9 T10:U35 T37:U47">
    <cfRule type="expression" dxfId="78" priority="96">
      <formula>AND(ISBLANK(AG9),ISNONTEXT(AF9),$T$9&lt;$R$9)</formula>
    </cfRule>
  </conditionalFormatting>
  <conditionalFormatting sqref="T9">
    <cfRule type="expression" dxfId="77" priority="56">
      <formula>$T$9&lt;$R$9</formula>
    </cfRule>
  </conditionalFormatting>
  <conditionalFormatting sqref="T107">
    <cfRule type="expression" dxfId="76" priority="1">
      <formula>$T$9&lt;$R$9</formula>
    </cfRule>
  </conditionalFormatting>
  <conditionalFormatting sqref="T10:U84 T9">
    <cfRule type="expression" dxfId="75" priority="76">
      <formula>$T$9&lt;$R$9</formula>
    </cfRule>
  </conditionalFormatting>
  <conditionalFormatting sqref="T36:U36">
    <cfRule type="expression" dxfId="74" priority="73">
      <formula>AND(ISBLANK(AG38),ISNONTEXT(AF38),$T$9&lt;$R$9)</formula>
    </cfRule>
  </conditionalFormatting>
  <conditionalFormatting sqref="W9:Y9 AC9 W11:Y24 AC17:AC24">
    <cfRule type="expression" dxfId="73" priority="86">
      <formula>AND(ISBLANK(AK9),ISNONTEXT(AJ9),$T$9&lt;$R$9)</formula>
    </cfRule>
  </conditionalFormatting>
  <conditionalFormatting sqref="Z9 Z11:Z24">
    <cfRule type="expression" dxfId="72" priority="115">
      <formula>AND(ISBLANK(AO9),ISNONTEXT(AM9),$T$9&lt;$R$9)</formula>
    </cfRule>
  </conditionalFormatting>
  <conditionalFormatting sqref="AA9 AA11:AB24">
    <cfRule type="expression" dxfId="71" priority="116">
      <formula>AND(ISBLANK(AP9),ISNONTEXT(AO9),$T$9&lt;$R$9)</formula>
    </cfRule>
  </conditionalFormatting>
  <conditionalFormatting sqref="AB9:AB24">
    <cfRule type="expression" dxfId="70" priority="98">
      <formula>AND(ISBLANK(AH9),ISNONTEXT(AG9),$T$9&lt;$R$9)</formula>
    </cfRule>
  </conditionalFormatting>
  <conditionalFormatting sqref="AL63:AL64">
    <cfRule type="expression" dxfId="69" priority="104">
      <formula>AND(ISBLANK(AL63),ISNONTEXT(AK64),TODAY()&lt;AK64-7)</formula>
    </cfRule>
    <cfRule type="expression" dxfId="68" priority="103">
      <formula>AND(ISBLANK(AL63),ISNONTEXT(AK64),TODAY()&lt;AK64,TODAY()&gt;=AK64-7)</formula>
    </cfRule>
    <cfRule type="expression" dxfId="67" priority="102">
      <formula>AND(ISBLANK(AL63),ISNONTEXT(AK64),TODAY()&gt;=AK64)</formula>
    </cfRule>
  </conditionalFormatting>
  <conditionalFormatting sqref="AL67">
    <cfRule type="expression" dxfId="66" priority="29">
      <formula>AND(ISBLANK(AL67),ISNONTEXT(AK68),TODAY()&gt;=AK68)</formula>
    </cfRule>
    <cfRule type="expression" dxfId="65" priority="30">
      <formula>AND(ISBLANK(AL67),ISNONTEXT(AK68),TODAY()&lt;AK68,TODAY()&gt;=AK68-7)</formula>
    </cfRule>
    <cfRule type="expression" dxfId="64" priority="31">
      <formula>AND(ISBLANK(AL67),ISNONTEXT(AK68),TODAY()&lt;AK68-7)</formula>
    </cfRule>
  </conditionalFormatting>
  <conditionalFormatting sqref="AP63:AP64">
    <cfRule type="expression" dxfId="63" priority="25">
      <formula>AND(ISBLANK(AP63),ISNONTEXT(AO64),TODAY()&lt;AO64-7)</formula>
    </cfRule>
    <cfRule type="expression" dxfId="62" priority="23">
      <formula>AND(ISBLANK(AP63),ISNONTEXT(AO64),TODAY()&gt;=AO64)</formula>
    </cfRule>
    <cfRule type="expression" dxfId="61" priority="24">
      <formula>AND(ISBLANK(AP63),ISNONTEXT(AO64),TODAY()&lt;AO64,TODAY()&gt;=AO64-7)</formula>
    </cfRule>
  </conditionalFormatting>
  <conditionalFormatting sqref="AP67">
    <cfRule type="expression" dxfId="60" priority="19">
      <formula>AND(ISBLANK(AP67),ISNONTEXT(AO68),TODAY()&lt;AO68-7)</formula>
    </cfRule>
    <cfRule type="expression" dxfId="59" priority="18">
      <formula>AND(ISBLANK(AP67),ISNONTEXT(AO68),TODAY()&lt;AO68,TODAY()&gt;=AO68-7)</formula>
    </cfRule>
    <cfRule type="expression" dxfId="58" priority="17">
      <formula>AND(ISBLANK(AP67),ISNONTEXT(AO68),TODAY()&gt;=AO68)</formula>
    </cfRule>
  </conditionalFormatting>
  <conditionalFormatting sqref="AP77:AP80">
    <cfRule type="expression" dxfId="57" priority="120">
      <formula>AND(ISBLANK(AP77),ISNONTEXT(AO76),TODAY()&gt;=AO76)</formula>
    </cfRule>
    <cfRule type="expression" dxfId="56" priority="121">
      <formula>AND(ISBLANK(AP77),ISNONTEXT(AO76),TODAY()&lt;AO76,TODAY()&gt;=AO76-7)</formula>
    </cfRule>
    <cfRule type="expression" dxfId="55" priority="122">
      <formula>AND(ISBLANK(AP77),ISNONTEXT(AO76),TODAY()&lt;AO76-7)</formula>
    </cfRule>
  </conditionalFormatting>
  <conditionalFormatting sqref="AT63:AT64">
    <cfRule type="expression" dxfId="54" priority="65">
      <formula>AND(ISBLANK(AT63),ISNONTEXT(AS64),TODAY()&lt;AS64-7)</formula>
    </cfRule>
    <cfRule type="expression" dxfId="53" priority="64">
      <formula>AND(ISBLANK(AT63),ISNONTEXT(AS64),TODAY()&lt;AS64,TODAY()&gt;=AS64-7)</formula>
    </cfRule>
    <cfRule type="expression" dxfId="52" priority="63">
      <formula>AND(ISBLANK(AT63),ISNONTEXT(AS64),TODAY()&gt;=AS64)</formula>
    </cfRule>
  </conditionalFormatting>
  <conditionalFormatting sqref="AT67">
    <cfRule type="expression" dxfId="51" priority="16">
      <formula>AND(ISBLANK(AT67),ISNONTEXT(AS68),TODAY()&lt;AS68-7)</formula>
    </cfRule>
    <cfRule type="expression" dxfId="50" priority="15">
      <formula>AND(ISBLANK(AT67),ISNONTEXT(AS68),TODAY()&lt;AS68,TODAY()&gt;=AS68-7)</formula>
    </cfRule>
    <cfRule type="expression" dxfId="49" priority="14">
      <formula>AND(ISBLANK(AT67),ISNONTEXT(AS68),TODAY()&gt;=AS68)</formula>
    </cfRule>
  </conditionalFormatting>
  <conditionalFormatting sqref="AX9 AL9:AL62 AP9:AP62 AT9:AT62 AG9:AG132 AX10:AY62 BF53:BJ53 BE56:BJ56 BE59:BJ59 AY64 AL65:AL66 AP65:AP66 AT65:AT66 AY67:AY76 AP69:AP76 AX77:AY84 AL69:AL132 AP81:AP132 AT69:AT132 AX81:AX132">
    <cfRule type="expression" dxfId="48" priority="93">
      <formula>AND(ISBLANK(AG9),ISNONTEXT(AF9),TODAY()&lt;AF9,TODAY()&gt;=AF9-7)</formula>
    </cfRule>
    <cfRule type="expression" dxfId="47" priority="92">
      <formula>AND(ISBLANK(AG9),ISNONTEXT(AF9),TODAY()&gt;=AF9)</formula>
    </cfRule>
    <cfRule type="expression" dxfId="46" priority="94">
      <formula>AND(ISBLANK(AG9),ISNONTEXT(AF9),TODAY()&lt;AF9-7)</formula>
    </cfRule>
  </conditionalFormatting>
  <conditionalFormatting sqref="AX63:AX64">
    <cfRule type="expression" dxfId="45" priority="12">
      <formula>AND(ISBLANK(AX63),ISNONTEXT(AW64),TODAY()&lt;AW64,TODAY()&gt;=AW64-7)</formula>
    </cfRule>
    <cfRule type="expression" dxfId="44" priority="13">
      <formula>AND(ISBLANK(AX63),ISNONTEXT(AW64),TODAY()&lt;AW64-7)</formula>
    </cfRule>
    <cfRule type="expression" dxfId="43" priority="11">
      <formula>AND(ISBLANK(AX63),ISNONTEXT(AW64),TODAY()&gt;=AW64)</formula>
    </cfRule>
  </conditionalFormatting>
  <conditionalFormatting sqref="AX67">
    <cfRule type="expression" dxfId="42" priority="8">
      <formula>AND(ISBLANK(AX67),ISNONTEXT(AW68),TODAY()&gt;=AW68)</formula>
    </cfRule>
    <cfRule type="expression" dxfId="41" priority="10">
      <formula>AND(ISBLANK(AX67),ISNONTEXT(AW68),TODAY()&lt;AW68-7)</formula>
    </cfRule>
    <cfRule type="expression" dxfId="40" priority="9">
      <formula>AND(ISBLANK(AX67),ISNONTEXT(AW68),TODAY()&lt;AW68,TODAY()&gt;=AW68-7)</formula>
    </cfRule>
  </conditionalFormatting>
  <conditionalFormatting sqref="AX69:AX76">
    <cfRule type="expression" dxfId="39" priority="34">
      <formula>AND(ISBLANK(AX69),ISNONTEXT(AW68),TODAY()&lt;AW68-7)</formula>
    </cfRule>
    <cfRule type="expression" dxfId="38" priority="32">
      <formula>AND(ISBLANK(AX69),ISNONTEXT(AW68),TODAY()&gt;=AW68)</formula>
    </cfRule>
    <cfRule type="expression" dxfId="37" priority="33">
      <formula>AND(ISBLANK(AX69),ISNONTEXT(AW68),TODAY()&lt;AW68,TODAY()&gt;=AW68-7)</formula>
    </cfRule>
  </conditionalFormatting>
  <conditionalFormatting sqref="AX65:AY66">
    <cfRule type="expression" dxfId="36" priority="54">
      <formula>AND(ISBLANK(AX65),ISNONTEXT(AK65),TODAY()&lt;AK65,TODAY()&gt;=AK65-7)</formula>
    </cfRule>
    <cfRule type="expression" dxfId="35" priority="55">
      <formula>AND(ISBLANK(AX65),ISNONTEXT(AK65),TODAY()&lt;AK65-7)</formula>
    </cfRule>
    <cfRule type="expression" dxfId="34" priority="53">
      <formula>AND(ISBLANK(AX65),ISNONTEXT(AK65),TODAY()&gt;=AK65)</formula>
    </cfRule>
  </conditionalFormatting>
  <conditionalFormatting sqref="AY63">
    <cfRule type="expression" dxfId="33" priority="62">
      <formula>AND(ISBLANK(AY63),ISNONTEXT(AX64),TODAY()&lt;AX64-7)</formula>
    </cfRule>
    <cfRule type="expression" dxfId="32" priority="60">
      <formula>AND(ISBLANK(AY63),ISNONTEXT(AX64),TODAY()&gt;=AX64)</formula>
    </cfRule>
    <cfRule type="expression" dxfId="31" priority="61">
      <formula>AND(ISBLANK(AY63),ISNONTEXT(AX64),TODAY()&lt;AX64,TODAY()&gt;=AX64-7)</formula>
    </cfRule>
  </conditionalFormatting>
  <conditionalFormatting sqref="BE53">
    <cfRule type="expression" dxfId="30" priority="40">
      <formula>AND(ISBLANK(BE53),ISNONTEXT(BD53),TODAY()&lt;BD53-7)</formula>
    </cfRule>
    <cfRule type="expression" dxfId="29" priority="39">
      <formula>AND(ISBLANK(BE53),ISNONTEXT(BD53),TODAY()&lt;BD53,TODAY()&gt;=BD53-7)</formula>
    </cfRule>
    <cfRule type="expression" dxfId="28" priority="38">
      <formula>AND(ISBLANK(BE53),ISNONTEXT(BD53),TODAY()&gt;=BD53)</formula>
    </cfRule>
  </conditionalFormatting>
  <conditionalFormatting sqref="BE65:BE66">
    <cfRule type="expression" dxfId="27" priority="49">
      <formula>AND(ISBLANK(BE65),ISNONTEXT(AS65),TODAY()&lt;AS65-7)</formula>
    </cfRule>
    <cfRule type="expression" dxfId="26" priority="48">
      <formula>AND(ISBLANK(BE65),ISNONTEXT(AS65),TODAY()&lt;AS65,TODAY()&gt;=AS65-7)</formula>
    </cfRule>
    <cfRule type="expression" dxfId="25" priority="47">
      <formula>AND(ISBLANK(BE65),ISNONTEXT(AS65),TODAY()&gt;=AS65)</formula>
    </cfRule>
  </conditionalFormatting>
  <conditionalFormatting sqref="BF64">
    <cfRule type="expression" dxfId="24" priority="57">
      <formula>AND(ISBLANK(BF64),ISNONTEXT(BE65),TODAY()&gt;=BE65)</formula>
    </cfRule>
    <cfRule type="expression" dxfId="23" priority="58">
      <formula>AND(ISBLANK(BF64),ISNONTEXT(BE65),TODAY()&lt;BE65,TODAY()&gt;=BE65-7)</formula>
    </cfRule>
    <cfRule type="expression" dxfId="22" priority="59">
      <formula>AND(ISBLANK(BF64),ISNONTEXT(BE65),TODAY()&lt;BE65-7)</formula>
    </cfRule>
  </conditionalFormatting>
  <conditionalFormatting sqref="BG65:BG66">
    <cfRule type="expression" dxfId="21" priority="52">
      <formula>AND(ISBLANK(BG65),ISNONTEXT(AU65),TODAY()&lt;AU65-7)</formula>
    </cfRule>
    <cfRule type="expression" dxfId="20" priority="51">
      <formula>AND(ISBLANK(BG65),ISNONTEXT(AU65),TODAY()&lt;AU65,TODAY()&gt;=AU65-7)</formula>
    </cfRule>
    <cfRule type="expression" dxfId="19" priority="50">
      <formula>AND(ISBLANK(BG65),ISNONTEXT(AU65),TODAY()&gt;=AU65)</formula>
    </cfRule>
  </conditionalFormatting>
  <conditionalFormatting sqref="BH65:BJ66">
    <cfRule type="expression" dxfId="18" priority="4">
      <formula>AND(ISBLANK(BH65),ISNONTEXT(BG65),TODAY()&lt;BG65-7)</formula>
    </cfRule>
    <cfRule type="expression" dxfId="17" priority="3">
      <formula>AND(ISBLANK(BH65),ISNONTEXT(BG65),TODAY()&lt;BG65,TODAY()&gt;=BG65-7)</formula>
    </cfRule>
    <cfRule type="expression" dxfId="16" priority="2">
      <formula>AND(ISBLANK(BH65),ISNONTEXT(BG65),TODAY()&gt;=BG65)</formula>
    </cfRule>
  </conditionalFormatting>
  <conditionalFormatting sqref="BK53 BK56 BK59">
    <cfRule type="expression" dxfId="15" priority="128">
      <formula>AND(ISBLANK(BK53),ISNONTEXT(BG53),TODAY()&lt;BG53-7)</formula>
    </cfRule>
    <cfRule type="expression" dxfId="14" priority="126">
      <formula>AND(ISBLANK(BK53),ISNONTEXT(BG53),TODAY()&gt;=BG53)</formula>
    </cfRule>
    <cfRule type="expression" dxfId="13" priority="127">
      <formula>AND(ISBLANK(BK53),ISNONTEXT(BG53),TODAY()&lt;BG53,TODAY()&gt;=BG53-7)</formula>
    </cfRule>
  </conditionalFormatting>
  <conditionalFormatting sqref="BK65:BK66">
    <cfRule type="expression" dxfId="12" priority="109">
      <formula>AND(ISBLANK(BK65),ISNONTEXT(AW65),TODAY()&gt;=AW65)</formula>
    </cfRule>
    <cfRule type="expression" dxfId="11" priority="110">
      <formula>AND(ISBLANK(BK65),ISNONTEXT(AW65),TODAY()&lt;AW65,TODAY()&gt;=AW65-7)</formula>
    </cfRule>
    <cfRule type="expression" dxfId="10" priority="111">
      <formula>AND(ISBLANK(BK65),ISNONTEXT(AW65),TODAY()&lt;AW65-7)</formula>
    </cfRule>
  </conditionalFormatting>
  <dataValidations count="2">
    <dataValidation allowBlank="1" showInputMessage="1" showErrorMessage="1" sqref="P8:Q8" xr:uid="{C53E0543-6566-414B-A975-5ED331C571DE}"/>
    <dataValidation allowBlank="1" showInputMessage="1" sqref="C9:C132" xr:uid="{4ADC558F-608C-4946-BB45-FFB2931D2F95}"/>
  </dataValidations>
  <pageMargins left="0.25" right="0.25" top="0.75" bottom="0.75" header="0.3" footer="0.3"/>
  <pageSetup paperSize="9" scale="23" orientation="landscape" r:id="rId1"/>
  <ignoredErrors>
    <ignoredError sqref="O8" listDataValidation="1"/>
    <ignoredError sqref="M9" unlockedFormula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F1E2193D-FBD0-4B63-B009-C8B081B8309C}">
          <x14:formula1>
            <xm:f>paramètre!$A$1:$A$3</xm:f>
          </x14:formula1>
          <xm:sqref>O8</xm:sqref>
        </x14:dataValidation>
        <x14:dataValidation type="list" allowBlank="1" showInputMessage="1" showErrorMessage="1" xr:uid="{74BFAFA5-BBCE-4E91-A34F-97144D208855}">
          <x14:formula1>
            <xm:f>paramètre!$L:$L</xm:f>
          </x14:formula1>
          <xm:sqref>N10:N42</xm:sqref>
        </x14:dataValidation>
        <x14:dataValidation type="list" allowBlank="1" showInputMessage="1" xr:uid="{2A034B0D-44DF-454F-8BA4-331AADD9AC63}">
          <x14:formula1>
            <xm:f>paramètre!$I:$I</xm:f>
          </x14:formula1>
          <xm:sqref>B9:B132</xm:sqref>
        </x14:dataValidation>
        <x14:dataValidation type="list" allowBlank="1" showInputMessage="1" showErrorMessage="1" xr:uid="{2A2A7EF5-C1DF-4E09-88B5-4128EC986552}">
          <x14:formula1>
            <xm:f>paramètre!$A$1:$A$2</xm:f>
          </x14:formula1>
          <xm:sqref>O9:Q132 I9:L132</xm:sqref>
        </x14:dataValidation>
        <x14:dataValidation type="list" allowBlank="1" showInputMessage="1" promptTitle="Rédacteur" xr:uid="{4044ACB1-C5E7-4047-9812-CEFEA5264619}">
          <x14:formula1>
            <xm:f>paramètre!$F$2:$F$10</xm:f>
          </x14:formula1>
          <xm:sqref>AD9:AD132</xm:sqref>
        </x14:dataValidation>
        <x14:dataValidation type="list" allowBlank="1" showInputMessage="1" xr:uid="{2A31A6BA-DD05-4E5A-AE23-BEB88F9DC05B}">
          <x14:formula1>
            <xm:f>paramètre!$F:$F</xm:f>
          </x14:formula1>
          <xm:sqref>AJ9:AJ132</xm:sqref>
        </x14:dataValidation>
        <x14:dataValidation type="list" allowBlank="1" showInputMessage="1" showErrorMessage="1" xr:uid="{8F6B6B68-1361-4EFD-9249-DF327F46DC34}">
          <x14:formula1>
            <xm:f>paramètre!$Q$2:$Q$3</xm:f>
          </x14:formula1>
          <xm:sqref>BI10:BI105</xm:sqref>
        </x14:dataValidation>
        <x14:dataValidation type="list" allowBlank="1" showInputMessage="1" showErrorMessage="1" xr:uid="{8E157AB7-7863-496A-A912-1C8F1F63E5CE}">
          <x14:formula1>
            <xm:f>paramètre!$S$1</xm:f>
          </x14:formula1>
          <xm:sqref>AG10:AG132 AL10:AL132 AP10:AP132 AT10:AT132 AX10:AX132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75B2-BF57-4C1B-BDD4-D501AE5D7CD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S14"/>
  <sheetViews>
    <sheetView showGridLines="0" zoomScaleNormal="100" workbookViewId="0">
      <selection activeCell="F2" sqref="F2"/>
    </sheetView>
  </sheetViews>
  <sheetFormatPr baseColWidth="10" defaultColWidth="11.42578125" defaultRowHeight="15" x14ac:dyDescent="0.25"/>
  <cols>
    <col min="2" max="2" width="4.140625" style="1" customWidth="1"/>
    <col min="3" max="3" width="27.7109375" style="1" bestFit="1" customWidth="1"/>
    <col min="6" max="6" width="20" style="1" customWidth="1"/>
    <col min="7" max="7" width="57.7109375" style="1" customWidth="1"/>
    <col min="8" max="8" width="19" customWidth="1"/>
    <col min="9" max="9" width="17.85546875" style="4" customWidth="1"/>
    <col min="10" max="10" width="63.42578125" style="1" customWidth="1"/>
    <col min="12" max="12" width="16.5703125" customWidth="1"/>
    <col min="14" max="14" width="26.5703125" bestFit="1" customWidth="1"/>
  </cols>
  <sheetData>
    <row r="1" spans="1:19" s="4" customFormat="1" x14ac:dyDescent="0.25">
      <c r="C1" s="8" t="s">
        <v>119</v>
      </c>
      <c r="D1" s="9">
        <v>28</v>
      </c>
      <c r="F1" s="10" t="s">
        <v>120</v>
      </c>
      <c r="G1" s="18" t="s">
        <v>121</v>
      </c>
      <c r="I1" s="19" t="s">
        <v>15</v>
      </c>
      <c r="J1" s="19" t="s">
        <v>122</v>
      </c>
      <c r="L1" s="19" t="s">
        <v>27</v>
      </c>
      <c r="N1" s="19"/>
      <c r="O1" s="19"/>
      <c r="Q1" s="298" t="s">
        <v>123</v>
      </c>
      <c r="S1" s="321">
        <f ca="1">TODAY()</f>
        <v>45771</v>
      </c>
    </row>
    <row r="2" spans="1:19" x14ac:dyDescent="0.25">
      <c r="A2" t="s">
        <v>85</v>
      </c>
      <c r="C2" s="6" t="s">
        <v>124</v>
      </c>
      <c r="D2" s="7">
        <v>21</v>
      </c>
      <c r="F2" s="11" t="s">
        <v>143</v>
      </c>
      <c r="G2" s="12"/>
      <c r="I2" s="11" t="s">
        <v>144</v>
      </c>
      <c r="J2" s="12"/>
      <c r="L2" s="11" t="s">
        <v>81</v>
      </c>
      <c r="N2" s="8"/>
      <c r="O2" s="9"/>
      <c r="Q2" s="8" t="s">
        <v>125</v>
      </c>
    </row>
    <row r="3" spans="1:19" x14ac:dyDescent="0.25">
      <c r="C3" s="6" t="s">
        <v>126</v>
      </c>
      <c r="D3" s="7">
        <v>21</v>
      </c>
      <c r="F3" s="11" t="s">
        <v>155</v>
      </c>
      <c r="G3" s="12"/>
      <c r="I3" s="11" t="s">
        <v>145</v>
      </c>
      <c r="J3" s="12"/>
      <c r="L3" s="11" t="s">
        <v>80</v>
      </c>
      <c r="N3" s="6"/>
      <c r="O3" s="7"/>
      <c r="Q3" s="8" t="s">
        <v>127</v>
      </c>
    </row>
    <row r="4" spans="1:19" x14ac:dyDescent="0.25">
      <c r="C4" s="6" t="s">
        <v>128</v>
      </c>
      <c r="D4" s="7">
        <v>14</v>
      </c>
      <c r="F4" s="11" t="s">
        <v>156</v>
      </c>
      <c r="G4" s="12"/>
      <c r="I4" s="11" t="s">
        <v>146</v>
      </c>
      <c r="J4" s="12"/>
      <c r="L4" s="11" t="s">
        <v>92</v>
      </c>
      <c r="N4" s="6"/>
      <c r="O4" s="7"/>
    </row>
    <row r="5" spans="1:19" x14ac:dyDescent="0.25">
      <c r="C5" s="6" t="s">
        <v>129</v>
      </c>
      <c r="D5" s="7">
        <v>14</v>
      </c>
      <c r="F5" s="11" t="s">
        <v>157</v>
      </c>
      <c r="G5" s="12"/>
      <c r="I5" s="11" t="s">
        <v>147</v>
      </c>
      <c r="J5" s="12"/>
      <c r="N5" s="6"/>
      <c r="O5" s="7"/>
    </row>
    <row r="6" spans="1:19" x14ac:dyDescent="0.25">
      <c r="F6" s="11" t="s">
        <v>158</v>
      </c>
      <c r="G6" s="12"/>
      <c r="I6" s="11" t="s">
        <v>148</v>
      </c>
      <c r="J6" s="12"/>
      <c r="N6" s="6"/>
      <c r="O6" s="7"/>
    </row>
    <row r="7" spans="1:19" x14ac:dyDescent="0.25">
      <c r="F7" s="11" t="s">
        <v>159</v>
      </c>
      <c r="G7" s="12"/>
      <c r="I7" s="11" t="s">
        <v>149</v>
      </c>
      <c r="J7" s="12"/>
    </row>
    <row r="8" spans="1:19" x14ac:dyDescent="0.25">
      <c r="F8" s="11" t="s">
        <v>160</v>
      </c>
      <c r="G8" s="12"/>
      <c r="I8" s="11" t="s">
        <v>150</v>
      </c>
      <c r="J8" s="12"/>
    </row>
    <row r="9" spans="1:19" x14ac:dyDescent="0.25">
      <c r="F9" s="11" t="s">
        <v>161</v>
      </c>
      <c r="G9" s="12"/>
      <c r="I9" s="11" t="s">
        <v>151</v>
      </c>
      <c r="J9" s="12"/>
    </row>
    <row r="10" spans="1:19" x14ac:dyDescent="0.25">
      <c r="F10" s="11" t="s">
        <v>162</v>
      </c>
      <c r="G10" s="12"/>
      <c r="I10" s="11" t="s">
        <v>152</v>
      </c>
      <c r="J10" s="12"/>
    </row>
    <row r="11" spans="1:19" x14ac:dyDescent="0.25">
      <c r="F11" s="11" t="s">
        <v>163</v>
      </c>
      <c r="G11" s="12"/>
      <c r="I11" s="11" t="s">
        <v>153</v>
      </c>
      <c r="J11" s="12"/>
    </row>
    <row r="12" spans="1:19" x14ac:dyDescent="0.25">
      <c r="F12" s="11" t="s">
        <v>164</v>
      </c>
      <c r="G12" s="15"/>
      <c r="I12" s="11" t="s">
        <v>154</v>
      </c>
      <c r="J12" s="12"/>
    </row>
    <row r="13" spans="1:19" x14ac:dyDescent="0.25">
      <c r="F13" s="11" t="s">
        <v>165</v>
      </c>
      <c r="G13" s="17"/>
    </row>
    <row r="14" spans="1:19" x14ac:dyDescent="0.25">
      <c r="F14" s="11" t="s">
        <v>166</v>
      </c>
      <c r="G14" s="16"/>
    </row>
  </sheetData>
  <sortState xmlns:xlrd2="http://schemas.microsoft.com/office/spreadsheetml/2017/richdata2" ref="I2:J11">
    <sortCondition ref="I2:I11"/>
  </sortState>
  <phoneticPr fontId="5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9A621-9741-425F-875F-7E2A39851A88}">
  <sheetPr>
    <pageSetUpPr fitToPage="1"/>
  </sheetPr>
  <dimension ref="A1:AY518"/>
  <sheetViews>
    <sheetView showGridLines="0" zoomScale="115" zoomScaleNormal="115" workbookViewId="0">
      <pane ySplit="8" topLeftCell="A9" activePane="bottomLeft" state="frozen"/>
      <selection pane="bottomLeft" activeCell="G9" sqref="G9"/>
    </sheetView>
  </sheetViews>
  <sheetFormatPr baseColWidth="10" defaultColWidth="11.5703125" defaultRowHeight="15" customHeight="1" x14ac:dyDescent="0.25"/>
  <cols>
    <col min="1" max="1" width="11.140625" style="2" customWidth="1"/>
    <col min="2" max="2" width="15.42578125" style="2" customWidth="1"/>
    <col min="3" max="3" width="14" style="2" customWidth="1"/>
    <col min="4" max="4" width="15.28515625" style="4" bestFit="1" customWidth="1"/>
    <col min="5" max="5" width="50.140625" style="2" customWidth="1"/>
    <col min="6" max="6" width="74.5703125" style="2" hidden="1" customWidth="1"/>
    <col min="7" max="7" width="75.5703125" style="4" customWidth="1"/>
    <col min="8" max="8" width="10.5703125" style="2" customWidth="1"/>
    <col min="9" max="9" width="6.5703125" style="2" customWidth="1"/>
    <col min="10" max="10" width="8.5703125" style="2" customWidth="1"/>
    <col min="11" max="11" width="6.85546875" style="2" customWidth="1"/>
    <col min="12" max="12" width="11.85546875" style="2" hidden="1" customWidth="1"/>
    <col min="13" max="13" width="7.7109375" style="2" bestFit="1" customWidth="1"/>
    <col min="14" max="14" width="11.85546875" style="2" customWidth="1"/>
    <col min="15" max="16" width="7.7109375" style="2" bestFit="1" customWidth="1"/>
    <col min="17" max="18" width="11.85546875" style="2" customWidth="1"/>
    <col min="19" max="25" width="11.85546875" style="2" hidden="1" customWidth="1"/>
    <col min="26" max="26" width="16.5703125" style="2" customWidth="1"/>
    <col min="27" max="27" width="11.5703125" style="2" customWidth="1"/>
    <col min="28" max="28" width="9.5703125" style="2" customWidth="1"/>
    <col min="29" max="29" width="12.5703125" style="4" customWidth="1"/>
    <col min="30" max="30" width="11.5703125" style="2" customWidth="1"/>
    <col min="31" max="31" width="12.5703125" style="2" customWidth="1"/>
    <col min="32" max="32" width="11.5703125" style="2" customWidth="1"/>
    <col min="33" max="33" width="11.5703125" style="4" customWidth="1"/>
    <col min="34" max="34" width="11.5703125" style="2" customWidth="1"/>
    <col min="35" max="35" width="12.5703125" style="2" customWidth="1"/>
    <col min="36" max="36" width="11.5703125" style="4" customWidth="1"/>
    <col min="37" max="37" width="11.5703125" style="2" customWidth="1"/>
    <col min="38" max="38" width="12.5703125" style="2" customWidth="1"/>
    <col min="39" max="39" width="11.5703125" style="4" customWidth="1"/>
    <col min="40" max="40" width="11.5703125" style="2" customWidth="1"/>
    <col min="41" max="41" width="12.5703125" style="2" customWidth="1"/>
    <col min="42" max="42" width="11.5703125" style="4" customWidth="1"/>
    <col min="43" max="43" width="11.5703125" style="2" customWidth="1"/>
    <col min="44" max="48" width="12.5703125" style="2" customWidth="1"/>
    <col min="49" max="49" width="11.5703125" style="3" customWidth="1"/>
    <col min="50" max="50" width="42.42578125" style="2" bestFit="1" customWidth="1"/>
    <col min="51" max="16384" width="11.5703125" style="2"/>
  </cols>
  <sheetData>
    <row r="1" spans="1:51" s="4" customFormat="1" x14ac:dyDescent="0.25">
      <c r="A1" s="117"/>
      <c r="B1" s="118"/>
      <c r="C1" s="118"/>
      <c r="D1" s="119" t="s">
        <v>5</v>
      </c>
      <c r="E1" s="120"/>
      <c r="F1" s="125"/>
      <c r="G1" s="121" t="s">
        <v>6</v>
      </c>
      <c r="H1" s="348" t="s">
        <v>7</v>
      </c>
      <c r="I1" s="348"/>
      <c r="J1" s="348"/>
      <c r="K1" s="349"/>
      <c r="L1" s="350"/>
      <c r="M1" s="351"/>
      <c r="N1" s="348"/>
      <c r="O1" s="352"/>
      <c r="P1" s="352"/>
      <c r="Q1" s="349"/>
      <c r="AA1" s="322" t="s">
        <v>130</v>
      </c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  <c r="AV1" s="323"/>
      <c r="AW1" s="323"/>
      <c r="AX1" s="328"/>
    </row>
    <row r="2" spans="1:51" s="4" customFormat="1" x14ac:dyDescent="0.25">
      <c r="A2" s="380" t="str">
        <f>$H$8</f>
        <v>CATENAIRE</v>
      </c>
      <c r="B2" s="334"/>
      <c r="C2" s="381"/>
      <c r="D2" s="382" cm="1">
        <f t="array" aca="1" ref="D2" ca="1">SUMPRODUCT((Tableau14[Date de fin de rédaction]="")*(TODAY()&lt;Tableau14[Date limite de fin de rédaction]-7)*(Tableau14[CATENAIRE]&lt;&gt;"")*1)
+SUMPRODUCT((Tableau14[Date de fin de vérification]="")*(TODAY()&lt;Tableau14[Date limite de fin de vérification]-7)*(Tableau14[CATENAIRE]&lt;&gt;"")*1)
+SUMPRODUCT((Tableau14[Date d''envoi à  l''exploitation
(Mettre en copier le demandeur et le rédacteur)]="")*(TODAY()&lt;Tableau14[Date limite d''envoi a  l''exploitation]-7)*(Tableau14[CATENAIRE]&lt;&gt;"")*1)
+SUMPRODUCT((Tableau14[Date de réception]="")*(TODAY()&lt;Tableau14[Date limite de réception]-7)*(Tableau14[CATENAIRE]&lt;&gt;"")*1)
+SUMPRODUCT((Tableau14[Date de dépose sur la GED]="")*(TODAY()&lt;Tableau14[Date limite limite de dépose sur la GED]-7)*(Tableau14[CATENAIRE]&lt;&gt;"")*1)</f>
        <v>0</v>
      </c>
      <c r="E2" s="354"/>
      <c r="F2" s="355"/>
      <c r="G2" s="122" cm="1">
        <f t="array" aca="1" ref="G2" ca="1">SUMPRODUCT((Tableau14[Date de fin de rédaction]="")*(TODAY()&gt;=Tableau14[Date limite de fin de rédaction]-7)*(TODAY()&lt;Tableau14[Date limite de fin de rédaction])*(Tableau14[CATENAIRE]&lt;&gt;"")*1)
+SUMPRODUCT((Tableau14[Date de fin de vérification]="")*(TODAY()&gt;=Tableau14[Date limite de fin de vérification]-7)*(TODAY()&lt;Tableau14[Date limite de fin de vérification])*(Tableau14[CATENAIRE]&lt;&gt;"")*1)
+SUMPRODUCT((Tableau14[Date d''envoi à  l''exploitation
(Mettre en copier le demandeur et le rédacteur)]="")*(TODAY()&gt;=Tableau14[Date limite d''envoi a  l''exploitation]-7)*(TODAY()&lt;Tableau14[Date limite d''envoi a  l''exploitation])*(Tableau14[CATENAIRE]&lt;&gt;"")*1)
+SUMPRODUCT((Tableau14[Date de réception]="")*(TODAY()&gt;=Tableau14[Date limite de réception]-7)*(TODAY()&lt;Tableau14[Date limite de réception])*(Tableau14[CATENAIRE]&lt;&gt;"")*1)
+SUMPRODUCT((Tableau14[Date de dépose sur la GED]="")*(TODAY()&gt;=Tableau14[Date limite limite de dépose sur la GED]-7)*(TODAY()&lt;Tableau14[Date limite limite de dépose sur la GED])*(Tableau14[CATENAIRE]&lt;&gt;"")*1)</f>
        <v>0</v>
      </c>
      <c r="H2" s="353" cm="1">
        <f t="array" aca="1" ref="H2" ca="1">SUMPRODUCT((Tableau14[Date de fin de rédaction]="")*(TODAY()&gt;=Tableau14[Date limite de fin de rédaction])*(Tableau14[CATENAIRE]&lt;&gt;"")*1)
+SUMPRODUCT((Tableau14[Date de fin de vérification]="")*(TODAY()&gt;=Tableau14[Date limite de fin de vérification])*(Tableau14[CATENAIRE]&lt;&gt;"")*1)
+SUMPRODUCT((Tableau14[Date d''envoi à  l''exploitation
(Mettre en copier le demandeur et le rédacteur)]="")*(TODAY()&gt;=Tableau14[Date limite d''envoi a  l''exploitation])*(Tableau14[CATENAIRE]&lt;&gt;"")*1)
+SUMPRODUCT((Tableau14[Date de réception]="")*(TODAY()&gt;=Tableau14[Date limite de réception])*(Tableau14[CATENAIRE]&lt;&gt;"")*1)
+SUMPRODUCT((Tableau14[Date de dépose sur la GED]="")*(TODAY()&gt;=Tableau14[Date limite limite de dépose sur la GED])*(Tableau14[CATENAIRE]&lt;&gt;"")*1)</f>
        <v>0</v>
      </c>
      <c r="I2" s="353"/>
      <c r="J2" s="353"/>
      <c r="K2" s="354"/>
      <c r="L2" s="355"/>
      <c r="M2" s="356"/>
      <c r="N2" s="353"/>
      <c r="O2" s="357"/>
      <c r="P2" s="357"/>
      <c r="Q2" s="354"/>
      <c r="AA2" s="324"/>
      <c r="AB2" s="325"/>
      <c r="AC2" s="325"/>
      <c r="AD2" s="325"/>
      <c r="AE2" s="325"/>
      <c r="AF2" s="325"/>
      <c r="AG2" s="325"/>
      <c r="AH2" s="325"/>
      <c r="AI2" s="325"/>
      <c r="AJ2" s="325"/>
      <c r="AK2" s="325"/>
      <c r="AL2" s="325"/>
      <c r="AM2" s="325"/>
      <c r="AN2" s="325"/>
      <c r="AO2" s="325"/>
      <c r="AP2" s="325"/>
      <c r="AQ2" s="325"/>
      <c r="AR2" s="325"/>
      <c r="AS2" s="325"/>
      <c r="AT2" s="325"/>
      <c r="AU2" s="325"/>
      <c r="AV2" s="325"/>
      <c r="AW2" s="325"/>
      <c r="AX2" s="329"/>
    </row>
    <row r="3" spans="1:51" s="4" customFormat="1" x14ac:dyDescent="0.25">
      <c r="A3" s="383" t="str">
        <f>$I$8</f>
        <v>EALE</v>
      </c>
      <c r="B3" s="337"/>
      <c r="C3" s="384"/>
      <c r="D3" s="385" cm="1">
        <f t="array" aca="1" ref="D3" ca="1">SUMPRODUCT((Tableau14[Date de fin de rédaction]="")*(TODAY()&lt;Tableau14[Date limite de fin de rédaction]-7)*(Tableau14[EALE]&lt;&gt;"")*1)
+SUMPRODUCT((Tableau14[Date de fin de vérification]="")*(TODAY()&lt;Tableau14[Date limite de fin de vérification]-7)*(Tableau14[EALE]&lt;&gt;"")*1)
+SUMPRODUCT((Tableau14[Date d''envoi à  l''exploitation
(Mettre en copier le demandeur et le rédacteur)]="")*(TODAY()&lt;Tableau14[Date limite d''envoi a  l''exploitation]-7)*(Tableau14[EALE]&lt;&gt;"")*1)
+SUMPRODUCT((Tableau14[Date de réception]="")*(TODAY()&lt;Tableau14[Date limite de réception]-7)*(Tableau14[EALE]&lt;&gt;"")*1)
+SUMPRODUCT((Tableau14[Date de dépose sur la GED]="")*(TODAY()&lt;Tableau14[Date limite limite de dépose sur la GED]-7)*(Tableau14[EALE]&lt;&gt;"")*1)</f>
        <v>0</v>
      </c>
      <c r="E3" s="360"/>
      <c r="F3" s="362"/>
      <c r="G3" s="123" cm="1">
        <f t="array" aca="1" ref="G3" ca="1">SUMPRODUCT((Tableau14[Date de fin de rédaction]="")*(TODAY()&gt;=Tableau14[Date limite de fin de rédaction]-7)*(TODAY()&lt;Tableau14[Date limite de fin de rédaction])*(Tableau14[EALE]&lt;&gt;"")*1)
+SUMPRODUCT((Tableau14[Date de fin de vérification]="")*(TODAY()&gt;=Tableau14[Date limite de fin de vérification]-7)*(TODAY()&lt;Tableau14[Date limite de fin de vérification])*(Tableau14[EALE]&lt;&gt;"")*1)
+SUMPRODUCT((Tableau14[Date d''envoi à  l''exploitation
(Mettre en copier le demandeur et le rédacteur)]="")*(TODAY()&gt;=Tableau14[Date limite d''envoi a  l''exploitation]-7)*(TODAY()&lt;Tableau14[Date limite d''envoi a  l''exploitation])*(Tableau14[EALE]&lt;&gt;"")*1)
+SUMPRODUCT((Tableau14[Date de réception]="")*(TODAY()&gt;=Tableau14[Date limite de réception]-7)*(TODAY()&lt;Tableau14[Date limite de réception])*(Tableau14[EALE]&lt;&gt;"")*1)
+SUMPRODUCT((Tableau14[Date de dépose sur la GED]="")*(TODAY()&gt;=Tableau14[Date limite limite de dépose sur la GED]-7)*(TODAY()&lt;Tableau14[Date limite limite de dépose sur la GED])*(Tableau14[EALE]&lt;&gt;"")*1)</f>
        <v>0</v>
      </c>
      <c r="H3" s="370" cm="1">
        <f t="array" aca="1" ref="H3" ca="1">SUMPRODUCT((Tableau14[Date de fin de rédaction]="")*(TODAY()&gt;=Tableau14[Date limite de fin de rédaction])*(Tableau14[EALE]&lt;&gt;"")*1)
+SUMPRODUCT((Tableau14[Date de fin de vérification]="")*(TODAY()&gt;=Tableau14[Date limite de fin de vérification])*(Tableau14[EALE]&lt;&gt;"")*1)
+SUMPRODUCT((Tableau14[Date d''envoi à  l''exploitation
(Mettre en copier le demandeur et le rédacteur)]="")*(TODAY()&gt;=Tableau14[Date limite d''envoi a  l''exploitation])*(Tableau14[EALE]&lt;&gt;"")*1)
+SUMPRODUCT((Tableau14[Date de réception]="")*(TODAY()&gt;=Tableau14[Date limite de réception])*(Tableau14[EALE]&lt;&gt;"")*1)
+SUMPRODUCT((Tableau14[Date de dépose sur la GED]="")*(TODAY()&gt;=Tableau14[Date limite limite de dépose sur la GED])*(Tableau14[EALE]&lt;&gt;"")*1)</f>
        <v>0</v>
      </c>
      <c r="I3" s="370"/>
      <c r="J3" s="370"/>
      <c r="K3" s="360"/>
      <c r="L3" s="362"/>
      <c r="M3" s="359"/>
      <c r="N3" s="370"/>
      <c r="O3" s="371"/>
      <c r="P3" s="371"/>
      <c r="Q3" s="360"/>
      <c r="AA3" s="324"/>
      <c r="AB3" s="325"/>
      <c r="AC3" s="325"/>
      <c r="AD3" s="325"/>
      <c r="AE3" s="325"/>
      <c r="AF3" s="325"/>
      <c r="AG3" s="325"/>
      <c r="AH3" s="325"/>
      <c r="AI3" s="325"/>
      <c r="AJ3" s="325"/>
      <c r="AK3" s="325"/>
      <c r="AL3" s="325"/>
      <c r="AM3" s="325"/>
      <c r="AN3" s="325"/>
      <c r="AO3" s="325"/>
      <c r="AP3" s="325"/>
      <c r="AQ3" s="325"/>
      <c r="AR3" s="325"/>
      <c r="AS3" s="325"/>
      <c r="AT3" s="325"/>
      <c r="AU3" s="325"/>
      <c r="AV3" s="325"/>
      <c r="AW3" s="325"/>
      <c r="AX3" s="329"/>
    </row>
    <row r="4" spans="1:51" s="4" customFormat="1" x14ac:dyDescent="0.25">
      <c r="A4" s="383" t="str">
        <f>$J$8</f>
        <v>SIG /TEL</v>
      </c>
      <c r="B4" s="337"/>
      <c r="C4" s="384"/>
      <c r="D4" s="385" cm="1">
        <f t="array" aca="1" ref="D4" ca="1">SUMPRODUCT((Tableau14[Date de fin de rédaction]="")*(TODAY()&lt;Tableau14[Date limite de fin de rédaction]-7)*(Tableau14[SIG /TEL]&lt;&gt;"")*1)
+SUMPRODUCT((Tableau14[Date de fin de vérification]="")*(TODAY()&lt;Tableau14[Date limite de fin de vérification]-7)*(Tableau14[SIG /TEL]&lt;&gt;"")*1)
+SUMPRODUCT((Tableau14[Date d''envoi à  l''exploitation
(Mettre en copier le demandeur et le rédacteur)]="")*(TODAY()&lt;Tableau14[Date limite d''envoi a  l''exploitation]-7)*(Tableau14[SIG /TEL]&lt;&gt;"")*1)
+SUMPRODUCT((Tableau14[Date de réception]="")*(TODAY()&lt;Tableau14[Date limite de réception]-7)*(Tableau14[SIG /TEL]&lt;&gt;"")*1)
+SUMPRODUCT((Tableau14[Date de dépose sur la GED]="")*(TODAY()&lt;Tableau14[Date limite limite de dépose sur la GED]-7)*(Tableau14[SIG /TEL]&lt;&gt;"")*1)</f>
        <v>0</v>
      </c>
      <c r="E4" s="360"/>
      <c r="F4" s="362"/>
      <c r="G4" s="123" cm="1">
        <f t="array" aca="1" ref="G4" ca="1">SUMPRODUCT((Tableau14[Date de fin de rédaction]="")*(TODAY()&gt;=Tableau14[Date limite de fin de rédaction]-7)*(TODAY()&lt;Tableau14[Date limite de fin de rédaction])*(Tableau14[SIG /TEL]&lt;&gt;"")*1)
+SUMPRODUCT((Tableau14[Date de fin de vérification]="")*(TODAY()&gt;=Tableau14[Date limite de fin de vérification]-7)*(TODAY()&lt;Tableau14[Date limite de fin de vérification])*(Tableau14[SIG /TEL]&lt;&gt;"")*1)
+SUMPRODUCT((Tableau14[Date d''envoi à  l''exploitation
(Mettre en copier le demandeur et le rédacteur)]="")*(TODAY()&gt;=Tableau14[Date limite d''envoi a  l''exploitation]-7)*(TODAY()&lt;Tableau14[Date limite d''envoi a  l''exploitation])*(Tableau14[SIG /TEL]&lt;&gt;"")*1)
+SUMPRODUCT((Tableau14[Date de réception]="")*(TODAY()&gt;=Tableau14[Date limite de réception]-7)*(TODAY()&lt;Tableau14[Date limite de réception])*(Tableau14[SIG /TEL]&lt;&gt;"")*1)
+SUMPRODUCT((Tableau14[Date de dépose sur la GED]="")*(TODAY()&gt;=Tableau14[Date limite limite de dépose sur la GED]-7)*(TODAY()&lt;Tableau14[Date limite limite de dépose sur la GED])*(Tableau14[SIG /TEL]&lt;&gt;"")*1)</f>
        <v>0</v>
      </c>
      <c r="H4" s="370" cm="1">
        <f t="array" aca="1" ref="H4" ca="1">SUMPRODUCT((Tableau14[Date de fin de rédaction]="")*(TODAY()&gt;=Tableau14[Date limite de fin de rédaction])*(Tableau14[SIG /TEL]&lt;&gt;"")*1)
+SUMPRODUCT((Tableau14[Date de fin de vérification]="")*(TODAY()&gt;=Tableau14[Date limite de fin de vérification])*(Tableau14[SIG /TEL]&lt;&gt;"")*1)
+SUMPRODUCT((Tableau14[Date d''envoi à  l''exploitation
(Mettre en copier le demandeur et le rédacteur)]="")*(TODAY()&gt;=Tableau14[Date limite d''envoi a  l''exploitation])*(Tableau14[SIG /TEL]&lt;&gt;"")*1)
+SUMPRODUCT((Tableau14[Date de réception]="")*(TODAY()&gt;=Tableau14[Date limite de réception])*(Tableau14[SIG /TEL]&lt;&gt;"")*1)
+SUMPRODUCT((Tableau14[Date de dépose sur la GED]="")*(TODAY()&gt;=Tableau14[Date limite limite de dépose sur la GED])*(Tableau14[SIG /TEL]&lt;&gt;"")*1)</f>
        <v>0</v>
      </c>
      <c r="I4" s="370"/>
      <c r="J4" s="370"/>
      <c r="K4" s="360"/>
      <c r="L4" s="362"/>
      <c r="M4" s="359"/>
      <c r="N4" s="370"/>
      <c r="O4" s="371"/>
      <c r="P4" s="371"/>
      <c r="Q4" s="360"/>
      <c r="AA4" s="324"/>
      <c r="AB4" s="325"/>
      <c r="AC4" s="325"/>
      <c r="AD4" s="325"/>
      <c r="AE4" s="325"/>
      <c r="AF4" s="325"/>
      <c r="AG4" s="325"/>
      <c r="AH4" s="325"/>
      <c r="AI4" s="325"/>
      <c r="AJ4" s="325"/>
      <c r="AK4" s="325"/>
      <c r="AL4" s="325"/>
      <c r="AM4" s="325"/>
      <c r="AN4" s="325"/>
      <c r="AO4" s="325"/>
      <c r="AP4" s="325"/>
      <c r="AQ4" s="325"/>
      <c r="AR4" s="325"/>
      <c r="AS4" s="325"/>
      <c r="AT4" s="325"/>
      <c r="AU4" s="325"/>
      <c r="AV4" s="325"/>
      <c r="AW4" s="325"/>
      <c r="AX4" s="329"/>
    </row>
    <row r="5" spans="1:51" s="4" customFormat="1" x14ac:dyDescent="0.25">
      <c r="A5" s="386" t="str">
        <f>$K$8</f>
        <v xml:space="preserve">VOIE </v>
      </c>
      <c r="B5" s="340"/>
      <c r="C5" s="387"/>
      <c r="D5" s="388" cm="1">
        <f t="array" aca="1" ref="D5" ca="1">SUMPRODUCT((Tableau14[Date de fin de rédaction]="")*(TODAY()&lt;Tableau14[Date limite de fin de rédaction]-7)*(Tableau14[[VOIE ]]&lt;&gt;"")*1)
+SUMPRODUCT((Tableau14[Date de fin de vérification]="")*(TODAY()&lt;Tableau14[Date limite de fin de vérification]-7)*(Tableau14[[VOIE ]]&lt;&gt;"")*1)
+SUMPRODUCT((Tableau14[Date d''envoi à  l''exploitation
(Mettre en copier le demandeur et le rédacteur)]="")*(TODAY()&lt;Tableau14[Date limite d''envoi a  l''exploitation]-7)*(Tableau14[[VOIE ]]&lt;&gt;"")*1)
+SUMPRODUCT((Tableau14[Date de réception]="")*(TODAY()&lt;Tableau14[Date limite de réception]-7)*(Tableau14[[VOIE ]]&lt;&gt;"")*1)
+SUMPRODUCT((Tableau14[Date de dépose sur la GED]="")*(TODAY()&lt;Tableau14[Date limite limite de dépose sur la GED]-7)*(Tableau14[[VOIE ]]&lt;&gt;"")*1)</f>
        <v>0</v>
      </c>
      <c r="E5" s="373"/>
      <c r="F5" s="366"/>
      <c r="G5" s="124" cm="1">
        <f t="array" aca="1" ref="G5" ca="1">SUMPRODUCT((Tableau14[Date de fin de rédaction]="")*(TODAY()&gt;=Tableau14[Date limite de fin de rédaction]-7)*(TODAY()&lt;Tableau14[Date limite de fin de rédaction])*(Tableau14[[VOIE ]]&lt;&gt;"")*1)
+SUMPRODUCT((Tableau14[Date de fin de vérification]="")*(TODAY()&gt;=Tableau14[Date limite de fin de vérification]-7)*(TODAY()&lt;Tableau14[Date limite de fin de vérification])*(Tableau14[[VOIE ]]&lt;&gt;"")*1)
+SUMPRODUCT((Tableau14[Date d''envoi à  l''exploitation
(Mettre en copier le demandeur et le rédacteur)]="")*(TODAY()&gt;=Tableau14[Date limite d''envoi a  l''exploitation]-7)*(TODAY()&lt;Tableau14[Date limite d''envoi a  l''exploitation])*(Tableau14[[VOIE ]]&lt;&gt;"")*1)
+SUMPRODUCT((Tableau14[Date de réception]="")*(TODAY()&gt;=Tableau14[Date limite de réception]-7)*(TODAY()&lt;Tableau14[Date limite de réception])*(Tableau14[[VOIE ]]&lt;&gt;"")*1)
+SUMPRODUCT((Tableau14[Date de dépose sur la GED]="")*(TODAY()&gt;=Tableau14[Date limite limite de dépose sur la GED]-7)*(TODAY()&lt;Tableau14[Date limite limite de dépose sur la GED])*(Tableau14[[VOIE ]]&lt;&gt;"")*1)</f>
        <v>0</v>
      </c>
      <c r="H5" s="372" cm="1">
        <f t="array" aca="1" ref="H5" ca="1">SUMPRODUCT((Tableau14[Date de fin de rédaction]="")*(TODAY()&gt;=Tableau14[Date limite de fin de rédaction])*(Tableau14[[VOIE ]]&lt;&gt;"")*1)
+SUMPRODUCT((Tableau14[Date de fin de vérification]="")*(TODAY()&gt;=Tableau14[Date limite de fin de vérification])*(Tableau14[[VOIE ]]&lt;&gt;"")*1)
+SUMPRODUCT((Tableau14[Date d''envoi à  l''exploitation
(Mettre en copier le demandeur et le rédacteur)]="")*(TODAY()&gt;=Tableau14[Date limite d''envoi a  l''exploitation])*(Tableau14[[VOIE ]]&lt;&gt;"")*1)
+SUMPRODUCT((Tableau14[Date de réception]="")*(TODAY()&gt;=Tableau14[Date limite de réception])*(Tableau14[[VOIE ]]&lt;&gt;"")*1)
+SUMPRODUCT((Tableau14[Date de dépose sur la GED]="")*(TODAY()&gt;=Tableau14[Date limite limite de dépose sur la GED])*(Tableau14[[VOIE ]]&lt;&gt;"")*1)</f>
        <v>0</v>
      </c>
      <c r="I5" s="372"/>
      <c r="J5" s="372"/>
      <c r="K5" s="373"/>
      <c r="L5" s="374"/>
      <c r="M5" s="375"/>
      <c r="N5" s="376"/>
      <c r="O5" s="377"/>
      <c r="P5" s="377"/>
      <c r="Q5" s="364"/>
      <c r="AA5" s="326"/>
      <c r="AB5" s="327"/>
      <c r="AC5" s="327"/>
      <c r="AD5" s="327"/>
      <c r="AE5" s="327"/>
      <c r="AF5" s="327"/>
      <c r="AG5" s="327"/>
      <c r="AH5" s="327"/>
      <c r="AI5" s="327"/>
      <c r="AJ5" s="327"/>
      <c r="AK5" s="327"/>
      <c r="AL5" s="327"/>
      <c r="AM5" s="327"/>
      <c r="AN5" s="327"/>
      <c r="AO5" s="327"/>
      <c r="AP5" s="327"/>
      <c r="AQ5" s="327"/>
      <c r="AR5" s="327"/>
      <c r="AS5" s="327"/>
      <c r="AT5" s="327"/>
      <c r="AU5" s="327"/>
      <c r="AV5" s="327"/>
      <c r="AW5" s="327"/>
      <c r="AX5" s="330"/>
    </row>
    <row r="6" spans="1:51" s="4" customFormat="1" ht="21.75" customHeight="1" x14ac:dyDescent="0.25">
      <c r="A6" s="113"/>
      <c r="B6" s="331" t="s">
        <v>9</v>
      </c>
      <c r="C6" s="332"/>
      <c r="D6" s="378" t="s">
        <v>10</v>
      </c>
      <c r="E6" s="379"/>
      <c r="F6" s="115"/>
      <c r="G6" s="126" t="s">
        <v>11</v>
      </c>
      <c r="H6" s="342" t="s">
        <v>12</v>
      </c>
      <c r="I6" s="343"/>
      <c r="J6" s="343"/>
      <c r="K6" s="343"/>
      <c r="L6" s="344"/>
      <c r="M6" s="343"/>
      <c r="N6" s="345" t="s">
        <v>13</v>
      </c>
      <c r="O6" s="346"/>
      <c r="P6" s="346"/>
      <c r="Q6" s="347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</row>
    <row r="7" spans="1:51" s="4" customFormat="1" x14ac:dyDescent="0.25">
      <c r="AW7" s="5"/>
    </row>
    <row r="8" spans="1:51" ht="101.25" customHeight="1" x14ac:dyDescent="0.25">
      <c r="A8" s="151" t="s">
        <v>14</v>
      </c>
      <c r="B8" s="100" t="s">
        <v>15</v>
      </c>
      <c r="C8" s="101" t="s">
        <v>131</v>
      </c>
      <c r="D8" s="56" t="s">
        <v>17</v>
      </c>
      <c r="E8" s="102" t="s">
        <v>18</v>
      </c>
      <c r="F8" s="57" t="s">
        <v>20</v>
      </c>
      <c r="G8" s="58" t="s">
        <v>132</v>
      </c>
      <c r="H8" s="103" t="s">
        <v>22</v>
      </c>
      <c r="I8" s="104" t="s">
        <v>23</v>
      </c>
      <c r="J8" s="104" t="s">
        <v>24</v>
      </c>
      <c r="K8" s="105" t="s">
        <v>25</v>
      </c>
      <c r="L8" s="106" t="s">
        <v>26</v>
      </c>
      <c r="M8" s="107" t="s">
        <v>27</v>
      </c>
      <c r="N8" s="143" t="s">
        <v>28</v>
      </c>
      <c r="O8" s="108" t="s">
        <v>29</v>
      </c>
      <c r="P8" s="135" t="s">
        <v>30</v>
      </c>
      <c r="Q8" s="128" t="s">
        <v>31</v>
      </c>
      <c r="R8" s="101" t="s">
        <v>33</v>
      </c>
      <c r="S8" s="109" t="s">
        <v>133</v>
      </c>
      <c r="T8" s="109" t="s">
        <v>134</v>
      </c>
      <c r="U8" s="109" t="s">
        <v>135</v>
      </c>
      <c r="V8" s="109" t="s">
        <v>136</v>
      </c>
      <c r="W8" s="109" t="s">
        <v>137</v>
      </c>
      <c r="X8" s="109" t="s">
        <v>138</v>
      </c>
      <c r="Y8" s="109" t="s">
        <v>41</v>
      </c>
      <c r="Z8" s="147" t="s">
        <v>42</v>
      </c>
      <c r="AA8" s="110" t="s">
        <v>43</v>
      </c>
      <c r="AB8" s="55" t="s">
        <v>44</v>
      </c>
      <c r="AC8" s="59" t="s">
        <v>45</v>
      </c>
      <c r="AD8" s="111" t="s">
        <v>46</v>
      </c>
      <c r="AE8" s="60" t="s">
        <v>47</v>
      </c>
      <c r="AF8" s="153" t="s">
        <v>49</v>
      </c>
      <c r="AG8" s="59" t="s">
        <v>50</v>
      </c>
      <c r="AH8" s="112" t="s">
        <v>51</v>
      </c>
      <c r="AI8" s="60" t="s">
        <v>52</v>
      </c>
      <c r="AJ8" s="61" t="s">
        <v>54</v>
      </c>
      <c r="AK8" s="112" t="s">
        <v>55</v>
      </c>
      <c r="AL8" s="60" t="s">
        <v>56</v>
      </c>
      <c r="AM8" s="61" t="s">
        <v>58</v>
      </c>
      <c r="AN8" s="112" t="s">
        <v>59</v>
      </c>
      <c r="AO8" s="60" t="s">
        <v>60</v>
      </c>
      <c r="AP8" s="61" t="s">
        <v>62</v>
      </c>
      <c r="AQ8" s="112" t="s">
        <v>63</v>
      </c>
      <c r="AR8" s="62" t="s">
        <v>65</v>
      </c>
      <c r="AS8" s="63" t="s">
        <v>66</v>
      </c>
      <c r="AT8" s="63" t="s">
        <v>139</v>
      </c>
      <c r="AU8" s="63" t="s">
        <v>68</v>
      </c>
      <c r="AV8" s="64" t="s">
        <v>69</v>
      </c>
      <c r="AW8" s="141" t="s">
        <v>140</v>
      </c>
      <c r="AX8" s="142" t="s">
        <v>141</v>
      </c>
      <c r="AY8" s="139" t="s">
        <v>142</v>
      </c>
    </row>
    <row r="9" spans="1:51" x14ac:dyDescent="0.25">
      <c r="A9" s="88">
        <v>0</v>
      </c>
      <c r="B9" s="89"/>
      <c r="C9" s="65"/>
      <c r="D9" s="54" t="str">
        <f>IF(Tableau14[[#This Row],[Date de Début]]=0,"Saisir date de début","S"&amp; _xlfn.ISOWEEKNUM(Q9))</f>
        <v>S1</v>
      </c>
      <c r="E9" s="66" t="s">
        <v>77</v>
      </c>
      <c r="F9" s="67" t="str">
        <f t="shared" ref="F9" si="0">"OPERE - 2025 -"&amp;A9&amp;" - "&amp;D9&amp;" - "&amp;E9</f>
        <v>OPERE - 2025 -0 - S1 - xxxx</v>
      </c>
      <c r="G9" s="68" t="str">
        <f>IF(Tableau14[[#This Row],[Nature des travaux]]=0,"Saisir nature des travaux",Tableau14[[#This Row],[Colonne1]])&amp;"-"&amp;Tableau14[[#This Row],[Jour]]</f>
        <v>OPERE - 2025 -0 - S1 - xxxx-LuMa MaMe</v>
      </c>
      <c r="H9" s="69"/>
      <c r="I9" s="66"/>
      <c r="J9" s="66"/>
      <c r="K9" s="70"/>
      <c r="L9" s="71">
        <f>COUNTIF(Tableau14[[#This Row],[CATENAIRE]:[VOIE ]],"x")</f>
        <v>0</v>
      </c>
      <c r="M9" s="72"/>
      <c r="N9" s="73" t="str">
        <f>IF(Tableau14[[#This Row],[Date de Fin]]-Tableau14[[#This Row],[Date de Début]]&gt;1,"X"," ")</f>
        <v>X</v>
      </c>
      <c r="O9" s="74"/>
      <c r="P9" s="75"/>
      <c r="Q9" s="137">
        <v>45292</v>
      </c>
      <c r="R9" s="138">
        <v>45294</v>
      </c>
      <c r="S9" s="97" t="str">
        <f>PROPER(LEFT(TEXT(Tableau14[[#This Row],[Date de Début]],"jjjj"),2))&amp; "" &amp; PROPER(LEFT(TEXT(Tableau14[[#This Row],[Date de Début]]+1,"jjjj"),2))</f>
        <v>LuMa</v>
      </c>
      <c r="T9" s="96" t="str">
        <f>IF(Tableau14[[#This Row],[Nb jours]]&gt;1,PROPER(LEFT(TEXT(Tableau14[[#This Row],[Date de Début]]+1,"jjjj"),2))&amp; "" &amp; PROPER(LEFT(TEXT(Tableau14[[#This Row],[Date de Début]]+2,"jjjj"),2)),"")</f>
        <v>MaMe</v>
      </c>
      <c r="U9" s="96" t="str">
        <f>IF(Tableau14[[#This Row],[Nb jours]]&gt;2,PROPER(LEFT(TEXT(Tableau14[[#This Row],[Date de Début]]+2,"jjjj"),2))&amp; "" &amp; PROPER(LEFT(TEXT(Tableau14[[#This Row],[Date de Début]]+3,"jjjj"),2)),"")</f>
        <v/>
      </c>
      <c r="V9" s="96" t="str">
        <f>IF(Tableau14[[#This Row],[Nb jours]]&gt;3,PROPER(LEFT(TEXT(Tableau14[[#This Row],[Date de Début]]+3,"jjjj"),2))&amp; "" &amp; PROPER(LEFT(TEXT(Tableau14[[#This Row],[Date de Début]]+4,"jjjj"),2)),"")</f>
        <v/>
      </c>
      <c r="W9" s="96" t="str">
        <f>IF(Tableau14[[#This Row],[Nb jours]]&gt;4,PROPER(LEFT(TEXT(Tableau14[[#This Row],[Date de Début]]+4,"jjjj"),2))&amp; "" &amp; PROPER(LEFT(TEXT(Tableau14[[#This Row],[Date de Début]]+5,"jjjj"),2)),"")</f>
        <v/>
      </c>
      <c r="X9" s="96" t="str">
        <f>IF(Tableau14[[#This Row],[Nb jours]]&gt;5,PROPER(LEFT(TEXT(Tableau14[[#This Row],[Date de Début]]+5,"jjjj"),2))&amp; "" &amp; PROPER(LEFT(TEXT(Tableau14[[#This Row],[Date de Début]]+6,"jjjj"),2)),"")</f>
        <v/>
      </c>
      <c r="Y9" s="95">
        <f>Tableau14[[#This Row],[Date de Fin]]-Tableau14[[#This Row],[Date de Début]]</f>
        <v>2</v>
      </c>
      <c r="Z9" s="94" t="str" cm="1">
        <f t="array" ref="Z9">_xlfn.SWITCH(Y9,1,S9,2,S9&amp;" "&amp;T9,3,S9&amp;" "&amp;T9&amp;" "&amp;U9,4,S9&amp;" "&amp;T9&amp;" "&amp;U9&amp;" "&amp;V9,5,S9&amp;" "&amp;T9&amp;" "&amp;U9&amp;" "&amp;V9&amp;" "&amp;W9,6,S9&amp;" "&amp;T9&amp;" "&amp;U9&amp;" "&amp;V9&amp;" "&amp;W9&amp;" "&amp;X9)</f>
        <v>LuMa MaMe</v>
      </c>
      <c r="AA9" s="76"/>
      <c r="AB9" s="77">
        <f>paramètre!O2</f>
        <v>0</v>
      </c>
      <c r="AC9" s="78">
        <f>Tableau14[[#This Row],[Date de Début]]-AB9</f>
        <v>45292</v>
      </c>
      <c r="AD9" s="79" t="s">
        <v>78</v>
      </c>
      <c r="AE9" s="80">
        <f t="shared" ref="AE9" si="1">Tolérances_2</f>
        <v>21</v>
      </c>
      <c r="AF9" s="81"/>
      <c r="AG9" s="78">
        <f>Tableau14[[#This Row],[Date de Début]]-AE9</f>
        <v>45271</v>
      </c>
      <c r="AH9" s="79" t="s">
        <v>78</v>
      </c>
      <c r="AI9" s="80">
        <f>paramètre!O2</f>
        <v>0</v>
      </c>
      <c r="AJ9" s="82">
        <f>Tableau14[[#This Row],[Date de Début]]-AI9</f>
        <v>45292</v>
      </c>
      <c r="AK9" s="79" t="s">
        <v>78</v>
      </c>
      <c r="AL9" s="80">
        <f t="shared" ref="AL9" si="2">Tolérances_4</f>
        <v>14</v>
      </c>
      <c r="AM9" s="82">
        <f>Tableau14[[#This Row],[Date de Début]]-AL9</f>
        <v>45278</v>
      </c>
      <c r="AN9" s="79" t="s">
        <v>78</v>
      </c>
      <c r="AO9" s="80">
        <f t="shared" ref="AO9" si="3">Tolérances_5</f>
        <v>14</v>
      </c>
      <c r="AP9" s="82">
        <f>Tableau14[[#This Row],[Date de Début]]-AO9</f>
        <v>45278</v>
      </c>
      <c r="AQ9" s="79" t="s">
        <v>78</v>
      </c>
      <c r="AR9" s="83">
        <f>IF(Tableau14[[#This Row],[Date limite de fin de rédaction]]&lt;Tableau14[[#This Row],[Date de fin de rédaction]],1,0)</f>
        <v>1</v>
      </c>
      <c r="AS9" s="84">
        <f>IF(Tableau14[[#This Row],[Date limite de fin de vérification]]&lt;Tableau14[[#This Row],[Date de fin de vérification]],1,0)</f>
        <v>1</v>
      </c>
      <c r="AT9" s="23">
        <f>IF(Tableau14[[#This Row],[Date limite d''envoi a  l''exploitation]]&lt;Tableau14[[#This Row],[Date d''envoi à  l''exploitation
(Mettre en copier le demandeur et le rédacteur)]],1,0)</f>
        <v>1</v>
      </c>
      <c r="AU9" s="23">
        <f>IF(Tableau14[[#This Row],[Date limite de réception]]&lt;Tableau14[[#This Row],[Date de réception]],1,0)</f>
        <v>1</v>
      </c>
      <c r="AV9" s="85">
        <f>IF(Tableau14[[#This Row],[Date limite limite de dépose sur la GED]]&lt;Tableau14[[#This Row],[Date de dépose sur la GED]],1,0)</f>
        <v>1</v>
      </c>
      <c r="AW9" s="86"/>
      <c r="AX9" s="87"/>
      <c r="AY9" s="127" t="str">
        <f ca="1">IF(TODAY()&gt;Tableau14[[#This Row],[Date de Début]]+4,"Archivé","En cours")</f>
        <v>Archivé</v>
      </c>
    </row>
    <row r="10" spans="1:51" x14ac:dyDescent="0.25">
      <c r="D10" s="2"/>
      <c r="G10" s="2"/>
      <c r="AC10" s="2"/>
      <c r="AG10" s="2"/>
      <c r="AJ10" s="2"/>
      <c r="AM10" s="2"/>
      <c r="AP10" s="2"/>
    </row>
    <row r="11" spans="1:51" x14ac:dyDescent="0.25">
      <c r="D11" s="2"/>
      <c r="G11" s="2"/>
      <c r="AC11" s="2"/>
      <c r="AG11" s="2"/>
      <c r="AJ11" s="2"/>
      <c r="AM11" s="2"/>
      <c r="AP11" s="2"/>
    </row>
    <row r="12" spans="1:51" x14ac:dyDescent="0.25">
      <c r="D12" s="2"/>
      <c r="G12" s="2"/>
      <c r="AC12" s="2"/>
      <c r="AG12" s="2"/>
      <c r="AJ12" s="2"/>
      <c r="AM12" s="2"/>
      <c r="AP12" s="2"/>
    </row>
    <row r="13" spans="1:51" x14ac:dyDescent="0.25">
      <c r="D13" s="2"/>
      <c r="G13" s="2"/>
      <c r="AC13" s="2"/>
      <c r="AG13" s="2"/>
      <c r="AJ13" s="2"/>
      <c r="AM13" s="2"/>
      <c r="AP13" s="2"/>
    </row>
    <row r="14" spans="1:51" x14ac:dyDescent="0.25">
      <c r="D14" s="2"/>
      <c r="G14" s="2"/>
      <c r="AC14" s="2"/>
      <c r="AG14" s="2"/>
      <c r="AJ14" s="2"/>
      <c r="AM14" s="2"/>
      <c r="AP14" s="2"/>
    </row>
    <row r="15" spans="1:51" x14ac:dyDescent="0.25">
      <c r="D15" s="2"/>
      <c r="G15" s="2"/>
      <c r="AC15" s="2"/>
      <c r="AG15" s="2"/>
      <c r="AJ15" s="2"/>
      <c r="AM15" s="2"/>
      <c r="AP15" s="2"/>
    </row>
    <row r="16" spans="1:51" x14ac:dyDescent="0.25">
      <c r="D16" s="2"/>
      <c r="G16" s="2"/>
      <c r="AC16" s="2"/>
      <c r="AG16" s="2"/>
      <c r="AJ16" s="2"/>
      <c r="AM16" s="2"/>
      <c r="AP16" s="2"/>
    </row>
    <row r="17" spans="4:42" x14ac:dyDescent="0.25">
      <c r="D17" s="2"/>
      <c r="G17" s="2"/>
      <c r="AC17" s="2"/>
      <c r="AG17" s="2"/>
      <c r="AJ17" s="2"/>
      <c r="AM17" s="2"/>
      <c r="AP17" s="2"/>
    </row>
    <row r="18" spans="4:42" x14ac:dyDescent="0.25">
      <c r="D18" s="2"/>
      <c r="G18" s="2"/>
      <c r="AC18" s="2"/>
      <c r="AG18" s="2"/>
      <c r="AJ18" s="2"/>
      <c r="AM18" s="2"/>
      <c r="AP18" s="2"/>
    </row>
    <row r="19" spans="4:42" x14ac:dyDescent="0.25">
      <c r="D19" s="2"/>
      <c r="G19" s="2"/>
      <c r="AC19" s="2"/>
      <c r="AG19" s="2"/>
      <c r="AJ19" s="2"/>
      <c r="AM19" s="2"/>
      <c r="AP19" s="2"/>
    </row>
    <row r="20" spans="4:42" x14ac:dyDescent="0.25">
      <c r="D20" s="2"/>
      <c r="G20" s="2"/>
      <c r="AC20" s="2"/>
      <c r="AG20" s="2"/>
      <c r="AJ20" s="2"/>
      <c r="AM20" s="2"/>
      <c r="AP20" s="2"/>
    </row>
    <row r="21" spans="4:42" x14ac:dyDescent="0.25">
      <c r="D21" s="2"/>
      <c r="G21" s="2"/>
      <c r="AC21" s="2"/>
      <c r="AG21" s="2"/>
      <c r="AJ21" s="2"/>
      <c r="AM21" s="2"/>
      <c r="AP21" s="2"/>
    </row>
    <row r="22" spans="4:42" x14ac:dyDescent="0.25">
      <c r="D22" s="2"/>
      <c r="G22" s="2"/>
      <c r="AC22" s="2"/>
      <c r="AG22" s="2"/>
      <c r="AJ22" s="2"/>
      <c r="AM22" s="2"/>
      <c r="AP22" s="2"/>
    </row>
    <row r="23" spans="4:42" x14ac:dyDescent="0.25">
      <c r="D23" s="2"/>
      <c r="G23" s="2"/>
      <c r="AC23" s="2"/>
      <c r="AG23" s="2"/>
      <c r="AJ23" s="2"/>
      <c r="AM23" s="2"/>
      <c r="AP23" s="2"/>
    </row>
    <row r="24" spans="4:42" x14ac:dyDescent="0.25">
      <c r="D24" s="2"/>
      <c r="G24" s="2"/>
      <c r="AC24" s="2"/>
      <c r="AG24" s="2"/>
      <c r="AJ24" s="2"/>
      <c r="AM24" s="2"/>
      <c r="AP24" s="2"/>
    </row>
    <row r="25" spans="4:42" x14ac:dyDescent="0.25">
      <c r="D25" s="2"/>
      <c r="G25" s="2"/>
      <c r="AC25" s="2"/>
      <c r="AG25" s="2"/>
      <c r="AJ25" s="2"/>
      <c r="AM25" s="2"/>
      <c r="AP25" s="2"/>
    </row>
    <row r="26" spans="4:42" x14ac:dyDescent="0.25">
      <c r="D26" s="2"/>
      <c r="G26" s="2"/>
      <c r="AC26" s="2"/>
      <c r="AG26" s="2"/>
      <c r="AJ26" s="2"/>
      <c r="AM26" s="2"/>
      <c r="AP26" s="2"/>
    </row>
    <row r="27" spans="4:42" x14ac:dyDescent="0.25">
      <c r="D27" s="2"/>
      <c r="G27" s="2"/>
      <c r="AC27" s="2"/>
      <c r="AG27" s="2"/>
      <c r="AJ27" s="2"/>
      <c r="AM27" s="2"/>
      <c r="AP27" s="2"/>
    </row>
    <row r="28" spans="4:42" x14ac:dyDescent="0.25">
      <c r="D28" s="2"/>
      <c r="G28" s="2"/>
      <c r="AC28" s="2"/>
      <c r="AG28" s="2"/>
      <c r="AJ28" s="2"/>
      <c r="AM28" s="2"/>
      <c r="AP28" s="2"/>
    </row>
    <row r="29" spans="4:42" x14ac:dyDescent="0.25">
      <c r="D29" s="2"/>
      <c r="G29" s="2"/>
      <c r="AC29" s="2"/>
      <c r="AG29" s="2"/>
      <c r="AJ29" s="2"/>
      <c r="AM29" s="2"/>
      <c r="AP29" s="2"/>
    </row>
    <row r="30" spans="4:42" x14ac:dyDescent="0.25">
      <c r="D30" s="2"/>
      <c r="G30" s="2"/>
      <c r="AC30" s="2"/>
      <c r="AG30" s="2"/>
      <c r="AJ30" s="2"/>
      <c r="AM30" s="2"/>
      <c r="AP30" s="2"/>
    </row>
    <row r="31" spans="4:42" x14ac:dyDescent="0.25">
      <c r="D31" s="2"/>
      <c r="G31" s="2"/>
      <c r="AC31" s="2"/>
      <c r="AG31" s="2"/>
      <c r="AJ31" s="2"/>
      <c r="AM31" s="2"/>
      <c r="AP31" s="2"/>
    </row>
    <row r="32" spans="4:42" x14ac:dyDescent="0.25">
      <c r="D32" s="2"/>
      <c r="G32" s="2"/>
      <c r="AC32" s="2"/>
      <c r="AG32" s="2"/>
      <c r="AJ32" s="2"/>
      <c r="AM32" s="2"/>
      <c r="AP32" s="2"/>
    </row>
    <row r="33" spans="4:42" x14ac:dyDescent="0.25">
      <c r="D33" s="2"/>
      <c r="G33" s="2"/>
      <c r="AC33" s="2"/>
      <c r="AG33" s="2"/>
      <c r="AJ33" s="2"/>
      <c r="AM33" s="2"/>
      <c r="AP33" s="2"/>
    </row>
    <row r="34" spans="4:42" x14ac:dyDescent="0.25">
      <c r="D34" s="2"/>
      <c r="G34" s="2"/>
      <c r="AC34" s="2"/>
      <c r="AG34" s="2"/>
      <c r="AJ34" s="2"/>
      <c r="AM34" s="2"/>
      <c r="AP34" s="2"/>
    </row>
    <row r="35" spans="4:42" x14ac:dyDescent="0.25">
      <c r="D35" s="2"/>
      <c r="G35" s="2"/>
      <c r="AC35" s="2"/>
      <c r="AG35" s="2"/>
      <c r="AJ35" s="2"/>
      <c r="AM35" s="2"/>
      <c r="AP35" s="2"/>
    </row>
    <row r="36" spans="4:42" x14ac:dyDescent="0.25">
      <c r="D36" s="2"/>
      <c r="G36" s="2"/>
      <c r="AC36" s="2"/>
      <c r="AG36" s="2"/>
      <c r="AJ36" s="2"/>
      <c r="AM36" s="2"/>
      <c r="AP36" s="2"/>
    </row>
    <row r="37" spans="4:42" x14ac:dyDescent="0.25">
      <c r="D37" s="2"/>
      <c r="G37" s="2"/>
      <c r="AC37" s="2"/>
      <c r="AG37" s="2"/>
      <c r="AJ37" s="2"/>
      <c r="AM37" s="2"/>
      <c r="AP37" s="2"/>
    </row>
    <row r="38" spans="4:42" x14ac:dyDescent="0.25">
      <c r="D38" s="2"/>
      <c r="G38" s="2"/>
      <c r="AC38" s="2"/>
      <c r="AG38" s="2"/>
      <c r="AJ38" s="2"/>
      <c r="AM38" s="2"/>
      <c r="AP38" s="2"/>
    </row>
    <row r="39" spans="4:42" x14ac:dyDescent="0.25">
      <c r="D39" s="2"/>
      <c r="G39" s="2"/>
      <c r="AC39" s="2"/>
      <c r="AG39" s="2"/>
      <c r="AJ39" s="2"/>
      <c r="AM39" s="2"/>
      <c r="AP39" s="2"/>
    </row>
    <row r="40" spans="4:42" x14ac:dyDescent="0.25">
      <c r="D40" s="2"/>
      <c r="G40" s="2"/>
      <c r="AC40" s="2"/>
      <c r="AG40" s="2"/>
      <c r="AJ40" s="2"/>
      <c r="AM40" s="2"/>
      <c r="AP40" s="2"/>
    </row>
    <row r="41" spans="4:42" x14ac:dyDescent="0.25">
      <c r="D41" s="2"/>
      <c r="G41" s="2"/>
      <c r="AC41" s="2"/>
      <c r="AG41" s="2"/>
      <c r="AJ41" s="2"/>
      <c r="AM41" s="2"/>
      <c r="AP41" s="2"/>
    </row>
    <row r="42" spans="4:42" x14ac:dyDescent="0.25">
      <c r="D42" s="2"/>
      <c r="G42" s="2"/>
      <c r="AC42" s="2"/>
      <c r="AG42" s="2"/>
      <c r="AJ42" s="2"/>
      <c r="AM42" s="2"/>
      <c r="AP42" s="2"/>
    </row>
    <row r="43" spans="4:42" x14ac:dyDescent="0.25">
      <c r="D43" s="2"/>
      <c r="G43" s="2"/>
      <c r="AC43" s="2"/>
      <c r="AG43" s="2"/>
      <c r="AJ43" s="2"/>
      <c r="AM43" s="2"/>
      <c r="AP43" s="2"/>
    </row>
    <row r="44" spans="4:42" x14ac:dyDescent="0.25">
      <c r="D44" s="2"/>
      <c r="G44" s="2"/>
      <c r="AC44" s="2"/>
      <c r="AG44" s="2"/>
      <c r="AJ44" s="2"/>
      <c r="AM44" s="2"/>
      <c r="AP44" s="2"/>
    </row>
    <row r="45" spans="4:42" x14ac:dyDescent="0.25">
      <c r="D45" s="2"/>
      <c r="G45" s="2"/>
      <c r="AC45" s="2"/>
      <c r="AG45" s="2"/>
      <c r="AJ45" s="2"/>
      <c r="AM45" s="2"/>
      <c r="AP45" s="2"/>
    </row>
    <row r="46" spans="4:42" x14ac:dyDescent="0.25">
      <c r="D46" s="2"/>
      <c r="G46" s="2"/>
      <c r="AC46" s="2"/>
      <c r="AG46" s="2"/>
      <c r="AJ46" s="2"/>
      <c r="AM46" s="2"/>
      <c r="AP46" s="2"/>
    </row>
    <row r="47" spans="4:42" x14ac:dyDescent="0.25">
      <c r="D47" s="2"/>
      <c r="G47" s="2"/>
      <c r="AC47" s="2"/>
      <c r="AG47" s="2"/>
      <c r="AJ47" s="2"/>
      <c r="AM47" s="2"/>
      <c r="AP47" s="2"/>
    </row>
    <row r="48" spans="4:42" x14ac:dyDescent="0.25">
      <c r="D48" s="2"/>
      <c r="G48" s="2"/>
      <c r="AC48" s="2"/>
      <c r="AG48" s="2"/>
      <c r="AJ48" s="2"/>
      <c r="AM48" s="2"/>
      <c r="AP48" s="2"/>
    </row>
    <row r="49" spans="4:42" x14ac:dyDescent="0.25">
      <c r="D49" s="2"/>
      <c r="G49" s="2"/>
      <c r="AC49" s="2"/>
      <c r="AG49" s="2"/>
      <c r="AJ49" s="2"/>
      <c r="AM49" s="2"/>
      <c r="AP49" s="2"/>
    </row>
    <row r="50" spans="4:42" x14ac:dyDescent="0.25">
      <c r="D50" s="2"/>
      <c r="G50" s="2"/>
      <c r="AC50" s="2"/>
      <c r="AG50" s="2"/>
      <c r="AJ50" s="2"/>
      <c r="AM50" s="2"/>
      <c r="AP50" s="2"/>
    </row>
    <row r="51" spans="4:42" x14ac:dyDescent="0.25">
      <c r="D51" s="2"/>
      <c r="G51" s="2"/>
      <c r="AC51" s="2"/>
      <c r="AG51" s="2"/>
      <c r="AJ51" s="2"/>
      <c r="AM51" s="2"/>
      <c r="AP51" s="2"/>
    </row>
    <row r="52" spans="4:42" x14ac:dyDescent="0.25">
      <c r="D52" s="2"/>
      <c r="G52" s="2"/>
      <c r="AC52" s="2"/>
      <c r="AG52" s="2"/>
      <c r="AJ52" s="2"/>
      <c r="AM52" s="2"/>
      <c r="AP52" s="2"/>
    </row>
    <row r="53" spans="4:42" x14ac:dyDescent="0.25">
      <c r="D53" s="2"/>
      <c r="G53" s="2"/>
      <c r="AC53" s="2"/>
      <c r="AG53" s="2"/>
      <c r="AJ53" s="2"/>
      <c r="AM53" s="2"/>
      <c r="AP53" s="2"/>
    </row>
    <row r="54" spans="4:42" x14ac:dyDescent="0.25">
      <c r="D54" s="2"/>
      <c r="G54" s="2"/>
      <c r="AC54" s="2"/>
      <c r="AG54" s="2"/>
      <c r="AJ54" s="2"/>
      <c r="AM54" s="2"/>
      <c r="AP54" s="2"/>
    </row>
    <row r="55" spans="4:42" x14ac:dyDescent="0.25">
      <c r="D55" s="2"/>
      <c r="G55" s="2"/>
      <c r="AC55" s="2"/>
      <c r="AG55" s="2"/>
      <c r="AJ55" s="2"/>
      <c r="AM55" s="2"/>
      <c r="AP55" s="2"/>
    </row>
    <row r="56" spans="4:42" x14ac:dyDescent="0.25">
      <c r="D56" s="2"/>
      <c r="G56" s="2"/>
      <c r="AC56" s="2"/>
      <c r="AG56" s="2"/>
      <c r="AJ56" s="2"/>
      <c r="AM56" s="2"/>
      <c r="AP56" s="2"/>
    </row>
    <row r="57" spans="4:42" x14ac:dyDescent="0.25">
      <c r="D57" s="2"/>
      <c r="G57" s="2"/>
      <c r="AC57" s="2"/>
      <c r="AG57" s="2"/>
      <c r="AJ57" s="2"/>
      <c r="AM57" s="2"/>
      <c r="AP57" s="2"/>
    </row>
    <row r="58" spans="4:42" x14ac:dyDescent="0.25">
      <c r="D58" s="2"/>
      <c r="G58" s="2"/>
      <c r="AC58" s="2"/>
      <c r="AG58" s="2"/>
      <c r="AJ58" s="2"/>
      <c r="AM58" s="2"/>
      <c r="AP58" s="2"/>
    </row>
    <row r="59" spans="4:42" x14ac:dyDescent="0.25">
      <c r="D59" s="2"/>
      <c r="G59" s="2"/>
      <c r="AC59" s="2"/>
      <c r="AG59" s="2"/>
      <c r="AJ59" s="2"/>
      <c r="AM59" s="2"/>
      <c r="AP59" s="2"/>
    </row>
    <row r="60" spans="4:42" x14ac:dyDescent="0.25">
      <c r="D60" s="2"/>
      <c r="G60" s="2"/>
      <c r="AC60" s="2"/>
      <c r="AG60" s="2"/>
      <c r="AJ60" s="2"/>
      <c r="AM60" s="2"/>
      <c r="AP60" s="2"/>
    </row>
    <row r="61" spans="4:42" x14ac:dyDescent="0.25">
      <c r="D61" s="2"/>
      <c r="G61" s="2"/>
      <c r="AC61" s="2"/>
      <c r="AG61" s="2"/>
      <c r="AJ61" s="2"/>
      <c r="AM61" s="2"/>
      <c r="AP61" s="2"/>
    </row>
    <row r="62" spans="4:42" x14ac:dyDescent="0.25">
      <c r="D62" s="2"/>
      <c r="G62" s="2"/>
      <c r="AC62" s="2"/>
      <c r="AG62" s="2"/>
      <c r="AJ62" s="2"/>
      <c r="AM62" s="2"/>
      <c r="AP62" s="2"/>
    </row>
    <row r="63" spans="4:42" x14ac:dyDescent="0.25">
      <c r="D63" s="2"/>
      <c r="G63" s="2"/>
      <c r="AC63" s="2"/>
      <c r="AG63" s="2"/>
      <c r="AJ63" s="2"/>
      <c r="AM63" s="2"/>
      <c r="AP63" s="2"/>
    </row>
    <row r="64" spans="4:42" x14ac:dyDescent="0.25">
      <c r="D64" s="2"/>
      <c r="G64" s="2"/>
      <c r="AC64" s="2"/>
      <c r="AG64" s="2"/>
      <c r="AJ64" s="2"/>
      <c r="AM64" s="2"/>
      <c r="AP64" s="2"/>
    </row>
    <row r="65" spans="4:42" x14ac:dyDescent="0.25">
      <c r="D65" s="2"/>
      <c r="G65" s="2"/>
      <c r="AC65" s="2"/>
      <c r="AG65" s="2"/>
      <c r="AJ65" s="2"/>
      <c r="AM65" s="2"/>
      <c r="AP65" s="2"/>
    </row>
    <row r="66" spans="4:42" x14ac:dyDescent="0.25">
      <c r="D66" s="2"/>
      <c r="G66" s="2"/>
      <c r="AC66" s="2"/>
      <c r="AG66" s="2"/>
      <c r="AJ66" s="2"/>
      <c r="AM66" s="2"/>
      <c r="AP66" s="2"/>
    </row>
    <row r="67" spans="4:42" x14ac:dyDescent="0.25">
      <c r="D67" s="2"/>
      <c r="G67" s="2"/>
      <c r="AC67" s="2"/>
      <c r="AG67" s="2"/>
      <c r="AJ67" s="2"/>
      <c r="AM67" s="2"/>
      <c r="AP67" s="2"/>
    </row>
    <row r="68" spans="4:42" x14ac:dyDescent="0.25">
      <c r="D68" s="2"/>
      <c r="G68" s="2"/>
      <c r="AC68" s="2"/>
      <c r="AG68" s="2"/>
      <c r="AJ68" s="2"/>
      <c r="AM68" s="2"/>
      <c r="AP68" s="2"/>
    </row>
    <row r="69" spans="4:42" x14ac:dyDescent="0.25">
      <c r="D69" s="2"/>
      <c r="G69" s="2"/>
      <c r="AC69" s="2"/>
      <c r="AG69" s="2"/>
      <c r="AJ69" s="2"/>
      <c r="AM69" s="2"/>
      <c r="AP69" s="2"/>
    </row>
    <row r="70" spans="4:42" x14ac:dyDescent="0.25">
      <c r="D70" s="2"/>
      <c r="G70" s="2"/>
      <c r="AC70" s="2"/>
      <c r="AG70" s="2"/>
      <c r="AJ70" s="2"/>
      <c r="AM70" s="2"/>
      <c r="AP70" s="2"/>
    </row>
    <row r="71" spans="4:42" x14ac:dyDescent="0.25">
      <c r="D71" s="2"/>
      <c r="G71" s="2"/>
      <c r="AC71" s="2"/>
      <c r="AG71" s="2"/>
      <c r="AJ71" s="2"/>
      <c r="AM71" s="2"/>
      <c r="AP71" s="2"/>
    </row>
    <row r="72" spans="4:42" x14ac:dyDescent="0.25">
      <c r="D72" s="2"/>
      <c r="G72" s="2"/>
      <c r="AC72" s="2"/>
      <c r="AG72" s="2"/>
      <c r="AJ72" s="2"/>
      <c r="AM72" s="2"/>
      <c r="AP72" s="2"/>
    </row>
    <row r="73" spans="4:42" x14ac:dyDescent="0.25">
      <c r="D73" s="2"/>
      <c r="G73" s="2"/>
      <c r="AC73" s="2"/>
      <c r="AG73" s="2"/>
      <c r="AJ73" s="2"/>
      <c r="AM73" s="2"/>
      <c r="AP73" s="2"/>
    </row>
    <row r="74" spans="4:42" x14ac:dyDescent="0.25">
      <c r="D74" s="2"/>
      <c r="G74" s="2"/>
      <c r="AC74" s="2"/>
      <c r="AG74" s="2"/>
      <c r="AJ74" s="2"/>
      <c r="AM74" s="2"/>
      <c r="AP74" s="2"/>
    </row>
    <row r="75" spans="4:42" x14ac:dyDescent="0.25">
      <c r="D75" s="2"/>
      <c r="G75" s="2"/>
      <c r="AC75" s="2"/>
      <c r="AG75" s="2"/>
      <c r="AJ75" s="2"/>
      <c r="AM75" s="2"/>
      <c r="AP75" s="2"/>
    </row>
    <row r="76" spans="4:42" x14ac:dyDescent="0.25">
      <c r="D76" s="2"/>
      <c r="G76" s="2"/>
      <c r="AC76" s="2"/>
      <c r="AG76" s="2"/>
      <c r="AJ76" s="2"/>
      <c r="AM76" s="2"/>
      <c r="AP76" s="2"/>
    </row>
    <row r="77" spans="4:42" x14ac:dyDescent="0.25">
      <c r="D77" s="2"/>
      <c r="G77" s="2"/>
      <c r="AC77" s="2"/>
      <c r="AG77" s="2"/>
      <c r="AJ77" s="2"/>
      <c r="AM77" s="2"/>
      <c r="AP77" s="2"/>
    </row>
    <row r="78" spans="4:42" x14ac:dyDescent="0.25">
      <c r="D78" s="2"/>
      <c r="G78" s="2"/>
      <c r="AC78" s="2"/>
      <c r="AG78" s="2"/>
      <c r="AJ78" s="2"/>
      <c r="AM78" s="2"/>
      <c r="AP78" s="2"/>
    </row>
    <row r="79" spans="4:42" x14ac:dyDescent="0.25">
      <c r="D79" s="2"/>
      <c r="G79" s="2"/>
      <c r="AC79" s="2"/>
      <c r="AG79" s="2"/>
      <c r="AJ79" s="2"/>
      <c r="AM79" s="2"/>
      <c r="AP79" s="2"/>
    </row>
    <row r="80" spans="4:42" x14ac:dyDescent="0.25">
      <c r="D80" s="2"/>
      <c r="G80" s="2"/>
      <c r="AC80" s="2"/>
      <c r="AG80" s="2"/>
      <c r="AJ80" s="2"/>
      <c r="AM80" s="2"/>
      <c r="AP80" s="2"/>
    </row>
    <row r="81" spans="4:42" x14ac:dyDescent="0.25">
      <c r="D81" s="2"/>
      <c r="G81" s="2"/>
      <c r="AC81" s="2"/>
      <c r="AG81" s="2"/>
      <c r="AJ81" s="2"/>
      <c r="AM81" s="2"/>
      <c r="AP81" s="2"/>
    </row>
    <row r="82" spans="4:42" x14ac:dyDescent="0.25">
      <c r="D82" s="2"/>
      <c r="G82" s="2"/>
      <c r="AC82" s="2"/>
      <c r="AG82" s="2"/>
      <c r="AJ82" s="2"/>
      <c r="AM82" s="2"/>
      <c r="AP82" s="2"/>
    </row>
    <row r="83" spans="4:42" x14ac:dyDescent="0.25">
      <c r="D83" s="2"/>
      <c r="G83" s="2"/>
      <c r="AC83" s="2"/>
      <c r="AG83" s="2"/>
      <c r="AJ83" s="2"/>
      <c r="AM83" s="2"/>
      <c r="AP83" s="2"/>
    </row>
    <row r="84" spans="4:42" x14ac:dyDescent="0.25">
      <c r="D84" s="2"/>
      <c r="G84" s="2"/>
      <c r="AC84" s="2"/>
      <c r="AG84" s="2"/>
      <c r="AJ84" s="2"/>
      <c r="AM84" s="2"/>
      <c r="AP84" s="2"/>
    </row>
    <row r="85" spans="4:42" x14ac:dyDescent="0.25">
      <c r="D85" s="2"/>
      <c r="G85" s="2"/>
      <c r="AC85" s="2"/>
      <c r="AG85" s="2"/>
      <c r="AJ85" s="2"/>
      <c r="AM85" s="2"/>
      <c r="AP85" s="2"/>
    </row>
    <row r="86" spans="4:42" x14ac:dyDescent="0.25">
      <c r="D86" s="2"/>
      <c r="G86" s="2"/>
      <c r="AC86" s="2"/>
      <c r="AG86" s="2"/>
      <c r="AJ86" s="2"/>
      <c r="AM86" s="2"/>
      <c r="AP86" s="2"/>
    </row>
    <row r="87" spans="4:42" x14ac:dyDescent="0.25">
      <c r="D87" s="2"/>
      <c r="G87" s="2"/>
      <c r="AC87" s="2"/>
      <c r="AG87" s="2"/>
      <c r="AJ87" s="2"/>
      <c r="AM87" s="2"/>
      <c r="AP87" s="2"/>
    </row>
    <row r="88" spans="4:42" x14ac:dyDescent="0.25">
      <c r="D88" s="2"/>
      <c r="G88" s="2"/>
      <c r="AC88" s="2"/>
      <c r="AG88" s="2"/>
      <c r="AJ88" s="2"/>
      <c r="AM88" s="2"/>
      <c r="AP88" s="2"/>
    </row>
    <row r="89" spans="4:42" x14ac:dyDescent="0.25">
      <c r="D89" s="2"/>
      <c r="G89" s="2"/>
      <c r="AC89" s="2"/>
      <c r="AG89" s="2"/>
      <c r="AJ89" s="2"/>
      <c r="AM89" s="2"/>
      <c r="AP89" s="2"/>
    </row>
    <row r="90" spans="4:42" x14ac:dyDescent="0.25">
      <c r="D90" s="2"/>
      <c r="G90" s="2"/>
      <c r="AC90" s="2"/>
      <c r="AG90" s="2"/>
      <c r="AJ90" s="2"/>
      <c r="AM90" s="2"/>
      <c r="AP90" s="2"/>
    </row>
    <row r="91" spans="4:42" x14ac:dyDescent="0.25">
      <c r="D91" s="2"/>
      <c r="G91" s="2"/>
      <c r="AC91" s="2"/>
      <c r="AG91" s="2"/>
      <c r="AJ91" s="2"/>
      <c r="AM91" s="2"/>
      <c r="AP91" s="2"/>
    </row>
    <row r="92" spans="4:42" x14ac:dyDescent="0.25">
      <c r="D92" s="2"/>
      <c r="G92" s="2"/>
      <c r="AC92" s="2"/>
      <c r="AG92" s="2"/>
      <c r="AJ92" s="2"/>
      <c r="AM92" s="2"/>
      <c r="AP92" s="2"/>
    </row>
    <row r="93" spans="4:42" x14ac:dyDescent="0.25">
      <c r="D93" s="2"/>
      <c r="G93" s="2"/>
      <c r="AC93" s="2"/>
      <c r="AG93" s="2"/>
      <c r="AJ93" s="2"/>
      <c r="AM93" s="2"/>
      <c r="AP93" s="2"/>
    </row>
    <row r="94" spans="4:42" x14ac:dyDescent="0.25">
      <c r="D94" s="2"/>
      <c r="G94" s="2"/>
      <c r="AC94" s="2"/>
      <c r="AG94" s="2"/>
      <c r="AJ94" s="2"/>
      <c r="AM94" s="2"/>
      <c r="AP94" s="2"/>
    </row>
    <row r="95" spans="4:42" x14ac:dyDescent="0.25">
      <c r="D95" s="2"/>
      <c r="G95" s="2"/>
      <c r="AC95" s="2"/>
      <c r="AG95" s="2"/>
      <c r="AJ95" s="2"/>
      <c r="AM95" s="2"/>
      <c r="AP95" s="2"/>
    </row>
    <row r="96" spans="4:42" x14ac:dyDescent="0.25">
      <c r="D96" s="2"/>
      <c r="G96" s="2"/>
      <c r="AC96" s="2"/>
      <c r="AG96" s="2"/>
      <c r="AJ96" s="2"/>
      <c r="AM96" s="2"/>
      <c r="AP96" s="2"/>
    </row>
    <row r="97" spans="4:42" x14ac:dyDescent="0.25">
      <c r="D97" s="2"/>
      <c r="G97" s="2"/>
      <c r="AC97" s="2"/>
      <c r="AG97" s="2"/>
      <c r="AJ97" s="2"/>
      <c r="AM97" s="2"/>
      <c r="AP97" s="2"/>
    </row>
    <row r="98" spans="4:42" x14ac:dyDescent="0.25">
      <c r="D98" s="2"/>
      <c r="G98" s="2"/>
      <c r="AC98" s="2"/>
      <c r="AG98" s="2"/>
      <c r="AJ98" s="2"/>
      <c r="AM98" s="2"/>
      <c r="AP98" s="2"/>
    </row>
    <row r="99" spans="4:42" x14ac:dyDescent="0.25">
      <c r="D99" s="2"/>
      <c r="G99" s="2"/>
      <c r="AC99" s="2"/>
      <c r="AG99" s="2"/>
      <c r="AJ99" s="2"/>
      <c r="AM99" s="2"/>
      <c r="AP99" s="2"/>
    </row>
    <row r="100" spans="4:42" x14ac:dyDescent="0.25">
      <c r="D100" s="2"/>
      <c r="G100" s="2"/>
      <c r="AC100" s="2"/>
      <c r="AG100" s="2"/>
      <c r="AJ100" s="2"/>
      <c r="AM100" s="2"/>
      <c r="AP100" s="2"/>
    </row>
    <row r="101" spans="4:42" x14ac:dyDescent="0.25">
      <c r="D101" s="2"/>
      <c r="G101" s="2"/>
      <c r="AC101" s="2"/>
      <c r="AG101" s="2"/>
      <c r="AJ101" s="2"/>
      <c r="AM101" s="2"/>
      <c r="AP101" s="2"/>
    </row>
    <row r="102" spans="4:42" x14ac:dyDescent="0.25">
      <c r="D102" s="2"/>
      <c r="G102" s="2"/>
      <c r="AC102" s="2"/>
      <c r="AG102" s="2"/>
      <c r="AJ102" s="2"/>
      <c r="AM102" s="2"/>
      <c r="AP102" s="2"/>
    </row>
    <row r="103" spans="4:42" x14ac:dyDescent="0.25">
      <c r="D103" s="2"/>
      <c r="G103" s="2"/>
      <c r="AC103" s="2"/>
      <c r="AG103" s="2"/>
      <c r="AJ103" s="2"/>
      <c r="AM103" s="2"/>
      <c r="AP103" s="2"/>
    </row>
    <row r="104" spans="4:42" x14ac:dyDescent="0.25">
      <c r="D104" s="2"/>
      <c r="G104" s="2"/>
      <c r="AC104" s="2"/>
      <c r="AG104" s="2"/>
      <c r="AJ104" s="2"/>
      <c r="AM104" s="2"/>
      <c r="AP104" s="2"/>
    </row>
    <row r="105" spans="4:42" x14ac:dyDescent="0.25">
      <c r="D105" s="2"/>
      <c r="G105" s="2"/>
      <c r="AC105" s="2"/>
      <c r="AG105" s="2"/>
      <c r="AJ105" s="2"/>
      <c r="AM105" s="2"/>
      <c r="AP105" s="2"/>
    </row>
    <row r="106" spans="4:42" x14ac:dyDescent="0.25">
      <c r="D106" s="2"/>
      <c r="G106" s="2"/>
      <c r="AC106" s="2"/>
      <c r="AG106" s="2"/>
      <c r="AJ106" s="2"/>
      <c r="AM106" s="2"/>
      <c r="AP106" s="2"/>
    </row>
    <row r="107" spans="4:42" x14ac:dyDescent="0.25">
      <c r="D107" s="2"/>
      <c r="G107" s="2"/>
      <c r="AC107" s="2"/>
      <c r="AG107" s="2"/>
      <c r="AJ107" s="2"/>
      <c r="AM107" s="2"/>
      <c r="AP107" s="2"/>
    </row>
    <row r="108" spans="4:42" x14ac:dyDescent="0.25">
      <c r="D108" s="2"/>
      <c r="G108" s="2"/>
      <c r="AC108" s="2"/>
      <c r="AG108" s="2"/>
      <c r="AJ108" s="2"/>
      <c r="AM108" s="2"/>
      <c r="AP108" s="2"/>
    </row>
    <row r="109" spans="4:42" x14ac:dyDescent="0.25">
      <c r="D109" s="2"/>
      <c r="G109" s="2"/>
      <c r="AC109" s="2"/>
      <c r="AG109" s="2"/>
      <c r="AJ109" s="2"/>
      <c r="AM109" s="2"/>
      <c r="AP109" s="2"/>
    </row>
    <row r="110" spans="4:42" x14ac:dyDescent="0.25">
      <c r="D110" s="2"/>
      <c r="G110" s="2"/>
      <c r="AC110" s="2"/>
      <c r="AG110" s="2"/>
      <c r="AJ110" s="2"/>
      <c r="AM110" s="2"/>
      <c r="AP110" s="2"/>
    </row>
    <row r="111" spans="4:42" x14ac:dyDescent="0.25">
      <c r="D111" s="2"/>
      <c r="G111" s="2"/>
      <c r="AC111" s="2"/>
      <c r="AG111" s="2"/>
      <c r="AJ111" s="2"/>
      <c r="AM111" s="2"/>
      <c r="AP111" s="2"/>
    </row>
    <row r="112" spans="4:42" x14ac:dyDescent="0.25">
      <c r="D112" s="2"/>
      <c r="G112" s="2"/>
      <c r="AC112" s="2"/>
      <c r="AG112" s="2"/>
      <c r="AJ112" s="2"/>
      <c r="AM112" s="2"/>
      <c r="AP112" s="2"/>
    </row>
    <row r="113" spans="4:42" x14ac:dyDescent="0.25">
      <c r="D113" s="2"/>
      <c r="G113" s="2"/>
      <c r="AC113" s="2"/>
      <c r="AG113" s="2"/>
      <c r="AJ113" s="2"/>
      <c r="AM113" s="2"/>
      <c r="AP113" s="2"/>
    </row>
    <row r="114" spans="4:42" x14ac:dyDescent="0.25">
      <c r="D114" s="2"/>
      <c r="G114" s="2"/>
      <c r="AC114" s="2"/>
      <c r="AG114" s="2"/>
      <c r="AJ114" s="2"/>
      <c r="AM114" s="2"/>
      <c r="AP114" s="2"/>
    </row>
    <row r="115" spans="4:42" x14ac:dyDescent="0.25">
      <c r="D115" s="2"/>
      <c r="G115" s="2"/>
      <c r="AC115" s="2"/>
      <c r="AG115" s="2"/>
      <c r="AJ115" s="2"/>
      <c r="AM115" s="2"/>
      <c r="AP115" s="2"/>
    </row>
    <row r="116" spans="4:42" x14ac:dyDescent="0.25">
      <c r="D116" s="2"/>
      <c r="G116" s="2"/>
      <c r="AC116" s="2"/>
      <c r="AG116" s="2"/>
      <c r="AJ116" s="2"/>
      <c r="AM116" s="2"/>
      <c r="AP116" s="2"/>
    </row>
    <row r="117" spans="4:42" x14ac:dyDescent="0.25">
      <c r="D117" s="2"/>
      <c r="G117" s="2"/>
      <c r="AC117" s="2"/>
      <c r="AG117" s="2"/>
      <c r="AJ117" s="2"/>
      <c r="AM117" s="2"/>
      <c r="AP117" s="2"/>
    </row>
    <row r="118" spans="4:42" x14ac:dyDescent="0.25">
      <c r="D118" s="2"/>
      <c r="G118" s="2"/>
      <c r="AC118" s="2"/>
      <c r="AG118" s="2"/>
      <c r="AJ118" s="2"/>
      <c r="AM118" s="2"/>
      <c r="AP118" s="2"/>
    </row>
    <row r="119" spans="4:42" x14ac:dyDescent="0.25">
      <c r="D119" s="2"/>
      <c r="G119" s="2"/>
      <c r="AC119" s="2"/>
      <c r="AG119" s="2"/>
      <c r="AJ119" s="2"/>
      <c r="AM119" s="2"/>
      <c r="AP119" s="2"/>
    </row>
    <row r="120" spans="4:42" x14ac:dyDescent="0.25">
      <c r="D120" s="2"/>
      <c r="G120" s="2"/>
      <c r="AC120" s="2"/>
      <c r="AG120" s="2"/>
      <c r="AJ120" s="2"/>
      <c r="AM120" s="2"/>
      <c r="AP120" s="2"/>
    </row>
    <row r="121" spans="4:42" x14ac:dyDescent="0.25">
      <c r="D121" s="2"/>
      <c r="G121" s="2"/>
      <c r="AC121" s="2"/>
      <c r="AG121" s="2"/>
      <c r="AJ121" s="2"/>
      <c r="AM121" s="2"/>
      <c r="AP121" s="2"/>
    </row>
    <row r="122" spans="4:42" x14ac:dyDescent="0.25">
      <c r="D122" s="2"/>
      <c r="G122" s="2"/>
      <c r="AC122" s="2"/>
      <c r="AG122" s="2"/>
      <c r="AJ122" s="2"/>
      <c r="AM122" s="2"/>
      <c r="AP122" s="2"/>
    </row>
    <row r="123" spans="4:42" x14ac:dyDescent="0.25">
      <c r="D123" s="2"/>
      <c r="G123" s="2"/>
      <c r="AC123" s="2"/>
      <c r="AG123" s="2"/>
      <c r="AJ123" s="2"/>
      <c r="AM123" s="2"/>
      <c r="AP123" s="2"/>
    </row>
    <row r="124" spans="4:42" x14ac:dyDescent="0.25">
      <c r="D124" s="2"/>
      <c r="G124" s="2"/>
      <c r="AC124" s="2"/>
      <c r="AG124" s="2"/>
      <c r="AJ124" s="2"/>
      <c r="AM124" s="2"/>
      <c r="AP124" s="2"/>
    </row>
    <row r="125" spans="4:42" x14ac:dyDescent="0.25">
      <c r="D125" s="2"/>
      <c r="G125" s="2"/>
      <c r="AC125" s="2"/>
      <c r="AG125" s="2"/>
      <c r="AJ125" s="2"/>
      <c r="AM125" s="2"/>
      <c r="AP125" s="2"/>
    </row>
    <row r="126" spans="4:42" x14ac:dyDescent="0.25">
      <c r="D126" s="2"/>
      <c r="G126" s="2"/>
      <c r="AC126" s="2"/>
      <c r="AG126" s="2"/>
      <c r="AJ126" s="2"/>
      <c r="AM126" s="2"/>
      <c r="AP126" s="2"/>
    </row>
    <row r="127" spans="4:42" x14ac:dyDescent="0.25">
      <c r="D127" s="2"/>
      <c r="G127" s="2"/>
      <c r="AC127" s="2"/>
      <c r="AG127" s="2"/>
      <c r="AJ127" s="2"/>
      <c r="AM127" s="2"/>
      <c r="AP127" s="2"/>
    </row>
    <row r="128" spans="4:42" x14ac:dyDescent="0.25">
      <c r="D128" s="2"/>
      <c r="G128" s="2"/>
      <c r="AC128" s="2"/>
      <c r="AG128" s="2"/>
      <c r="AJ128" s="2"/>
      <c r="AM128" s="2"/>
      <c r="AP128" s="2"/>
    </row>
    <row r="129" spans="4:42" x14ac:dyDescent="0.25">
      <c r="D129" s="2"/>
      <c r="G129" s="2"/>
      <c r="AC129" s="2"/>
      <c r="AG129" s="2"/>
      <c r="AJ129" s="2"/>
      <c r="AM129" s="2"/>
      <c r="AP129" s="2"/>
    </row>
    <row r="130" spans="4:42" x14ac:dyDescent="0.25">
      <c r="D130" s="2"/>
      <c r="G130" s="2"/>
      <c r="AC130" s="2"/>
      <c r="AG130" s="2"/>
      <c r="AJ130" s="2"/>
      <c r="AM130" s="2"/>
      <c r="AP130" s="2"/>
    </row>
    <row r="131" spans="4:42" x14ac:dyDescent="0.25">
      <c r="D131" s="2"/>
      <c r="G131" s="2"/>
      <c r="AC131" s="2"/>
      <c r="AG131" s="2"/>
      <c r="AJ131" s="2"/>
      <c r="AM131" s="2"/>
      <c r="AP131" s="2"/>
    </row>
    <row r="132" spans="4:42" x14ac:dyDescent="0.25">
      <c r="D132" s="2"/>
      <c r="G132" s="2"/>
      <c r="AC132" s="2"/>
      <c r="AG132" s="2"/>
      <c r="AJ132" s="2"/>
      <c r="AM132" s="2"/>
      <c r="AP132" s="2"/>
    </row>
    <row r="133" spans="4:42" x14ac:dyDescent="0.25">
      <c r="D133" s="2"/>
      <c r="G133" s="2"/>
      <c r="AC133" s="2"/>
      <c r="AG133" s="2"/>
      <c r="AJ133" s="2"/>
      <c r="AM133" s="2"/>
      <c r="AP133" s="2"/>
    </row>
    <row r="134" spans="4:42" x14ac:dyDescent="0.25">
      <c r="D134" s="2"/>
      <c r="G134" s="2"/>
      <c r="AC134" s="2"/>
      <c r="AG134" s="2"/>
      <c r="AJ134" s="2"/>
      <c r="AM134" s="2"/>
      <c r="AP134" s="2"/>
    </row>
    <row r="135" spans="4:42" x14ac:dyDescent="0.25">
      <c r="D135" s="2"/>
      <c r="G135" s="2"/>
      <c r="AC135" s="2"/>
      <c r="AG135" s="2"/>
      <c r="AJ135" s="2"/>
      <c r="AM135" s="2"/>
      <c r="AP135" s="2"/>
    </row>
    <row r="136" spans="4:42" x14ac:dyDescent="0.25">
      <c r="D136" s="2"/>
      <c r="G136" s="2"/>
      <c r="AC136" s="2"/>
      <c r="AG136" s="2"/>
      <c r="AJ136" s="2"/>
      <c r="AM136" s="2"/>
      <c r="AP136" s="2"/>
    </row>
    <row r="137" spans="4:42" x14ac:dyDescent="0.25">
      <c r="D137" s="2"/>
      <c r="G137" s="2"/>
      <c r="AC137" s="2"/>
      <c r="AG137" s="2"/>
      <c r="AJ137" s="2"/>
      <c r="AM137" s="2"/>
      <c r="AP137" s="2"/>
    </row>
    <row r="138" spans="4:42" x14ac:dyDescent="0.25">
      <c r="D138" s="2"/>
      <c r="G138" s="2"/>
      <c r="AC138" s="2"/>
      <c r="AG138" s="2"/>
      <c r="AJ138" s="2"/>
      <c r="AM138" s="2"/>
      <c r="AP138" s="2"/>
    </row>
    <row r="139" spans="4:42" x14ac:dyDescent="0.25">
      <c r="D139" s="2"/>
      <c r="G139" s="2"/>
      <c r="AC139" s="2"/>
      <c r="AG139" s="2"/>
      <c r="AJ139" s="2"/>
      <c r="AM139" s="2"/>
      <c r="AP139" s="2"/>
    </row>
    <row r="140" spans="4:42" x14ac:dyDescent="0.25">
      <c r="D140" s="2"/>
      <c r="G140" s="2"/>
      <c r="AC140" s="2"/>
      <c r="AG140" s="2"/>
      <c r="AJ140" s="2"/>
      <c r="AM140" s="2"/>
      <c r="AP140" s="2"/>
    </row>
    <row r="141" spans="4:42" x14ac:dyDescent="0.25">
      <c r="D141" s="2"/>
      <c r="G141" s="2"/>
      <c r="AC141" s="2"/>
      <c r="AG141" s="2"/>
      <c r="AJ141" s="2"/>
      <c r="AM141" s="2"/>
      <c r="AP141" s="2"/>
    </row>
    <row r="142" spans="4:42" x14ac:dyDescent="0.25">
      <c r="D142" s="2"/>
      <c r="G142" s="2"/>
      <c r="AC142" s="2"/>
      <c r="AG142" s="2"/>
      <c r="AJ142" s="2"/>
      <c r="AM142" s="2"/>
      <c r="AP142" s="2"/>
    </row>
    <row r="143" spans="4:42" x14ac:dyDescent="0.25">
      <c r="D143" s="2"/>
      <c r="G143" s="2"/>
      <c r="AC143" s="2"/>
      <c r="AG143" s="2"/>
      <c r="AJ143" s="2"/>
      <c r="AM143" s="2"/>
      <c r="AP143" s="2"/>
    </row>
    <row r="144" spans="4:42" x14ac:dyDescent="0.25">
      <c r="D144" s="2"/>
      <c r="G144" s="2"/>
      <c r="AC144" s="2"/>
      <c r="AG144" s="2"/>
      <c r="AJ144" s="2"/>
      <c r="AM144" s="2"/>
      <c r="AP144" s="2"/>
    </row>
    <row r="145" spans="4:42" x14ac:dyDescent="0.25">
      <c r="D145" s="2"/>
      <c r="G145" s="2"/>
      <c r="AC145" s="2"/>
      <c r="AG145" s="2"/>
      <c r="AJ145" s="2"/>
      <c r="AM145" s="2"/>
      <c r="AP145" s="2"/>
    </row>
    <row r="146" spans="4:42" x14ac:dyDescent="0.25">
      <c r="D146" s="2"/>
      <c r="G146" s="2"/>
      <c r="AC146" s="2"/>
      <c r="AG146" s="2"/>
      <c r="AJ146" s="2"/>
      <c r="AM146" s="2"/>
      <c r="AP146" s="2"/>
    </row>
    <row r="147" spans="4:42" x14ac:dyDescent="0.25">
      <c r="D147" s="2"/>
      <c r="G147" s="2"/>
      <c r="AC147" s="2"/>
      <c r="AG147" s="2"/>
      <c r="AJ147" s="2"/>
      <c r="AM147" s="2"/>
      <c r="AP147" s="2"/>
    </row>
    <row r="148" spans="4:42" x14ac:dyDescent="0.25">
      <c r="D148" s="2"/>
      <c r="G148" s="2"/>
      <c r="AC148" s="2"/>
      <c r="AG148" s="2"/>
      <c r="AJ148" s="2"/>
      <c r="AM148" s="2"/>
      <c r="AP148" s="2"/>
    </row>
    <row r="149" spans="4:42" x14ac:dyDescent="0.25">
      <c r="D149" s="2"/>
      <c r="G149" s="2"/>
      <c r="AC149" s="2"/>
      <c r="AG149" s="2"/>
      <c r="AJ149" s="2"/>
      <c r="AM149" s="2"/>
      <c r="AP149" s="2"/>
    </row>
    <row r="150" spans="4:42" x14ac:dyDescent="0.25">
      <c r="D150" s="2"/>
      <c r="G150" s="2"/>
      <c r="AC150" s="2"/>
      <c r="AG150" s="2"/>
      <c r="AJ150" s="2"/>
      <c r="AM150" s="2"/>
      <c r="AP150" s="2"/>
    </row>
    <row r="151" spans="4:42" x14ac:dyDescent="0.25">
      <c r="D151" s="2"/>
      <c r="G151" s="2"/>
      <c r="AC151" s="2"/>
      <c r="AG151" s="2"/>
      <c r="AJ151" s="2"/>
      <c r="AM151" s="2"/>
      <c r="AP151" s="2"/>
    </row>
    <row r="152" spans="4:42" x14ac:dyDescent="0.25">
      <c r="D152" s="2"/>
      <c r="G152" s="2"/>
      <c r="AC152" s="2"/>
      <c r="AG152" s="2"/>
      <c r="AJ152" s="2"/>
      <c r="AM152" s="2"/>
      <c r="AP152" s="2"/>
    </row>
    <row r="153" spans="4:42" x14ac:dyDescent="0.25">
      <c r="D153" s="2"/>
      <c r="G153" s="2"/>
      <c r="AC153" s="2"/>
      <c r="AG153" s="2"/>
      <c r="AJ153" s="2"/>
      <c r="AM153" s="2"/>
      <c r="AP153" s="2"/>
    </row>
    <row r="154" spans="4:42" x14ac:dyDescent="0.25">
      <c r="D154" s="2"/>
      <c r="G154" s="2"/>
      <c r="AC154" s="2"/>
      <c r="AG154" s="2"/>
      <c r="AJ154" s="2"/>
      <c r="AM154" s="2"/>
      <c r="AP154" s="2"/>
    </row>
    <row r="155" spans="4:42" x14ac:dyDescent="0.25">
      <c r="D155" s="2"/>
      <c r="G155" s="2"/>
      <c r="AC155" s="2"/>
      <c r="AG155" s="2"/>
      <c r="AJ155" s="2"/>
      <c r="AM155" s="2"/>
      <c r="AP155" s="2"/>
    </row>
    <row r="156" spans="4:42" x14ac:dyDescent="0.25">
      <c r="D156" s="2"/>
      <c r="G156" s="2"/>
      <c r="AC156" s="2"/>
      <c r="AG156" s="2"/>
      <c r="AJ156" s="2"/>
      <c r="AM156" s="2"/>
      <c r="AP156" s="2"/>
    </row>
    <row r="157" spans="4:42" x14ac:dyDescent="0.25">
      <c r="D157" s="2"/>
      <c r="G157" s="2"/>
      <c r="AC157" s="2"/>
      <c r="AG157" s="2"/>
      <c r="AJ157" s="2"/>
      <c r="AM157" s="2"/>
      <c r="AP157" s="2"/>
    </row>
    <row r="158" spans="4:42" x14ac:dyDescent="0.25">
      <c r="D158" s="2"/>
      <c r="G158" s="2"/>
      <c r="AC158" s="2"/>
      <c r="AG158" s="2"/>
      <c r="AJ158" s="2"/>
      <c r="AM158" s="2"/>
      <c r="AP158" s="2"/>
    </row>
    <row r="159" spans="4:42" x14ac:dyDescent="0.25">
      <c r="D159" s="2"/>
      <c r="G159" s="2"/>
      <c r="AC159" s="2"/>
      <c r="AG159" s="2"/>
      <c r="AJ159" s="2"/>
      <c r="AM159" s="2"/>
      <c r="AP159" s="2"/>
    </row>
    <row r="160" spans="4:42" x14ac:dyDescent="0.25">
      <c r="D160" s="2"/>
      <c r="G160" s="2"/>
      <c r="AC160" s="2"/>
      <c r="AG160" s="2"/>
      <c r="AJ160" s="2"/>
      <c r="AM160" s="2"/>
      <c r="AP160" s="2"/>
    </row>
    <row r="161" spans="4:42" x14ac:dyDescent="0.25">
      <c r="D161" s="2"/>
      <c r="G161" s="2"/>
      <c r="AC161" s="2"/>
      <c r="AG161" s="2"/>
      <c r="AJ161" s="2"/>
      <c r="AM161" s="2"/>
      <c r="AP161" s="2"/>
    </row>
    <row r="162" spans="4:42" x14ac:dyDescent="0.25">
      <c r="D162" s="2"/>
      <c r="G162" s="2"/>
      <c r="AC162" s="2"/>
      <c r="AG162" s="2"/>
      <c r="AJ162" s="2"/>
      <c r="AM162" s="2"/>
      <c r="AP162" s="2"/>
    </row>
    <row r="163" spans="4:42" x14ac:dyDescent="0.25">
      <c r="D163" s="2"/>
      <c r="G163" s="2"/>
      <c r="AC163" s="2"/>
      <c r="AG163" s="2"/>
      <c r="AJ163" s="2"/>
      <c r="AM163" s="2"/>
      <c r="AP163" s="2"/>
    </row>
    <row r="164" spans="4:42" x14ac:dyDescent="0.25">
      <c r="D164" s="2"/>
      <c r="G164" s="2"/>
      <c r="AC164" s="2"/>
      <c r="AG164" s="2"/>
      <c r="AJ164" s="2"/>
      <c r="AM164" s="2"/>
      <c r="AP164" s="2"/>
    </row>
    <row r="165" spans="4:42" x14ac:dyDescent="0.25">
      <c r="D165" s="2"/>
      <c r="G165" s="2"/>
      <c r="AC165" s="2"/>
      <c r="AG165" s="2"/>
      <c r="AJ165" s="2"/>
      <c r="AM165" s="2"/>
      <c r="AP165" s="2"/>
    </row>
    <row r="166" spans="4:42" x14ac:dyDescent="0.25">
      <c r="D166" s="2"/>
      <c r="G166" s="2"/>
      <c r="AC166" s="2"/>
      <c r="AG166" s="2"/>
      <c r="AJ166" s="2"/>
      <c r="AM166" s="2"/>
      <c r="AP166" s="2"/>
    </row>
    <row r="167" spans="4:42" x14ac:dyDescent="0.25">
      <c r="D167" s="2"/>
      <c r="G167" s="2"/>
      <c r="AC167" s="2"/>
      <c r="AG167" s="2"/>
      <c r="AJ167" s="2"/>
      <c r="AM167" s="2"/>
      <c r="AP167" s="2"/>
    </row>
    <row r="168" spans="4:42" x14ac:dyDescent="0.25">
      <c r="D168" s="2"/>
      <c r="G168" s="2"/>
      <c r="AC168" s="2"/>
      <c r="AG168" s="2"/>
      <c r="AJ168" s="2"/>
      <c r="AM168" s="2"/>
      <c r="AP168" s="2"/>
    </row>
    <row r="169" spans="4:42" x14ac:dyDescent="0.25">
      <c r="D169" s="2"/>
      <c r="G169" s="2"/>
      <c r="AC169" s="2"/>
      <c r="AG169" s="2"/>
      <c r="AJ169" s="2"/>
      <c r="AM169" s="2"/>
      <c r="AP169" s="2"/>
    </row>
    <row r="170" spans="4:42" x14ac:dyDescent="0.25">
      <c r="D170" s="2"/>
      <c r="G170" s="2"/>
      <c r="AC170" s="2"/>
      <c r="AG170" s="2"/>
      <c r="AJ170" s="2"/>
      <c r="AM170" s="2"/>
      <c r="AP170" s="2"/>
    </row>
    <row r="171" spans="4:42" x14ac:dyDescent="0.25">
      <c r="D171" s="2"/>
      <c r="G171" s="2"/>
      <c r="AC171" s="2"/>
      <c r="AG171" s="2"/>
      <c r="AJ171" s="2"/>
      <c r="AM171" s="2"/>
      <c r="AP171" s="2"/>
    </row>
    <row r="172" spans="4:42" x14ac:dyDescent="0.25">
      <c r="D172" s="2"/>
      <c r="G172" s="2"/>
      <c r="AC172" s="2"/>
      <c r="AG172" s="2"/>
      <c r="AJ172" s="2"/>
      <c r="AM172" s="2"/>
      <c r="AP172" s="2"/>
    </row>
    <row r="173" spans="4:42" x14ac:dyDescent="0.25">
      <c r="D173" s="2"/>
      <c r="G173" s="2"/>
      <c r="AC173" s="2"/>
      <c r="AG173" s="2"/>
      <c r="AJ173" s="2"/>
      <c r="AM173" s="2"/>
      <c r="AP173" s="2"/>
    </row>
    <row r="174" spans="4:42" x14ac:dyDescent="0.25">
      <c r="D174" s="2"/>
      <c r="G174" s="2"/>
      <c r="AC174" s="2"/>
      <c r="AG174" s="2"/>
      <c r="AJ174" s="2"/>
      <c r="AM174" s="2"/>
      <c r="AP174" s="2"/>
    </row>
    <row r="175" spans="4:42" x14ac:dyDescent="0.25">
      <c r="D175" s="2"/>
      <c r="G175" s="2"/>
      <c r="AC175" s="2"/>
      <c r="AG175" s="2"/>
      <c r="AJ175" s="2"/>
      <c r="AM175" s="2"/>
      <c r="AP175" s="2"/>
    </row>
    <row r="176" spans="4:42" x14ac:dyDescent="0.25">
      <c r="D176" s="2"/>
      <c r="G176" s="2"/>
      <c r="AC176" s="2"/>
      <c r="AG176" s="2"/>
      <c r="AJ176" s="2"/>
      <c r="AM176" s="2"/>
      <c r="AP176" s="2"/>
    </row>
    <row r="177" spans="4:42" x14ac:dyDescent="0.25">
      <c r="D177" s="2"/>
      <c r="G177" s="2"/>
      <c r="AC177" s="2"/>
      <c r="AG177" s="2"/>
      <c r="AJ177" s="2"/>
      <c r="AM177" s="2"/>
      <c r="AP177" s="2"/>
    </row>
    <row r="178" spans="4:42" x14ac:dyDescent="0.25">
      <c r="D178" s="2"/>
      <c r="G178" s="2"/>
      <c r="AC178" s="2"/>
      <c r="AG178" s="2"/>
      <c r="AJ178" s="2"/>
      <c r="AM178" s="2"/>
      <c r="AP178" s="2"/>
    </row>
    <row r="179" spans="4:42" x14ac:dyDescent="0.25">
      <c r="D179" s="2"/>
      <c r="G179" s="2"/>
      <c r="AC179" s="2"/>
      <c r="AG179" s="2"/>
      <c r="AJ179" s="2"/>
      <c r="AM179" s="2"/>
      <c r="AP179" s="2"/>
    </row>
    <row r="180" spans="4:42" x14ac:dyDescent="0.25">
      <c r="D180" s="2"/>
      <c r="G180" s="2"/>
      <c r="AC180" s="2"/>
      <c r="AG180" s="2"/>
      <c r="AJ180" s="2"/>
      <c r="AM180" s="2"/>
      <c r="AP180" s="2"/>
    </row>
    <row r="181" spans="4:42" x14ac:dyDescent="0.25">
      <c r="D181" s="2"/>
      <c r="G181" s="2"/>
      <c r="AC181" s="2"/>
      <c r="AG181" s="2"/>
      <c r="AJ181" s="2"/>
      <c r="AM181" s="2"/>
      <c r="AP181" s="2"/>
    </row>
    <row r="182" spans="4:42" x14ac:dyDescent="0.25">
      <c r="D182" s="2"/>
      <c r="G182" s="2"/>
      <c r="AC182" s="2"/>
      <c r="AG182" s="2"/>
      <c r="AJ182" s="2"/>
      <c r="AM182" s="2"/>
      <c r="AP182" s="2"/>
    </row>
    <row r="183" spans="4:42" x14ac:dyDescent="0.25">
      <c r="D183" s="2"/>
      <c r="G183" s="2"/>
      <c r="AC183" s="2"/>
      <c r="AG183" s="2"/>
      <c r="AJ183" s="2"/>
      <c r="AM183" s="2"/>
      <c r="AP183" s="2"/>
    </row>
    <row r="184" spans="4:42" x14ac:dyDescent="0.25">
      <c r="D184" s="2"/>
      <c r="G184" s="2"/>
      <c r="AC184" s="2"/>
      <c r="AG184" s="2"/>
      <c r="AJ184" s="2"/>
      <c r="AM184" s="2"/>
      <c r="AP184" s="2"/>
    </row>
    <row r="185" spans="4:42" x14ac:dyDescent="0.25">
      <c r="D185" s="2"/>
      <c r="G185" s="2"/>
      <c r="AC185" s="2"/>
      <c r="AG185" s="2"/>
      <c r="AJ185" s="2"/>
      <c r="AM185" s="2"/>
      <c r="AP185" s="2"/>
    </row>
    <row r="186" spans="4:42" x14ac:dyDescent="0.25">
      <c r="D186" s="2"/>
      <c r="G186" s="2"/>
      <c r="AC186" s="2"/>
      <c r="AG186" s="2"/>
      <c r="AJ186" s="2"/>
      <c r="AM186" s="2"/>
      <c r="AP186" s="2"/>
    </row>
    <row r="187" spans="4:42" x14ac:dyDescent="0.25">
      <c r="D187" s="2"/>
      <c r="G187" s="2"/>
      <c r="AC187" s="2"/>
      <c r="AG187" s="2"/>
      <c r="AJ187" s="2"/>
      <c r="AM187" s="2"/>
      <c r="AP187" s="2"/>
    </row>
    <row r="188" spans="4:42" x14ac:dyDescent="0.25">
      <c r="D188" s="2"/>
      <c r="G188" s="2"/>
      <c r="AC188" s="2"/>
      <c r="AG188" s="2"/>
      <c r="AJ188" s="2"/>
      <c r="AM188" s="2"/>
      <c r="AP188" s="2"/>
    </row>
    <row r="189" spans="4:42" x14ac:dyDescent="0.25">
      <c r="D189" s="2"/>
      <c r="G189" s="2"/>
      <c r="AC189" s="2"/>
      <c r="AG189" s="2"/>
      <c r="AJ189" s="2"/>
      <c r="AM189" s="2"/>
      <c r="AP189" s="2"/>
    </row>
    <row r="190" spans="4:42" x14ac:dyDescent="0.25">
      <c r="D190" s="2"/>
      <c r="G190" s="2"/>
      <c r="AC190" s="2"/>
      <c r="AG190" s="2"/>
      <c r="AJ190" s="2"/>
      <c r="AM190" s="2"/>
      <c r="AP190" s="2"/>
    </row>
    <row r="191" spans="4:42" x14ac:dyDescent="0.25">
      <c r="D191" s="2"/>
      <c r="G191" s="2"/>
      <c r="AC191" s="2"/>
      <c r="AG191" s="2"/>
      <c r="AJ191" s="2"/>
      <c r="AM191" s="2"/>
      <c r="AP191" s="2"/>
    </row>
    <row r="192" spans="4:42" x14ac:dyDescent="0.25">
      <c r="D192" s="2"/>
      <c r="G192" s="2"/>
      <c r="AC192" s="2"/>
      <c r="AG192" s="2"/>
      <c r="AJ192" s="2"/>
      <c r="AM192" s="2"/>
      <c r="AP192" s="2"/>
    </row>
    <row r="193" spans="4:42" x14ac:dyDescent="0.25">
      <c r="D193" s="2"/>
      <c r="G193" s="2"/>
      <c r="AC193" s="2"/>
      <c r="AG193" s="2"/>
      <c r="AJ193" s="2"/>
      <c r="AM193" s="2"/>
      <c r="AP193" s="2"/>
    </row>
    <row r="194" spans="4:42" x14ac:dyDescent="0.25">
      <c r="D194" s="2"/>
      <c r="G194" s="2"/>
      <c r="AC194" s="2"/>
      <c r="AG194" s="2"/>
      <c r="AJ194" s="2"/>
      <c r="AM194" s="2"/>
      <c r="AP194" s="2"/>
    </row>
    <row r="195" spans="4:42" x14ac:dyDescent="0.25">
      <c r="D195" s="2"/>
      <c r="G195" s="2"/>
      <c r="AC195" s="2"/>
      <c r="AG195" s="2"/>
      <c r="AJ195" s="2"/>
      <c r="AM195" s="2"/>
      <c r="AP195" s="2"/>
    </row>
    <row r="196" spans="4:42" x14ac:dyDescent="0.25">
      <c r="D196" s="2"/>
      <c r="G196" s="2"/>
      <c r="AC196" s="2"/>
      <c r="AG196" s="2"/>
      <c r="AJ196" s="2"/>
      <c r="AM196" s="2"/>
      <c r="AP196" s="2"/>
    </row>
    <row r="197" spans="4:42" x14ac:dyDescent="0.25">
      <c r="D197" s="2"/>
      <c r="G197" s="2"/>
      <c r="AC197" s="2"/>
      <c r="AG197" s="2"/>
      <c r="AJ197" s="2"/>
      <c r="AM197" s="2"/>
      <c r="AP197" s="2"/>
    </row>
    <row r="198" spans="4:42" x14ac:dyDescent="0.25">
      <c r="D198" s="2"/>
      <c r="G198" s="2"/>
      <c r="AC198" s="2"/>
      <c r="AG198" s="2"/>
      <c r="AJ198" s="2"/>
      <c r="AM198" s="2"/>
      <c r="AP198" s="2"/>
    </row>
    <row r="199" spans="4:42" x14ac:dyDescent="0.25">
      <c r="D199" s="2"/>
      <c r="G199" s="2"/>
      <c r="AC199" s="2"/>
      <c r="AG199" s="2"/>
      <c r="AJ199" s="2"/>
      <c r="AM199" s="2"/>
      <c r="AP199" s="2"/>
    </row>
    <row r="200" spans="4:42" x14ac:dyDescent="0.25">
      <c r="D200" s="2"/>
      <c r="G200" s="2"/>
      <c r="AC200" s="2"/>
      <c r="AG200" s="2"/>
      <c r="AJ200" s="2"/>
      <c r="AM200" s="2"/>
      <c r="AP200" s="2"/>
    </row>
    <row r="201" spans="4:42" x14ac:dyDescent="0.25">
      <c r="D201" s="2"/>
      <c r="G201" s="2"/>
      <c r="AC201" s="2"/>
      <c r="AG201" s="2"/>
      <c r="AJ201" s="2"/>
      <c r="AM201" s="2"/>
      <c r="AP201" s="2"/>
    </row>
    <row r="202" spans="4:42" x14ac:dyDescent="0.25">
      <c r="D202" s="2"/>
      <c r="G202" s="2"/>
      <c r="AC202" s="2"/>
      <c r="AG202" s="2"/>
      <c r="AJ202" s="2"/>
      <c r="AM202" s="2"/>
      <c r="AP202" s="2"/>
    </row>
    <row r="203" spans="4:42" x14ac:dyDescent="0.25">
      <c r="D203" s="2"/>
      <c r="G203" s="2"/>
      <c r="AC203" s="2"/>
      <c r="AG203" s="2"/>
      <c r="AJ203" s="2"/>
      <c r="AM203" s="2"/>
      <c r="AP203" s="2"/>
    </row>
    <row r="204" spans="4:42" x14ac:dyDescent="0.25">
      <c r="D204" s="2"/>
      <c r="G204" s="2"/>
      <c r="AC204" s="2"/>
      <c r="AG204" s="2"/>
      <c r="AJ204" s="2"/>
      <c r="AM204" s="2"/>
      <c r="AP204" s="2"/>
    </row>
    <row r="205" spans="4:42" x14ac:dyDescent="0.25">
      <c r="D205" s="2"/>
      <c r="G205" s="2"/>
      <c r="AC205" s="2"/>
      <c r="AG205" s="2"/>
      <c r="AJ205" s="2"/>
      <c r="AM205" s="2"/>
      <c r="AP205" s="2"/>
    </row>
    <row r="206" spans="4:42" x14ac:dyDescent="0.25">
      <c r="D206" s="2"/>
      <c r="G206" s="2"/>
      <c r="AC206" s="2"/>
      <c r="AG206" s="2"/>
      <c r="AJ206" s="2"/>
      <c r="AM206" s="2"/>
      <c r="AP206" s="2"/>
    </row>
    <row r="207" spans="4:42" x14ac:dyDescent="0.25">
      <c r="D207" s="2"/>
      <c r="G207" s="2"/>
      <c r="AC207" s="2"/>
      <c r="AG207" s="2"/>
      <c r="AJ207" s="2"/>
      <c r="AM207" s="2"/>
      <c r="AP207" s="2"/>
    </row>
    <row r="208" spans="4:42" x14ac:dyDescent="0.25">
      <c r="D208" s="2"/>
      <c r="G208" s="2"/>
      <c r="AC208" s="2"/>
      <c r="AG208" s="2"/>
      <c r="AJ208" s="2"/>
      <c r="AM208" s="2"/>
      <c r="AP208" s="2"/>
    </row>
    <row r="209" spans="4:42" x14ac:dyDescent="0.25">
      <c r="D209" s="2"/>
      <c r="G209" s="2"/>
      <c r="AC209" s="2"/>
      <c r="AG209" s="2"/>
      <c r="AJ209" s="2"/>
      <c r="AM209" s="2"/>
      <c r="AP209" s="2"/>
    </row>
    <row r="210" spans="4:42" x14ac:dyDescent="0.25">
      <c r="D210" s="2"/>
      <c r="G210" s="2"/>
      <c r="AC210" s="2"/>
      <c r="AG210" s="2"/>
      <c r="AJ210" s="2"/>
      <c r="AM210" s="2"/>
      <c r="AP210" s="2"/>
    </row>
    <row r="211" spans="4:42" x14ac:dyDescent="0.25">
      <c r="D211" s="2"/>
      <c r="G211" s="2"/>
      <c r="AC211" s="2"/>
      <c r="AG211" s="2"/>
      <c r="AJ211" s="2"/>
      <c r="AM211" s="2"/>
      <c r="AP211" s="2"/>
    </row>
    <row r="212" spans="4:42" x14ac:dyDescent="0.25">
      <c r="D212" s="2"/>
      <c r="G212" s="2"/>
      <c r="AC212" s="2"/>
      <c r="AG212" s="2"/>
      <c r="AJ212" s="2"/>
      <c r="AM212" s="2"/>
      <c r="AP212" s="2"/>
    </row>
    <row r="213" spans="4:42" x14ac:dyDescent="0.25">
      <c r="D213" s="2"/>
      <c r="G213" s="2"/>
      <c r="AC213" s="2"/>
      <c r="AG213" s="2"/>
      <c r="AJ213" s="2"/>
      <c r="AM213" s="2"/>
      <c r="AP213" s="2"/>
    </row>
    <row r="214" spans="4:42" x14ac:dyDescent="0.25">
      <c r="D214" s="2"/>
      <c r="G214" s="2"/>
      <c r="AC214" s="2"/>
      <c r="AG214" s="2"/>
      <c r="AJ214" s="2"/>
      <c r="AM214" s="2"/>
      <c r="AP214" s="2"/>
    </row>
    <row r="215" spans="4:42" x14ac:dyDescent="0.25">
      <c r="D215" s="2"/>
      <c r="G215" s="2"/>
      <c r="AC215" s="2"/>
      <c r="AG215" s="2"/>
      <c r="AJ215" s="2"/>
      <c r="AM215" s="2"/>
      <c r="AP215" s="2"/>
    </row>
    <row r="216" spans="4:42" x14ac:dyDescent="0.25">
      <c r="D216" s="2"/>
      <c r="G216" s="2"/>
      <c r="AC216" s="2"/>
      <c r="AG216" s="2"/>
      <c r="AJ216" s="2"/>
      <c r="AM216" s="2"/>
      <c r="AP216" s="2"/>
    </row>
    <row r="217" spans="4:42" x14ac:dyDescent="0.25">
      <c r="D217" s="2"/>
      <c r="G217" s="2"/>
      <c r="AC217" s="2"/>
      <c r="AG217" s="2"/>
      <c r="AJ217" s="2"/>
      <c r="AM217" s="2"/>
      <c r="AP217" s="2"/>
    </row>
    <row r="218" spans="4:42" x14ac:dyDescent="0.25">
      <c r="D218" s="2"/>
      <c r="G218" s="2"/>
      <c r="AC218" s="2"/>
      <c r="AG218" s="2"/>
      <c r="AJ218" s="2"/>
      <c r="AM218" s="2"/>
      <c r="AP218" s="2"/>
    </row>
    <row r="219" spans="4:42" x14ac:dyDescent="0.25">
      <c r="D219" s="2"/>
      <c r="G219" s="2"/>
      <c r="AC219" s="2"/>
      <c r="AG219" s="2"/>
      <c r="AJ219" s="2"/>
      <c r="AM219" s="2"/>
      <c r="AP219" s="2"/>
    </row>
    <row r="220" spans="4:42" x14ac:dyDescent="0.25">
      <c r="D220" s="2"/>
      <c r="G220" s="2"/>
      <c r="AC220" s="2"/>
      <c r="AG220" s="2"/>
      <c r="AJ220" s="2"/>
      <c r="AM220" s="2"/>
      <c r="AP220" s="2"/>
    </row>
    <row r="221" spans="4:42" x14ac:dyDescent="0.25">
      <c r="D221" s="2"/>
      <c r="G221" s="2"/>
      <c r="AC221" s="2"/>
      <c r="AG221" s="2"/>
      <c r="AJ221" s="2"/>
      <c r="AM221" s="2"/>
      <c r="AP221" s="2"/>
    </row>
    <row r="222" spans="4:42" x14ac:dyDescent="0.25">
      <c r="D222" s="2"/>
      <c r="G222" s="2"/>
      <c r="AC222" s="2"/>
      <c r="AG222" s="2"/>
      <c r="AJ222" s="2"/>
      <c r="AM222" s="2"/>
      <c r="AP222" s="2"/>
    </row>
    <row r="223" spans="4:42" x14ac:dyDescent="0.25">
      <c r="D223" s="2"/>
      <c r="G223" s="2"/>
      <c r="AC223" s="2"/>
      <c r="AG223" s="2"/>
      <c r="AJ223" s="2"/>
      <c r="AM223" s="2"/>
      <c r="AP223" s="2"/>
    </row>
    <row r="224" spans="4:42" x14ac:dyDescent="0.25">
      <c r="D224" s="2"/>
      <c r="G224" s="2"/>
      <c r="AC224" s="2"/>
      <c r="AG224" s="2"/>
      <c r="AJ224" s="2"/>
      <c r="AM224" s="2"/>
      <c r="AP224" s="2"/>
    </row>
    <row r="225" spans="4:42" x14ac:dyDescent="0.25">
      <c r="D225" s="2"/>
      <c r="G225" s="2"/>
      <c r="AC225" s="2"/>
      <c r="AG225" s="2"/>
      <c r="AJ225" s="2"/>
      <c r="AM225" s="2"/>
      <c r="AP225" s="2"/>
    </row>
    <row r="226" spans="4:42" x14ac:dyDescent="0.25">
      <c r="D226" s="2"/>
      <c r="G226" s="2"/>
      <c r="AC226" s="2"/>
      <c r="AG226" s="2"/>
      <c r="AJ226" s="2"/>
      <c r="AM226" s="2"/>
      <c r="AP226" s="2"/>
    </row>
    <row r="227" spans="4:42" x14ac:dyDescent="0.25">
      <c r="D227" s="2"/>
      <c r="G227" s="2"/>
      <c r="AC227" s="2"/>
      <c r="AG227" s="2"/>
      <c r="AJ227" s="2"/>
      <c r="AM227" s="2"/>
      <c r="AP227" s="2"/>
    </row>
    <row r="228" spans="4:42" x14ac:dyDescent="0.25">
      <c r="D228" s="2"/>
      <c r="G228" s="2"/>
      <c r="AC228" s="2"/>
      <c r="AG228" s="2"/>
      <c r="AJ228" s="2"/>
      <c r="AM228" s="2"/>
      <c r="AP228" s="2"/>
    </row>
    <row r="229" spans="4:42" x14ac:dyDescent="0.25">
      <c r="D229" s="2"/>
      <c r="G229" s="2"/>
      <c r="AC229" s="2"/>
      <c r="AG229" s="2"/>
      <c r="AJ229" s="2"/>
      <c r="AM229" s="2"/>
      <c r="AP229" s="2"/>
    </row>
    <row r="230" spans="4:42" x14ac:dyDescent="0.25">
      <c r="D230" s="2"/>
      <c r="G230" s="2"/>
      <c r="AC230" s="2"/>
      <c r="AG230" s="2"/>
      <c r="AJ230" s="2"/>
      <c r="AM230" s="2"/>
      <c r="AP230" s="2"/>
    </row>
    <row r="231" spans="4:42" x14ac:dyDescent="0.25">
      <c r="D231" s="2"/>
      <c r="G231" s="2"/>
      <c r="AC231" s="2"/>
      <c r="AG231" s="2"/>
      <c r="AJ231" s="2"/>
      <c r="AM231" s="2"/>
      <c r="AP231" s="2"/>
    </row>
    <row r="232" spans="4:42" x14ac:dyDescent="0.25">
      <c r="D232" s="2"/>
      <c r="G232" s="2"/>
      <c r="AC232" s="2"/>
      <c r="AG232" s="2"/>
      <c r="AJ232" s="2"/>
      <c r="AM232" s="2"/>
      <c r="AP232" s="2"/>
    </row>
    <row r="233" spans="4:42" x14ac:dyDescent="0.25">
      <c r="D233" s="2"/>
      <c r="G233" s="2"/>
      <c r="AC233" s="2"/>
      <c r="AG233" s="2"/>
      <c r="AJ233" s="2"/>
      <c r="AM233" s="2"/>
      <c r="AP233" s="2"/>
    </row>
    <row r="234" spans="4:42" x14ac:dyDescent="0.25">
      <c r="D234" s="2"/>
      <c r="G234" s="2"/>
      <c r="AC234" s="2"/>
      <c r="AG234" s="2"/>
      <c r="AJ234" s="2"/>
      <c r="AM234" s="2"/>
      <c r="AP234" s="2"/>
    </row>
    <row r="235" spans="4:42" x14ac:dyDescent="0.25">
      <c r="D235" s="2"/>
      <c r="G235" s="2"/>
      <c r="AC235" s="2"/>
      <c r="AG235" s="2"/>
      <c r="AJ235" s="2"/>
      <c r="AM235" s="2"/>
      <c r="AP235" s="2"/>
    </row>
    <row r="236" spans="4:42" x14ac:dyDescent="0.25">
      <c r="D236" s="2"/>
      <c r="G236" s="2"/>
      <c r="AC236" s="2"/>
      <c r="AG236" s="2"/>
      <c r="AJ236" s="2"/>
      <c r="AM236" s="2"/>
      <c r="AP236" s="2"/>
    </row>
    <row r="237" spans="4:42" x14ac:dyDescent="0.25">
      <c r="D237" s="2"/>
      <c r="G237" s="2"/>
      <c r="AC237" s="2"/>
      <c r="AG237" s="2"/>
      <c r="AJ237" s="2"/>
      <c r="AM237" s="2"/>
      <c r="AP237" s="2"/>
    </row>
    <row r="238" spans="4:42" x14ac:dyDescent="0.25">
      <c r="D238" s="2"/>
      <c r="G238" s="2"/>
      <c r="AC238" s="2"/>
      <c r="AG238" s="2"/>
      <c r="AJ238" s="2"/>
      <c r="AM238" s="2"/>
      <c r="AP238" s="2"/>
    </row>
    <row r="239" spans="4:42" x14ac:dyDescent="0.25">
      <c r="D239" s="2"/>
      <c r="G239" s="2"/>
      <c r="AC239" s="2"/>
      <c r="AG239" s="2"/>
      <c r="AJ239" s="2"/>
      <c r="AM239" s="2"/>
      <c r="AP239" s="2"/>
    </row>
    <row r="240" spans="4:42" x14ac:dyDescent="0.25">
      <c r="D240" s="2"/>
      <c r="G240" s="2"/>
      <c r="AC240" s="2"/>
      <c r="AG240" s="2"/>
      <c r="AJ240" s="2"/>
      <c r="AM240" s="2"/>
      <c r="AP240" s="2"/>
    </row>
    <row r="241" spans="4:42" x14ac:dyDescent="0.25">
      <c r="D241" s="2"/>
      <c r="G241" s="2"/>
      <c r="AC241" s="2"/>
      <c r="AG241" s="2"/>
      <c r="AJ241" s="2"/>
      <c r="AM241" s="2"/>
      <c r="AP241" s="2"/>
    </row>
    <row r="242" spans="4:42" x14ac:dyDescent="0.25">
      <c r="D242" s="2"/>
      <c r="G242" s="2"/>
      <c r="AC242" s="2"/>
      <c r="AG242" s="2"/>
      <c r="AJ242" s="2"/>
      <c r="AM242" s="2"/>
      <c r="AP242" s="2"/>
    </row>
    <row r="243" spans="4:42" x14ac:dyDescent="0.25">
      <c r="D243" s="2"/>
      <c r="G243" s="2"/>
      <c r="AC243" s="2"/>
      <c r="AG243" s="2"/>
      <c r="AJ243" s="2"/>
      <c r="AM243" s="2"/>
      <c r="AP243" s="2"/>
    </row>
    <row r="244" spans="4:42" x14ac:dyDescent="0.25">
      <c r="D244" s="2"/>
      <c r="G244" s="2"/>
      <c r="AC244" s="2"/>
      <c r="AG244" s="2"/>
      <c r="AJ244" s="2"/>
      <c r="AM244" s="2"/>
      <c r="AP244" s="2"/>
    </row>
    <row r="245" spans="4:42" x14ac:dyDescent="0.25">
      <c r="D245" s="2"/>
      <c r="G245" s="2"/>
      <c r="AC245" s="2"/>
      <c r="AG245" s="2"/>
      <c r="AJ245" s="2"/>
      <c r="AM245" s="2"/>
      <c r="AP245" s="2"/>
    </row>
    <row r="246" spans="4:42" x14ac:dyDescent="0.25">
      <c r="D246" s="2"/>
      <c r="G246" s="2"/>
      <c r="AC246" s="2"/>
      <c r="AG246" s="2"/>
      <c r="AJ246" s="2"/>
      <c r="AM246" s="2"/>
      <c r="AP246" s="2"/>
    </row>
    <row r="247" spans="4:42" x14ac:dyDescent="0.25">
      <c r="D247" s="2"/>
      <c r="G247" s="2"/>
      <c r="AC247" s="2"/>
      <c r="AG247" s="2"/>
      <c r="AJ247" s="2"/>
      <c r="AM247" s="2"/>
      <c r="AP247" s="2"/>
    </row>
    <row r="248" spans="4:42" x14ac:dyDescent="0.25">
      <c r="D248" s="2"/>
      <c r="G248" s="2"/>
      <c r="AC248" s="2"/>
      <c r="AG248" s="2"/>
      <c r="AJ248" s="2"/>
      <c r="AM248" s="2"/>
      <c r="AP248" s="2"/>
    </row>
    <row r="249" spans="4:42" x14ac:dyDescent="0.25">
      <c r="D249" s="2"/>
      <c r="G249" s="2"/>
      <c r="AC249" s="2"/>
      <c r="AG249" s="2"/>
      <c r="AJ249" s="2"/>
      <c r="AM249" s="2"/>
      <c r="AP249" s="2"/>
    </row>
    <row r="250" spans="4:42" x14ac:dyDescent="0.25">
      <c r="D250" s="2"/>
      <c r="G250" s="2"/>
      <c r="AC250" s="2"/>
      <c r="AG250" s="2"/>
      <c r="AJ250" s="2"/>
      <c r="AM250" s="2"/>
      <c r="AP250" s="2"/>
    </row>
    <row r="251" spans="4:42" x14ac:dyDescent="0.25">
      <c r="D251" s="2"/>
      <c r="G251" s="2"/>
      <c r="AC251" s="2"/>
      <c r="AG251" s="2"/>
      <c r="AJ251" s="2"/>
      <c r="AM251" s="2"/>
      <c r="AP251" s="2"/>
    </row>
    <row r="252" spans="4:42" x14ac:dyDescent="0.25">
      <c r="D252" s="2"/>
      <c r="G252" s="2"/>
      <c r="AC252" s="2"/>
      <c r="AG252" s="2"/>
      <c r="AJ252" s="2"/>
      <c r="AM252" s="2"/>
      <c r="AP252" s="2"/>
    </row>
    <row r="253" spans="4:42" x14ac:dyDescent="0.25">
      <c r="D253" s="2"/>
      <c r="G253" s="2"/>
      <c r="AC253" s="2"/>
      <c r="AG253" s="2"/>
      <c r="AJ253" s="2"/>
      <c r="AM253" s="2"/>
      <c r="AP253" s="2"/>
    </row>
    <row r="254" spans="4:42" x14ac:dyDescent="0.25">
      <c r="D254" s="2"/>
      <c r="G254" s="2"/>
      <c r="AC254" s="2"/>
      <c r="AG254" s="2"/>
      <c r="AJ254" s="2"/>
      <c r="AM254" s="2"/>
      <c r="AP254" s="2"/>
    </row>
    <row r="255" spans="4:42" x14ac:dyDescent="0.25">
      <c r="D255" s="2"/>
      <c r="G255" s="2"/>
      <c r="AC255" s="2"/>
      <c r="AG255" s="2"/>
      <c r="AJ255" s="2"/>
      <c r="AM255" s="2"/>
      <c r="AP255" s="2"/>
    </row>
    <row r="256" spans="4:42" x14ac:dyDescent="0.25">
      <c r="D256" s="2"/>
      <c r="G256" s="2"/>
      <c r="AC256" s="2"/>
      <c r="AG256" s="2"/>
      <c r="AJ256" s="2"/>
      <c r="AM256" s="2"/>
      <c r="AP256" s="2"/>
    </row>
    <row r="257" spans="4:42" x14ac:dyDescent="0.25">
      <c r="D257" s="2"/>
      <c r="G257" s="2"/>
      <c r="AC257" s="2"/>
      <c r="AG257" s="2"/>
      <c r="AJ257" s="2"/>
      <c r="AM257" s="2"/>
      <c r="AP257" s="2"/>
    </row>
    <row r="258" spans="4:42" x14ac:dyDescent="0.25">
      <c r="D258" s="2"/>
      <c r="G258" s="2"/>
      <c r="AC258" s="2"/>
      <c r="AG258" s="2"/>
      <c r="AJ258" s="2"/>
      <c r="AM258" s="2"/>
      <c r="AP258" s="2"/>
    </row>
    <row r="259" spans="4:42" x14ac:dyDescent="0.25">
      <c r="D259" s="2"/>
      <c r="G259" s="2"/>
      <c r="AC259" s="2"/>
      <c r="AG259" s="2"/>
      <c r="AJ259" s="2"/>
      <c r="AM259" s="2"/>
      <c r="AP259" s="2"/>
    </row>
    <row r="260" spans="4:42" x14ac:dyDescent="0.25">
      <c r="D260" s="2"/>
      <c r="G260" s="2"/>
      <c r="AC260" s="2"/>
      <c r="AG260" s="2"/>
      <c r="AJ260" s="2"/>
      <c r="AM260" s="2"/>
      <c r="AP260" s="2"/>
    </row>
    <row r="261" spans="4:42" x14ac:dyDescent="0.25">
      <c r="D261" s="2"/>
      <c r="G261" s="2"/>
      <c r="AC261" s="2"/>
      <c r="AG261" s="2"/>
      <c r="AJ261" s="2"/>
      <c r="AM261" s="2"/>
      <c r="AP261" s="2"/>
    </row>
    <row r="262" spans="4:42" x14ac:dyDescent="0.25">
      <c r="D262" s="2"/>
      <c r="G262" s="2"/>
      <c r="AC262" s="2"/>
      <c r="AG262" s="2"/>
      <c r="AJ262" s="2"/>
      <c r="AM262" s="2"/>
      <c r="AP262" s="2"/>
    </row>
    <row r="263" spans="4:42" x14ac:dyDescent="0.25">
      <c r="D263" s="2"/>
      <c r="G263" s="2"/>
      <c r="AC263" s="2"/>
      <c r="AG263" s="2"/>
      <c r="AJ263" s="2"/>
      <c r="AM263" s="2"/>
      <c r="AP263" s="2"/>
    </row>
    <row r="264" spans="4:42" x14ac:dyDescent="0.25">
      <c r="D264" s="2"/>
      <c r="G264" s="2"/>
      <c r="AC264" s="2"/>
      <c r="AG264" s="2"/>
      <c r="AJ264" s="2"/>
      <c r="AM264" s="2"/>
      <c r="AP264" s="2"/>
    </row>
    <row r="265" spans="4:42" x14ac:dyDescent="0.25">
      <c r="D265" s="2"/>
      <c r="G265" s="2"/>
      <c r="AC265" s="2"/>
      <c r="AG265" s="2"/>
      <c r="AJ265" s="2"/>
      <c r="AM265" s="2"/>
      <c r="AP265" s="2"/>
    </row>
    <row r="266" spans="4:42" x14ac:dyDescent="0.25">
      <c r="D266" s="2"/>
      <c r="G266" s="2"/>
      <c r="AC266" s="2"/>
      <c r="AG266" s="2"/>
      <c r="AJ266" s="2"/>
      <c r="AM266" s="2"/>
      <c r="AP266" s="2"/>
    </row>
    <row r="267" spans="4:42" x14ac:dyDescent="0.25">
      <c r="D267" s="2"/>
      <c r="G267" s="2"/>
      <c r="AC267" s="2"/>
      <c r="AG267" s="2"/>
      <c r="AJ267" s="2"/>
      <c r="AM267" s="2"/>
      <c r="AP267" s="2"/>
    </row>
    <row r="268" spans="4:42" x14ac:dyDescent="0.25">
      <c r="D268" s="2"/>
      <c r="G268" s="2"/>
      <c r="AC268" s="2"/>
      <c r="AG268" s="2"/>
      <c r="AJ268" s="2"/>
      <c r="AM268" s="2"/>
      <c r="AP268" s="2"/>
    </row>
    <row r="269" spans="4:42" x14ac:dyDescent="0.25">
      <c r="D269" s="2"/>
      <c r="G269" s="2"/>
      <c r="AC269" s="2"/>
      <c r="AG269" s="2"/>
      <c r="AJ269" s="2"/>
      <c r="AM269" s="2"/>
      <c r="AP269" s="2"/>
    </row>
    <row r="270" spans="4:42" x14ac:dyDescent="0.25">
      <c r="D270" s="2"/>
      <c r="G270" s="2"/>
      <c r="AC270" s="2"/>
      <c r="AG270" s="2"/>
      <c r="AJ270" s="2"/>
      <c r="AM270" s="2"/>
      <c r="AP270" s="2"/>
    </row>
    <row r="271" spans="4:42" x14ac:dyDescent="0.25">
      <c r="D271" s="2"/>
      <c r="G271" s="2"/>
      <c r="AC271" s="2"/>
      <c r="AG271" s="2"/>
      <c r="AJ271" s="2"/>
      <c r="AM271" s="2"/>
      <c r="AP271" s="2"/>
    </row>
    <row r="272" spans="4:42" x14ac:dyDescent="0.25">
      <c r="D272" s="2"/>
      <c r="G272" s="2"/>
      <c r="AC272" s="2"/>
      <c r="AG272" s="2"/>
      <c r="AJ272" s="2"/>
      <c r="AM272" s="2"/>
      <c r="AP272" s="2"/>
    </row>
    <row r="273" spans="4:42" x14ac:dyDescent="0.25">
      <c r="D273" s="2"/>
      <c r="G273" s="2"/>
      <c r="AC273" s="2"/>
      <c r="AG273" s="2"/>
      <c r="AJ273" s="2"/>
      <c r="AM273" s="2"/>
      <c r="AP273" s="2"/>
    </row>
    <row r="274" spans="4:42" x14ac:dyDescent="0.25">
      <c r="D274" s="2"/>
      <c r="G274" s="2"/>
      <c r="AC274" s="2"/>
      <c r="AG274" s="2"/>
      <c r="AJ274" s="2"/>
      <c r="AM274" s="2"/>
      <c r="AP274" s="2"/>
    </row>
    <row r="275" spans="4:42" x14ac:dyDescent="0.25">
      <c r="D275" s="2"/>
      <c r="G275" s="2"/>
      <c r="AC275" s="2"/>
      <c r="AG275" s="2"/>
      <c r="AJ275" s="2"/>
      <c r="AM275" s="2"/>
      <c r="AP275" s="2"/>
    </row>
    <row r="276" spans="4:42" x14ac:dyDescent="0.25">
      <c r="D276" s="2"/>
      <c r="G276" s="2"/>
      <c r="AC276" s="2"/>
      <c r="AG276" s="2"/>
      <c r="AJ276" s="2"/>
      <c r="AM276" s="2"/>
      <c r="AP276" s="2"/>
    </row>
    <row r="277" spans="4:42" x14ac:dyDescent="0.25">
      <c r="D277" s="2"/>
      <c r="G277" s="2"/>
      <c r="AC277" s="2"/>
      <c r="AG277" s="2"/>
      <c r="AJ277" s="2"/>
      <c r="AM277" s="2"/>
      <c r="AP277" s="2"/>
    </row>
    <row r="278" spans="4:42" x14ac:dyDescent="0.25">
      <c r="D278" s="2"/>
      <c r="G278" s="2"/>
      <c r="AC278" s="2"/>
      <c r="AG278" s="2"/>
      <c r="AJ278" s="2"/>
      <c r="AM278" s="2"/>
      <c r="AP278" s="2"/>
    </row>
    <row r="279" spans="4:42" x14ac:dyDescent="0.25">
      <c r="D279" s="2"/>
      <c r="G279" s="2"/>
      <c r="AC279" s="2"/>
      <c r="AG279" s="2"/>
      <c r="AJ279" s="2"/>
      <c r="AM279" s="2"/>
      <c r="AP279" s="2"/>
    </row>
    <row r="280" spans="4:42" x14ac:dyDescent="0.25">
      <c r="D280" s="2"/>
      <c r="G280" s="2"/>
      <c r="AC280" s="2"/>
      <c r="AG280" s="2"/>
      <c r="AJ280" s="2"/>
      <c r="AM280" s="2"/>
      <c r="AP280" s="2"/>
    </row>
    <row r="281" spans="4:42" x14ac:dyDescent="0.25">
      <c r="D281" s="2"/>
      <c r="G281" s="2"/>
      <c r="AC281" s="2"/>
      <c r="AG281" s="2"/>
      <c r="AJ281" s="2"/>
      <c r="AM281" s="2"/>
      <c r="AP281" s="2"/>
    </row>
    <row r="282" spans="4:42" x14ac:dyDescent="0.25">
      <c r="D282" s="2"/>
      <c r="G282" s="2"/>
      <c r="AC282" s="2"/>
      <c r="AG282" s="2"/>
      <c r="AJ282" s="2"/>
      <c r="AM282" s="2"/>
      <c r="AP282" s="2"/>
    </row>
    <row r="283" spans="4:42" x14ac:dyDescent="0.25">
      <c r="D283" s="2"/>
      <c r="G283" s="2"/>
      <c r="AC283" s="2"/>
      <c r="AG283" s="2"/>
      <c r="AJ283" s="2"/>
      <c r="AM283" s="2"/>
      <c r="AP283" s="2"/>
    </row>
    <row r="284" spans="4:42" x14ac:dyDescent="0.25">
      <c r="D284" s="2"/>
      <c r="G284" s="2"/>
      <c r="AC284" s="2"/>
      <c r="AG284" s="2"/>
      <c r="AJ284" s="2"/>
      <c r="AM284" s="2"/>
      <c r="AP284" s="2"/>
    </row>
    <row r="285" spans="4:42" x14ac:dyDescent="0.25">
      <c r="D285" s="2"/>
      <c r="G285" s="2"/>
      <c r="AC285" s="2"/>
      <c r="AG285" s="2"/>
      <c r="AJ285" s="2"/>
      <c r="AM285" s="2"/>
      <c r="AP285" s="2"/>
    </row>
    <row r="286" spans="4:42" x14ac:dyDescent="0.25">
      <c r="D286" s="2"/>
      <c r="G286" s="2"/>
      <c r="AC286" s="2"/>
      <c r="AG286" s="2"/>
      <c r="AJ286" s="2"/>
      <c r="AM286" s="2"/>
      <c r="AP286" s="2"/>
    </row>
    <row r="287" spans="4:42" x14ac:dyDescent="0.25">
      <c r="D287" s="2"/>
      <c r="G287" s="2"/>
      <c r="AC287" s="2"/>
      <c r="AG287" s="2"/>
      <c r="AJ287" s="2"/>
      <c r="AM287" s="2"/>
      <c r="AP287" s="2"/>
    </row>
    <row r="288" spans="4:42" x14ac:dyDescent="0.25">
      <c r="D288" s="2"/>
      <c r="G288" s="2"/>
      <c r="AC288" s="2"/>
      <c r="AG288" s="2"/>
      <c r="AJ288" s="2"/>
      <c r="AM288" s="2"/>
      <c r="AP288" s="2"/>
    </row>
    <row r="289" spans="4:42" x14ac:dyDescent="0.25">
      <c r="D289" s="2"/>
      <c r="G289" s="2"/>
      <c r="AC289" s="2"/>
      <c r="AG289" s="2"/>
      <c r="AJ289" s="2"/>
      <c r="AM289" s="2"/>
      <c r="AP289" s="2"/>
    </row>
    <row r="290" spans="4:42" x14ac:dyDescent="0.25">
      <c r="D290" s="2"/>
      <c r="G290" s="2"/>
      <c r="AC290" s="2"/>
      <c r="AG290" s="2"/>
      <c r="AJ290" s="2"/>
      <c r="AM290" s="2"/>
      <c r="AP290" s="2"/>
    </row>
    <row r="291" spans="4:42" x14ac:dyDescent="0.25">
      <c r="D291" s="2"/>
      <c r="G291" s="2"/>
      <c r="AC291" s="2"/>
      <c r="AG291" s="2"/>
      <c r="AJ291" s="2"/>
      <c r="AM291" s="2"/>
      <c r="AP291" s="2"/>
    </row>
    <row r="292" spans="4:42" x14ac:dyDescent="0.25">
      <c r="D292" s="2"/>
      <c r="G292" s="2"/>
      <c r="AC292" s="2"/>
      <c r="AG292" s="2"/>
      <c r="AJ292" s="2"/>
      <c r="AM292" s="2"/>
      <c r="AP292" s="2"/>
    </row>
    <row r="293" spans="4:42" x14ac:dyDescent="0.25">
      <c r="D293" s="2"/>
      <c r="G293" s="2"/>
      <c r="AC293" s="2"/>
      <c r="AG293" s="2"/>
      <c r="AJ293" s="2"/>
      <c r="AM293" s="2"/>
      <c r="AP293" s="2"/>
    </row>
    <row r="294" spans="4:42" x14ac:dyDescent="0.25">
      <c r="D294" s="2"/>
      <c r="G294" s="2"/>
      <c r="AC294" s="2"/>
      <c r="AG294" s="2"/>
      <c r="AJ294" s="2"/>
      <c r="AM294" s="2"/>
      <c r="AP294" s="2"/>
    </row>
    <row r="295" spans="4:42" x14ac:dyDescent="0.25">
      <c r="D295" s="2"/>
      <c r="G295" s="2"/>
      <c r="AC295" s="2"/>
      <c r="AG295" s="2"/>
      <c r="AJ295" s="2"/>
      <c r="AM295" s="2"/>
      <c r="AP295" s="2"/>
    </row>
    <row r="296" spans="4:42" x14ac:dyDescent="0.25">
      <c r="D296" s="2"/>
      <c r="G296" s="2"/>
      <c r="AC296" s="2"/>
      <c r="AG296" s="2"/>
      <c r="AJ296" s="2"/>
      <c r="AM296" s="2"/>
      <c r="AP296" s="2"/>
    </row>
    <row r="297" spans="4:42" x14ac:dyDescent="0.25">
      <c r="D297" s="2"/>
      <c r="G297" s="2"/>
      <c r="AC297" s="2"/>
      <c r="AG297" s="2"/>
      <c r="AJ297" s="2"/>
      <c r="AM297" s="2"/>
      <c r="AP297" s="2"/>
    </row>
    <row r="298" spans="4:42" x14ac:dyDescent="0.25">
      <c r="D298" s="2"/>
      <c r="G298" s="2"/>
      <c r="AC298" s="2"/>
      <c r="AG298" s="2"/>
      <c r="AJ298" s="2"/>
      <c r="AM298" s="2"/>
      <c r="AP298" s="2"/>
    </row>
    <row r="299" spans="4:42" x14ac:dyDescent="0.25">
      <c r="D299" s="2"/>
      <c r="G299" s="2"/>
      <c r="AC299" s="2"/>
      <c r="AG299" s="2"/>
      <c r="AJ299" s="2"/>
      <c r="AM299" s="2"/>
      <c r="AP299" s="2"/>
    </row>
    <row r="300" spans="4:42" x14ac:dyDescent="0.25">
      <c r="D300" s="2"/>
      <c r="G300" s="2"/>
      <c r="AC300" s="2"/>
      <c r="AG300" s="2"/>
      <c r="AJ300" s="2"/>
      <c r="AM300" s="2"/>
      <c r="AP300" s="2"/>
    </row>
    <row r="301" spans="4:42" x14ac:dyDescent="0.25">
      <c r="D301" s="2"/>
      <c r="G301" s="2"/>
      <c r="AC301" s="2"/>
      <c r="AG301" s="2"/>
      <c r="AJ301" s="2"/>
      <c r="AM301" s="2"/>
      <c r="AP301" s="2"/>
    </row>
    <row r="302" spans="4:42" x14ac:dyDescent="0.25">
      <c r="D302" s="2"/>
      <c r="G302" s="2"/>
      <c r="AC302" s="2"/>
      <c r="AG302" s="2"/>
      <c r="AJ302" s="2"/>
      <c r="AM302" s="2"/>
      <c r="AP302" s="2"/>
    </row>
    <row r="303" spans="4:42" x14ac:dyDescent="0.25">
      <c r="D303" s="2"/>
      <c r="G303" s="2"/>
      <c r="AC303" s="2"/>
      <c r="AG303" s="2"/>
      <c r="AJ303" s="2"/>
      <c r="AM303" s="2"/>
      <c r="AP303" s="2"/>
    </row>
    <row r="304" spans="4:42" x14ac:dyDescent="0.25">
      <c r="D304" s="2"/>
      <c r="G304" s="2"/>
      <c r="AC304" s="2"/>
      <c r="AG304" s="2"/>
      <c r="AJ304" s="2"/>
      <c r="AM304" s="2"/>
      <c r="AP304" s="2"/>
    </row>
    <row r="305" spans="4:42" x14ac:dyDescent="0.25">
      <c r="D305" s="2"/>
      <c r="G305" s="2"/>
      <c r="AC305" s="2"/>
      <c r="AG305" s="2"/>
      <c r="AJ305" s="2"/>
      <c r="AM305" s="2"/>
      <c r="AP305" s="2"/>
    </row>
    <row r="306" spans="4:42" x14ac:dyDescent="0.25">
      <c r="D306" s="2"/>
      <c r="G306" s="2"/>
      <c r="AC306" s="2"/>
      <c r="AG306" s="2"/>
      <c r="AJ306" s="2"/>
      <c r="AM306" s="2"/>
      <c r="AP306" s="2"/>
    </row>
    <row r="307" spans="4:42" x14ac:dyDescent="0.25">
      <c r="D307" s="2"/>
      <c r="G307" s="2"/>
      <c r="AC307" s="2"/>
      <c r="AG307" s="2"/>
      <c r="AJ307" s="2"/>
      <c r="AM307" s="2"/>
      <c r="AP307" s="2"/>
    </row>
    <row r="308" spans="4:42" x14ac:dyDescent="0.25">
      <c r="D308" s="2"/>
      <c r="G308" s="2"/>
      <c r="AC308" s="2"/>
      <c r="AG308" s="2"/>
      <c r="AJ308" s="2"/>
      <c r="AM308" s="2"/>
      <c r="AP308" s="2"/>
    </row>
    <row r="309" spans="4:42" x14ac:dyDescent="0.25">
      <c r="D309" s="2"/>
      <c r="G309" s="2"/>
      <c r="AC309" s="2"/>
      <c r="AG309" s="2"/>
      <c r="AJ309" s="2"/>
      <c r="AM309" s="2"/>
      <c r="AP309" s="2"/>
    </row>
    <row r="310" spans="4:42" x14ac:dyDescent="0.25">
      <c r="D310" s="2"/>
      <c r="G310" s="2"/>
      <c r="AC310" s="2"/>
      <c r="AG310" s="2"/>
      <c r="AJ310" s="2"/>
      <c r="AM310" s="2"/>
      <c r="AP310" s="2"/>
    </row>
    <row r="311" spans="4:42" x14ac:dyDescent="0.25">
      <c r="D311" s="2"/>
      <c r="G311" s="2"/>
      <c r="AC311" s="2"/>
      <c r="AG311" s="2"/>
      <c r="AJ311" s="2"/>
      <c r="AM311" s="2"/>
      <c r="AP311" s="2"/>
    </row>
    <row r="312" spans="4:42" x14ac:dyDescent="0.25">
      <c r="D312" s="2"/>
      <c r="G312" s="2"/>
      <c r="AC312" s="2"/>
      <c r="AG312" s="2"/>
      <c r="AJ312" s="2"/>
      <c r="AM312" s="2"/>
      <c r="AP312" s="2"/>
    </row>
    <row r="313" spans="4:42" x14ac:dyDescent="0.25">
      <c r="D313" s="2"/>
      <c r="G313" s="2"/>
      <c r="AC313" s="2"/>
      <c r="AG313" s="2"/>
      <c r="AJ313" s="2"/>
      <c r="AM313" s="2"/>
      <c r="AP313" s="2"/>
    </row>
    <row r="314" spans="4:42" x14ac:dyDescent="0.25">
      <c r="D314" s="2"/>
      <c r="G314" s="2"/>
      <c r="AC314" s="2"/>
      <c r="AG314" s="2"/>
      <c r="AJ314" s="2"/>
      <c r="AM314" s="2"/>
      <c r="AP314" s="2"/>
    </row>
    <row r="315" spans="4:42" x14ac:dyDescent="0.25">
      <c r="D315" s="2"/>
      <c r="G315" s="2"/>
      <c r="AC315" s="2"/>
      <c r="AG315" s="2"/>
      <c r="AJ315" s="2"/>
      <c r="AM315" s="2"/>
      <c r="AP315" s="2"/>
    </row>
    <row r="316" spans="4:42" x14ac:dyDescent="0.25">
      <c r="D316" s="2"/>
      <c r="G316" s="2"/>
      <c r="AC316" s="2"/>
      <c r="AG316" s="2"/>
      <c r="AJ316" s="2"/>
      <c r="AM316" s="2"/>
      <c r="AP316" s="2"/>
    </row>
    <row r="317" spans="4:42" x14ac:dyDescent="0.25">
      <c r="D317" s="2"/>
      <c r="G317" s="2"/>
      <c r="AC317" s="2"/>
      <c r="AG317" s="2"/>
      <c r="AJ317" s="2"/>
      <c r="AM317" s="2"/>
      <c r="AP317" s="2"/>
    </row>
    <row r="318" spans="4:42" x14ac:dyDescent="0.25">
      <c r="D318" s="2"/>
      <c r="G318" s="2"/>
      <c r="AC318" s="2"/>
      <c r="AG318" s="2"/>
      <c r="AJ318" s="2"/>
      <c r="AM318" s="2"/>
      <c r="AP318" s="2"/>
    </row>
    <row r="319" spans="4:42" x14ac:dyDescent="0.25">
      <c r="D319" s="2"/>
      <c r="G319" s="2"/>
      <c r="AC319" s="2"/>
      <c r="AG319" s="2"/>
      <c r="AJ319" s="2"/>
      <c r="AM319" s="2"/>
      <c r="AP319" s="2"/>
    </row>
    <row r="320" spans="4:42" x14ac:dyDescent="0.25">
      <c r="D320" s="2"/>
      <c r="G320" s="2"/>
      <c r="AC320" s="2"/>
      <c r="AG320" s="2"/>
      <c r="AJ320" s="2"/>
      <c r="AM320" s="2"/>
      <c r="AP320" s="2"/>
    </row>
    <row r="321" spans="4:42" x14ac:dyDescent="0.25">
      <c r="D321" s="2"/>
      <c r="G321" s="2"/>
      <c r="AC321" s="2"/>
      <c r="AG321" s="2"/>
      <c r="AJ321" s="2"/>
      <c r="AM321" s="2"/>
      <c r="AP321" s="2"/>
    </row>
    <row r="322" spans="4:42" x14ac:dyDescent="0.25">
      <c r="D322" s="2"/>
      <c r="G322" s="2"/>
      <c r="AC322" s="2"/>
      <c r="AG322" s="2"/>
      <c r="AJ322" s="2"/>
      <c r="AM322" s="2"/>
      <c r="AP322" s="2"/>
    </row>
    <row r="323" spans="4:42" x14ac:dyDescent="0.25">
      <c r="D323" s="2"/>
      <c r="G323" s="2"/>
      <c r="AC323" s="2"/>
      <c r="AG323" s="2"/>
      <c r="AJ323" s="2"/>
      <c r="AM323" s="2"/>
      <c r="AP323" s="2"/>
    </row>
    <row r="324" spans="4:42" x14ac:dyDescent="0.25">
      <c r="D324" s="2"/>
      <c r="G324" s="2"/>
      <c r="AC324" s="2"/>
      <c r="AG324" s="2"/>
      <c r="AJ324" s="2"/>
      <c r="AM324" s="2"/>
      <c r="AP324" s="2"/>
    </row>
    <row r="325" spans="4:42" x14ac:dyDescent="0.25">
      <c r="D325" s="2"/>
      <c r="G325" s="2"/>
      <c r="AC325" s="2"/>
      <c r="AG325" s="2"/>
      <c r="AJ325" s="2"/>
      <c r="AM325" s="2"/>
      <c r="AP325" s="2"/>
    </row>
    <row r="326" spans="4:42" x14ac:dyDescent="0.25">
      <c r="D326" s="2"/>
      <c r="G326" s="2"/>
      <c r="AC326" s="2"/>
      <c r="AG326" s="2"/>
      <c r="AJ326" s="2"/>
      <c r="AM326" s="2"/>
      <c r="AP326" s="2"/>
    </row>
    <row r="327" spans="4:42" x14ac:dyDescent="0.25">
      <c r="D327" s="2"/>
      <c r="G327" s="2"/>
      <c r="AC327" s="2"/>
      <c r="AG327" s="2"/>
      <c r="AJ327" s="2"/>
      <c r="AM327" s="2"/>
      <c r="AP327" s="2"/>
    </row>
    <row r="328" spans="4:42" x14ac:dyDescent="0.25">
      <c r="D328" s="2"/>
      <c r="G328" s="2"/>
      <c r="AC328" s="2"/>
      <c r="AG328" s="2"/>
      <c r="AJ328" s="2"/>
      <c r="AM328" s="2"/>
      <c r="AP328" s="2"/>
    </row>
    <row r="329" spans="4:42" x14ac:dyDescent="0.25">
      <c r="D329" s="2"/>
      <c r="G329" s="2"/>
      <c r="AC329" s="2"/>
      <c r="AG329" s="2"/>
      <c r="AJ329" s="2"/>
      <c r="AM329" s="2"/>
      <c r="AP329" s="2"/>
    </row>
    <row r="330" spans="4:42" x14ac:dyDescent="0.25">
      <c r="D330" s="2"/>
      <c r="G330" s="2"/>
      <c r="AC330" s="2"/>
      <c r="AG330" s="2"/>
      <c r="AJ330" s="2"/>
      <c r="AM330" s="2"/>
      <c r="AP330" s="2"/>
    </row>
    <row r="331" spans="4:42" x14ac:dyDescent="0.25">
      <c r="D331" s="2"/>
      <c r="G331" s="2"/>
      <c r="AC331" s="2"/>
      <c r="AG331" s="2"/>
      <c r="AJ331" s="2"/>
      <c r="AM331" s="2"/>
      <c r="AP331" s="2"/>
    </row>
    <row r="332" spans="4:42" x14ac:dyDescent="0.25">
      <c r="D332" s="2"/>
      <c r="G332" s="2"/>
      <c r="AC332" s="2"/>
      <c r="AG332" s="2"/>
      <c r="AJ332" s="2"/>
      <c r="AM332" s="2"/>
      <c r="AP332" s="2"/>
    </row>
    <row r="333" spans="4:42" x14ac:dyDescent="0.25">
      <c r="D333" s="2"/>
      <c r="G333" s="2"/>
      <c r="AC333" s="2"/>
      <c r="AG333" s="2"/>
      <c r="AJ333" s="2"/>
      <c r="AM333" s="2"/>
      <c r="AP333" s="2"/>
    </row>
    <row r="334" spans="4:42" x14ac:dyDescent="0.25">
      <c r="D334" s="2"/>
      <c r="G334" s="2"/>
      <c r="AC334" s="2"/>
      <c r="AG334" s="2"/>
      <c r="AJ334" s="2"/>
      <c r="AM334" s="2"/>
      <c r="AP334" s="2"/>
    </row>
    <row r="335" spans="4:42" x14ac:dyDescent="0.25">
      <c r="D335" s="2"/>
      <c r="G335" s="2"/>
      <c r="AC335" s="2"/>
      <c r="AG335" s="2"/>
      <c r="AJ335" s="2"/>
      <c r="AM335" s="2"/>
      <c r="AP335" s="2"/>
    </row>
    <row r="336" spans="4:42" x14ac:dyDescent="0.25">
      <c r="D336" s="2"/>
      <c r="G336" s="2"/>
      <c r="AC336" s="2"/>
      <c r="AG336" s="2"/>
      <c r="AJ336" s="2"/>
      <c r="AM336" s="2"/>
      <c r="AP336" s="2"/>
    </row>
    <row r="337" spans="4:42" x14ac:dyDescent="0.25">
      <c r="D337" s="2"/>
      <c r="G337" s="2"/>
      <c r="AC337" s="2"/>
      <c r="AG337" s="2"/>
      <c r="AJ337" s="2"/>
      <c r="AM337" s="2"/>
      <c r="AP337" s="2"/>
    </row>
    <row r="338" spans="4:42" x14ac:dyDescent="0.25">
      <c r="D338" s="2"/>
      <c r="G338" s="2"/>
      <c r="AC338" s="2"/>
      <c r="AG338" s="2"/>
      <c r="AJ338" s="2"/>
      <c r="AM338" s="2"/>
      <c r="AP338" s="2"/>
    </row>
    <row r="339" spans="4:42" x14ac:dyDescent="0.25">
      <c r="D339" s="2"/>
      <c r="G339" s="2"/>
      <c r="AC339" s="2"/>
      <c r="AG339" s="2"/>
      <c r="AJ339" s="2"/>
      <c r="AM339" s="2"/>
      <c r="AP339" s="2"/>
    </row>
    <row r="340" spans="4:42" x14ac:dyDescent="0.25">
      <c r="D340" s="2"/>
      <c r="G340" s="2"/>
      <c r="AC340" s="2"/>
      <c r="AG340" s="2"/>
      <c r="AJ340" s="2"/>
      <c r="AM340" s="2"/>
      <c r="AP340" s="2"/>
    </row>
    <row r="341" spans="4:42" x14ac:dyDescent="0.25">
      <c r="D341" s="2"/>
      <c r="G341" s="2"/>
      <c r="AC341" s="2"/>
      <c r="AG341" s="2"/>
      <c r="AJ341" s="2"/>
      <c r="AM341" s="2"/>
      <c r="AP341" s="2"/>
    </row>
    <row r="342" spans="4:42" x14ac:dyDescent="0.25">
      <c r="D342" s="2"/>
      <c r="G342" s="2"/>
      <c r="AC342" s="2"/>
      <c r="AG342" s="2"/>
      <c r="AJ342" s="2"/>
      <c r="AM342" s="2"/>
      <c r="AP342" s="2"/>
    </row>
    <row r="343" spans="4:42" x14ac:dyDescent="0.25">
      <c r="D343" s="2"/>
      <c r="G343" s="2"/>
      <c r="AC343" s="2"/>
      <c r="AG343" s="2"/>
      <c r="AJ343" s="2"/>
      <c r="AM343" s="2"/>
      <c r="AP343" s="2"/>
    </row>
    <row r="344" spans="4:42" x14ac:dyDescent="0.25">
      <c r="D344" s="2"/>
      <c r="G344" s="2"/>
      <c r="AC344" s="2"/>
      <c r="AG344" s="2"/>
      <c r="AJ344" s="2"/>
      <c r="AM344" s="2"/>
      <c r="AP344" s="2"/>
    </row>
    <row r="345" spans="4:42" x14ac:dyDescent="0.25">
      <c r="D345" s="2"/>
      <c r="G345" s="2"/>
      <c r="AC345" s="2"/>
      <c r="AG345" s="2"/>
      <c r="AJ345" s="2"/>
      <c r="AM345" s="2"/>
      <c r="AP345" s="2"/>
    </row>
    <row r="346" spans="4:42" x14ac:dyDescent="0.25">
      <c r="D346" s="2"/>
      <c r="G346" s="2"/>
      <c r="AC346" s="2"/>
      <c r="AG346" s="2"/>
      <c r="AJ346" s="2"/>
      <c r="AM346" s="2"/>
      <c r="AP346" s="2"/>
    </row>
    <row r="347" spans="4:42" x14ac:dyDescent="0.25">
      <c r="D347" s="2"/>
      <c r="G347" s="2"/>
      <c r="AC347" s="2"/>
      <c r="AG347" s="2"/>
      <c r="AJ347" s="2"/>
      <c r="AM347" s="2"/>
      <c r="AP347" s="2"/>
    </row>
    <row r="348" spans="4:42" x14ac:dyDescent="0.25">
      <c r="D348" s="2"/>
      <c r="G348" s="2"/>
      <c r="AC348" s="2"/>
      <c r="AG348" s="2"/>
      <c r="AJ348" s="2"/>
      <c r="AM348" s="2"/>
      <c r="AP348" s="2"/>
    </row>
    <row r="349" spans="4:42" x14ac:dyDescent="0.25">
      <c r="D349" s="2"/>
      <c r="G349" s="2"/>
      <c r="AC349" s="2"/>
      <c r="AG349" s="2"/>
      <c r="AJ349" s="2"/>
      <c r="AM349" s="2"/>
      <c r="AP349" s="2"/>
    </row>
    <row r="350" spans="4:42" x14ac:dyDescent="0.25">
      <c r="D350" s="2"/>
      <c r="G350" s="2"/>
      <c r="AC350" s="2"/>
      <c r="AG350" s="2"/>
      <c r="AJ350" s="2"/>
      <c r="AM350" s="2"/>
      <c r="AP350" s="2"/>
    </row>
    <row r="351" spans="4:42" x14ac:dyDescent="0.25">
      <c r="D351" s="2"/>
      <c r="G351" s="2"/>
      <c r="AC351" s="2"/>
      <c r="AG351" s="2"/>
      <c r="AJ351" s="2"/>
      <c r="AM351" s="2"/>
      <c r="AP351" s="2"/>
    </row>
    <row r="352" spans="4:42" x14ac:dyDescent="0.25">
      <c r="D352" s="2"/>
      <c r="G352" s="2"/>
      <c r="AC352" s="2"/>
      <c r="AG352" s="2"/>
      <c r="AJ352" s="2"/>
      <c r="AM352" s="2"/>
      <c r="AP352" s="2"/>
    </row>
    <row r="353" spans="4:42" x14ac:dyDescent="0.25">
      <c r="D353" s="2"/>
      <c r="G353" s="2"/>
      <c r="AC353" s="2"/>
      <c r="AG353" s="2"/>
      <c r="AJ353" s="2"/>
      <c r="AM353" s="2"/>
      <c r="AP353" s="2"/>
    </row>
    <row r="354" spans="4:42" x14ac:dyDescent="0.25">
      <c r="D354" s="2"/>
      <c r="G354" s="2"/>
      <c r="AC354" s="2"/>
      <c r="AG354" s="2"/>
      <c r="AJ354" s="2"/>
      <c r="AM354" s="2"/>
      <c r="AP354" s="2"/>
    </row>
    <row r="355" spans="4:42" x14ac:dyDescent="0.25">
      <c r="D355" s="2"/>
      <c r="G355" s="2"/>
      <c r="AC355" s="2"/>
      <c r="AG355" s="2"/>
      <c r="AJ355" s="2"/>
      <c r="AM355" s="2"/>
      <c r="AP355" s="2"/>
    </row>
    <row r="356" spans="4:42" x14ac:dyDescent="0.25">
      <c r="D356" s="2"/>
      <c r="G356" s="2"/>
      <c r="AC356" s="2"/>
      <c r="AG356" s="2"/>
      <c r="AJ356" s="2"/>
      <c r="AM356" s="2"/>
      <c r="AP356" s="2"/>
    </row>
    <row r="357" spans="4:42" x14ac:dyDescent="0.25">
      <c r="D357" s="2"/>
      <c r="G357" s="2"/>
      <c r="AC357" s="2"/>
      <c r="AG357" s="2"/>
      <c r="AJ357" s="2"/>
      <c r="AM357" s="2"/>
      <c r="AP357" s="2"/>
    </row>
    <row r="358" spans="4:42" x14ac:dyDescent="0.25">
      <c r="D358" s="2"/>
      <c r="G358" s="2"/>
      <c r="AC358" s="2"/>
      <c r="AG358" s="2"/>
      <c r="AJ358" s="2"/>
      <c r="AM358" s="2"/>
      <c r="AP358" s="2"/>
    </row>
    <row r="359" spans="4:42" x14ac:dyDescent="0.25">
      <c r="D359" s="2"/>
      <c r="G359" s="2"/>
      <c r="AC359" s="2"/>
      <c r="AG359" s="2"/>
      <c r="AJ359" s="2"/>
      <c r="AM359" s="2"/>
      <c r="AP359" s="2"/>
    </row>
    <row r="360" spans="4:42" x14ac:dyDescent="0.25">
      <c r="D360" s="2"/>
      <c r="G360" s="2"/>
      <c r="AC360" s="2"/>
      <c r="AG360" s="2"/>
      <c r="AJ360" s="2"/>
      <c r="AM360" s="2"/>
      <c r="AP360" s="2"/>
    </row>
    <row r="361" spans="4:42" x14ac:dyDescent="0.25">
      <c r="D361" s="2"/>
      <c r="G361" s="2"/>
      <c r="AC361" s="2"/>
      <c r="AG361" s="2"/>
      <c r="AJ361" s="2"/>
      <c r="AM361" s="2"/>
      <c r="AP361" s="2"/>
    </row>
    <row r="362" spans="4:42" x14ac:dyDescent="0.25">
      <c r="D362" s="2"/>
      <c r="G362" s="2"/>
      <c r="AC362" s="2"/>
      <c r="AG362" s="2"/>
      <c r="AJ362" s="2"/>
      <c r="AM362" s="2"/>
      <c r="AP362" s="2"/>
    </row>
    <row r="363" spans="4:42" x14ac:dyDescent="0.25">
      <c r="D363" s="2"/>
      <c r="G363" s="2"/>
      <c r="AC363" s="2"/>
      <c r="AG363" s="2"/>
      <c r="AJ363" s="2"/>
      <c r="AM363" s="2"/>
      <c r="AP363" s="2"/>
    </row>
    <row r="364" spans="4:42" x14ac:dyDescent="0.25">
      <c r="D364" s="2"/>
      <c r="G364" s="2"/>
      <c r="AC364" s="2"/>
      <c r="AG364" s="2"/>
      <c r="AJ364" s="2"/>
      <c r="AM364" s="2"/>
      <c r="AP364" s="2"/>
    </row>
    <row r="365" spans="4:42" x14ac:dyDescent="0.25">
      <c r="D365" s="2"/>
      <c r="G365" s="2"/>
      <c r="AC365" s="2"/>
      <c r="AG365" s="2"/>
      <c r="AJ365" s="2"/>
      <c r="AM365" s="2"/>
      <c r="AP365" s="2"/>
    </row>
    <row r="366" spans="4:42" x14ac:dyDescent="0.25">
      <c r="D366" s="2"/>
      <c r="G366" s="2"/>
      <c r="AC366" s="2"/>
      <c r="AG366" s="2"/>
      <c r="AJ366" s="2"/>
      <c r="AM366" s="2"/>
      <c r="AP366" s="2"/>
    </row>
    <row r="367" spans="4:42" x14ac:dyDescent="0.25">
      <c r="D367" s="2"/>
      <c r="G367" s="2"/>
      <c r="AC367" s="2"/>
      <c r="AG367" s="2"/>
      <c r="AJ367" s="2"/>
      <c r="AM367" s="2"/>
      <c r="AP367" s="2"/>
    </row>
    <row r="368" spans="4:42" x14ac:dyDescent="0.25">
      <c r="D368" s="2"/>
      <c r="G368" s="2"/>
      <c r="AC368" s="2"/>
      <c r="AG368" s="2"/>
      <c r="AJ368" s="2"/>
      <c r="AM368" s="2"/>
      <c r="AP368" s="2"/>
    </row>
    <row r="369" spans="4:42" x14ac:dyDescent="0.25">
      <c r="D369" s="2"/>
      <c r="G369" s="2"/>
      <c r="AC369" s="2"/>
      <c r="AG369" s="2"/>
      <c r="AJ369" s="2"/>
      <c r="AM369" s="2"/>
      <c r="AP369" s="2"/>
    </row>
    <row r="370" spans="4:42" x14ac:dyDescent="0.25">
      <c r="D370" s="2"/>
      <c r="G370" s="2"/>
      <c r="AC370" s="2"/>
      <c r="AG370" s="2"/>
      <c r="AJ370" s="2"/>
      <c r="AM370" s="2"/>
      <c r="AP370" s="2"/>
    </row>
    <row r="371" spans="4:42" x14ac:dyDescent="0.25">
      <c r="D371" s="2"/>
      <c r="G371" s="2"/>
      <c r="AC371" s="2"/>
      <c r="AG371" s="2"/>
      <c r="AJ371" s="2"/>
      <c r="AM371" s="2"/>
      <c r="AP371" s="2"/>
    </row>
    <row r="372" spans="4:42" x14ac:dyDescent="0.25">
      <c r="D372" s="2"/>
      <c r="G372" s="2"/>
      <c r="AC372" s="2"/>
      <c r="AG372" s="2"/>
      <c r="AJ372" s="2"/>
      <c r="AM372" s="2"/>
      <c r="AP372" s="2"/>
    </row>
    <row r="373" spans="4:42" x14ac:dyDescent="0.25">
      <c r="D373" s="2"/>
      <c r="G373" s="2"/>
      <c r="AC373" s="2"/>
      <c r="AG373" s="2"/>
      <c r="AJ373" s="2"/>
      <c r="AM373" s="2"/>
      <c r="AP373" s="2"/>
    </row>
    <row r="374" spans="4:42" x14ac:dyDescent="0.25">
      <c r="D374" s="2"/>
      <c r="G374" s="2"/>
      <c r="AC374" s="2"/>
      <c r="AG374" s="2"/>
      <c r="AJ374" s="2"/>
      <c r="AM374" s="2"/>
      <c r="AP374" s="2"/>
    </row>
    <row r="375" spans="4:42" x14ac:dyDescent="0.25">
      <c r="D375" s="2"/>
      <c r="G375" s="2"/>
      <c r="AC375" s="2"/>
      <c r="AG375" s="2"/>
      <c r="AJ375" s="2"/>
      <c r="AM375" s="2"/>
      <c r="AP375" s="2"/>
    </row>
    <row r="376" spans="4:42" x14ac:dyDescent="0.25">
      <c r="D376" s="2"/>
      <c r="G376" s="2"/>
      <c r="AC376" s="2"/>
      <c r="AG376" s="2"/>
      <c r="AJ376" s="2"/>
      <c r="AM376" s="2"/>
      <c r="AP376" s="2"/>
    </row>
    <row r="377" spans="4:42" x14ac:dyDescent="0.25">
      <c r="D377" s="2"/>
      <c r="G377" s="2"/>
      <c r="AC377" s="2"/>
      <c r="AG377" s="2"/>
      <c r="AJ377" s="2"/>
      <c r="AM377" s="2"/>
      <c r="AP377" s="2"/>
    </row>
    <row r="378" spans="4:42" x14ac:dyDescent="0.25">
      <c r="D378" s="2"/>
      <c r="G378" s="2"/>
      <c r="AC378" s="2"/>
      <c r="AG378" s="2"/>
      <c r="AJ378" s="2"/>
      <c r="AM378" s="2"/>
      <c r="AP378" s="2"/>
    </row>
    <row r="379" spans="4:42" x14ac:dyDescent="0.25">
      <c r="D379" s="2"/>
      <c r="G379" s="2"/>
      <c r="AC379" s="2"/>
      <c r="AG379" s="2"/>
      <c r="AJ379" s="2"/>
      <c r="AM379" s="2"/>
      <c r="AP379" s="2"/>
    </row>
    <row r="380" spans="4:42" x14ac:dyDescent="0.25">
      <c r="D380" s="2"/>
      <c r="G380" s="2"/>
      <c r="AC380" s="2"/>
      <c r="AG380" s="2"/>
      <c r="AJ380" s="2"/>
      <c r="AM380" s="2"/>
      <c r="AP380" s="2"/>
    </row>
    <row r="381" spans="4:42" x14ac:dyDescent="0.25">
      <c r="D381" s="2"/>
      <c r="G381" s="2"/>
      <c r="AC381" s="2"/>
      <c r="AG381" s="2"/>
      <c r="AJ381" s="2"/>
      <c r="AM381" s="2"/>
      <c r="AP381" s="2"/>
    </row>
    <row r="382" spans="4:42" x14ac:dyDescent="0.25">
      <c r="D382" s="2"/>
      <c r="G382" s="2"/>
      <c r="AC382" s="2"/>
      <c r="AG382" s="2"/>
      <c r="AJ382" s="2"/>
      <c r="AM382" s="2"/>
      <c r="AP382" s="2"/>
    </row>
    <row r="383" spans="4:42" x14ac:dyDescent="0.25">
      <c r="D383" s="2"/>
      <c r="G383" s="2"/>
      <c r="AC383" s="2"/>
      <c r="AG383" s="2"/>
      <c r="AJ383" s="2"/>
      <c r="AM383" s="2"/>
      <c r="AP383" s="2"/>
    </row>
    <row r="384" spans="4:42" x14ac:dyDescent="0.25">
      <c r="D384" s="2"/>
      <c r="G384" s="2"/>
      <c r="AC384" s="2"/>
      <c r="AG384" s="2"/>
      <c r="AJ384" s="2"/>
      <c r="AM384" s="2"/>
      <c r="AP384" s="2"/>
    </row>
    <row r="385" spans="4:42" x14ac:dyDescent="0.25">
      <c r="D385" s="2"/>
      <c r="G385" s="2"/>
      <c r="AC385" s="2"/>
      <c r="AG385" s="2"/>
      <c r="AJ385" s="2"/>
      <c r="AM385" s="2"/>
      <c r="AP385" s="2"/>
    </row>
    <row r="386" spans="4:42" x14ac:dyDescent="0.25">
      <c r="D386" s="2"/>
      <c r="G386" s="2"/>
      <c r="AC386" s="2"/>
      <c r="AG386" s="2"/>
      <c r="AJ386" s="2"/>
      <c r="AM386" s="2"/>
      <c r="AP386" s="2"/>
    </row>
    <row r="387" spans="4:42" x14ac:dyDescent="0.25">
      <c r="D387" s="2"/>
      <c r="G387" s="2"/>
      <c r="AC387" s="2"/>
      <c r="AG387" s="2"/>
      <c r="AJ387" s="2"/>
      <c r="AM387" s="2"/>
      <c r="AP387" s="2"/>
    </row>
    <row r="388" spans="4:42" x14ac:dyDescent="0.25">
      <c r="D388" s="2"/>
      <c r="G388" s="2"/>
      <c r="AC388" s="2"/>
      <c r="AG388" s="2"/>
      <c r="AJ388" s="2"/>
      <c r="AM388" s="2"/>
      <c r="AP388" s="2"/>
    </row>
    <row r="389" spans="4:42" x14ac:dyDescent="0.25">
      <c r="D389" s="2"/>
      <c r="G389" s="2"/>
      <c r="AC389" s="2"/>
      <c r="AG389" s="2"/>
      <c r="AJ389" s="2"/>
      <c r="AM389" s="2"/>
      <c r="AP389" s="2"/>
    </row>
    <row r="390" spans="4:42" x14ac:dyDescent="0.25">
      <c r="D390" s="2"/>
      <c r="G390" s="2"/>
      <c r="AC390" s="2"/>
      <c r="AG390" s="2"/>
      <c r="AJ390" s="2"/>
      <c r="AM390" s="2"/>
      <c r="AP390" s="2"/>
    </row>
    <row r="391" spans="4:42" x14ac:dyDescent="0.25">
      <c r="D391" s="2"/>
      <c r="G391" s="2"/>
      <c r="AC391" s="2"/>
      <c r="AG391" s="2"/>
      <c r="AJ391" s="2"/>
      <c r="AM391" s="2"/>
      <c r="AP391" s="2"/>
    </row>
    <row r="392" spans="4:42" x14ac:dyDescent="0.25">
      <c r="D392" s="2"/>
      <c r="G392" s="2"/>
      <c r="AC392" s="2"/>
      <c r="AG392" s="2"/>
      <c r="AJ392" s="2"/>
      <c r="AM392" s="2"/>
      <c r="AP392" s="2"/>
    </row>
    <row r="393" spans="4:42" x14ac:dyDescent="0.25">
      <c r="D393" s="2"/>
      <c r="G393" s="2"/>
      <c r="AC393" s="2"/>
      <c r="AG393" s="2"/>
      <c r="AJ393" s="2"/>
      <c r="AM393" s="2"/>
      <c r="AP393" s="2"/>
    </row>
    <row r="394" spans="4:42" x14ac:dyDescent="0.25">
      <c r="D394" s="2"/>
      <c r="G394" s="2"/>
      <c r="AC394" s="2"/>
      <c r="AG394" s="2"/>
      <c r="AJ394" s="2"/>
      <c r="AM394" s="2"/>
      <c r="AP394" s="2"/>
    </row>
    <row r="395" spans="4:42" x14ac:dyDescent="0.25">
      <c r="D395" s="2"/>
      <c r="G395" s="2"/>
      <c r="AC395" s="2"/>
      <c r="AG395" s="2"/>
      <c r="AJ395" s="2"/>
      <c r="AM395" s="2"/>
      <c r="AP395" s="2"/>
    </row>
    <row r="396" spans="4:42" x14ac:dyDescent="0.25">
      <c r="D396" s="2"/>
      <c r="G396" s="2"/>
      <c r="AC396" s="2"/>
      <c r="AG396" s="2"/>
      <c r="AJ396" s="2"/>
      <c r="AM396" s="2"/>
      <c r="AP396" s="2"/>
    </row>
    <row r="397" spans="4:42" x14ac:dyDescent="0.25">
      <c r="D397" s="2"/>
      <c r="G397" s="2"/>
      <c r="AC397" s="2"/>
      <c r="AG397" s="2"/>
      <c r="AJ397" s="2"/>
      <c r="AM397" s="2"/>
      <c r="AP397" s="2"/>
    </row>
    <row r="398" spans="4:42" x14ac:dyDescent="0.25">
      <c r="D398" s="2"/>
      <c r="G398" s="2"/>
      <c r="AC398" s="2"/>
      <c r="AG398" s="2"/>
      <c r="AJ398" s="2"/>
      <c r="AM398" s="2"/>
      <c r="AP398" s="2"/>
    </row>
    <row r="399" spans="4:42" x14ac:dyDescent="0.25">
      <c r="D399" s="2"/>
      <c r="G399" s="2"/>
      <c r="AC399" s="2"/>
      <c r="AG399" s="2"/>
      <c r="AJ399" s="2"/>
      <c r="AM399" s="2"/>
      <c r="AP399" s="2"/>
    </row>
    <row r="400" spans="4:42" x14ac:dyDescent="0.25">
      <c r="D400" s="2"/>
      <c r="G400" s="2"/>
      <c r="AC400" s="2"/>
      <c r="AG400" s="2"/>
      <c r="AJ400" s="2"/>
      <c r="AM400" s="2"/>
      <c r="AP400" s="2"/>
    </row>
    <row r="401" spans="4:42" x14ac:dyDescent="0.25">
      <c r="D401" s="2"/>
      <c r="G401" s="2"/>
      <c r="AC401" s="2"/>
      <c r="AG401" s="2"/>
      <c r="AJ401" s="2"/>
      <c r="AM401" s="2"/>
      <c r="AP401" s="2"/>
    </row>
    <row r="402" spans="4:42" x14ac:dyDescent="0.25">
      <c r="D402" s="2"/>
      <c r="G402" s="2"/>
      <c r="AC402" s="2"/>
      <c r="AG402" s="2"/>
      <c r="AJ402" s="2"/>
      <c r="AM402" s="2"/>
      <c r="AP402" s="2"/>
    </row>
    <row r="403" spans="4:42" x14ac:dyDescent="0.25">
      <c r="D403" s="2"/>
      <c r="G403" s="2"/>
      <c r="AC403" s="2"/>
      <c r="AG403" s="2"/>
      <c r="AJ403" s="2"/>
      <c r="AM403" s="2"/>
      <c r="AP403" s="2"/>
    </row>
    <row r="404" spans="4:42" x14ac:dyDescent="0.25">
      <c r="D404" s="2"/>
      <c r="G404" s="2"/>
      <c r="AC404" s="2"/>
      <c r="AG404" s="2"/>
      <c r="AJ404" s="2"/>
      <c r="AM404" s="2"/>
      <c r="AP404" s="2"/>
    </row>
    <row r="405" spans="4:42" x14ac:dyDescent="0.25">
      <c r="D405" s="2"/>
      <c r="G405" s="2"/>
      <c r="AC405" s="2"/>
      <c r="AG405" s="2"/>
      <c r="AJ405" s="2"/>
      <c r="AM405" s="2"/>
      <c r="AP405" s="2"/>
    </row>
    <row r="406" spans="4:42" x14ac:dyDescent="0.25">
      <c r="D406" s="2"/>
      <c r="G406" s="2"/>
      <c r="AC406" s="2"/>
      <c r="AG406" s="2"/>
      <c r="AJ406" s="2"/>
      <c r="AM406" s="2"/>
      <c r="AP406" s="2"/>
    </row>
    <row r="407" spans="4:42" x14ac:dyDescent="0.25">
      <c r="D407" s="2"/>
      <c r="G407" s="2"/>
      <c r="AC407" s="2"/>
      <c r="AG407" s="2"/>
      <c r="AJ407" s="2"/>
      <c r="AM407" s="2"/>
      <c r="AP407" s="2"/>
    </row>
    <row r="408" spans="4:42" x14ac:dyDescent="0.25">
      <c r="D408" s="2"/>
      <c r="G408" s="2"/>
      <c r="AC408" s="2"/>
      <c r="AG408" s="2"/>
      <c r="AJ408" s="2"/>
      <c r="AM408" s="2"/>
      <c r="AP408" s="2"/>
    </row>
    <row r="409" spans="4:42" x14ac:dyDescent="0.25">
      <c r="D409" s="2"/>
      <c r="G409" s="2"/>
      <c r="AC409" s="2"/>
      <c r="AG409" s="2"/>
      <c r="AJ409" s="2"/>
      <c r="AM409" s="2"/>
      <c r="AP409" s="2"/>
    </row>
    <row r="410" spans="4:42" x14ac:dyDescent="0.25">
      <c r="D410" s="2"/>
      <c r="G410" s="2"/>
      <c r="AC410" s="2"/>
      <c r="AG410" s="2"/>
      <c r="AJ410" s="2"/>
      <c r="AM410" s="2"/>
      <c r="AP410" s="2"/>
    </row>
    <row r="411" spans="4:42" x14ac:dyDescent="0.25">
      <c r="D411" s="2"/>
      <c r="G411" s="2"/>
      <c r="AC411" s="2"/>
      <c r="AG411" s="2"/>
      <c r="AJ411" s="2"/>
      <c r="AM411" s="2"/>
      <c r="AP411" s="2"/>
    </row>
    <row r="412" spans="4:42" x14ac:dyDescent="0.25">
      <c r="D412" s="2"/>
      <c r="G412" s="2"/>
      <c r="AC412" s="2"/>
      <c r="AG412" s="2"/>
      <c r="AJ412" s="2"/>
      <c r="AM412" s="2"/>
      <c r="AP412" s="2"/>
    </row>
    <row r="413" spans="4:42" x14ac:dyDescent="0.25">
      <c r="D413" s="2"/>
      <c r="G413" s="2"/>
      <c r="AC413" s="2"/>
      <c r="AG413" s="2"/>
      <c r="AJ413" s="2"/>
      <c r="AM413" s="2"/>
      <c r="AP413" s="2"/>
    </row>
    <row r="414" spans="4:42" x14ac:dyDescent="0.25">
      <c r="D414" s="2"/>
      <c r="G414" s="2"/>
      <c r="AC414" s="2"/>
      <c r="AG414" s="2"/>
      <c r="AJ414" s="2"/>
      <c r="AM414" s="2"/>
      <c r="AP414" s="2"/>
    </row>
    <row r="415" spans="4:42" x14ac:dyDescent="0.25">
      <c r="D415" s="2"/>
      <c r="G415" s="2"/>
      <c r="AC415" s="2"/>
      <c r="AG415" s="2"/>
      <c r="AJ415" s="2"/>
      <c r="AM415" s="2"/>
      <c r="AP415" s="2"/>
    </row>
    <row r="416" spans="4:42" x14ac:dyDescent="0.25">
      <c r="D416" s="2"/>
      <c r="G416" s="2"/>
      <c r="AC416" s="2"/>
      <c r="AG416" s="2"/>
      <c r="AJ416" s="2"/>
      <c r="AM416" s="2"/>
      <c r="AP416" s="2"/>
    </row>
    <row r="417" spans="4:42" x14ac:dyDescent="0.25">
      <c r="D417" s="2"/>
      <c r="G417" s="2"/>
      <c r="AC417" s="2"/>
      <c r="AG417" s="2"/>
      <c r="AJ417" s="2"/>
      <c r="AM417" s="2"/>
      <c r="AP417" s="2"/>
    </row>
    <row r="418" spans="4:42" x14ac:dyDescent="0.25">
      <c r="D418" s="2"/>
      <c r="G418" s="2"/>
      <c r="AC418" s="2"/>
      <c r="AG418" s="2"/>
      <c r="AJ418" s="2"/>
      <c r="AM418" s="2"/>
      <c r="AP418" s="2"/>
    </row>
    <row r="419" spans="4:42" x14ac:dyDescent="0.25">
      <c r="D419" s="2"/>
      <c r="G419" s="2"/>
      <c r="AC419" s="2"/>
      <c r="AG419" s="2"/>
      <c r="AJ419" s="2"/>
      <c r="AM419" s="2"/>
      <c r="AP419" s="2"/>
    </row>
    <row r="420" spans="4:42" x14ac:dyDescent="0.25">
      <c r="D420" s="2"/>
      <c r="G420" s="2"/>
      <c r="AC420" s="2"/>
      <c r="AG420" s="2"/>
      <c r="AJ420" s="2"/>
      <c r="AM420" s="2"/>
      <c r="AP420" s="2"/>
    </row>
    <row r="421" spans="4:42" x14ac:dyDescent="0.25">
      <c r="D421" s="2"/>
      <c r="G421" s="2"/>
      <c r="AC421" s="2"/>
      <c r="AG421" s="2"/>
      <c r="AJ421" s="2"/>
      <c r="AM421" s="2"/>
      <c r="AP421" s="2"/>
    </row>
    <row r="422" spans="4:42" x14ac:dyDescent="0.25">
      <c r="D422" s="2"/>
      <c r="G422" s="2"/>
      <c r="AC422" s="2"/>
      <c r="AG422" s="2"/>
      <c r="AJ422" s="2"/>
      <c r="AM422" s="2"/>
      <c r="AP422" s="2"/>
    </row>
    <row r="423" spans="4:42" x14ac:dyDescent="0.25">
      <c r="D423" s="2"/>
      <c r="G423" s="2"/>
      <c r="AC423" s="2"/>
      <c r="AG423" s="2"/>
      <c r="AJ423" s="2"/>
      <c r="AM423" s="2"/>
      <c r="AP423" s="2"/>
    </row>
    <row r="424" spans="4:42" x14ac:dyDescent="0.25">
      <c r="D424" s="2"/>
      <c r="G424" s="2"/>
      <c r="AC424" s="2"/>
      <c r="AG424" s="2"/>
      <c r="AJ424" s="2"/>
      <c r="AM424" s="2"/>
      <c r="AP424" s="2"/>
    </row>
    <row r="425" spans="4:42" x14ac:dyDescent="0.25">
      <c r="D425" s="2"/>
      <c r="G425" s="2"/>
      <c r="AC425" s="2"/>
      <c r="AG425" s="2"/>
      <c r="AJ425" s="2"/>
      <c r="AM425" s="2"/>
      <c r="AP425" s="2"/>
    </row>
    <row r="426" spans="4:42" x14ac:dyDescent="0.25">
      <c r="D426" s="2"/>
      <c r="G426" s="2"/>
      <c r="AC426" s="2"/>
      <c r="AG426" s="2"/>
      <c r="AJ426" s="2"/>
      <c r="AM426" s="2"/>
      <c r="AP426" s="2"/>
    </row>
    <row r="427" spans="4:42" x14ac:dyDescent="0.25">
      <c r="D427" s="2"/>
      <c r="G427" s="2"/>
      <c r="AC427" s="2"/>
      <c r="AG427" s="2"/>
      <c r="AJ427" s="2"/>
      <c r="AM427" s="2"/>
      <c r="AP427" s="2"/>
    </row>
    <row r="428" spans="4:42" x14ac:dyDescent="0.25">
      <c r="D428" s="2"/>
      <c r="G428" s="2"/>
      <c r="AC428" s="2"/>
      <c r="AG428" s="2"/>
      <c r="AJ428" s="2"/>
      <c r="AM428" s="2"/>
      <c r="AP428" s="2"/>
    </row>
    <row r="429" spans="4:42" x14ac:dyDescent="0.25">
      <c r="D429" s="2"/>
      <c r="G429" s="2"/>
      <c r="AC429" s="2"/>
      <c r="AG429" s="2"/>
      <c r="AJ429" s="2"/>
      <c r="AM429" s="2"/>
      <c r="AP429" s="2"/>
    </row>
    <row r="430" spans="4:42" x14ac:dyDescent="0.25">
      <c r="D430" s="2"/>
      <c r="G430" s="2"/>
      <c r="AC430" s="2"/>
      <c r="AG430" s="2"/>
      <c r="AJ430" s="2"/>
      <c r="AM430" s="2"/>
      <c r="AP430" s="2"/>
    </row>
    <row r="431" spans="4:42" x14ac:dyDescent="0.25">
      <c r="D431" s="2"/>
      <c r="G431" s="2"/>
      <c r="AC431" s="2"/>
      <c r="AG431" s="2"/>
      <c r="AJ431" s="2"/>
      <c r="AM431" s="2"/>
      <c r="AP431" s="2"/>
    </row>
    <row r="432" spans="4:42" x14ac:dyDescent="0.25">
      <c r="D432" s="2"/>
      <c r="G432" s="2"/>
      <c r="AC432" s="2"/>
      <c r="AG432" s="2"/>
      <c r="AJ432" s="2"/>
      <c r="AM432" s="2"/>
      <c r="AP432" s="2"/>
    </row>
    <row r="433" spans="4:42" x14ac:dyDescent="0.25">
      <c r="D433" s="2"/>
      <c r="G433" s="2"/>
      <c r="AC433" s="2"/>
      <c r="AG433" s="2"/>
      <c r="AJ433" s="2"/>
      <c r="AM433" s="2"/>
      <c r="AP433" s="2"/>
    </row>
    <row r="434" spans="4:42" x14ac:dyDescent="0.25">
      <c r="D434" s="2"/>
      <c r="G434" s="2"/>
      <c r="AC434" s="2"/>
      <c r="AG434" s="2"/>
      <c r="AJ434" s="2"/>
      <c r="AM434" s="2"/>
      <c r="AP434" s="2"/>
    </row>
    <row r="435" spans="4:42" x14ac:dyDescent="0.25">
      <c r="D435" s="2"/>
      <c r="G435" s="2"/>
      <c r="AC435" s="2"/>
      <c r="AG435" s="2"/>
      <c r="AJ435" s="2"/>
      <c r="AM435" s="2"/>
      <c r="AP435" s="2"/>
    </row>
    <row r="436" spans="4:42" x14ac:dyDescent="0.25">
      <c r="D436" s="2"/>
      <c r="G436" s="2"/>
      <c r="AC436" s="2"/>
      <c r="AG436" s="2"/>
      <c r="AJ436" s="2"/>
      <c r="AM436" s="2"/>
      <c r="AP436" s="2"/>
    </row>
    <row r="437" spans="4:42" x14ac:dyDescent="0.25">
      <c r="D437" s="2"/>
      <c r="G437" s="2"/>
      <c r="AC437" s="2"/>
      <c r="AG437" s="2"/>
      <c r="AJ437" s="2"/>
      <c r="AM437" s="2"/>
      <c r="AP437" s="2"/>
    </row>
    <row r="438" spans="4:42" x14ac:dyDescent="0.25">
      <c r="D438" s="2"/>
      <c r="G438" s="2"/>
      <c r="AC438" s="2"/>
      <c r="AG438" s="2"/>
      <c r="AJ438" s="2"/>
      <c r="AM438" s="2"/>
      <c r="AP438" s="2"/>
    </row>
    <row r="439" spans="4:42" x14ac:dyDescent="0.25">
      <c r="D439" s="2"/>
      <c r="G439" s="2"/>
      <c r="AC439" s="2"/>
      <c r="AG439" s="2"/>
      <c r="AJ439" s="2"/>
      <c r="AM439" s="2"/>
      <c r="AP439" s="2"/>
    </row>
    <row r="440" spans="4:42" x14ac:dyDescent="0.25">
      <c r="D440" s="2"/>
      <c r="G440" s="2"/>
      <c r="AC440" s="2"/>
      <c r="AG440" s="2"/>
      <c r="AJ440" s="2"/>
      <c r="AM440" s="2"/>
      <c r="AP440" s="2"/>
    </row>
    <row r="441" spans="4:42" x14ac:dyDescent="0.25">
      <c r="D441" s="2"/>
      <c r="G441" s="2"/>
      <c r="AC441" s="2"/>
      <c r="AG441" s="2"/>
      <c r="AJ441" s="2"/>
      <c r="AM441" s="2"/>
      <c r="AP441" s="2"/>
    </row>
    <row r="442" spans="4:42" x14ac:dyDescent="0.25">
      <c r="D442" s="2"/>
      <c r="G442" s="2"/>
      <c r="AC442" s="2"/>
      <c r="AG442" s="2"/>
      <c r="AJ442" s="2"/>
      <c r="AM442" s="2"/>
      <c r="AP442" s="2"/>
    </row>
    <row r="443" spans="4:42" x14ac:dyDescent="0.25">
      <c r="D443" s="2"/>
      <c r="G443" s="2"/>
      <c r="AC443" s="2"/>
      <c r="AG443" s="2"/>
      <c r="AJ443" s="2"/>
      <c r="AM443" s="2"/>
      <c r="AP443" s="2"/>
    </row>
    <row r="444" spans="4:42" x14ac:dyDescent="0.25">
      <c r="D444" s="2"/>
      <c r="G444" s="2"/>
      <c r="AC444" s="2"/>
      <c r="AG444" s="2"/>
      <c r="AJ444" s="2"/>
      <c r="AM444" s="2"/>
      <c r="AP444" s="2"/>
    </row>
    <row r="445" spans="4:42" x14ac:dyDescent="0.25">
      <c r="D445" s="2"/>
      <c r="G445" s="2"/>
      <c r="AC445" s="2"/>
      <c r="AG445" s="2"/>
      <c r="AJ445" s="2"/>
      <c r="AM445" s="2"/>
      <c r="AP445" s="2"/>
    </row>
    <row r="446" spans="4:42" x14ac:dyDescent="0.25">
      <c r="D446" s="2"/>
      <c r="G446" s="2"/>
      <c r="AC446" s="2"/>
      <c r="AG446" s="2"/>
      <c r="AJ446" s="2"/>
      <c r="AM446" s="2"/>
      <c r="AP446" s="2"/>
    </row>
    <row r="447" spans="4:42" x14ac:dyDescent="0.25">
      <c r="D447" s="2"/>
      <c r="G447" s="2"/>
      <c r="AC447" s="2"/>
      <c r="AG447" s="2"/>
      <c r="AJ447" s="2"/>
      <c r="AM447" s="2"/>
      <c r="AP447" s="2"/>
    </row>
    <row r="448" spans="4:42" x14ac:dyDescent="0.25">
      <c r="D448" s="2"/>
      <c r="G448" s="2"/>
      <c r="AC448" s="2"/>
      <c r="AG448" s="2"/>
      <c r="AJ448" s="2"/>
      <c r="AM448" s="2"/>
      <c r="AP448" s="2"/>
    </row>
    <row r="449" spans="4:42" x14ac:dyDescent="0.25">
      <c r="D449" s="2"/>
      <c r="G449" s="2"/>
      <c r="AC449" s="2"/>
      <c r="AG449" s="2"/>
      <c r="AJ449" s="2"/>
      <c r="AM449" s="2"/>
      <c r="AP449" s="2"/>
    </row>
    <row r="450" spans="4:42" x14ac:dyDescent="0.25">
      <c r="D450" s="2"/>
      <c r="G450" s="2"/>
      <c r="AC450" s="2"/>
      <c r="AG450" s="2"/>
      <c r="AJ450" s="2"/>
      <c r="AM450" s="2"/>
      <c r="AP450" s="2"/>
    </row>
    <row r="451" spans="4:42" x14ac:dyDescent="0.25">
      <c r="D451" s="2"/>
      <c r="G451" s="2"/>
      <c r="AC451" s="2"/>
      <c r="AG451" s="2"/>
      <c r="AJ451" s="2"/>
      <c r="AM451" s="2"/>
      <c r="AP451" s="2"/>
    </row>
    <row r="452" spans="4:42" x14ac:dyDescent="0.25">
      <c r="D452" s="2"/>
      <c r="G452" s="2"/>
      <c r="AC452" s="2"/>
      <c r="AG452" s="2"/>
      <c r="AJ452" s="2"/>
      <c r="AM452" s="2"/>
      <c r="AP452" s="2"/>
    </row>
    <row r="453" spans="4:42" x14ac:dyDescent="0.25">
      <c r="D453" s="2"/>
      <c r="G453" s="2"/>
      <c r="AC453" s="2"/>
      <c r="AG453" s="2"/>
      <c r="AJ453" s="2"/>
      <c r="AM453" s="2"/>
      <c r="AP453" s="2"/>
    </row>
    <row r="454" spans="4:42" x14ac:dyDescent="0.25">
      <c r="D454" s="2"/>
      <c r="G454" s="2"/>
      <c r="AC454" s="2"/>
      <c r="AG454" s="2"/>
      <c r="AJ454" s="2"/>
      <c r="AM454" s="2"/>
      <c r="AP454" s="2"/>
    </row>
    <row r="455" spans="4:42" x14ac:dyDescent="0.25">
      <c r="D455" s="2"/>
      <c r="G455" s="2"/>
      <c r="AC455" s="2"/>
      <c r="AG455" s="2"/>
      <c r="AJ455" s="2"/>
      <c r="AM455" s="2"/>
      <c r="AP455" s="2"/>
    </row>
    <row r="456" spans="4:42" x14ac:dyDescent="0.25">
      <c r="D456" s="2"/>
      <c r="G456" s="2"/>
      <c r="AC456" s="2"/>
      <c r="AG456" s="2"/>
      <c r="AJ456" s="2"/>
      <c r="AM456" s="2"/>
      <c r="AP456" s="2"/>
    </row>
    <row r="457" spans="4:42" x14ac:dyDescent="0.25">
      <c r="D457" s="2"/>
      <c r="G457" s="2"/>
      <c r="AC457" s="2"/>
      <c r="AG457" s="2"/>
      <c r="AJ457" s="2"/>
      <c r="AM457" s="2"/>
      <c r="AP457" s="2"/>
    </row>
    <row r="458" spans="4:42" x14ac:dyDescent="0.25">
      <c r="D458" s="2"/>
      <c r="G458" s="2"/>
      <c r="AC458" s="2"/>
      <c r="AG458" s="2"/>
      <c r="AJ458" s="2"/>
      <c r="AM458" s="2"/>
      <c r="AP458" s="2"/>
    </row>
    <row r="459" spans="4:42" x14ac:dyDescent="0.25">
      <c r="D459" s="2"/>
      <c r="G459" s="2"/>
      <c r="AC459" s="2"/>
      <c r="AG459" s="2"/>
      <c r="AJ459" s="2"/>
      <c r="AM459" s="2"/>
      <c r="AP459" s="2"/>
    </row>
    <row r="460" spans="4:42" x14ac:dyDescent="0.25">
      <c r="D460" s="2"/>
      <c r="G460" s="2"/>
      <c r="AC460" s="2"/>
      <c r="AG460" s="2"/>
      <c r="AJ460" s="2"/>
      <c r="AM460" s="2"/>
      <c r="AP460" s="2"/>
    </row>
    <row r="461" spans="4:42" x14ac:dyDescent="0.25">
      <c r="D461" s="2"/>
      <c r="G461" s="2"/>
      <c r="AC461" s="2"/>
      <c r="AG461" s="2"/>
      <c r="AJ461" s="2"/>
      <c r="AM461" s="2"/>
      <c r="AP461" s="2"/>
    </row>
    <row r="462" spans="4:42" x14ac:dyDescent="0.25">
      <c r="D462" s="2"/>
      <c r="G462" s="2"/>
      <c r="AC462" s="2"/>
      <c r="AG462" s="2"/>
      <c r="AJ462" s="2"/>
      <c r="AM462" s="2"/>
      <c r="AP462" s="2"/>
    </row>
    <row r="463" spans="4:42" x14ac:dyDescent="0.25">
      <c r="D463" s="2"/>
      <c r="G463" s="2"/>
      <c r="AC463" s="2"/>
      <c r="AG463" s="2"/>
      <c r="AJ463" s="2"/>
      <c r="AM463" s="2"/>
      <c r="AP463" s="2"/>
    </row>
    <row r="464" spans="4:42" x14ac:dyDescent="0.25">
      <c r="D464" s="2"/>
      <c r="G464" s="2"/>
      <c r="AC464" s="2"/>
      <c r="AG464" s="2"/>
      <c r="AJ464" s="2"/>
      <c r="AM464" s="2"/>
      <c r="AP464" s="2"/>
    </row>
    <row r="465" spans="4:42" x14ac:dyDescent="0.25">
      <c r="D465" s="2"/>
      <c r="G465" s="2"/>
      <c r="AC465" s="2"/>
      <c r="AG465" s="2"/>
      <c r="AJ465" s="2"/>
      <c r="AM465" s="2"/>
      <c r="AP465" s="2"/>
    </row>
    <row r="466" spans="4:42" x14ac:dyDescent="0.25">
      <c r="D466" s="2"/>
      <c r="G466" s="2"/>
      <c r="AC466" s="2"/>
      <c r="AG466" s="2"/>
      <c r="AJ466" s="2"/>
      <c r="AM466" s="2"/>
      <c r="AP466" s="2"/>
    </row>
    <row r="467" spans="4:42" x14ac:dyDescent="0.25">
      <c r="D467" s="2"/>
      <c r="G467" s="2"/>
      <c r="AC467" s="2"/>
      <c r="AG467" s="2"/>
      <c r="AJ467" s="2"/>
      <c r="AM467" s="2"/>
      <c r="AP467" s="2"/>
    </row>
    <row r="468" spans="4:42" x14ac:dyDescent="0.25">
      <c r="D468" s="2"/>
      <c r="G468" s="2"/>
      <c r="AC468" s="2"/>
      <c r="AG468" s="2"/>
      <c r="AJ468" s="2"/>
      <c r="AM468" s="2"/>
      <c r="AP468" s="2"/>
    </row>
    <row r="469" spans="4:42" x14ac:dyDescent="0.25">
      <c r="D469" s="2"/>
      <c r="G469" s="2"/>
      <c r="AC469" s="2"/>
      <c r="AG469" s="2"/>
      <c r="AJ469" s="2"/>
      <c r="AM469" s="2"/>
      <c r="AP469" s="2"/>
    </row>
    <row r="470" spans="4:42" x14ac:dyDescent="0.25">
      <c r="D470" s="2"/>
      <c r="G470" s="2"/>
      <c r="AC470" s="2"/>
      <c r="AG470" s="2"/>
      <c r="AJ470" s="2"/>
      <c r="AM470" s="2"/>
      <c r="AP470" s="2"/>
    </row>
    <row r="471" spans="4:42" x14ac:dyDescent="0.25">
      <c r="D471" s="2"/>
      <c r="G471" s="2"/>
      <c r="AC471" s="2"/>
      <c r="AG471" s="2"/>
      <c r="AJ471" s="2"/>
      <c r="AM471" s="2"/>
      <c r="AP471" s="2"/>
    </row>
    <row r="472" spans="4:42" x14ac:dyDescent="0.25">
      <c r="D472" s="2"/>
      <c r="G472" s="2"/>
      <c r="AC472" s="2"/>
      <c r="AG472" s="2"/>
      <c r="AJ472" s="2"/>
      <c r="AM472" s="2"/>
      <c r="AP472" s="2"/>
    </row>
    <row r="473" spans="4:42" x14ac:dyDescent="0.25">
      <c r="D473" s="2"/>
      <c r="G473" s="2"/>
      <c r="AC473" s="2"/>
      <c r="AG473" s="2"/>
      <c r="AJ473" s="2"/>
      <c r="AM473" s="2"/>
      <c r="AP473" s="2"/>
    </row>
    <row r="474" spans="4:42" x14ac:dyDescent="0.25">
      <c r="D474" s="2"/>
      <c r="G474" s="2"/>
      <c r="AC474" s="2"/>
      <c r="AG474" s="2"/>
      <c r="AJ474" s="2"/>
      <c r="AM474" s="2"/>
      <c r="AP474" s="2"/>
    </row>
    <row r="475" spans="4:42" x14ac:dyDescent="0.25">
      <c r="D475" s="2"/>
      <c r="G475" s="2"/>
      <c r="AC475" s="2"/>
      <c r="AG475" s="2"/>
      <c r="AJ475" s="2"/>
      <c r="AM475" s="2"/>
      <c r="AP475" s="2"/>
    </row>
    <row r="476" spans="4:42" x14ac:dyDescent="0.25">
      <c r="D476" s="2"/>
      <c r="G476" s="2"/>
      <c r="AC476" s="2"/>
      <c r="AG476" s="2"/>
      <c r="AJ476" s="2"/>
      <c r="AM476" s="2"/>
      <c r="AP476" s="2"/>
    </row>
    <row r="477" spans="4:42" x14ac:dyDescent="0.25">
      <c r="D477" s="2"/>
      <c r="G477" s="2"/>
      <c r="AC477" s="2"/>
      <c r="AG477" s="2"/>
      <c r="AJ477" s="2"/>
      <c r="AM477" s="2"/>
      <c r="AP477" s="2"/>
    </row>
    <row r="478" spans="4:42" x14ac:dyDescent="0.25">
      <c r="D478" s="2"/>
      <c r="G478" s="2"/>
      <c r="AC478" s="2"/>
      <c r="AG478" s="2"/>
      <c r="AJ478" s="2"/>
      <c r="AM478" s="2"/>
      <c r="AP478" s="2"/>
    </row>
    <row r="479" spans="4:42" x14ac:dyDescent="0.25">
      <c r="D479" s="2"/>
      <c r="G479" s="2"/>
      <c r="AC479" s="2"/>
      <c r="AG479" s="2"/>
      <c r="AJ479" s="2"/>
      <c r="AM479" s="2"/>
      <c r="AP479" s="2"/>
    </row>
    <row r="480" spans="4:42" x14ac:dyDescent="0.25">
      <c r="D480" s="2"/>
      <c r="G480" s="2"/>
      <c r="AC480" s="2"/>
      <c r="AG480" s="2"/>
      <c r="AJ480" s="2"/>
      <c r="AM480" s="2"/>
      <c r="AP480" s="2"/>
    </row>
    <row r="481" spans="4:42" x14ac:dyDescent="0.25">
      <c r="D481" s="2"/>
      <c r="G481" s="2"/>
      <c r="AC481" s="2"/>
      <c r="AG481" s="2"/>
      <c r="AJ481" s="2"/>
      <c r="AM481" s="2"/>
      <c r="AP481" s="2"/>
    </row>
    <row r="482" spans="4:42" x14ac:dyDescent="0.25">
      <c r="D482" s="2"/>
      <c r="G482" s="2"/>
      <c r="AC482" s="2"/>
      <c r="AG482" s="2"/>
      <c r="AJ482" s="2"/>
      <c r="AM482" s="2"/>
      <c r="AP482" s="2"/>
    </row>
    <row r="483" spans="4:42" x14ac:dyDescent="0.25">
      <c r="D483" s="2"/>
      <c r="G483" s="2"/>
      <c r="AC483" s="2"/>
      <c r="AG483" s="2"/>
      <c r="AJ483" s="2"/>
      <c r="AM483" s="2"/>
      <c r="AP483" s="2"/>
    </row>
    <row r="484" spans="4:42" x14ac:dyDescent="0.25">
      <c r="D484" s="2"/>
      <c r="G484" s="2"/>
      <c r="AC484" s="2"/>
      <c r="AG484" s="2"/>
      <c r="AJ484" s="2"/>
      <c r="AM484" s="2"/>
      <c r="AP484" s="2"/>
    </row>
    <row r="485" spans="4:42" x14ac:dyDescent="0.25">
      <c r="D485" s="2"/>
      <c r="G485" s="2"/>
      <c r="AC485" s="2"/>
      <c r="AG485" s="2"/>
      <c r="AJ485" s="2"/>
      <c r="AM485" s="2"/>
      <c r="AP485" s="2"/>
    </row>
    <row r="486" spans="4:42" x14ac:dyDescent="0.25">
      <c r="D486" s="2"/>
      <c r="G486" s="2"/>
      <c r="AC486" s="2"/>
      <c r="AG486" s="2"/>
      <c r="AJ486" s="2"/>
      <c r="AM486" s="2"/>
      <c r="AP486" s="2"/>
    </row>
    <row r="487" spans="4:42" x14ac:dyDescent="0.25">
      <c r="D487" s="2"/>
      <c r="G487" s="2"/>
      <c r="AC487" s="2"/>
      <c r="AG487" s="2"/>
      <c r="AJ487" s="2"/>
      <c r="AM487" s="2"/>
      <c r="AP487" s="2"/>
    </row>
    <row r="488" spans="4:42" x14ac:dyDescent="0.25">
      <c r="D488" s="2"/>
      <c r="G488" s="2"/>
      <c r="AC488" s="2"/>
      <c r="AG488" s="2"/>
      <c r="AJ488" s="2"/>
      <c r="AM488" s="2"/>
      <c r="AP488" s="2"/>
    </row>
    <row r="489" spans="4:42" x14ac:dyDescent="0.25">
      <c r="D489" s="2"/>
      <c r="G489" s="2"/>
      <c r="AC489" s="2"/>
      <c r="AG489" s="2"/>
      <c r="AJ489" s="2"/>
      <c r="AM489" s="2"/>
      <c r="AP489" s="2"/>
    </row>
    <row r="490" spans="4:42" x14ac:dyDescent="0.25">
      <c r="D490" s="2"/>
      <c r="G490" s="2"/>
      <c r="AC490" s="2"/>
      <c r="AG490" s="2"/>
      <c r="AJ490" s="2"/>
      <c r="AM490" s="2"/>
      <c r="AP490" s="2"/>
    </row>
    <row r="491" spans="4:42" x14ac:dyDescent="0.25">
      <c r="D491" s="2"/>
      <c r="G491" s="2"/>
      <c r="AC491" s="2"/>
      <c r="AG491" s="2"/>
      <c r="AJ491" s="2"/>
      <c r="AM491" s="2"/>
      <c r="AP491" s="2"/>
    </row>
    <row r="492" spans="4:42" x14ac:dyDescent="0.25">
      <c r="D492" s="2"/>
      <c r="G492" s="2"/>
      <c r="AC492" s="2"/>
      <c r="AG492" s="2"/>
      <c r="AJ492" s="2"/>
      <c r="AM492" s="2"/>
      <c r="AP492" s="2"/>
    </row>
    <row r="493" spans="4:42" x14ac:dyDescent="0.25">
      <c r="D493" s="2"/>
      <c r="G493" s="2"/>
      <c r="AC493" s="2"/>
      <c r="AG493" s="2"/>
      <c r="AJ493" s="2"/>
      <c r="AM493" s="2"/>
      <c r="AP493" s="2"/>
    </row>
    <row r="494" spans="4:42" x14ac:dyDescent="0.25">
      <c r="D494" s="2"/>
      <c r="G494" s="2"/>
      <c r="AC494" s="2"/>
      <c r="AG494" s="2"/>
      <c r="AJ494" s="2"/>
      <c r="AM494" s="2"/>
      <c r="AP494" s="2"/>
    </row>
    <row r="495" spans="4:42" x14ac:dyDescent="0.25">
      <c r="D495" s="2"/>
      <c r="G495" s="2"/>
      <c r="AC495" s="2"/>
      <c r="AG495" s="2"/>
      <c r="AJ495" s="2"/>
      <c r="AM495" s="2"/>
      <c r="AP495" s="2"/>
    </row>
    <row r="496" spans="4:42" x14ac:dyDescent="0.25">
      <c r="D496" s="2"/>
      <c r="G496" s="2"/>
      <c r="AC496" s="2"/>
      <c r="AG496" s="2"/>
      <c r="AJ496" s="2"/>
      <c r="AM496" s="2"/>
      <c r="AP496" s="2"/>
    </row>
    <row r="497" spans="4:42" x14ac:dyDescent="0.25">
      <c r="D497" s="2"/>
      <c r="G497" s="2"/>
      <c r="AC497" s="2"/>
      <c r="AG497" s="2"/>
      <c r="AJ497" s="2"/>
      <c r="AM497" s="2"/>
      <c r="AP497" s="2"/>
    </row>
    <row r="498" spans="4:42" x14ac:dyDescent="0.25">
      <c r="D498" s="2"/>
      <c r="G498" s="2"/>
      <c r="AC498" s="2"/>
      <c r="AG498" s="2"/>
      <c r="AJ498" s="2"/>
      <c r="AM498" s="2"/>
      <c r="AP498" s="2"/>
    </row>
    <row r="499" spans="4:42" x14ac:dyDescent="0.25">
      <c r="D499" s="2"/>
      <c r="G499" s="2"/>
      <c r="AC499" s="2"/>
      <c r="AG499" s="2"/>
      <c r="AJ499" s="2"/>
      <c r="AM499" s="2"/>
      <c r="AP499" s="2"/>
    </row>
    <row r="500" spans="4:42" x14ac:dyDescent="0.25">
      <c r="D500" s="2"/>
      <c r="G500" s="2"/>
      <c r="AC500" s="2"/>
      <c r="AG500" s="2"/>
      <c r="AJ500" s="2"/>
      <c r="AM500" s="2"/>
      <c r="AP500" s="2"/>
    </row>
    <row r="501" spans="4:42" x14ac:dyDescent="0.25">
      <c r="D501" s="2"/>
      <c r="G501" s="2"/>
      <c r="AC501" s="2"/>
      <c r="AG501" s="2"/>
      <c r="AJ501" s="2"/>
      <c r="AM501" s="2"/>
      <c r="AP501" s="2"/>
    </row>
    <row r="502" spans="4:42" x14ac:dyDescent="0.25">
      <c r="D502" s="2"/>
      <c r="G502" s="2"/>
      <c r="AC502" s="2"/>
      <c r="AG502" s="2"/>
      <c r="AJ502" s="2"/>
      <c r="AM502" s="2"/>
      <c r="AP502" s="2"/>
    </row>
    <row r="503" spans="4:42" x14ac:dyDescent="0.25">
      <c r="D503" s="2"/>
      <c r="G503" s="2"/>
      <c r="AC503" s="2"/>
      <c r="AG503" s="2"/>
      <c r="AJ503" s="2"/>
      <c r="AM503" s="2"/>
      <c r="AP503" s="2"/>
    </row>
    <row r="504" spans="4:42" x14ac:dyDescent="0.25">
      <c r="D504" s="2"/>
      <c r="G504" s="2"/>
      <c r="AC504" s="2"/>
      <c r="AG504" s="2"/>
      <c r="AJ504" s="2"/>
      <c r="AM504" s="2"/>
      <c r="AP504" s="2"/>
    </row>
    <row r="505" spans="4:42" x14ac:dyDescent="0.25">
      <c r="D505" s="2"/>
      <c r="G505" s="2"/>
      <c r="AC505" s="2"/>
      <c r="AG505" s="2"/>
      <c r="AJ505" s="2"/>
      <c r="AM505" s="2"/>
      <c r="AP505" s="2"/>
    </row>
    <row r="506" spans="4:42" x14ac:dyDescent="0.25">
      <c r="D506" s="2"/>
      <c r="G506" s="2"/>
      <c r="AC506" s="2"/>
      <c r="AG506" s="2"/>
      <c r="AJ506" s="2"/>
      <c r="AM506" s="2"/>
      <c r="AP506" s="2"/>
    </row>
    <row r="507" spans="4:42" x14ac:dyDescent="0.25">
      <c r="D507" s="2"/>
      <c r="G507" s="2"/>
      <c r="AC507" s="2"/>
      <c r="AG507" s="2"/>
      <c r="AJ507" s="2"/>
      <c r="AM507" s="2"/>
      <c r="AP507" s="2"/>
    </row>
    <row r="508" spans="4:42" x14ac:dyDescent="0.25">
      <c r="D508" s="2"/>
      <c r="G508" s="2"/>
      <c r="AC508" s="2"/>
      <c r="AG508" s="2"/>
      <c r="AJ508" s="2"/>
      <c r="AM508" s="2"/>
      <c r="AP508" s="2"/>
    </row>
    <row r="509" spans="4:42" x14ac:dyDescent="0.25">
      <c r="D509" s="2"/>
      <c r="G509" s="2"/>
      <c r="AC509" s="2"/>
      <c r="AG509" s="2"/>
      <c r="AJ509" s="2"/>
      <c r="AM509" s="2"/>
      <c r="AP509" s="2"/>
    </row>
    <row r="510" spans="4:42" x14ac:dyDescent="0.25">
      <c r="D510" s="2"/>
      <c r="G510" s="2"/>
      <c r="AC510" s="2"/>
      <c r="AG510" s="2"/>
      <c r="AJ510" s="2"/>
      <c r="AM510" s="2"/>
      <c r="AP510" s="2"/>
    </row>
    <row r="511" spans="4:42" x14ac:dyDescent="0.25">
      <c r="D511" s="2"/>
      <c r="G511" s="2"/>
      <c r="AC511" s="2"/>
      <c r="AG511" s="2"/>
      <c r="AJ511" s="2"/>
      <c r="AM511" s="2"/>
      <c r="AP511" s="2"/>
    </row>
    <row r="512" spans="4:42" x14ac:dyDescent="0.25">
      <c r="D512" s="2"/>
      <c r="G512" s="2"/>
      <c r="AC512" s="2"/>
      <c r="AG512" s="2"/>
      <c r="AJ512" s="2"/>
      <c r="AM512" s="2"/>
      <c r="AP512" s="2"/>
    </row>
    <row r="513" spans="4:42" x14ac:dyDescent="0.25">
      <c r="D513" s="2"/>
      <c r="G513" s="2"/>
      <c r="AC513" s="2"/>
      <c r="AG513" s="2"/>
      <c r="AJ513" s="2"/>
      <c r="AM513" s="2"/>
      <c r="AP513" s="2"/>
    </row>
    <row r="514" spans="4:42" x14ac:dyDescent="0.25">
      <c r="D514" s="2"/>
      <c r="G514" s="2"/>
      <c r="AC514" s="2"/>
      <c r="AG514" s="2"/>
      <c r="AJ514" s="2"/>
      <c r="AM514" s="2"/>
      <c r="AP514" s="2"/>
    </row>
    <row r="515" spans="4:42" x14ac:dyDescent="0.25">
      <c r="D515" s="2"/>
      <c r="G515" s="2"/>
      <c r="AC515" s="2"/>
      <c r="AG515" s="2"/>
      <c r="AJ515" s="2"/>
      <c r="AM515" s="2"/>
      <c r="AP515" s="2"/>
    </row>
    <row r="516" spans="4:42" x14ac:dyDescent="0.25">
      <c r="D516" s="2"/>
      <c r="G516" s="2"/>
      <c r="AC516" s="2"/>
      <c r="AG516" s="2"/>
      <c r="AJ516" s="2"/>
      <c r="AM516" s="2"/>
      <c r="AP516" s="2"/>
    </row>
    <row r="517" spans="4:42" x14ac:dyDescent="0.25">
      <c r="D517" s="2"/>
      <c r="G517" s="2"/>
      <c r="AC517" s="2"/>
      <c r="AG517" s="2"/>
      <c r="AJ517" s="2"/>
      <c r="AM517" s="2"/>
      <c r="AP517" s="2"/>
    </row>
    <row r="518" spans="4:42" x14ac:dyDescent="0.25">
      <c r="D518" s="2"/>
      <c r="G518" s="2"/>
      <c r="AC518" s="2"/>
      <c r="AG518" s="2"/>
      <c r="AJ518" s="2"/>
      <c r="AM518" s="2"/>
      <c r="AP518" s="2"/>
    </row>
  </sheetData>
  <sheetProtection formatCells="0" formatColumns="0" formatRows="0" sort="0" autoFilter="0"/>
  <protectedRanges>
    <protectedRange sqref="AP10:AP1048576 AP1:AP9" name="GED"/>
    <protectedRange sqref="AM10:AM1048576 AM1:AM9" name="réception"/>
    <protectedRange sqref="AJ10:AJ1048576 AJ1:AJ9" name="exploitation"/>
    <protectedRange sqref="AG10:AG1048576 AG1:AG9" name="vérification"/>
    <protectedRange sqref="AC10:AC1048576 AC1:AC9" name="rédaction"/>
    <protectedRange sqref="G1:G5 G7:G1048576" name="Noms du contrat_4"/>
    <protectedRange sqref="A10:A1048576 A1:A9" name="Numéro du contrat"/>
    <protectedRange sqref="D1:D5 D7:D1048576" name="Numéro de la semaine_4"/>
    <protectedRange sqref="A1:XFD7" name="Entête_12"/>
  </protectedRanges>
  <mergeCells count="18">
    <mergeCell ref="AA1:AX5"/>
    <mergeCell ref="A2:C2"/>
    <mergeCell ref="D2:F2"/>
    <mergeCell ref="H2:Q2"/>
    <mergeCell ref="A3:C3"/>
    <mergeCell ref="D3:F3"/>
    <mergeCell ref="H3:Q3"/>
    <mergeCell ref="A4:C4"/>
    <mergeCell ref="D4:F4"/>
    <mergeCell ref="H4:Q4"/>
    <mergeCell ref="A5:C5"/>
    <mergeCell ref="D5:F5"/>
    <mergeCell ref="H5:Q5"/>
    <mergeCell ref="B6:C6"/>
    <mergeCell ref="D6:E6"/>
    <mergeCell ref="H6:M6"/>
    <mergeCell ref="N6:Q6"/>
    <mergeCell ref="H1:Q1"/>
  </mergeCells>
  <phoneticPr fontId="5" type="noConversion"/>
  <conditionalFormatting sqref="A9:C9">
    <cfRule type="expression" dxfId="9" priority="5">
      <formula>VALUE(_semISO($Q9,""))&lt;VALUE(_semISO(TODAY()-7,""))</formula>
    </cfRule>
  </conditionalFormatting>
  <conditionalFormatting sqref="D2:D5 G2:H5">
    <cfRule type="cellIs" dxfId="8" priority="4" operator="equal">
      <formula>0</formula>
    </cfRule>
  </conditionalFormatting>
  <conditionalFormatting sqref="R9 Z9">
    <cfRule type="expression" dxfId="7" priority="9">
      <formula>AND(ISBLANK(AD9),ISNONTEXT(AC9),$R$9&lt;$Q$9)</formula>
    </cfRule>
  </conditionalFormatting>
  <conditionalFormatting sqref="R9">
    <cfRule type="expression" dxfId="6" priority="2">
      <formula>$R$9&lt;$Q$9</formula>
    </cfRule>
  </conditionalFormatting>
  <conditionalFormatting sqref="T9:X9">
    <cfRule type="expression" dxfId="5" priority="3">
      <formula>AND(ISBLANK(AG9),ISNONTEXT(AF9),$R$9&lt;$Q$9)</formula>
    </cfRule>
  </conditionalFormatting>
  <conditionalFormatting sqref="Y9">
    <cfRule type="expression" dxfId="4" priority="10">
      <formula>AND(ISBLANK(AE9),ISNONTEXT(AD9),$R$9&lt;$Q$9)</formula>
    </cfRule>
  </conditionalFormatting>
  <conditionalFormatting sqref="AD9 AH9 AK9 AN9 AQ9">
    <cfRule type="expression" dxfId="3" priority="6">
      <formula>AND(ISBLANK(AD9),ISNONTEXT(AC9),TODAY()&gt;=AC9)</formula>
    </cfRule>
    <cfRule type="expression" dxfId="2" priority="7">
      <formula>AND(ISBLANK(AD9),ISNONTEXT(AC9),TODAY()&lt;AC9,TODAY()&gt;=AC9-7)</formula>
    </cfRule>
    <cfRule type="expression" dxfId="1" priority="8">
      <formula>AND(ISBLANK(AD9),ISNONTEXT(AC9),TODAY()&lt;AC9-7)</formula>
    </cfRule>
  </conditionalFormatting>
  <dataValidations count="2">
    <dataValidation allowBlank="1" showInputMessage="1" showErrorMessage="1" sqref="O8:P8" xr:uid="{B7947065-53B2-4CBA-BD98-79124D43DD54}"/>
    <dataValidation allowBlank="1" showInputMessage="1" sqref="C9" xr:uid="{9DA8E04B-78EF-4599-B1E3-80132FAC5FE4}"/>
  </dataValidations>
  <pageMargins left="0.25" right="0.25" top="0.75" bottom="0.75" header="0.3" footer="0.3"/>
  <pageSetup paperSize="9" scale="2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xr:uid="{6C571BBF-18E9-4E5F-9DC5-5788BC959F36}">
          <x14:formula1>
            <xm:f>paramètre!$I:$I</xm:f>
          </x14:formula1>
          <xm:sqref>B9</xm:sqref>
        </x14:dataValidation>
        <x14:dataValidation type="list" allowBlank="1" showInputMessage="1" xr:uid="{8EAC31CD-AAA8-47E8-865A-A3516D8CA6BE}">
          <x14:formula1>
            <xm:f>paramètre!$F:$F</xm:f>
          </x14:formula1>
          <xm:sqref>AF9</xm:sqref>
        </x14:dataValidation>
        <x14:dataValidation type="list" allowBlank="1" showInputMessage="1" promptTitle="Rédacteur" xr:uid="{1E97DCBB-359C-443F-8CB3-5DB1E2C6A12C}">
          <x14:formula1>
            <xm:f>paramètre!$F$2:$F$10</xm:f>
          </x14:formula1>
          <xm:sqref>AA9</xm:sqref>
        </x14:dataValidation>
        <x14:dataValidation type="list" allowBlank="1" showInputMessage="1" showErrorMessage="1" xr:uid="{9DA5C639-32DF-46D0-9E56-48C8D3A53025}">
          <x14:formula1>
            <xm:f>paramètre!$A$1:$A$2</xm:f>
          </x14:formula1>
          <xm:sqref>H9:K9 N9:P9</xm:sqref>
        </x14:dataValidation>
        <x14:dataValidation type="list" allowBlank="1" showInputMessage="1" showErrorMessage="1" xr:uid="{4923C1A6-3718-4DAB-A3F2-5AE7A1F9B6DE}">
          <x14:formula1>
            <xm:f>paramètre!$A$1:$A$3</xm:f>
          </x14:formula1>
          <xm:sqref>N8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C3A8FA36261E499C90B2E8FE224873" ma:contentTypeVersion="4" ma:contentTypeDescription="Crée un document." ma:contentTypeScope="" ma:versionID="823ebe2f51fcaa638c2d82905fbc658b">
  <xsd:schema xmlns:xsd="http://www.w3.org/2001/XMLSchema" xmlns:xs="http://www.w3.org/2001/XMLSchema" xmlns:p="http://schemas.microsoft.com/office/2006/metadata/properties" xmlns:ns2="0e5a37a0-cbb1-4ead-ae34-9be20da25a61" targetNamespace="http://schemas.microsoft.com/office/2006/metadata/properties" ma:root="true" ma:fieldsID="3ef49e4f3db26b22d92845d837439390" ns2:_="">
    <xsd:import namespace="0e5a37a0-cbb1-4ead-ae34-9be20da25a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5a37a0-cbb1-4ead-ae34-9be20da25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53F144-794A-448C-9C02-B072A433D095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e5a37a0-cbb1-4ead-ae34-9be20da25a61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D104CE4-F886-461F-ABE1-D3C0FBDC6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5a37a0-cbb1-4ead-ae34-9be20da25a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8BAC43-1526-4522-A790-735FDE88D0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Version</vt:lpstr>
      <vt:lpstr>suivi CTx</vt:lpstr>
      <vt:lpstr>Statistique</vt:lpstr>
      <vt:lpstr>paramètre</vt:lpstr>
      <vt:lpstr>Doc  orga</vt:lpstr>
      <vt:lpstr>Tolérances_1</vt:lpstr>
      <vt:lpstr>Tolérances_2</vt:lpstr>
      <vt:lpstr>Tolérances_3</vt:lpstr>
      <vt:lpstr>Tolérances_4</vt:lpstr>
      <vt:lpstr>Tolérances_5</vt:lpstr>
    </vt:vector>
  </TitlesOfParts>
  <Manager/>
  <Company>EIFFAGE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NBROSSUT</dc:creator>
  <cp:keywords/>
  <dc:description/>
  <cp:lastModifiedBy>CORBIN Pierrick [EIFFAGE CONCESSIONS]</cp:lastModifiedBy>
  <cp:revision/>
  <dcterms:created xsi:type="dcterms:W3CDTF">2017-03-13T16:36:17Z</dcterms:created>
  <dcterms:modified xsi:type="dcterms:W3CDTF">2025-04-24T07:47:18Z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0x0101007DC3A8FA36261E499C90B2E8FE224873</vt:lpwstr>
  </property>
</Properties>
</file>