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4fc96df72304129/ROMAIN/PRO/SCRUBR/GESTION ET SUIVI/"/>
    </mc:Choice>
  </mc:AlternateContent>
  <xr:revisionPtr revIDLastSave="0" documentId="8_{475A01E4-B4D1-4660-9647-DC73623C21E1}" xr6:coauthVersionLast="47" xr6:coauthVersionMax="47" xr10:uidLastSave="{00000000-0000-0000-0000-000000000000}"/>
  <bookViews>
    <workbookView xWindow="28680" yWindow="-3765" windowWidth="29040" windowHeight="15840" xr2:uid="{A43986E4-9A92-4CFC-8370-5401E6CB2D1C}"/>
  </bookViews>
  <sheets>
    <sheet name="Couts" sheetId="1" r:id="rId1"/>
    <sheet name="Revenus" sheetId="2" r:id="rId2"/>
    <sheet name="Board" sheetId="3" r:id="rId3"/>
    <sheet name="Calendar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1" i="3" l="1"/>
  <c r="Q23" i="3"/>
  <c r="E17" i="3"/>
  <c r="B4" i="4"/>
  <c r="C4" i="4"/>
  <c r="D4" i="4"/>
  <c r="E4" i="4"/>
  <c r="F4" i="4"/>
  <c r="G4" i="4"/>
  <c r="H4" i="4"/>
  <c r="I4" i="4"/>
  <c r="J4" i="4"/>
  <c r="K4" i="4"/>
  <c r="L4" i="4"/>
  <c r="M4" i="4"/>
  <c r="N4" i="4"/>
  <c r="O4" i="4"/>
  <c r="P4" i="4"/>
  <c r="Q4" i="4"/>
  <c r="R4" i="4"/>
  <c r="S4" i="4"/>
  <c r="T4" i="4"/>
  <c r="U4" i="4"/>
  <c r="V4" i="4"/>
  <c r="W4" i="4"/>
  <c r="X4" i="4"/>
  <c r="Y4" i="4"/>
  <c r="Z4" i="4"/>
  <c r="AA4" i="4"/>
  <c r="AB4" i="4"/>
  <c r="AC4" i="4"/>
  <c r="AD4" i="4"/>
  <c r="AE4" i="4"/>
  <c r="AF4" i="4"/>
  <c r="AG4" i="4"/>
  <c r="AH4" i="4"/>
  <c r="AI4" i="4"/>
  <c r="AJ4" i="4"/>
  <c r="AK4" i="4"/>
  <c r="AL4" i="4"/>
  <c r="AM4" i="4"/>
  <c r="AN4" i="4"/>
  <c r="AO4" i="4"/>
  <c r="AP4" i="4"/>
  <c r="AQ4" i="4"/>
  <c r="AR4" i="4"/>
  <c r="AS4" i="4"/>
  <c r="AT4" i="4"/>
  <c r="AU4" i="4"/>
  <c r="AV4" i="4"/>
  <c r="A4" i="4"/>
  <c r="B17" i="2"/>
  <c r="B16" i="2" s="1"/>
  <c r="B15" i="2"/>
  <c r="B14" i="2" s="1"/>
  <c r="E17" i="2"/>
  <c r="E15" i="2"/>
  <c r="E14" i="2" s="1"/>
  <c r="E16" i="2"/>
  <c r="E19" i="2" l="1"/>
  <c r="D2" i="2" s="1"/>
  <c r="B19" i="2"/>
  <c r="B2" i="2" s="1"/>
  <c r="B14" i="1"/>
  <c r="D14" i="1"/>
  <c r="F14" i="1"/>
  <c r="H14" i="1"/>
  <c r="E12" i="3"/>
  <c r="B12" i="3"/>
  <c r="B17" i="3" l="1"/>
  <c r="E2" i="2"/>
  <c r="F2" i="2"/>
  <c r="J2" i="1"/>
  <c r="H12" i="3" s="1"/>
  <c r="N12" i="3" l="1"/>
  <c r="K12" i="3"/>
  <c r="Q12" i="3" s="1"/>
  <c r="T12" i="3" s="1"/>
</calcChain>
</file>

<file path=xl/sharedStrings.xml><?xml version="1.0" encoding="utf-8"?>
<sst xmlns="http://schemas.openxmlformats.org/spreadsheetml/2006/main" count="83" uniqueCount="76">
  <si>
    <t>FONCTIONNEL</t>
  </si>
  <si>
    <t>COUT</t>
  </si>
  <si>
    <t>COMMERCIAUX</t>
  </si>
  <si>
    <t>COUT2</t>
  </si>
  <si>
    <t>STRUCTUREL</t>
  </si>
  <si>
    <t>COUT3</t>
  </si>
  <si>
    <t>COMMUNICATION</t>
  </si>
  <si>
    <t>COUT4</t>
  </si>
  <si>
    <t>MONTHLY SUBSCRIBERS</t>
  </si>
  <si>
    <t>ANNUALY SUBSCRIBERS</t>
  </si>
  <si>
    <t>MONTHLY REVENUE</t>
  </si>
  <si>
    <t>ANNUALY REVENUE</t>
  </si>
  <si>
    <t>TOTAL RATE MONTHLY REVENUE</t>
  </si>
  <si>
    <t>TOTAL ANNUALY REVENUE</t>
  </si>
  <si>
    <t>COUT TOTAL MENSUEL</t>
  </si>
  <si>
    <r>
      <rPr>
        <sz val="9"/>
        <color rgb="FFFF0000"/>
        <rFont val="Calibri"/>
        <family val="2"/>
      </rPr>
      <t>←</t>
    </r>
    <r>
      <rPr>
        <sz val="9"/>
        <color rgb="FFFF0000"/>
        <rFont val="Calibri"/>
        <family val="2"/>
        <scheme val="minor"/>
      </rPr>
      <t>Indique ici le résultat net souhaité</t>
    </r>
  </si>
  <si>
    <r>
      <rPr>
        <sz val="10"/>
        <color rgb="FFFF0000"/>
        <rFont val="Calibri"/>
        <family val="2"/>
      </rPr>
      <t>←</t>
    </r>
    <r>
      <rPr>
        <sz val="10"/>
        <color rgb="FFFF0000"/>
        <rFont val="Calibri"/>
        <family val="2"/>
        <scheme val="minor"/>
      </rPr>
      <t>Clients manquant pour atteindre le goal</t>
    </r>
  </si>
  <si>
    <t>janv-23</t>
  </si>
  <si>
    <t>févr-23</t>
  </si>
  <si>
    <t>mars-23</t>
  </si>
  <si>
    <t>avr-23</t>
  </si>
  <si>
    <t>mai-23</t>
  </si>
  <si>
    <t>juin-23</t>
  </si>
  <si>
    <t>juil-23</t>
  </si>
  <si>
    <t>août-23</t>
  </si>
  <si>
    <t>sept-23</t>
  </si>
  <si>
    <t>oct-23</t>
  </si>
  <si>
    <t>nov-23</t>
  </si>
  <si>
    <t>déc-23</t>
  </si>
  <si>
    <t>janv-24</t>
  </si>
  <si>
    <t>févr-24</t>
  </si>
  <si>
    <t>mars-24</t>
  </si>
  <si>
    <t>avr-24</t>
  </si>
  <si>
    <t>mai-24</t>
  </si>
  <si>
    <t>juin-24</t>
  </si>
  <si>
    <t>juil-24</t>
  </si>
  <si>
    <t>août-24</t>
  </si>
  <si>
    <t>sept-24</t>
  </si>
  <si>
    <t>oct-24</t>
  </si>
  <si>
    <t>nov-24</t>
  </si>
  <si>
    <t>déc-24</t>
  </si>
  <si>
    <t>janv-25</t>
  </si>
  <si>
    <t>févr-25</t>
  </si>
  <si>
    <t>mars-25</t>
  </si>
  <si>
    <t>avr-25</t>
  </si>
  <si>
    <t>mai-25</t>
  </si>
  <si>
    <t>juin-25</t>
  </si>
  <si>
    <t>juil-25</t>
  </si>
  <si>
    <t>août-25</t>
  </si>
  <si>
    <t>sept-25</t>
  </si>
  <si>
    <t>oct-25</t>
  </si>
  <si>
    <t>nov-25</t>
  </si>
  <si>
    <t>déc-25</t>
  </si>
  <si>
    <t>janv-26</t>
  </si>
  <si>
    <t>févr-26</t>
  </si>
  <si>
    <t>mars-26</t>
  </si>
  <si>
    <t>avr-26</t>
  </si>
  <si>
    <t>mai-26</t>
  </si>
  <si>
    <t>juin-26</t>
  </si>
  <si>
    <t>juil-26</t>
  </si>
  <si>
    <t>août-26</t>
  </si>
  <si>
    <t>sept-26</t>
  </si>
  <si>
    <t>oct-26</t>
  </si>
  <si>
    <t>nov-26</t>
  </si>
  <si>
    <t>déc-26</t>
  </si>
  <si>
    <t>+1sub Yearly</t>
  </si>
  <si>
    <t>% taxe</t>
  </si>
  <si>
    <t>TOTAL :</t>
  </si>
  <si>
    <t>PRIX ABONNEMENT :</t>
  </si>
  <si>
    <t>FRAIS STRIPE :</t>
  </si>
  <si>
    <t>TAXE :</t>
  </si>
  <si>
    <t>Sous Total 1 :</t>
  </si>
  <si>
    <t>Sous Total 2 :</t>
  </si>
  <si>
    <r>
      <rPr>
        <i/>
        <sz val="10"/>
        <color rgb="FFFF0000"/>
        <rFont val="Calibri"/>
        <family val="2"/>
      </rPr>
      <t>←</t>
    </r>
    <r>
      <rPr>
        <i/>
        <sz val="10"/>
        <color rgb="FFFF0000"/>
        <rFont val="Calibri"/>
        <family val="2"/>
        <scheme val="minor"/>
      </rPr>
      <t>Changer prix abonnement</t>
    </r>
  </si>
  <si>
    <r>
      <rPr>
        <i/>
        <sz val="10"/>
        <color rgb="FFFF0000"/>
        <rFont val="Calibri"/>
        <family val="2"/>
      </rPr>
      <t>←</t>
    </r>
    <r>
      <rPr>
        <i/>
        <sz val="10"/>
        <color rgb="FFFF0000"/>
        <rFont val="Calibri"/>
        <family val="2"/>
        <scheme val="minor"/>
      </rPr>
      <t>Changer pourcentage de taxe selon regime</t>
    </r>
  </si>
  <si>
    <t>+1sub Monthly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</si>
</sst>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\ &quot;€&quot;"/>
  </numFmts>
  <fonts count="2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9" tint="-0.249977111117893"/>
      <name val="Calibri"/>
      <family val="2"/>
      <scheme val="minor"/>
    </font>
    <font>
      <b/>
      <sz val="18"/>
      <color theme="5" tint="-0.249977111117893"/>
      <name val="Calibri"/>
      <family val="2"/>
      <scheme val="minor"/>
    </font>
    <font>
      <b/>
      <sz val="18"/>
      <color theme="7" tint="-0.249977111117893"/>
      <name val="Calibri"/>
      <family val="2"/>
      <scheme val="minor"/>
    </font>
    <font>
      <b/>
      <sz val="18"/>
      <color theme="0" tint="-0.34998626667073579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FF0000"/>
      <name val="Calibri"/>
      <family val="2"/>
    </font>
    <font>
      <sz val="10"/>
      <color rgb="FFFF0000"/>
      <name val="Calibri"/>
      <family val="2"/>
      <scheme val="minor"/>
    </font>
    <font>
      <sz val="10"/>
      <color rgb="FFFF000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9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i/>
      <sz val="10"/>
      <color rgb="FFFF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0" fillId="6" borderId="0" xfId="0" applyFill="1"/>
    <xf numFmtId="0" fontId="1" fillId="8" borderId="0" xfId="0" applyFont="1" applyFill="1" applyAlignment="1">
      <alignment horizontal="center" vertical="center" wrapText="1"/>
    </xf>
    <xf numFmtId="164" fontId="2" fillId="9" borderId="1" xfId="0" applyNumberFormat="1" applyFont="1" applyFill="1" applyBorder="1" applyAlignment="1">
      <alignment horizontal="center" vertical="center"/>
    </xf>
    <xf numFmtId="0" fontId="6" fillId="6" borderId="0" xfId="0" applyFont="1" applyFill="1" applyAlignment="1">
      <alignment vertical="center"/>
    </xf>
    <xf numFmtId="17" fontId="0" fillId="0" borderId="0" xfId="0" applyNumberFormat="1"/>
    <xf numFmtId="1" fontId="6" fillId="11" borderId="0" xfId="0" applyNumberFormat="1" applyFont="1" applyFill="1" applyAlignment="1">
      <alignment horizontal="center" vertical="center"/>
    </xf>
    <xf numFmtId="0" fontId="7" fillId="10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165" fontId="4" fillId="5" borderId="0" xfId="0" applyNumberFormat="1" applyFont="1" applyFill="1" applyAlignment="1">
      <alignment horizontal="center" vertical="center"/>
    </xf>
    <xf numFmtId="165" fontId="5" fillId="7" borderId="0" xfId="0" applyNumberFormat="1" applyFont="1" applyFill="1" applyAlignment="1">
      <alignment horizontal="center" vertical="center"/>
    </xf>
    <xf numFmtId="165" fontId="6" fillId="11" borderId="0" xfId="0" applyNumberFormat="1" applyFont="1" applyFill="1" applyAlignment="1">
      <alignment horizontal="center" vertical="center"/>
    </xf>
    <xf numFmtId="0" fontId="13" fillId="0" borderId="0" xfId="0" applyFont="1"/>
    <xf numFmtId="0" fontId="2" fillId="0" borderId="0" xfId="0" applyFont="1"/>
    <xf numFmtId="0" fontId="1" fillId="13" borderId="0" xfId="0" quotePrefix="1" applyFont="1" applyFill="1" applyAlignment="1">
      <alignment horizontal="center"/>
    </xf>
    <xf numFmtId="0" fontId="1" fillId="13" borderId="0" xfId="0" applyFont="1" applyFill="1" applyAlignment="1">
      <alignment horizontal="center"/>
    </xf>
    <xf numFmtId="0" fontId="15" fillId="13" borderId="0" xfId="0" quotePrefix="1" applyFont="1" applyFill="1" applyAlignment="1">
      <alignment horizontal="center" vertical="center"/>
    </xf>
    <xf numFmtId="0" fontId="15" fillId="13" borderId="0" xfId="0" applyFont="1" applyFill="1" applyAlignment="1">
      <alignment horizontal="center" vertical="center"/>
    </xf>
    <xf numFmtId="0" fontId="0" fillId="12" borderId="0" xfId="0" applyFill="1"/>
    <xf numFmtId="0" fontId="1" fillId="13" borderId="0" xfId="0" applyFont="1" applyFill="1" applyAlignment="1"/>
    <xf numFmtId="0" fontId="1" fillId="12" borderId="0" xfId="0" applyFont="1" applyFill="1" applyAlignment="1">
      <alignment horizontal="right" vertical="center" wrapText="1"/>
    </xf>
    <xf numFmtId="0" fontId="1" fillId="12" borderId="0" xfId="0" applyFont="1" applyFill="1" applyAlignment="1">
      <alignment horizontal="right"/>
    </xf>
    <xf numFmtId="164" fontId="14" fillId="12" borderId="0" xfId="0" applyNumberFormat="1" applyFont="1" applyFill="1"/>
    <xf numFmtId="164" fontId="18" fillId="12" borderId="0" xfId="0" applyNumberFormat="1" applyFont="1" applyFill="1"/>
    <xf numFmtId="164" fontId="0" fillId="12" borderId="0" xfId="0" applyNumberFormat="1" applyFill="1"/>
    <xf numFmtId="164" fontId="16" fillId="0" borderId="0" xfId="0" applyNumberFormat="1" applyFont="1" applyFill="1" applyAlignment="1">
      <alignment horizontal="right"/>
    </xf>
    <xf numFmtId="0" fontId="18" fillId="12" borderId="0" xfId="0" applyFont="1" applyFill="1" applyAlignment="1">
      <alignment horizontal="right" vertical="center"/>
    </xf>
    <xf numFmtId="0" fontId="19" fillId="0" borderId="0" xfId="0" applyFont="1"/>
    <xf numFmtId="0" fontId="16" fillId="0" borderId="0" xfId="0" applyFont="1" applyFill="1" applyAlignment="1">
      <alignment horizontal="center"/>
    </xf>
    <xf numFmtId="0" fontId="0" fillId="0" borderId="0" xfId="0" applyNumberFormat="1"/>
    <xf numFmtId="0" fontId="0" fillId="0" borderId="0" xfId="0" quotePrefix="1" applyNumberFormat="1"/>
    <xf numFmtId="1" fontId="17" fillId="6" borderId="0" xfId="1" applyNumberFormat="1" applyFont="1" applyFill="1" applyAlignment="1">
      <alignment horizontal="center"/>
    </xf>
    <xf numFmtId="0" fontId="10" fillId="6" borderId="0" xfId="0" applyFont="1" applyFill="1" applyAlignment="1">
      <alignment horizontal="left" wrapText="1"/>
    </xf>
    <xf numFmtId="0" fontId="8" fillId="6" borderId="0" xfId="0" applyFont="1" applyFill="1" applyAlignment="1">
      <alignment horizontal="left" wrapText="1"/>
    </xf>
  </cellXfs>
  <cellStyles count="2">
    <cellStyle name="Normal" xfId="0" builtinId="0"/>
    <cellStyle name="Pourcentage" xfId="1" builtinId="5"/>
  </cellStyles>
  <dxfs count="7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numFmt numFmtId="166" formatCode="_-* #,##0.00\ [$€-40C]_-;\-* #,##0.00\ [$€-40C]_-;_-* &quot;-&quot;??\ [$€-40C]_-;_-@_-"/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22" formatCode="mmm\-yy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394996460168115"/>
          <c:y val="0.15531505306627405"/>
          <c:w val="0.61147165376478108"/>
          <c:h val="0.6897960894386250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2">
                  <a:shade val="58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9D7A-495D-BB09-9E71CB35D4A4}"/>
              </c:ext>
            </c:extLst>
          </c:dPt>
          <c:dPt>
            <c:idx val="1"/>
            <c:bubble3D val="0"/>
            <c:spPr>
              <a:solidFill>
                <a:schemeClr val="accent2">
                  <a:shade val="86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9D7A-495D-BB09-9E71CB35D4A4}"/>
              </c:ext>
            </c:extLst>
          </c:dPt>
          <c:dPt>
            <c:idx val="2"/>
            <c:bubble3D val="0"/>
            <c:spPr>
              <a:solidFill>
                <a:schemeClr val="accent2">
                  <a:tint val="86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D7A-495D-BB09-9E71CB35D4A4}"/>
              </c:ext>
            </c:extLst>
          </c:dPt>
          <c:dPt>
            <c:idx val="3"/>
            <c:bubble3D val="0"/>
            <c:spPr>
              <a:solidFill>
                <a:schemeClr val="accent2">
                  <a:tint val="58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D7A-495D-BB09-9E71CB35D4A4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(Couts!$B$1,Couts!$D$1,Couts!$F$1,Couts!$H$1)</c:f>
              <c:strCache>
                <c:ptCount val="4"/>
                <c:pt idx="0">
                  <c:v>FONCTIONNEL</c:v>
                </c:pt>
                <c:pt idx="1">
                  <c:v>COMMERCIAUX</c:v>
                </c:pt>
                <c:pt idx="2">
                  <c:v>STRUCTUREL</c:v>
                </c:pt>
                <c:pt idx="3">
                  <c:v>COMMUNICATION</c:v>
                </c:pt>
              </c:strCache>
            </c:strRef>
          </c:cat>
          <c:val>
            <c:numRef>
              <c:f>(Couts!$B$14,Couts!$D$14,Couts!$F$14,Couts!$H$14)</c:f>
              <c:numCache>
                <c:formatCode>General</c:formatCode>
                <c:ptCount val="4"/>
                <c:pt idx="0">
                  <c:v>191.12</c:v>
                </c:pt>
                <c:pt idx="1">
                  <c:v>15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DDE-499B-8E9D-335234D7FEC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7725371955869942E-2"/>
          <c:y val="0.87962200615161823"/>
          <c:w val="0.96780075008878075"/>
          <c:h val="9.3070352769230993E-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2">
        <a:lumMod val="9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786232631613295"/>
          <c:y val="0.18988486344227323"/>
          <c:w val="0.44374553079680862"/>
          <c:h val="0.6150418273699505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>
                  <a:shade val="76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A37-4015-9369-F337F06CB7F4}"/>
              </c:ext>
            </c:extLst>
          </c:dPt>
          <c:dPt>
            <c:idx val="1"/>
            <c:bubble3D val="0"/>
            <c:spPr>
              <a:solidFill>
                <a:schemeClr val="accent6">
                  <a:tint val="77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A37-4015-9369-F337F06CB7F4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(Revenus!$A$1,Revenus!$C$1)</c:f>
              <c:strCache>
                <c:ptCount val="2"/>
                <c:pt idx="0">
                  <c:v>MONTHLY SUBSCRIBERS</c:v>
                </c:pt>
                <c:pt idx="1">
                  <c:v>ANNUALY SUBSCRIBERS</c:v>
                </c:pt>
              </c:strCache>
            </c:strRef>
          </c:cat>
          <c:val>
            <c:numRef>
              <c:f>(Revenus!$A$2,Revenus!$C$2)</c:f>
              <c:numCache>
                <c:formatCode>General</c:formatCode>
                <c:ptCount val="2"/>
                <c:pt idx="0">
                  <c:v>3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E6-4958-9BC7-4C08B6AA116E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4.5618440083321492E-2"/>
          <c:y val="0.83399715808929598"/>
          <c:w val="0.9159781277340332"/>
          <c:h val="0.1323365278119068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2">
        <a:lumMod val="9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2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</xdr:colOff>
      <xdr:row>1</xdr:row>
      <xdr:rowOff>0</xdr:rowOff>
    </xdr:from>
    <xdr:to>
      <xdr:col>21</xdr:col>
      <xdr:colOff>104775</xdr:colOff>
      <xdr:row>6</xdr:row>
      <xdr:rowOff>0</xdr:rowOff>
    </xdr:to>
    <xdr:sp macro="" textlink="">
      <xdr:nvSpPr>
        <xdr:cNvPr id="2" name="Rectangle : avec coin arrondi 1">
          <a:extLst>
            <a:ext uri="{FF2B5EF4-FFF2-40B4-BE49-F238E27FC236}">
              <a16:creationId xmlns:a16="http://schemas.microsoft.com/office/drawing/2014/main" id="{70159182-86D8-CF97-AE3B-E115F3033610}"/>
            </a:ext>
          </a:extLst>
        </xdr:cNvPr>
        <xdr:cNvSpPr/>
      </xdr:nvSpPr>
      <xdr:spPr>
        <a:xfrm>
          <a:off x="230505" y="180975"/>
          <a:ext cx="12942570" cy="904875"/>
        </a:xfrm>
        <a:prstGeom prst="round1Rect">
          <a:avLst/>
        </a:prstGeom>
        <a:ln>
          <a:noFill/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4800" b="1"/>
            <a:t>B O A R D    </a:t>
          </a:r>
        </a:p>
      </xdr:txBody>
    </xdr:sp>
    <xdr:clientData/>
  </xdr:twoCellAnchor>
  <xdr:twoCellAnchor>
    <xdr:from>
      <xdr:col>0</xdr:col>
      <xdr:colOff>295275</xdr:colOff>
      <xdr:row>9</xdr:row>
      <xdr:rowOff>91441</xdr:rowOff>
    </xdr:from>
    <xdr:to>
      <xdr:col>3</xdr:col>
      <xdr:colOff>53340</xdr:colOff>
      <xdr:row>11</xdr:row>
      <xdr:rowOff>17146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69EB515F-2B77-2698-F5D9-E4877D092B07}"/>
            </a:ext>
          </a:extLst>
        </xdr:cNvPr>
        <xdr:cNvSpPr/>
      </xdr:nvSpPr>
      <xdr:spPr>
        <a:xfrm>
          <a:off x="295275" y="1720216"/>
          <a:ext cx="1682115" cy="28765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ln>
                <a:noFill/>
              </a:ln>
              <a:solidFill>
                <a:schemeClr val="accent6">
                  <a:lumMod val="75000"/>
                </a:schemeClr>
              </a:solidFill>
            </a:rPr>
            <a:t>MONTHLY</a:t>
          </a:r>
          <a:r>
            <a:rPr lang="en-US" sz="1100" b="1" baseline="0">
              <a:ln>
                <a:noFill/>
              </a:ln>
              <a:solidFill>
                <a:schemeClr val="accent6">
                  <a:lumMod val="75000"/>
                </a:schemeClr>
              </a:solidFill>
            </a:rPr>
            <a:t> SUBSCRIBERS</a:t>
          </a:r>
          <a:endParaRPr lang="en-US" sz="1100" b="1">
            <a:ln>
              <a:noFill/>
            </a:ln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3</xdr:col>
      <xdr:colOff>228599</xdr:colOff>
      <xdr:row>9</xdr:row>
      <xdr:rowOff>95250</xdr:rowOff>
    </xdr:from>
    <xdr:to>
      <xdr:col>6</xdr:col>
      <xdr:colOff>38100</xdr:colOff>
      <xdr:row>11</xdr:row>
      <xdr:rowOff>20955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7424E18-9BF9-46B2-B9C4-E35A05105A46}"/>
            </a:ext>
          </a:extLst>
        </xdr:cNvPr>
        <xdr:cNvSpPr/>
      </xdr:nvSpPr>
      <xdr:spPr>
        <a:xfrm>
          <a:off x="2600324" y="1543050"/>
          <a:ext cx="1647826" cy="28765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ln>
                <a:noFill/>
              </a:ln>
              <a:solidFill>
                <a:schemeClr val="accent6">
                  <a:lumMod val="75000"/>
                </a:schemeClr>
              </a:solidFill>
            </a:rPr>
            <a:t>ANNUALY</a:t>
          </a:r>
          <a:r>
            <a:rPr lang="en-US" sz="1100" b="1" baseline="0">
              <a:ln>
                <a:noFill/>
              </a:ln>
              <a:solidFill>
                <a:schemeClr val="accent6">
                  <a:lumMod val="75000"/>
                </a:schemeClr>
              </a:solidFill>
            </a:rPr>
            <a:t> SUBSCRIBERS</a:t>
          </a:r>
          <a:endParaRPr lang="en-US" sz="1100" b="1">
            <a:ln>
              <a:noFill/>
            </a:ln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0</xdr:col>
      <xdr:colOff>295275</xdr:colOff>
      <xdr:row>14</xdr:row>
      <xdr:rowOff>100966</xdr:rowOff>
    </xdr:from>
    <xdr:to>
      <xdr:col>3</xdr:col>
      <xdr:colOff>38100</xdr:colOff>
      <xdr:row>16</xdr:row>
      <xdr:rowOff>24766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F6AAE7B0-6051-497F-B0FB-0933DAE4B49B}"/>
            </a:ext>
          </a:extLst>
        </xdr:cNvPr>
        <xdr:cNvSpPr/>
      </xdr:nvSpPr>
      <xdr:spPr>
        <a:xfrm>
          <a:off x="295275" y="2634616"/>
          <a:ext cx="1666875" cy="2857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ln>
                <a:noFill/>
              </a:ln>
              <a:solidFill>
                <a:schemeClr val="accent6">
                  <a:lumMod val="75000"/>
                </a:schemeClr>
              </a:solidFill>
            </a:rPr>
            <a:t>MONTHLY RECURENT</a:t>
          </a:r>
          <a:r>
            <a:rPr lang="en-US" sz="1100" b="1" baseline="0">
              <a:ln>
                <a:noFill/>
              </a:ln>
              <a:solidFill>
                <a:schemeClr val="accent6">
                  <a:lumMod val="75000"/>
                </a:schemeClr>
              </a:solidFill>
            </a:rPr>
            <a:t> REVENUE</a:t>
          </a:r>
          <a:endParaRPr lang="en-US" sz="1100" b="1">
            <a:ln>
              <a:noFill/>
            </a:ln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3</xdr:col>
      <xdr:colOff>228601</xdr:colOff>
      <xdr:row>14</xdr:row>
      <xdr:rowOff>100965</xdr:rowOff>
    </xdr:from>
    <xdr:to>
      <xdr:col>6</xdr:col>
      <xdr:colOff>26672</xdr:colOff>
      <xdr:row>16</xdr:row>
      <xdr:rowOff>24765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2E6D7DC9-3691-4FA1-B1CB-DD89071F8DCE}"/>
            </a:ext>
          </a:extLst>
        </xdr:cNvPr>
        <xdr:cNvSpPr/>
      </xdr:nvSpPr>
      <xdr:spPr>
        <a:xfrm>
          <a:off x="2200276" y="2272665"/>
          <a:ext cx="1636396" cy="2857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ln>
                <a:noFill/>
              </a:ln>
              <a:solidFill>
                <a:schemeClr val="accent6">
                  <a:lumMod val="75000"/>
                </a:schemeClr>
              </a:solidFill>
            </a:rPr>
            <a:t>ANNUALY</a:t>
          </a:r>
          <a:r>
            <a:rPr lang="en-US" sz="1100" b="1" baseline="0">
              <a:ln>
                <a:noFill/>
              </a:ln>
              <a:solidFill>
                <a:schemeClr val="accent6">
                  <a:lumMod val="75000"/>
                </a:schemeClr>
              </a:solidFill>
            </a:rPr>
            <a:t> REVENUE</a:t>
          </a:r>
          <a:endParaRPr lang="en-US" sz="1100" b="1">
            <a:ln>
              <a:noFill/>
            </a:ln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0</xdr:col>
      <xdr:colOff>342900</xdr:colOff>
      <xdr:row>6</xdr:row>
      <xdr:rowOff>152400</xdr:rowOff>
    </xdr:from>
    <xdr:to>
      <xdr:col>6</xdr:col>
      <xdr:colOff>38100</xdr:colOff>
      <xdr:row>9</xdr:row>
      <xdr:rowOff>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F7BE3DF8-E393-2E27-0FB5-EE473F8558C5}"/>
            </a:ext>
          </a:extLst>
        </xdr:cNvPr>
        <xdr:cNvSpPr/>
      </xdr:nvSpPr>
      <xdr:spPr>
        <a:xfrm>
          <a:off x="342900" y="1238250"/>
          <a:ext cx="3505200" cy="390525"/>
        </a:xfrm>
        <a:prstGeom prst="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/>
            <a:t>BRUT</a:t>
          </a:r>
          <a:r>
            <a:rPr lang="en-US" sz="2000" b="1" baseline="0"/>
            <a:t> </a:t>
          </a:r>
          <a:r>
            <a:rPr lang="en-US" sz="2000" b="1"/>
            <a:t>REVENUE</a:t>
          </a:r>
        </a:p>
      </xdr:txBody>
    </xdr:sp>
    <xdr:clientData/>
  </xdr:twoCellAnchor>
  <xdr:twoCellAnchor editAs="oneCell">
    <xdr:from>
      <xdr:col>1</xdr:col>
      <xdr:colOff>478155</xdr:colOff>
      <xdr:row>1</xdr:row>
      <xdr:rowOff>5715</xdr:rowOff>
    </xdr:from>
    <xdr:to>
      <xdr:col>2</xdr:col>
      <xdr:colOff>609600</xdr:colOff>
      <xdr:row>6</xdr:row>
      <xdr:rowOff>34290</xdr:rowOff>
    </xdr:to>
    <xdr:pic>
      <xdr:nvPicPr>
        <xdr:cNvPr id="11" name="Graphique 10" descr="Présentation avec graphique à barres">
          <a:extLst>
            <a:ext uri="{FF2B5EF4-FFF2-40B4-BE49-F238E27FC236}">
              <a16:creationId xmlns:a16="http://schemas.microsoft.com/office/drawing/2014/main" id="{036C4975-5B6A-7043-92FC-0A713E288A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868680" y="186690"/>
          <a:ext cx="922020" cy="933450"/>
        </a:xfrm>
        <a:prstGeom prst="rect">
          <a:avLst/>
        </a:prstGeom>
      </xdr:spPr>
    </xdr:pic>
    <xdr:clientData/>
  </xdr:twoCellAnchor>
  <xdr:twoCellAnchor>
    <xdr:from>
      <xdr:col>6</xdr:col>
      <xdr:colOff>405765</xdr:colOff>
      <xdr:row>6</xdr:row>
      <xdr:rowOff>163830</xdr:rowOff>
    </xdr:from>
    <xdr:to>
      <xdr:col>12</xdr:col>
      <xdr:colOff>47625</xdr:colOff>
      <xdr:row>9</xdr:row>
      <xdr:rowOff>7620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BFC5A5D6-6368-4500-A186-98C186F18BA6}"/>
            </a:ext>
          </a:extLst>
        </xdr:cNvPr>
        <xdr:cNvSpPr/>
      </xdr:nvSpPr>
      <xdr:spPr>
        <a:xfrm>
          <a:off x="4215765" y="1249680"/>
          <a:ext cx="3451860" cy="386715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/>
            <a:t>COSTS</a:t>
          </a:r>
        </a:p>
      </xdr:txBody>
    </xdr:sp>
    <xdr:clientData/>
  </xdr:twoCellAnchor>
  <xdr:twoCellAnchor>
    <xdr:from>
      <xdr:col>6</xdr:col>
      <xdr:colOff>371475</xdr:colOff>
      <xdr:row>9</xdr:row>
      <xdr:rowOff>102871</xdr:rowOff>
    </xdr:from>
    <xdr:to>
      <xdr:col>9</xdr:col>
      <xdr:colOff>38100</xdr:colOff>
      <xdr:row>11</xdr:row>
      <xdr:rowOff>26671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923AEDDB-3EDC-4EF5-AD19-4BEE05CC53D7}"/>
            </a:ext>
          </a:extLst>
        </xdr:cNvPr>
        <xdr:cNvSpPr/>
      </xdr:nvSpPr>
      <xdr:spPr>
        <a:xfrm>
          <a:off x="4181475" y="1731646"/>
          <a:ext cx="1657350" cy="28575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ln>
                <a:noFill/>
              </a:ln>
              <a:solidFill>
                <a:schemeClr val="accent2">
                  <a:lumMod val="75000"/>
                </a:schemeClr>
              </a:solidFill>
            </a:rPr>
            <a:t>MONTHLY</a:t>
          </a:r>
          <a:r>
            <a:rPr lang="en-US" sz="1100" b="1" baseline="0">
              <a:ln>
                <a:noFill/>
              </a:ln>
              <a:solidFill>
                <a:schemeClr val="accent2">
                  <a:lumMod val="75000"/>
                </a:schemeClr>
              </a:solidFill>
            </a:rPr>
            <a:t> COSTS</a:t>
          </a:r>
          <a:endParaRPr lang="en-US" sz="1100" b="1">
            <a:ln>
              <a:noFill/>
            </a:ln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9</xdr:col>
      <xdr:colOff>194308</xdr:colOff>
      <xdr:row>9</xdr:row>
      <xdr:rowOff>110490</xdr:rowOff>
    </xdr:from>
    <xdr:to>
      <xdr:col>12</xdr:col>
      <xdr:colOff>47624</xdr:colOff>
      <xdr:row>11</xdr:row>
      <xdr:rowOff>34290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26372D5C-68CF-410B-924C-5DD19F4BC920}"/>
            </a:ext>
          </a:extLst>
        </xdr:cNvPr>
        <xdr:cNvSpPr/>
      </xdr:nvSpPr>
      <xdr:spPr>
        <a:xfrm>
          <a:off x="5995033" y="1739265"/>
          <a:ext cx="1672591" cy="28575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ln>
                <a:noFill/>
              </a:ln>
              <a:solidFill>
                <a:schemeClr val="accent2">
                  <a:lumMod val="75000"/>
                </a:schemeClr>
              </a:solidFill>
            </a:rPr>
            <a:t>ANNUALY</a:t>
          </a:r>
          <a:r>
            <a:rPr lang="en-US" sz="1100" b="1" baseline="0">
              <a:ln>
                <a:noFill/>
              </a:ln>
              <a:solidFill>
                <a:schemeClr val="accent2">
                  <a:lumMod val="75000"/>
                </a:schemeClr>
              </a:solidFill>
            </a:rPr>
            <a:t> COSTS</a:t>
          </a:r>
          <a:endParaRPr lang="en-US" sz="1100" b="1">
            <a:ln>
              <a:noFill/>
            </a:ln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6</xdr:col>
      <xdr:colOff>47625</xdr:colOff>
      <xdr:row>14</xdr:row>
      <xdr:rowOff>54292</xdr:rowOff>
    </xdr:from>
    <xdr:to>
      <xdr:col>12</xdr:col>
      <xdr:colOff>476250</xdr:colOff>
      <xdr:row>35</xdr:row>
      <xdr:rowOff>140970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EAD8A277-8789-4DDD-46AE-2025675462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396240</xdr:colOff>
      <xdr:row>14</xdr:row>
      <xdr:rowOff>102870</xdr:rowOff>
    </xdr:from>
    <xdr:to>
      <xdr:col>12</xdr:col>
      <xdr:colOff>57150</xdr:colOff>
      <xdr:row>16</xdr:row>
      <xdr:rowOff>167640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ECE0F0C7-BBC2-7676-B4E8-86A58AD2E58F}"/>
            </a:ext>
          </a:extLst>
        </xdr:cNvPr>
        <xdr:cNvSpPr/>
      </xdr:nvSpPr>
      <xdr:spPr>
        <a:xfrm>
          <a:off x="4206240" y="2636520"/>
          <a:ext cx="3470910" cy="426720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/>
            <a:t>REPARTITION</a:t>
          </a:r>
        </a:p>
      </xdr:txBody>
    </xdr:sp>
    <xdr:clientData/>
  </xdr:twoCellAnchor>
  <xdr:twoCellAnchor>
    <xdr:from>
      <xdr:col>0</xdr:col>
      <xdr:colOff>125732</xdr:colOff>
      <xdr:row>20</xdr:row>
      <xdr:rowOff>38100</xdr:rowOff>
    </xdr:from>
    <xdr:to>
      <xdr:col>6</xdr:col>
      <xdr:colOff>215265</xdr:colOff>
      <xdr:row>35</xdr:row>
      <xdr:rowOff>135255</xdr:rowOff>
    </xdr:to>
    <xdr:graphicFrame macro="">
      <xdr:nvGraphicFramePr>
        <xdr:cNvPr id="18" name="Graphique 17">
          <a:extLst>
            <a:ext uri="{FF2B5EF4-FFF2-40B4-BE49-F238E27FC236}">
              <a16:creationId xmlns:a16="http://schemas.microsoft.com/office/drawing/2014/main" id="{57DA2C1A-4A3A-6F21-A6E9-659B621865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381000</xdr:colOff>
      <xdr:row>19</xdr:row>
      <xdr:rowOff>114300</xdr:rowOff>
    </xdr:from>
    <xdr:to>
      <xdr:col>6</xdr:col>
      <xdr:colOff>36195</xdr:colOff>
      <xdr:row>22</xdr:row>
      <xdr:rowOff>1905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E8894A80-E2BD-4943-92AC-D2DD6175FB00}"/>
            </a:ext>
          </a:extLst>
        </xdr:cNvPr>
        <xdr:cNvSpPr/>
      </xdr:nvSpPr>
      <xdr:spPr>
        <a:xfrm>
          <a:off x="381000" y="3552825"/>
          <a:ext cx="3465195" cy="430530"/>
        </a:xfrm>
        <a:prstGeom prst="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/>
            <a:t>REPARTITION</a:t>
          </a:r>
        </a:p>
      </xdr:txBody>
    </xdr:sp>
    <xdr:clientData/>
  </xdr:twoCellAnchor>
  <xdr:twoCellAnchor>
    <xdr:from>
      <xdr:col>12</xdr:col>
      <xdr:colOff>422088</xdr:colOff>
      <xdr:row>6</xdr:row>
      <xdr:rowOff>168853</xdr:rowOff>
    </xdr:from>
    <xdr:to>
      <xdr:col>21</xdr:col>
      <xdr:colOff>60959</xdr:colOff>
      <xdr:row>9</xdr:row>
      <xdr:rowOff>16279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3E24DCED-A3AB-4110-9BF6-CDAE2459591C}"/>
            </a:ext>
          </a:extLst>
        </xdr:cNvPr>
        <xdr:cNvSpPr/>
      </xdr:nvSpPr>
      <xdr:spPr>
        <a:xfrm>
          <a:off x="7894883" y="1259898"/>
          <a:ext cx="5254292" cy="392949"/>
        </a:xfrm>
        <a:prstGeom prst="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/>
            <a:t>NET</a:t>
          </a:r>
          <a:r>
            <a:rPr lang="en-US" sz="2000" b="1" baseline="0"/>
            <a:t> </a:t>
          </a:r>
          <a:r>
            <a:rPr lang="en-US" sz="2000" b="1"/>
            <a:t>BALANCE</a:t>
          </a:r>
        </a:p>
      </xdr:txBody>
    </xdr:sp>
    <xdr:clientData/>
  </xdr:twoCellAnchor>
  <xdr:twoCellAnchor>
    <xdr:from>
      <xdr:col>12</xdr:col>
      <xdr:colOff>420104</xdr:colOff>
      <xdr:row>9</xdr:row>
      <xdr:rowOff>115570</xdr:rowOff>
    </xdr:from>
    <xdr:to>
      <xdr:col>15</xdr:col>
      <xdr:colOff>54610</xdr:colOff>
      <xdr:row>11</xdr:row>
      <xdr:rowOff>16510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3C93FFD5-5907-45F3-8760-72D3FA20EFCF}"/>
            </a:ext>
          </a:extLst>
        </xdr:cNvPr>
        <xdr:cNvSpPr/>
      </xdr:nvSpPr>
      <xdr:spPr>
        <a:xfrm>
          <a:off x="7889453" y="1733848"/>
          <a:ext cx="1665859" cy="260557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ln>
                <a:noFill/>
              </a:ln>
              <a:solidFill>
                <a:schemeClr val="accent4">
                  <a:lumMod val="75000"/>
                </a:schemeClr>
              </a:solidFill>
            </a:rPr>
            <a:t>MRR</a:t>
          </a:r>
        </a:p>
      </xdr:txBody>
    </xdr:sp>
    <xdr:clientData/>
  </xdr:twoCellAnchor>
  <xdr:twoCellAnchor>
    <xdr:from>
      <xdr:col>15</xdr:col>
      <xdr:colOff>163662</xdr:colOff>
      <xdr:row>9</xdr:row>
      <xdr:rowOff>116538</xdr:rowOff>
    </xdr:from>
    <xdr:to>
      <xdr:col>18</xdr:col>
      <xdr:colOff>53172</xdr:colOff>
      <xdr:row>11</xdr:row>
      <xdr:rowOff>18389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AA9A145B-5159-417F-8E1A-4F2E12080786}"/>
            </a:ext>
          </a:extLst>
        </xdr:cNvPr>
        <xdr:cNvSpPr/>
      </xdr:nvSpPr>
      <xdr:spPr>
        <a:xfrm>
          <a:off x="9664364" y="1734816"/>
          <a:ext cx="1682737" cy="261468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 baseline="0">
              <a:ln>
                <a:noFill/>
              </a:ln>
              <a:solidFill>
                <a:schemeClr val="accent4">
                  <a:lumMod val="75000"/>
                </a:schemeClr>
              </a:solidFill>
            </a:rPr>
            <a:t>ARR </a:t>
          </a:r>
          <a:endParaRPr lang="en-US" sz="1100" b="1">
            <a:ln>
              <a:noFill/>
            </a:ln>
            <a:solidFill>
              <a:schemeClr val="accent4">
                <a:lumMod val="75000"/>
              </a:schemeClr>
            </a:solidFill>
          </a:endParaRPr>
        </a:p>
      </xdr:txBody>
    </xdr:sp>
    <xdr:clientData/>
  </xdr:twoCellAnchor>
  <xdr:twoCellAnchor>
    <xdr:from>
      <xdr:col>12</xdr:col>
      <xdr:colOff>397510</xdr:colOff>
      <xdr:row>14</xdr:row>
      <xdr:rowOff>93662</xdr:rowOff>
    </xdr:from>
    <xdr:to>
      <xdr:col>21</xdr:col>
      <xdr:colOff>89217</xdr:colOff>
      <xdr:row>17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E6D836FC-E837-47BC-BDEA-2EA813D5C88A}"/>
            </a:ext>
          </a:extLst>
        </xdr:cNvPr>
        <xdr:cNvSpPr/>
      </xdr:nvSpPr>
      <xdr:spPr>
        <a:xfrm>
          <a:off x="7882573" y="2649537"/>
          <a:ext cx="5311457" cy="454026"/>
        </a:xfrm>
        <a:prstGeom prst="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/>
            <a:t>+CUSTOMER</a:t>
          </a:r>
          <a:r>
            <a:rPr lang="en-US" sz="2000" b="1" baseline="0"/>
            <a:t> NEEDS</a:t>
          </a:r>
          <a:endParaRPr lang="en-US" sz="2000" b="1"/>
        </a:p>
      </xdr:txBody>
    </xdr:sp>
    <xdr:clientData/>
  </xdr:twoCellAnchor>
  <xdr:twoCellAnchor>
    <xdr:from>
      <xdr:col>12</xdr:col>
      <xdr:colOff>399733</xdr:colOff>
      <xdr:row>18</xdr:row>
      <xdr:rowOff>125730</xdr:rowOff>
    </xdr:from>
    <xdr:to>
      <xdr:col>15</xdr:col>
      <xdr:colOff>30429</xdr:colOff>
      <xdr:row>20</xdr:row>
      <xdr:rowOff>40005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3C062F7B-42F0-4DAC-BF72-53EA7B9033CF}"/>
            </a:ext>
          </a:extLst>
        </xdr:cNvPr>
        <xdr:cNvSpPr/>
      </xdr:nvSpPr>
      <xdr:spPr>
        <a:xfrm>
          <a:off x="7884796" y="3411855"/>
          <a:ext cx="1662696" cy="2794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ln>
                <a:noFill/>
              </a:ln>
              <a:solidFill>
                <a:schemeClr val="accent4">
                  <a:lumMod val="75000"/>
                </a:schemeClr>
              </a:solidFill>
            </a:rPr>
            <a:t>0 POINT</a:t>
          </a:r>
        </a:p>
      </xdr:txBody>
    </xdr:sp>
    <xdr:clientData/>
  </xdr:twoCellAnchor>
  <xdr:twoCellAnchor>
    <xdr:from>
      <xdr:col>15</xdr:col>
      <xdr:colOff>171399</xdr:colOff>
      <xdr:row>18</xdr:row>
      <xdr:rowOff>130508</xdr:rowOff>
    </xdr:from>
    <xdr:to>
      <xdr:col>18</xdr:col>
      <xdr:colOff>51384</xdr:colOff>
      <xdr:row>20</xdr:row>
      <xdr:rowOff>50498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7AFDC3E0-AFC0-49AD-9834-37AC781AC8F1}"/>
            </a:ext>
          </a:extLst>
        </xdr:cNvPr>
        <xdr:cNvSpPr/>
      </xdr:nvSpPr>
      <xdr:spPr>
        <a:xfrm>
          <a:off x="9688462" y="3416633"/>
          <a:ext cx="1673860" cy="28511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 baseline="0">
              <a:ln>
                <a:noFill/>
              </a:ln>
              <a:solidFill>
                <a:schemeClr val="accent4">
                  <a:lumMod val="75000"/>
                </a:schemeClr>
              </a:solidFill>
            </a:rPr>
            <a:t>NET MONTHLY GOAL </a:t>
          </a:r>
          <a:endParaRPr lang="en-US" sz="1100" b="1">
            <a:ln>
              <a:noFill/>
            </a:ln>
            <a:solidFill>
              <a:schemeClr val="accent4">
                <a:lumMod val="75000"/>
              </a:schemeClr>
            </a:solidFill>
          </a:endParaRPr>
        </a:p>
      </xdr:txBody>
    </xdr:sp>
    <xdr:clientData/>
  </xdr:twoCellAnchor>
  <xdr:twoCellAnchor>
    <xdr:from>
      <xdr:col>14</xdr:col>
      <xdr:colOff>518160</xdr:colOff>
      <xdr:row>2</xdr:row>
      <xdr:rowOff>60960</xdr:rowOff>
    </xdr:from>
    <xdr:to>
      <xdr:col>17</xdr:col>
      <xdr:colOff>541020</xdr:colOff>
      <xdr:row>4</xdr:row>
      <xdr:rowOff>160020</xdr:rowOff>
    </xdr:to>
    <xdr:sp macro="[0]!CommandButton1_Click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FFF2D04-65A8-EA06-88A0-0D2C616811BF}"/>
            </a:ext>
          </a:extLst>
        </xdr:cNvPr>
        <xdr:cNvSpPr/>
      </xdr:nvSpPr>
      <xdr:spPr>
        <a:xfrm>
          <a:off x="9235440" y="426720"/>
          <a:ext cx="1821180" cy="46482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/>
            <a:t>AJOUTER CLIENT</a:t>
          </a:r>
        </a:p>
      </xdr:txBody>
    </xdr:sp>
    <xdr:clientData/>
  </xdr:twoCellAnchor>
  <xdr:twoCellAnchor>
    <xdr:from>
      <xdr:col>18</xdr:col>
      <xdr:colOff>154577</xdr:colOff>
      <xdr:row>9</xdr:row>
      <xdr:rowOff>112841</xdr:rowOff>
    </xdr:from>
    <xdr:to>
      <xdr:col>21</xdr:col>
      <xdr:colOff>40277</xdr:colOff>
      <xdr:row>11</xdr:row>
      <xdr:rowOff>19440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2EEFB389-D7E3-469A-9197-B4F07EA68996}"/>
            </a:ext>
          </a:extLst>
        </xdr:cNvPr>
        <xdr:cNvSpPr/>
      </xdr:nvSpPr>
      <xdr:spPr>
        <a:xfrm>
          <a:off x="11448506" y="1731119"/>
          <a:ext cx="1678927" cy="266216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 baseline="0">
              <a:ln>
                <a:noFill/>
              </a:ln>
              <a:solidFill>
                <a:schemeClr val="accent4">
                  <a:lumMod val="75000"/>
                </a:schemeClr>
              </a:solidFill>
            </a:rPr>
            <a:t>RATIO MRR </a:t>
          </a:r>
          <a:endParaRPr lang="en-US" sz="1100" b="1">
            <a:ln>
              <a:noFill/>
            </a:ln>
            <a:solidFill>
              <a:schemeClr val="accent4">
                <a:lumMod val="75000"/>
              </a:schemeClr>
            </a:solidFill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11EA0E-1795-42E8-9842-B750FA1B5FB1}" name="Tableau1" displayName="Tableau1" ref="A1:H14" totalsRowCount="1" headerRowDxfId="74" dataDxfId="73">
  <autoFilter ref="A1:H13" xr:uid="{3211EA0E-1795-42E8-9842-B750FA1B5FB1}"/>
  <tableColumns count="8">
    <tableColumn id="1" xr3:uid="{74598438-28D7-4D8F-A252-F0D60C9CFA90}" name="COUT" dataDxfId="72" totalsRowDxfId="7"/>
    <tableColumn id="2" xr3:uid="{EF7CE3A1-8024-4910-9494-BA414A130D34}" name="FONCTIONNEL" totalsRowFunction="sum" dataDxfId="71" totalsRowDxfId="6"/>
    <tableColumn id="3" xr3:uid="{3B434783-1BD9-48F5-8769-2C2122B1C784}" name="COUT2" dataDxfId="70" totalsRowDxfId="5"/>
    <tableColumn id="4" xr3:uid="{7FC266F2-1A1F-4361-BA91-EC8D37840CDA}" name="COMMERCIAUX" totalsRowFunction="sum" dataDxfId="69" totalsRowDxfId="4"/>
    <tableColumn id="5" xr3:uid="{83F7B18A-C00A-4EA1-937C-3192237FCCCF}" name="COUT3" dataDxfId="68" totalsRowDxfId="3"/>
    <tableColumn id="6" xr3:uid="{22117DDC-FFA1-4B64-B3A0-2A7318329596}" name="STRUCTUREL" totalsRowFunction="sum" dataDxfId="67" totalsRowDxfId="2"/>
    <tableColumn id="7" xr3:uid="{D4BFEE34-DB59-40E4-8A90-545EF2DB2812}" name="COUT4" dataDxfId="66" totalsRowDxfId="1"/>
    <tableColumn id="8" xr3:uid="{52D72112-8AB1-403F-991B-CF6813F06544}" name="COMMUNICATION" totalsRowFunction="sum" dataDxfId="65" totalsRow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686A98-4802-486A-9F57-F0B279CA8841}" name="Tableau2" displayName="Tableau2" ref="A1:F2" totalsRowShown="0" headerRowDxfId="63" dataDxfId="62">
  <autoFilter ref="A1:F2" xr:uid="{B4686A98-4802-486A-9F57-F0B279CA8841}"/>
  <tableColumns count="6">
    <tableColumn id="1" xr3:uid="{73E4CE38-114B-42DE-8054-5AA9F3E33A9D}" name="MONTHLY SUBSCRIBERS" dataDxfId="61"/>
    <tableColumn id="2" xr3:uid="{65C63AAD-A6C3-4022-939B-8F5BDD132D6E}" name="MONTHLY REVENUE" dataDxfId="60">
      <calculatedColumnFormula>Tableau2[[#This Row],[MONTHLY SUBSCRIBERS]]*B19</calculatedColumnFormula>
    </tableColumn>
    <tableColumn id="3" xr3:uid="{951C4965-4E82-48B8-8F15-54D6CAA0420B}" name="ANNUALY SUBSCRIBERS" dataDxfId="59"/>
    <tableColumn id="4" xr3:uid="{576B8A6E-8E48-4043-AA5A-734F056EDCD3}" name="ANNUALY REVENUE" dataDxfId="58">
      <calculatedColumnFormula>Tableau2[[#This Row],[ANNUALY SUBSCRIBERS]]*E19</calculatedColumnFormula>
    </tableColumn>
    <tableColumn id="5" xr3:uid="{6107BE97-EA59-4417-B2FB-9626FE531ECD}" name="TOTAL RATE MONTHLY REVENUE" dataDxfId="57">
      <calculatedColumnFormula>(B2*12+D2)/12</calculatedColumnFormula>
    </tableColumn>
    <tableColumn id="6" xr3:uid="{2E257E82-89CB-4816-9D12-48B79A35D84D}" name="TOTAL ANNUALY REVENUE" dataDxfId="56">
      <calculatedColumnFormula>(B2*12+D2)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8CD057-7726-4ED6-9F9D-A202B310597F}" name="Tableau3" displayName="Tableau3" ref="A1:AV4" totalsRowCount="1" headerRowDxfId="64">
  <autoFilter ref="A1:AV3" xr:uid="{708CD057-7726-4ED6-9F9D-A202B310597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</autoFilter>
  <tableColumns count="48">
    <tableColumn id="1" xr3:uid="{A4CAD6FB-167F-42EC-947E-23E6D28269F9}" name="janv-23" totalsRowFunction="custom" totalsRowDxfId="55">
      <totalsRowFormula>SUBTOTAL(9,Tableau3[janv-23])</totalsRowFormula>
    </tableColumn>
    <tableColumn id="2" xr3:uid="{25BC2FFB-9C74-4E5B-8914-0F20153E7832}" name="févr-23" totalsRowFunction="custom" totalsRowDxfId="54">
      <totalsRowFormula>SUBTOTAL(9,Tableau3[févr-23])</totalsRowFormula>
    </tableColumn>
    <tableColumn id="3" xr3:uid="{5E1A053F-EB44-4E45-94D3-988F046B99A6}" name="mars-23" totalsRowFunction="custom" totalsRowDxfId="53">
      <totalsRowFormula>SUBTOTAL(9,Tableau3[mars-23])</totalsRowFormula>
    </tableColumn>
    <tableColumn id="4" xr3:uid="{DE44E77A-388F-4F60-8FDA-AB7EE4C5ED5F}" name="avr-23" totalsRowFunction="custom" totalsRowDxfId="52">
      <totalsRowFormula>SUBTOTAL(9,Tableau3[avr-23])</totalsRowFormula>
    </tableColumn>
    <tableColumn id="5" xr3:uid="{AF58C20C-F9E3-4741-8498-B919EA1B34D9}" name="mai-23" totalsRowFunction="custom" totalsRowDxfId="51">
      <totalsRowFormula>SUBTOTAL(9,Tableau3[mai-23])</totalsRowFormula>
    </tableColumn>
    <tableColumn id="6" xr3:uid="{C8952322-7364-4183-A091-E348AD6BD7D4}" name="juin-23" totalsRowFunction="custom" totalsRowDxfId="50">
      <totalsRowFormula>SUBTOTAL(9,Tableau3[juin-23])</totalsRowFormula>
    </tableColumn>
    <tableColumn id="7" xr3:uid="{D0D5D082-BA28-432C-83D4-DDEAE8E45C45}" name="juil-23" totalsRowFunction="custom" totalsRowDxfId="49">
      <totalsRowFormula>SUBTOTAL(9,Tableau3[juil-23])</totalsRowFormula>
    </tableColumn>
    <tableColumn id="8" xr3:uid="{423B5B6C-D424-447B-B7F3-024F95938020}" name="août-23" totalsRowFunction="custom" totalsRowDxfId="48">
      <totalsRowFormula>SUBTOTAL(9,Tableau3[août-23])</totalsRowFormula>
    </tableColumn>
    <tableColumn id="9" xr3:uid="{F23F9B39-EE24-4BC8-873C-3DA1F2DA6C6A}" name="sept-23" totalsRowFunction="custom" totalsRowDxfId="47">
      <totalsRowFormula>SUBTOTAL(9,Tableau3[sept-23])</totalsRowFormula>
    </tableColumn>
    <tableColumn id="10" xr3:uid="{F17AE971-3205-4B5F-B64A-61B50AD744D4}" name="oct-23" totalsRowFunction="custom" totalsRowDxfId="46">
      <totalsRowFormula>SUBTOTAL(9,Tableau3[oct-23])</totalsRowFormula>
    </tableColumn>
    <tableColumn id="11" xr3:uid="{B0516E3B-EE70-4762-8CE4-29BC4FFB2291}" name="nov-23" totalsRowFunction="custom" totalsRowDxfId="45">
      <totalsRowFormula>SUBTOTAL(9,Tableau3[nov-23])</totalsRowFormula>
    </tableColumn>
    <tableColumn id="12" xr3:uid="{F7F25CBE-D704-45A8-99A3-316F96A0BAD5}" name="déc-23" totalsRowFunction="custom" totalsRowDxfId="44">
      <totalsRowFormula>SUBTOTAL(9,Tableau3[déc-23])</totalsRowFormula>
    </tableColumn>
    <tableColumn id="13" xr3:uid="{D441D1E2-4806-4C30-ACF9-D7C5488BC94F}" name="janv-24" totalsRowFunction="custom" totalsRowDxfId="43">
      <totalsRowFormula>SUBTOTAL(9,Tableau3[janv-24])</totalsRowFormula>
    </tableColumn>
    <tableColumn id="14" xr3:uid="{9E619FC3-9B4F-47F1-AD9E-F07EAB76C665}" name="févr-24" totalsRowFunction="custom" totalsRowDxfId="42">
      <totalsRowFormula>SUBTOTAL(9,Tableau3[févr-24])</totalsRowFormula>
    </tableColumn>
    <tableColumn id="15" xr3:uid="{AA49F73E-942A-411C-B834-9051D1EE75EC}" name="mars-24" totalsRowFunction="custom" totalsRowDxfId="41">
      <totalsRowFormula>SUBTOTAL(9,Tableau3[mars-24])</totalsRowFormula>
    </tableColumn>
    <tableColumn id="16" xr3:uid="{6C39E378-C70D-4B4F-8433-B09B76808D2F}" name="avr-24" totalsRowFunction="custom" totalsRowDxfId="40">
      <totalsRowFormula>SUBTOTAL(9,Tableau3[avr-24])</totalsRowFormula>
    </tableColumn>
    <tableColumn id="17" xr3:uid="{43E8B3BA-B206-4212-8BFF-5C06787C1C7A}" name="mai-24" totalsRowFunction="custom" totalsRowDxfId="39">
      <totalsRowFormula>SUBTOTAL(9,Tableau3[mai-24])</totalsRowFormula>
    </tableColumn>
    <tableColumn id="18" xr3:uid="{16340FDD-F4CD-4485-A022-31813CC7D67F}" name="juin-24" totalsRowFunction="custom" totalsRowDxfId="38">
      <totalsRowFormula>SUBTOTAL(9,Tableau3[juin-24])</totalsRowFormula>
    </tableColumn>
    <tableColumn id="19" xr3:uid="{178104FA-939D-40E8-823D-C0AEC3ACA113}" name="juil-24" totalsRowFunction="custom" totalsRowDxfId="37">
      <totalsRowFormula>SUBTOTAL(9,Tableau3[juil-24])</totalsRowFormula>
    </tableColumn>
    <tableColumn id="20" xr3:uid="{E119FDDD-0650-4805-875A-551EBC17CE96}" name="août-24" totalsRowFunction="custom" totalsRowDxfId="36">
      <totalsRowFormula>SUBTOTAL(9,Tableau3[août-24])</totalsRowFormula>
    </tableColumn>
    <tableColumn id="21" xr3:uid="{87891FBA-CFEA-4EFF-BB82-81A5689C855D}" name="sept-24" totalsRowFunction="custom" totalsRowDxfId="35">
      <totalsRowFormula>SUBTOTAL(9,Tableau3[sept-24])</totalsRowFormula>
    </tableColumn>
    <tableColumn id="22" xr3:uid="{97FD19A6-8594-4BA5-92C7-6BDAE69C8B8B}" name="oct-24" totalsRowFunction="custom" totalsRowDxfId="34">
      <totalsRowFormula>SUBTOTAL(9,Tableau3[oct-24])</totalsRowFormula>
    </tableColumn>
    <tableColumn id="23" xr3:uid="{E57B9DC8-9FFD-4B2C-B925-CF2141752ABF}" name="nov-24" totalsRowFunction="custom" totalsRowDxfId="33">
      <totalsRowFormula>SUBTOTAL(9,Tableau3[nov-24])</totalsRowFormula>
    </tableColumn>
    <tableColumn id="24" xr3:uid="{9F9C4276-F14C-4A0F-9C3F-FA69C3104A22}" name="déc-24" totalsRowFunction="custom" totalsRowDxfId="32">
      <totalsRowFormula>SUBTOTAL(9,Tableau3[déc-24])</totalsRowFormula>
    </tableColumn>
    <tableColumn id="25" xr3:uid="{8BFFA5BC-DB84-4F19-B909-DBAACD29C3F4}" name="janv-25" totalsRowFunction="custom" totalsRowDxfId="31">
      <totalsRowFormula>SUBTOTAL(9,Tableau3[janv-25])</totalsRowFormula>
    </tableColumn>
    <tableColumn id="26" xr3:uid="{FB074478-1201-4620-A2CD-39B9B7FB2843}" name="févr-25" totalsRowFunction="custom" totalsRowDxfId="30">
      <totalsRowFormula>SUBTOTAL(9,Tableau3[févr-25])</totalsRowFormula>
    </tableColumn>
    <tableColumn id="27" xr3:uid="{BF2FCF58-62CE-4293-9D85-3E0C4518FA71}" name="mars-25" totalsRowFunction="custom" totalsRowDxfId="29">
      <totalsRowFormula>SUBTOTAL(9,Tableau3[mars-25])</totalsRowFormula>
    </tableColumn>
    <tableColumn id="28" xr3:uid="{77219167-10D0-4F4C-8304-491CC0150D9E}" name="avr-25" totalsRowFunction="custom" totalsRowDxfId="28">
      <totalsRowFormula>SUBTOTAL(9,Tableau3[avr-25])</totalsRowFormula>
    </tableColumn>
    <tableColumn id="29" xr3:uid="{765B60F7-E8D8-4290-8026-4F20808EDDC4}" name="mai-25" totalsRowFunction="custom" totalsRowDxfId="27">
      <totalsRowFormula>SUBTOTAL(9,Tableau3[mai-25])</totalsRowFormula>
    </tableColumn>
    <tableColumn id="30" xr3:uid="{DBB8B9DD-CEB5-4A92-B7F7-0CBD2CA8EFD4}" name="juin-25" totalsRowFunction="custom" totalsRowDxfId="26">
      <totalsRowFormula>SUBTOTAL(9,Tableau3[juin-25])</totalsRowFormula>
    </tableColumn>
    <tableColumn id="31" xr3:uid="{E0E2994A-13CC-4CE6-A2E8-CB8855AC83E3}" name="juil-25" totalsRowFunction="custom" totalsRowDxfId="25">
      <totalsRowFormula>SUBTOTAL(9,Tableau3[juil-25])</totalsRowFormula>
    </tableColumn>
    <tableColumn id="32" xr3:uid="{1B24DB4D-91CA-4ACB-AE77-4C6B33E58292}" name="août-25" totalsRowFunction="custom" totalsRowDxfId="24">
      <totalsRowFormula>SUBTOTAL(9,Tableau3[août-25])</totalsRowFormula>
    </tableColumn>
    <tableColumn id="33" xr3:uid="{31CFAEF2-FA57-4D37-A641-512BAD95A581}" name="sept-25" totalsRowFunction="custom" totalsRowDxfId="23">
      <totalsRowFormula>SUBTOTAL(9,Tableau3[sept-25])</totalsRowFormula>
    </tableColumn>
    <tableColumn id="34" xr3:uid="{1A196402-EC5E-4956-9342-A6E134C0E217}" name="oct-25" totalsRowFunction="custom" totalsRowDxfId="22">
      <totalsRowFormula>SUBTOTAL(9,Tableau3[oct-25])</totalsRowFormula>
    </tableColumn>
    <tableColumn id="35" xr3:uid="{9D01B1FC-DE2B-4D81-B1C5-DC19CC360B76}" name="nov-25" totalsRowFunction="custom" totalsRowDxfId="21">
      <totalsRowFormula>SUBTOTAL(9,Tableau3[nov-25])</totalsRowFormula>
    </tableColumn>
    <tableColumn id="36" xr3:uid="{E4B37C97-B9F6-4864-A508-612DBBB05601}" name="déc-25" totalsRowFunction="custom" totalsRowDxfId="20">
      <totalsRowFormula>SUBTOTAL(9,Tableau3[déc-25])</totalsRowFormula>
    </tableColumn>
    <tableColumn id="37" xr3:uid="{05FFB4E6-0EE9-4149-B812-199264E1D86F}" name="janv-26" totalsRowFunction="custom" totalsRowDxfId="19">
      <totalsRowFormula>SUBTOTAL(9,Tableau3[janv-26])</totalsRowFormula>
    </tableColumn>
    <tableColumn id="38" xr3:uid="{A65CC9F1-8A80-42A1-9D53-2743AF53CF74}" name="févr-26" totalsRowFunction="custom" totalsRowDxfId="18">
      <totalsRowFormula>SUBTOTAL(9,Tableau3[févr-26])</totalsRowFormula>
    </tableColumn>
    <tableColumn id="39" xr3:uid="{3FDEC4C1-3DBA-4F27-9397-56DE67099958}" name="mars-26" totalsRowFunction="custom" totalsRowDxfId="17">
      <totalsRowFormula>SUBTOTAL(9,Tableau3[mars-26])</totalsRowFormula>
    </tableColumn>
    <tableColumn id="40" xr3:uid="{1FDB39F3-7E9E-49E5-8658-E93084139056}" name="avr-26" totalsRowFunction="custom" totalsRowDxfId="16">
      <totalsRowFormula>SUBTOTAL(9,Tableau3[avr-26])</totalsRowFormula>
    </tableColumn>
    <tableColumn id="41" xr3:uid="{73C6E40E-4719-4733-8696-1B8D054C6BC9}" name="mai-26" totalsRowFunction="custom" totalsRowDxfId="15">
      <totalsRowFormula>SUBTOTAL(9,Tableau3[mai-26])</totalsRowFormula>
    </tableColumn>
    <tableColumn id="42" xr3:uid="{31209DB0-4B33-4781-8E33-221915CDA17C}" name="juin-26" totalsRowFunction="custom" totalsRowDxfId="14">
      <totalsRowFormula>SUBTOTAL(9,Tableau3[juin-26])</totalsRowFormula>
    </tableColumn>
    <tableColumn id="43" xr3:uid="{C418C124-67BF-49D0-AE82-6EDD27516351}" name="juil-26" totalsRowFunction="custom" totalsRowDxfId="13">
      <totalsRowFormula>SUBTOTAL(9,Tableau3[juil-26])</totalsRowFormula>
    </tableColumn>
    <tableColumn id="44" xr3:uid="{F61073F6-6367-4AD9-9B8B-19C16B01D966}" name="août-26" totalsRowFunction="custom" totalsRowDxfId="12">
      <totalsRowFormula>SUBTOTAL(9,Tableau3[août-26])</totalsRowFormula>
    </tableColumn>
    <tableColumn id="45" xr3:uid="{502C4F7A-5BB0-42D6-B515-91CE6120A73A}" name="sept-26" totalsRowFunction="custom" totalsRowDxfId="11">
      <totalsRowFormula>SUBTOTAL(9,Tableau3[sept-26])</totalsRowFormula>
    </tableColumn>
    <tableColumn id="46" xr3:uid="{285DB101-32A6-4A48-813F-7DF22BB7F3D8}" name="oct-26" totalsRowFunction="custom" totalsRowDxfId="10">
      <totalsRowFormula>SUBTOTAL(9,Tableau3[oct-26])</totalsRowFormula>
    </tableColumn>
    <tableColumn id="47" xr3:uid="{9CC5D260-E4C5-4E3B-A63E-F051D00214E4}" name="nov-26" totalsRowFunction="custom" totalsRowDxfId="9">
      <totalsRowFormula>SUBTOTAL(9,Tableau3[nov-26])</totalsRowFormula>
    </tableColumn>
    <tableColumn id="48" xr3:uid="{905806D8-CE5A-426B-88E1-3EBDC571D490}" name="déc-26" totalsRowFunction="custom" totalsRowDxfId="8">
      <totalsRowFormula>SUBTOTAL(9,Tableau3[déc-26])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5D047-B767-4855-809E-A5F2AB34FBA2}">
  <sheetPr codeName="Feuil1">
    <tabColor theme="4"/>
  </sheetPr>
  <dimension ref="A1:J14"/>
  <sheetViews>
    <sheetView tabSelected="1" workbookViewId="0">
      <selection activeCell="C5" sqref="C5"/>
    </sheetView>
  </sheetViews>
  <sheetFormatPr baseColWidth="10" defaultRowHeight="14.4" x14ac:dyDescent="0.3"/>
  <cols>
    <col min="1" max="6" width="20" style="1" customWidth="1"/>
    <col min="7" max="7" width="20.44140625" style="1" customWidth="1"/>
    <col min="8" max="8" width="20" style="1" customWidth="1"/>
    <col min="9" max="9" width="11.5546875" style="1"/>
    <col min="10" max="10" width="17.77734375" style="1" customWidth="1"/>
    <col min="11" max="16384" width="11.5546875" style="1"/>
  </cols>
  <sheetData>
    <row r="1" spans="1:10" s="2" customFormat="1" ht="48.6" customHeight="1" x14ac:dyDescent="0.3">
      <c r="A1" s="2" t="s">
        <v>1</v>
      </c>
      <c r="B1" s="3" t="s">
        <v>0</v>
      </c>
      <c r="C1" s="2" t="s">
        <v>3</v>
      </c>
      <c r="D1" s="3" t="s">
        <v>2</v>
      </c>
      <c r="E1" s="2" t="s">
        <v>5</v>
      </c>
      <c r="F1" s="3" t="s">
        <v>4</v>
      </c>
      <c r="G1" s="2" t="s">
        <v>7</v>
      </c>
      <c r="H1" s="3" t="s">
        <v>6</v>
      </c>
      <c r="J1" s="10" t="s">
        <v>14</v>
      </c>
    </row>
    <row r="2" spans="1:10" x14ac:dyDescent="0.3">
      <c r="B2" s="1">
        <v>120</v>
      </c>
      <c r="J2" s="11">
        <f>SUM(Tableau1[[#Totals],[FONCTIONNEL]]+Tableau1[[#Totals],[COMMERCIAUX]]+Tableau1[[#Totals],[STRUCTUREL]]+Tableau1[[#Totals],[COMMUNICATION]])</f>
        <v>206.12</v>
      </c>
    </row>
    <row r="3" spans="1:10" x14ac:dyDescent="0.3">
      <c r="B3" s="1">
        <v>50</v>
      </c>
    </row>
    <row r="4" spans="1:10" x14ac:dyDescent="0.3">
      <c r="B4" s="1">
        <v>6.12</v>
      </c>
    </row>
    <row r="5" spans="1:10" x14ac:dyDescent="0.3">
      <c r="B5" s="1">
        <v>15</v>
      </c>
      <c r="D5" s="1">
        <v>15</v>
      </c>
    </row>
    <row r="14" spans="1:10" x14ac:dyDescent="0.3">
      <c r="B14" s="1">
        <f>SUBTOTAL(109,Tableau1[FONCTIONNEL])</f>
        <v>191.12</v>
      </c>
      <c r="D14" s="1">
        <f>SUBTOTAL(109,Tableau1[COMMERCIAUX])</f>
        <v>15</v>
      </c>
      <c r="F14" s="1">
        <f>SUBTOTAL(109,Tableau1[STRUCTUREL])</f>
        <v>0</v>
      </c>
      <c r="H14" s="1">
        <f>SUBTOTAL(109,Tableau1[COMMUNICATION])</f>
        <v>0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191CE-D7CF-4474-AC25-3ECEFE9886EC}">
  <sheetPr codeName="Feuil2">
    <tabColor theme="4"/>
  </sheetPr>
  <dimension ref="A1:M19"/>
  <sheetViews>
    <sheetView workbookViewId="0">
      <selection activeCell="C24" sqref="C24"/>
    </sheetView>
  </sheetViews>
  <sheetFormatPr baseColWidth="10" defaultRowHeight="14.4" x14ac:dyDescent="0.3"/>
  <cols>
    <col min="1" max="4" width="24.77734375" customWidth="1"/>
    <col min="5" max="5" width="30.6640625" customWidth="1"/>
    <col min="6" max="6" width="25.88671875" customWidth="1"/>
  </cols>
  <sheetData>
    <row r="1" spans="1:13" ht="37.799999999999997" customHeight="1" x14ac:dyDescent="0.3">
      <c r="A1" s="4" t="s">
        <v>8</v>
      </c>
      <c r="B1" s="4" t="s">
        <v>10</v>
      </c>
      <c r="C1" s="5" t="s">
        <v>9</v>
      </c>
      <c r="D1" s="5" t="s">
        <v>11</v>
      </c>
      <c r="E1" s="6" t="s">
        <v>12</v>
      </c>
      <c r="F1" s="6" t="s">
        <v>13</v>
      </c>
      <c r="M1" s="20"/>
    </row>
    <row r="2" spans="1:13" ht="75" customHeight="1" x14ac:dyDescent="0.3">
      <c r="A2" s="7">
        <v>3</v>
      </c>
      <c r="B2" s="8">
        <f>Tableau2[[#This Row],[MONTHLY SUBSCRIBERS]]*B19</f>
        <v>101.976</v>
      </c>
      <c r="C2" s="7">
        <v>3</v>
      </c>
      <c r="D2" s="8">
        <f>Tableau2[[#This Row],[ANNUALY SUBSCRIBERS]]*E19</f>
        <v>1026.51</v>
      </c>
      <c r="E2" s="8">
        <f>(B2*12+D2)/12</f>
        <v>187.51849999999999</v>
      </c>
      <c r="F2" s="8">
        <f>(B2*12+D2)</f>
        <v>2250.2219999999998</v>
      </c>
      <c r="M2" s="20"/>
    </row>
    <row r="9" spans="1:13" x14ac:dyDescent="0.3">
      <c r="C9" s="24" t="s">
        <v>66</v>
      </c>
      <c r="D9" s="25"/>
    </row>
    <row r="10" spans="1:13" x14ac:dyDescent="0.3">
      <c r="C10" s="25"/>
      <c r="D10" s="25"/>
    </row>
    <row r="11" spans="1:13" ht="18" x14ac:dyDescent="0.35">
      <c r="C11" s="39">
        <v>11</v>
      </c>
      <c r="D11" s="39"/>
      <c r="E11" s="35" t="s">
        <v>74</v>
      </c>
    </row>
    <row r="12" spans="1:13" x14ac:dyDescent="0.3">
      <c r="A12" s="22" t="s">
        <v>75</v>
      </c>
      <c r="B12" s="22"/>
      <c r="C12" s="27"/>
      <c r="D12" s="22" t="s">
        <v>65</v>
      </c>
      <c r="E12" s="23"/>
      <c r="F12" s="23"/>
    </row>
    <row r="13" spans="1:13" ht="15.6" x14ac:dyDescent="0.3">
      <c r="A13" s="29" t="s">
        <v>68</v>
      </c>
      <c r="B13" s="30">
        <v>39</v>
      </c>
      <c r="C13" s="35" t="s">
        <v>73</v>
      </c>
      <c r="D13" s="29" t="s">
        <v>68</v>
      </c>
      <c r="E13" s="30">
        <v>390</v>
      </c>
      <c r="F13" s="35" t="s">
        <v>73</v>
      </c>
    </row>
    <row r="14" spans="1:13" ht="18" x14ac:dyDescent="0.35">
      <c r="A14" s="28" t="s">
        <v>69</v>
      </c>
      <c r="B14" s="31">
        <f>B15-B13</f>
        <v>-0.71800000000000352</v>
      </c>
      <c r="D14" s="28" t="s">
        <v>69</v>
      </c>
      <c r="E14" s="31">
        <f>E15-E13</f>
        <v>-4.9300000000000068</v>
      </c>
      <c r="F14" s="36"/>
    </row>
    <row r="15" spans="1:13" ht="15.6" x14ac:dyDescent="0.3">
      <c r="A15" s="34" t="s">
        <v>71</v>
      </c>
      <c r="B15" s="30">
        <f>B13*0.988-0.25</f>
        <v>38.281999999999996</v>
      </c>
      <c r="C15" s="21"/>
      <c r="D15" s="34" t="s">
        <v>71</v>
      </c>
      <c r="E15" s="30">
        <f>E13*0.988-0.25</f>
        <v>385.07</v>
      </c>
    </row>
    <row r="16" spans="1:13" x14ac:dyDescent="0.3">
      <c r="A16" s="28" t="s">
        <v>70</v>
      </c>
      <c r="B16" s="31">
        <f>B17-B13</f>
        <v>-4.2899999999999991</v>
      </c>
      <c r="D16" s="28" t="s">
        <v>70</v>
      </c>
      <c r="E16" s="31">
        <f>E17-E13</f>
        <v>-42.899999999999977</v>
      </c>
    </row>
    <row r="17" spans="1:5" ht="15.6" x14ac:dyDescent="0.3">
      <c r="A17" s="34" t="s">
        <v>72</v>
      </c>
      <c r="B17" s="30">
        <f>B13-(B13*C11/100)</f>
        <v>34.71</v>
      </c>
      <c r="D17" s="34" t="s">
        <v>72</v>
      </c>
      <c r="E17" s="30">
        <f>E13-(E13*C11/100)</f>
        <v>347.1</v>
      </c>
    </row>
    <row r="18" spans="1:5" x14ac:dyDescent="0.3">
      <c r="A18" s="26"/>
      <c r="B18" s="32"/>
      <c r="D18" s="26"/>
      <c r="E18" s="32"/>
    </row>
    <row r="19" spans="1:5" ht="18" x14ac:dyDescent="0.35">
      <c r="A19" s="28" t="s">
        <v>67</v>
      </c>
      <c r="B19" s="33">
        <f>B13-((B13-B15)+(B13-B17))</f>
        <v>33.991999999999997</v>
      </c>
      <c r="D19" s="28" t="s">
        <v>67</v>
      </c>
      <c r="E19" s="33">
        <f>E13-((E13-E15)+(E13-E17))</f>
        <v>342.17</v>
      </c>
    </row>
  </sheetData>
  <mergeCells count="4">
    <mergeCell ref="D12:F12"/>
    <mergeCell ref="C9:D10"/>
    <mergeCell ref="C11:D11"/>
    <mergeCell ref="A12:B12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FC05C-CAF8-4800-A36C-68B5DF49E52D}">
  <sheetPr codeName="Feuil3">
    <tabColor theme="7"/>
  </sheetPr>
  <dimension ref="A1:AA54"/>
  <sheetViews>
    <sheetView zoomScaleNormal="100" workbookViewId="0">
      <selection activeCell="R29" sqref="R29"/>
    </sheetView>
  </sheetViews>
  <sheetFormatPr baseColWidth="10" defaultRowHeight="14.4" x14ac:dyDescent="0.3"/>
  <cols>
    <col min="1" max="1" width="3.33203125" style="9" customWidth="1"/>
    <col min="4" max="4" width="3.77734375" customWidth="1"/>
    <col min="7" max="7" width="6" customWidth="1"/>
    <col min="9" max="9" width="11.5546875" customWidth="1"/>
    <col min="10" max="10" width="3.44140625" customWidth="1"/>
    <col min="13" max="13" width="6.5546875" customWidth="1"/>
    <col min="16" max="16" width="3.109375" customWidth="1"/>
    <col min="19" max="19" width="3.109375" customWidth="1"/>
    <col min="20" max="27" width="11.5546875" style="9"/>
  </cols>
  <sheetData>
    <row r="1" spans="2:21" s="9" customFormat="1" x14ac:dyDescent="0.3"/>
    <row r="2" spans="2:21" x14ac:dyDescent="0.3">
      <c r="M2" s="9"/>
      <c r="N2" s="9"/>
      <c r="S2" s="9"/>
    </row>
    <row r="3" spans="2:21" x14ac:dyDescent="0.3">
      <c r="S3" s="9"/>
    </row>
    <row r="4" spans="2:21" x14ac:dyDescent="0.3">
      <c r="S4" s="9"/>
    </row>
    <row r="5" spans="2:21" ht="14.4" customHeight="1" x14ac:dyDescent="0.3">
      <c r="S5" s="9"/>
    </row>
    <row r="6" spans="2:21" ht="14.4" customHeight="1" x14ac:dyDescent="0.3">
      <c r="S6" s="9"/>
    </row>
    <row r="7" spans="2:21" x14ac:dyDescent="0.3"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</row>
    <row r="8" spans="2:21" x14ac:dyDescent="0.3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2:21" x14ac:dyDescent="0.3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2:21" x14ac:dyDescent="0.3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2:21" x14ac:dyDescent="0.3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</row>
    <row r="12" spans="2:21" ht="14.4" customHeight="1" x14ac:dyDescent="0.3">
      <c r="B12" s="16">
        <f>Revenus!A2</f>
        <v>3</v>
      </c>
      <c r="C12" s="16"/>
      <c r="D12" s="9"/>
      <c r="E12" s="16">
        <f>Revenus!C2</f>
        <v>3</v>
      </c>
      <c r="F12" s="16"/>
      <c r="G12" s="9"/>
      <c r="H12" s="18">
        <f>Couts!J2</f>
        <v>206.12</v>
      </c>
      <c r="I12" s="18"/>
      <c r="J12" s="9"/>
      <c r="K12" s="18">
        <f>H12*12</f>
        <v>2473.44</v>
      </c>
      <c r="L12" s="18"/>
      <c r="M12" s="9"/>
      <c r="N12" s="19">
        <f>B17-H12</f>
        <v>-104.14400000000001</v>
      </c>
      <c r="O12" s="19"/>
      <c r="P12" s="12"/>
      <c r="Q12" s="19">
        <f>E17-K12</f>
        <v>-223.2180000000003</v>
      </c>
      <c r="R12" s="19"/>
      <c r="S12" s="9"/>
      <c r="T12" s="19">
        <f>Q12/12</f>
        <v>-18.601500000000026</v>
      </c>
      <c r="U12" s="19"/>
    </row>
    <row r="13" spans="2:21" ht="14.4" customHeight="1" x14ac:dyDescent="0.3">
      <c r="B13" s="16"/>
      <c r="C13" s="16"/>
      <c r="D13" s="9"/>
      <c r="E13" s="16"/>
      <c r="F13" s="16"/>
      <c r="G13" s="9"/>
      <c r="H13" s="18"/>
      <c r="I13" s="18"/>
      <c r="J13" s="9"/>
      <c r="K13" s="18"/>
      <c r="L13" s="18"/>
      <c r="M13" s="9"/>
      <c r="N13" s="19"/>
      <c r="O13" s="19"/>
      <c r="P13" s="12"/>
      <c r="Q13" s="19"/>
      <c r="R13" s="19"/>
      <c r="S13" s="9"/>
      <c r="T13" s="19"/>
      <c r="U13" s="19"/>
    </row>
    <row r="14" spans="2:21" x14ac:dyDescent="0.3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</row>
    <row r="15" spans="2:21" x14ac:dyDescent="0.3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</row>
    <row r="16" spans="2:21" x14ac:dyDescent="0.3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</row>
    <row r="17" spans="2:21" x14ac:dyDescent="0.3">
      <c r="B17" s="17">
        <f>Revenus!B2</f>
        <v>101.976</v>
      </c>
      <c r="C17" s="17"/>
      <c r="D17" s="9"/>
      <c r="E17" s="17">
        <f>Revenus!F2</f>
        <v>2250.2219999999998</v>
      </c>
      <c r="F17" s="17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</row>
    <row r="18" spans="2:21" x14ac:dyDescent="0.3">
      <c r="B18" s="17"/>
      <c r="C18" s="17"/>
      <c r="D18" s="9"/>
      <c r="E18" s="17"/>
      <c r="F18" s="17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</row>
    <row r="19" spans="2:21" x14ac:dyDescent="0.3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</row>
    <row r="20" spans="2:21" ht="14.4" customHeight="1" x14ac:dyDescent="0.3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</row>
    <row r="21" spans="2:21" ht="14.4" customHeight="1" x14ac:dyDescent="0.3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14">
        <f>N12/Revenus!B19</f>
        <v>-3.0637797128736177</v>
      </c>
      <c r="O21" s="14"/>
      <c r="P21" s="12"/>
      <c r="Q21" s="15">
        <v>200</v>
      </c>
      <c r="R21" s="15"/>
      <c r="S21" s="41" t="s">
        <v>15</v>
      </c>
      <c r="T21" s="41"/>
      <c r="U21" s="41"/>
    </row>
    <row r="22" spans="2:21" ht="16.8" customHeight="1" x14ac:dyDescent="0.3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14"/>
      <c r="O22" s="14"/>
      <c r="P22" s="12"/>
      <c r="Q22" s="15"/>
      <c r="R22" s="15"/>
      <c r="S22" s="41"/>
      <c r="T22" s="41"/>
      <c r="U22" s="41"/>
    </row>
    <row r="23" spans="2:21" ht="16.8" customHeight="1" x14ac:dyDescent="0.3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14">
        <f>((Q21+H12)/Revenus!B19)-B12</f>
        <v>8.9475170628383154</v>
      </c>
      <c r="R23" s="14"/>
      <c r="S23" s="40" t="s">
        <v>16</v>
      </c>
      <c r="T23" s="40"/>
      <c r="U23" s="40"/>
    </row>
    <row r="24" spans="2:21" x14ac:dyDescent="0.3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14"/>
      <c r="R24" s="14"/>
      <c r="S24" s="40"/>
      <c r="T24" s="40"/>
      <c r="U24" s="40"/>
    </row>
    <row r="25" spans="2:21" x14ac:dyDescent="0.3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</row>
    <row r="26" spans="2:21" x14ac:dyDescent="0.3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</row>
    <row r="27" spans="2:21" x14ac:dyDescent="0.3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</row>
    <row r="28" spans="2:21" ht="14.4" customHeight="1" x14ac:dyDescent="0.3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</row>
    <row r="29" spans="2:21" ht="14.4" customHeight="1" x14ac:dyDescent="0.3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</row>
    <row r="30" spans="2:21" ht="14.4" customHeight="1" x14ac:dyDescent="0.3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</row>
    <row r="31" spans="2:21" x14ac:dyDescent="0.3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</row>
    <row r="32" spans="2:21" x14ac:dyDescent="0.3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</row>
    <row r="33" spans="2:19" x14ac:dyDescent="0.3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</row>
    <row r="34" spans="2:19" x14ac:dyDescent="0.3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</row>
    <row r="35" spans="2:19" x14ac:dyDescent="0.3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</row>
    <row r="36" spans="2:19" x14ac:dyDescent="0.3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</row>
    <row r="37" spans="2:19" s="9" customFormat="1" x14ac:dyDescent="0.3"/>
    <row r="38" spans="2:19" s="9" customFormat="1" x14ac:dyDescent="0.3"/>
    <row r="39" spans="2:19" x14ac:dyDescent="0.3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</row>
    <row r="40" spans="2:19" x14ac:dyDescent="0.3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</row>
    <row r="41" spans="2:19" x14ac:dyDescent="0.3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</row>
    <row r="42" spans="2:19" x14ac:dyDescent="0.3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</row>
    <row r="43" spans="2:19" x14ac:dyDescent="0.3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</row>
    <row r="44" spans="2:19" x14ac:dyDescent="0.3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</row>
    <row r="45" spans="2:19" x14ac:dyDescent="0.3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</row>
    <row r="46" spans="2:19" x14ac:dyDescent="0.3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</row>
    <row r="47" spans="2:19" x14ac:dyDescent="0.3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2:19" x14ac:dyDescent="0.3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2:19" x14ac:dyDescent="0.3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</row>
    <row r="50" spans="2:19" x14ac:dyDescent="0.3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</row>
    <row r="51" spans="2:19" x14ac:dyDescent="0.3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</row>
    <row r="52" spans="2:19" x14ac:dyDescent="0.3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2:19" x14ac:dyDescent="0.3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2:19" x14ac:dyDescent="0.3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</sheetData>
  <mergeCells count="14">
    <mergeCell ref="S21:U22"/>
    <mergeCell ref="S23:U24"/>
    <mergeCell ref="Q23:R24"/>
    <mergeCell ref="Q21:R22"/>
    <mergeCell ref="B12:C13"/>
    <mergeCell ref="E12:F13"/>
    <mergeCell ref="B17:C18"/>
    <mergeCell ref="E17:F18"/>
    <mergeCell ref="H12:I13"/>
    <mergeCell ref="K12:L13"/>
    <mergeCell ref="N12:O13"/>
    <mergeCell ref="Q12:R13"/>
    <mergeCell ref="N21:O22"/>
    <mergeCell ref="T12:U13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65FC1-3DF1-4D52-BC63-B0485396571A}">
  <sheetPr codeName="Feuil4">
    <tabColor theme="9"/>
  </sheetPr>
  <dimension ref="A1:AV4"/>
  <sheetViews>
    <sheetView workbookViewId="0">
      <selection activeCell="G23" sqref="G23"/>
    </sheetView>
  </sheetViews>
  <sheetFormatPr baseColWidth="10" defaultRowHeight="14.4" x14ac:dyDescent="0.3"/>
  <sheetData>
    <row r="1" spans="1:48" x14ac:dyDescent="0.3">
      <c r="A1" s="13" t="s">
        <v>17</v>
      </c>
      <c r="B1" s="13" t="s">
        <v>18</v>
      </c>
      <c r="C1" s="13" t="s">
        <v>19</v>
      </c>
      <c r="D1" s="13" t="s">
        <v>20</v>
      </c>
      <c r="E1" s="13" t="s">
        <v>21</v>
      </c>
      <c r="F1" s="13" t="s">
        <v>22</v>
      </c>
      <c r="G1" s="13" t="s">
        <v>23</v>
      </c>
      <c r="H1" s="13" t="s">
        <v>24</v>
      </c>
      <c r="I1" s="13" t="s">
        <v>25</v>
      </c>
      <c r="J1" s="13" t="s">
        <v>26</v>
      </c>
      <c r="K1" s="13" t="s">
        <v>27</v>
      </c>
      <c r="L1" s="13" t="s">
        <v>28</v>
      </c>
      <c r="M1" s="13" t="s">
        <v>29</v>
      </c>
      <c r="N1" s="13" t="s">
        <v>30</v>
      </c>
      <c r="O1" s="13" t="s">
        <v>31</v>
      </c>
      <c r="P1" s="13" t="s">
        <v>32</v>
      </c>
      <c r="Q1" s="13" t="s">
        <v>33</v>
      </c>
      <c r="R1" s="13" t="s">
        <v>34</v>
      </c>
      <c r="S1" s="13" t="s">
        <v>35</v>
      </c>
      <c r="T1" s="13" t="s">
        <v>36</v>
      </c>
      <c r="U1" s="13" t="s">
        <v>37</v>
      </c>
      <c r="V1" s="13" t="s">
        <v>38</v>
      </c>
      <c r="W1" s="13" t="s">
        <v>39</v>
      </c>
      <c r="X1" s="13" t="s">
        <v>40</v>
      </c>
      <c r="Y1" s="13" t="s">
        <v>41</v>
      </c>
      <c r="Z1" s="13" t="s">
        <v>42</v>
      </c>
      <c r="AA1" s="13" t="s">
        <v>43</v>
      </c>
      <c r="AB1" s="13" t="s">
        <v>44</v>
      </c>
      <c r="AC1" s="13" t="s">
        <v>45</v>
      </c>
      <c r="AD1" s="13" t="s">
        <v>46</v>
      </c>
      <c r="AE1" s="13" t="s">
        <v>47</v>
      </c>
      <c r="AF1" s="13" t="s">
        <v>48</v>
      </c>
      <c r="AG1" s="13" t="s">
        <v>49</v>
      </c>
      <c r="AH1" s="13" t="s">
        <v>50</v>
      </c>
      <c r="AI1" s="13" t="s">
        <v>51</v>
      </c>
      <c r="AJ1" s="13" t="s">
        <v>52</v>
      </c>
      <c r="AK1" s="13" t="s">
        <v>53</v>
      </c>
      <c r="AL1" s="13" t="s">
        <v>54</v>
      </c>
      <c r="AM1" s="13" t="s">
        <v>55</v>
      </c>
      <c r="AN1" s="13" t="s">
        <v>56</v>
      </c>
      <c r="AO1" s="13" t="s">
        <v>57</v>
      </c>
      <c r="AP1" s="13" t="s">
        <v>58</v>
      </c>
      <c r="AQ1" s="13" t="s">
        <v>59</v>
      </c>
      <c r="AR1" s="13" t="s">
        <v>60</v>
      </c>
      <c r="AS1" s="13" t="s">
        <v>61</v>
      </c>
      <c r="AT1" s="13" t="s">
        <v>62</v>
      </c>
      <c r="AU1" s="13" t="s">
        <v>63</v>
      </c>
      <c r="AV1" s="13" t="s">
        <v>64</v>
      </c>
    </row>
    <row r="2" spans="1:48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</row>
    <row r="3" spans="1:48" x14ac:dyDescent="0.3">
      <c r="A3" s="38">
        <v>-206.12</v>
      </c>
      <c r="B3" s="38">
        <v>-206.12</v>
      </c>
      <c r="C3" s="38">
        <v>-206.12</v>
      </c>
      <c r="D3" s="38">
        <v>-206.12</v>
      </c>
      <c r="E3" s="38">
        <v>-206.12</v>
      </c>
      <c r="F3" s="38">
        <v>-206.12</v>
      </c>
      <c r="G3" s="38">
        <v>-206.12</v>
      </c>
      <c r="H3" s="38">
        <v>-206.12</v>
      </c>
      <c r="I3" s="38">
        <v>-206.12</v>
      </c>
      <c r="J3" s="38">
        <v>-206.12</v>
      </c>
      <c r="K3" s="38">
        <v>-206.12</v>
      </c>
      <c r="L3" s="38">
        <v>-206.12</v>
      </c>
      <c r="M3" s="38">
        <v>-206.12</v>
      </c>
      <c r="N3" s="38">
        <v>-206.12</v>
      </c>
      <c r="O3" s="38">
        <v>-206.12</v>
      </c>
      <c r="P3" s="38">
        <v>-206.12</v>
      </c>
      <c r="Q3" s="38">
        <v>-206.12</v>
      </c>
      <c r="R3" s="38">
        <v>-206.12</v>
      </c>
      <c r="S3" s="38">
        <v>-206.12</v>
      </c>
      <c r="T3" s="38">
        <v>-206.12</v>
      </c>
      <c r="U3" s="38">
        <v>-206.12</v>
      </c>
      <c r="V3" s="38">
        <v>-206.12</v>
      </c>
      <c r="W3" s="38">
        <v>-206.12</v>
      </c>
      <c r="X3" s="38">
        <v>-206.12</v>
      </c>
      <c r="Y3" s="38">
        <v>-206.12</v>
      </c>
      <c r="Z3" s="38">
        <v>-206.12</v>
      </c>
      <c r="AA3" s="38">
        <v>-206.12</v>
      </c>
      <c r="AB3" s="38">
        <v>-206.12</v>
      </c>
      <c r="AC3" s="38">
        <v>-206.12</v>
      </c>
      <c r="AD3" s="38">
        <v>-206.12</v>
      </c>
      <c r="AE3" s="38">
        <v>-206.12</v>
      </c>
      <c r="AF3" s="38">
        <v>-206.12</v>
      </c>
      <c r="AG3" s="38">
        <v>-206.12</v>
      </c>
      <c r="AH3" s="38">
        <v>-206.12</v>
      </c>
      <c r="AI3" s="38">
        <v>-206.12</v>
      </c>
      <c r="AJ3" s="38">
        <v>-206.12</v>
      </c>
      <c r="AK3" s="38">
        <v>-206.12</v>
      </c>
      <c r="AL3" s="38">
        <v>-206.12</v>
      </c>
      <c r="AM3" s="38">
        <v>-206.12</v>
      </c>
      <c r="AN3" s="38">
        <v>-206.12</v>
      </c>
      <c r="AO3" s="38">
        <v>-206.12</v>
      </c>
      <c r="AP3" s="38">
        <v>-206.12</v>
      </c>
      <c r="AQ3" s="38">
        <v>-206.12</v>
      </c>
      <c r="AR3" s="38">
        <v>-206.12</v>
      </c>
      <c r="AS3" s="38">
        <v>-206.12</v>
      </c>
      <c r="AT3" s="38">
        <v>-206.12</v>
      </c>
      <c r="AU3" s="38">
        <v>-206.12</v>
      </c>
      <c r="AV3" s="38">
        <v>-206.12</v>
      </c>
    </row>
    <row r="4" spans="1:48" x14ac:dyDescent="0.3">
      <c r="A4" s="37">
        <f>SUBTOTAL(9,Tableau3[janv-23])</f>
        <v>-206.12</v>
      </c>
      <c r="B4" s="37">
        <f>SUBTOTAL(9,Tableau3[févr-23])</f>
        <v>-206.12</v>
      </c>
      <c r="C4" s="37">
        <f>SUBTOTAL(9,Tableau3[mars-23])</f>
        <v>-206.12</v>
      </c>
      <c r="D4" s="37">
        <f>SUBTOTAL(9,Tableau3[avr-23])</f>
        <v>-206.12</v>
      </c>
      <c r="E4" s="37">
        <f>SUBTOTAL(9,Tableau3[mai-23])</f>
        <v>-206.12</v>
      </c>
      <c r="F4" s="37">
        <f>SUBTOTAL(9,Tableau3[juin-23])</f>
        <v>-206.12</v>
      </c>
      <c r="G4" s="37">
        <f>SUBTOTAL(9,Tableau3[juil-23])</f>
        <v>-206.12</v>
      </c>
      <c r="H4" s="37">
        <f>SUBTOTAL(9,Tableau3[août-23])</f>
        <v>-206.12</v>
      </c>
      <c r="I4" s="37">
        <f>SUBTOTAL(9,Tableau3[sept-23])</f>
        <v>-206.12</v>
      </c>
      <c r="J4" s="37">
        <f>SUBTOTAL(9,Tableau3[oct-23])</f>
        <v>-206.12</v>
      </c>
      <c r="K4" s="37">
        <f>SUBTOTAL(9,Tableau3[nov-23])</f>
        <v>-206.12</v>
      </c>
      <c r="L4" s="37">
        <f>SUBTOTAL(9,Tableau3[déc-23])</f>
        <v>-206.12</v>
      </c>
      <c r="M4" s="37">
        <f>SUBTOTAL(9,Tableau3[janv-24])</f>
        <v>-206.12</v>
      </c>
      <c r="N4" s="37">
        <f>SUBTOTAL(9,Tableau3[févr-24])</f>
        <v>-206.12</v>
      </c>
      <c r="O4" s="37">
        <f>SUBTOTAL(9,Tableau3[mars-24])</f>
        <v>-206.12</v>
      </c>
      <c r="P4" s="37">
        <f>SUBTOTAL(9,Tableau3[avr-24])</f>
        <v>-206.12</v>
      </c>
      <c r="Q4" s="37">
        <f>SUBTOTAL(9,Tableau3[mai-24])</f>
        <v>-206.12</v>
      </c>
      <c r="R4" s="37">
        <f>SUBTOTAL(9,Tableau3[juin-24])</f>
        <v>-206.12</v>
      </c>
      <c r="S4" s="37">
        <f>SUBTOTAL(9,Tableau3[juil-24])</f>
        <v>-206.12</v>
      </c>
      <c r="T4" s="37">
        <f>SUBTOTAL(9,Tableau3[août-24])</f>
        <v>-206.12</v>
      </c>
      <c r="U4" s="37">
        <f>SUBTOTAL(9,Tableau3[sept-24])</f>
        <v>-206.12</v>
      </c>
      <c r="V4" s="37">
        <f>SUBTOTAL(9,Tableau3[oct-24])</f>
        <v>-206.12</v>
      </c>
      <c r="W4" s="37">
        <f>SUBTOTAL(9,Tableau3[nov-24])</f>
        <v>-206.12</v>
      </c>
      <c r="X4" s="37">
        <f>SUBTOTAL(9,Tableau3[déc-24])</f>
        <v>-206.12</v>
      </c>
      <c r="Y4" s="37">
        <f>SUBTOTAL(9,Tableau3[janv-25])</f>
        <v>-206.12</v>
      </c>
      <c r="Z4" s="37">
        <f>SUBTOTAL(9,Tableau3[févr-25])</f>
        <v>-206.12</v>
      </c>
      <c r="AA4" s="37">
        <f>SUBTOTAL(9,Tableau3[mars-25])</f>
        <v>-206.12</v>
      </c>
      <c r="AB4" s="37">
        <f>SUBTOTAL(9,Tableau3[avr-25])</f>
        <v>-206.12</v>
      </c>
      <c r="AC4" s="37">
        <f>SUBTOTAL(9,Tableau3[mai-25])</f>
        <v>-206.12</v>
      </c>
      <c r="AD4" s="37">
        <f>SUBTOTAL(9,Tableau3[juin-25])</f>
        <v>-206.12</v>
      </c>
      <c r="AE4" s="37">
        <f>SUBTOTAL(9,Tableau3[juil-25])</f>
        <v>-206.12</v>
      </c>
      <c r="AF4" s="37">
        <f>SUBTOTAL(9,Tableau3[août-25])</f>
        <v>-206.12</v>
      </c>
      <c r="AG4" s="37">
        <f>SUBTOTAL(9,Tableau3[sept-25])</f>
        <v>-206.12</v>
      </c>
      <c r="AH4" s="37">
        <f>SUBTOTAL(9,Tableau3[oct-25])</f>
        <v>-206.12</v>
      </c>
      <c r="AI4" s="37">
        <f>SUBTOTAL(9,Tableau3[nov-25])</f>
        <v>-206.12</v>
      </c>
      <c r="AJ4" s="37">
        <f>SUBTOTAL(9,Tableau3[déc-25])</f>
        <v>-206.12</v>
      </c>
      <c r="AK4" s="37">
        <f>SUBTOTAL(9,Tableau3[janv-26])</f>
        <v>-206.12</v>
      </c>
      <c r="AL4" s="37">
        <f>SUBTOTAL(9,Tableau3[févr-26])</f>
        <v>-206.12</v>
      </c>
      <c r="AM4" s="37">
        <f>SUBTOTAL(9,Tableau3[mars-26])</f>
        <v>-206.12</v>
      </c>
      <c r="AN4" s="37">
        <f>SUBTOTAL(9,Tableau3[avr-26])</f>
        <v>-206.12</v>
      </c>
      <c r="AO4" s="37">
        <f>SUBTOTAL(9,Tableau3[mai-26])</f>
        <v>-206.12</v>
      </c>
      <c r="AP4" s="37">
        <f>SUBTOTAL(9,Tableau3[juin-26])</f>
        <v>-206.12</v>
      </c>
      <c r="AQ4" s="37">
        <f>SUBTOTAL(9,Tableau3[juil-26])</f>
        <v>-206.12</v>
      </c>
      <c r="AR4" s="37">
        <f>SUBTOTAL(9,Tableau3[août-26])</f>
        <v>-206.12</v>
      </c>
      <c r="AS4" s="37">
        <f>SUBTOTAL(9,Tableau3[sept-26])</f>
        <v>-206.12</v>
      </c>
      <c r="AT4" s="37">
        <f>SUBTOTAL(9,Tableau3[oct-26])</f>
        <v>-206.12</v>
      </c>
      <c r="AU4" s="37">
        <f>SUBTOTAL(9,Tableau3[nov-26])</f>
        <v>-206.12</v>
      </c>
      <c r="AV4" s="37">
        <f>SUBTOTAL(9,Tableau3[déc-26])</f>
        <v>-206.12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Couts</vt:lpstr>
      <vt:lpstr>Revenus</vt:lpstr>
      <vt:lpstr>Board</vt:lpstr>
      <vt:lpstr>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miam</dc:creator>
  <cp:lastModifiedBy>romain bourgin</cp:lastModifiedBy>
  <dcterms:created xsi:type="dcterms:W3CDTF">2023-02-08T20:49:46Z</dcterms:created>
  <dcterms:modified xsi:type="dcterms:W3CDTF">2023-03-21T15:10:45Z</dcterms:modified>
</cp:coreProperties>
</file>