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user\Desktop\en retouche\"/>
    </mc:Choice>
  </mc:AlternateContent>
  <xr:revisionPtr revIDLastSave="0" documentId="13_ncr:1_{35B4E795-61FF-4183-8399-A1A13EC38B2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EVIS" sheetId="4" r:id="rId1"/>
    <sheet name="TARIF global" sheetId="3" r:id="rId2"/>
    <sheet name="tarif client" sheetId="2" r:id="rId3"/>
    <sheet name="tarif partenaire" sheetId="1" r:id="rId4"/>
    <sheet name="tarif métropole" sheetId="5" r:id="rId5"/>
    <sheet name="tarif antilles" sheetId="6" r:id="rId6"/>
  </sheets>
  <definedNames>
    <definedName name="code_et_briques">'TARIF global'!$A$12:$B$22</definedName>
    <definedName name="liste_briques">'TARIF global'!$B$12:$B$22</definedName>
    <definedName name="liste_code">'TARIF global'!$A$12:$A$30</definedName>
    <definedName name="nombre_de_palettes">DEVIS!$R$40</definedName>
    <definedName name="type">DEVIS!$O$18</definedName>
    <definedName name="_xlnm.Print_Area" localSheetId="0">DEVIS!$A$1:$L$67</definedName>
    <definedName name="_xlnm.Print_Area" localSheetId="5">'tarif antilles'!$A$1:$P$40</definedName>
    <definedName name="_xlnm.Print_Area" localSheetId="2">'tarif client'!$A$1:$P$40</definedName>
    <definedName name="_xlnm.Print_Area" localSheetId="1">'TARIF global'!$A$1:$P$40</definedName>
    <definedName name="_xlnm.Print_Area" localSheetId="4">'tarif métropole'!$A$1:$P$40</definedName>
    <definedName name="_xlnm.Print_Area" localSheetId="3">'tarif partenaire'!$A$1:$P$40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44" i="4" l="1"/>
  <c r="U45" i="4"/>
  <c r="U43" i="4"/>
  <c r="V48" i="4"/>
  <c r="X48" i="4" s="1"/>
  <c r="B30" i="4"/>
  <c r="B31" i="4"/>
  <c r="B32" i="4"/>
  <c r="B33" i="4"/>
  <c r="B34" i="4"/>
  <c r="B35" i="4"/>
  <c r="B36" i="4"/>
  <c r="B37" i="4"/>
  <c r="B38" i="4"/>
  <c r="B39" i="4"/>
  <c r="B45" i="4"/>
  <c r="B44" i="4"/>
  <c r="B43" i="4"/>
  <c r="P30" i="4"/>
  <c r="P31" i="4"/>
  <c r="P32" i="4"/>
  <c r="P33" i="4"/>
  <c r="P34" i="4"/>
  <c r="P35" i="4"/>
  <c r="P36" i="4"/>
  <c r="P37" i="4"/>
  <c r="P38" i="4"/>
  <c r="P39" i="4"/>
  <c r="O30" i="4"/>
  <c r="O31" i="4"/>
  <c r="O32" i="4"/>
  <c r="O33" i="4"/>
  <c r="O34" i="4"/>
  <c r="O35" i="4"/>
  <c r="O36" i="4"/>
  <c r="O37" i="4"/>
  <c r="O38" i="4"/>
  <c r="O39" i="4"/>
  <c r="P29" i="4"/>
  <c r="O29" i="4"/>
  <c r="H30" i="4"/>
  <c r="H31" i="4"/>
  <c r="H32" i="4"/>
  <c r="H33" i="4"/>
  <c r="H34" i="4"/>
  <c r="H35" i="4"/>
  <c r="H36" i="4"/>
  <c r="H37" i="4"/>
  <c r="H38" i="4"/>
  <c r="H39" i="4"/>
  <c r="H29" i="4"/>
  <c r="E30" i="4"/>
  <c r="E31" i="4"/>
  <c r="E32" i="4"/>
  <c r="E33" i="4"/>
  <c r="E34" i="4"/>
  <c r="E35" i="4"/>
  <c r="E36" i="4"/>
  <c r="E37" i="4"/>
  <c r="E38" i="4"/>
  <c r="E39" i="4"/>
  <c r="E29" i="4"/>
  <c r="D30" i="4"/>
  <c r="D31" i="4"/>
  <c r="D32" i="4"/>
  <c r="D33" i="4"/>
  <c r="D34" i="4"/>
  <c r="D35" i="4"/>
  <c r="D36" i="4"/>
  <c r="D37" i="4"/>
  <c r="D38" i="4"/>
  <c r="D39" i="4"/>
  <c r="D29" i="4"/>
  <c r="B29" i="4"/>
  <c r="A12" i="3" l="1"/>
  <c r="A17" i="3"/>
  <c r="A29" i="3" l="1"/>
  <c r="L11" i="3" l="1"/>
  <c r="J11" i="3"/>
  <c r="H11" i="3"/>
  <c r="F11" i="3"/>
  <c r="F12" i="3"/>
  <c r="R13" i="3"/>
  <c r="R14" i="3"/>
  <c r="R15" i="3"/>
  <c r="R16" i="3"/>
  <c r="R17" i="3"/>
  <c r="R18" i="3"/>
  <c r="R19" i="3"/>
  <c r="R20" i="3"/>
  <c r="R21" i="3"/>
  <c r="R22" i="3"/>
  <c r="R12" i="3"/>
  <c r="Q13" i="3"/>
  <c r="Q14" i="3"/>
  <c r="Q15" i="3"/>
  <c r="Q16" i="3"/>
  <c r="Q17" i="3"/>
  <c r="Q18" i="3"/>
  <c r="Q19" i="3"/>
  <c r="Q20" i="3"/>
  <c r="Q21" i="3"/>
  <c r="Q22" i="3"/>
  <c r="P13" i="3"/>
  <c r="P14" i="3"/>
  <c r="P15" i="3"/>
  <c r="P16" i="3"/>
  <c r="P17" i="3"/>
  <c r="P18" i="3"/>
  <c r="P19" i="3"/>
  <c r="P20" i="3"/>
  <c r="P21" i="3"/>
  <c r="P22" i="3"/>
  <c r="Q12" i="3"/>
  <c r="P12" i="3"/>
  <c r="O13" i="3"/>
  <c r="O14" i="3"/>
  <c r="O15" i="3"/>
  <c r="O16" i="3"/>
  <c r="O17" i="3"/>
  <c r="O18" i="3"/>
  <c r="O19" i="3"/>
  <c r="O20" i="3"/>
  <c r="O21" i="3"/>
  <c r="O22" i="3"/>
  <c r="N13" i="3"/>
  <c r="N14" i="3"/>
  <c r="N15" i="3"/>
  <c r="N16" i="3"/>
  <c r="N17" i="3"/>
  <c r="N18" i="3"/>
  <c r="N19" i="3"/>
  <c r="N20" i="3"/>
  <c r="N21" i="3"/>
  <c r="N22" i="3"/>
  <c r="O12" i="3"/>
  <c r="N12" i="3"/>
  <c r="E26" i="3"/>
  <c r="E25" i="3"/>
  <c r="E24" i="3"/>
  <c r="E23" i="3"/>
  <c r="I22" i="3"/>
  <c r="I13" i="3"/>
  <c r="I14" i="3"/>
  <c r="I15" i="3"/>
  <c r="I16" i="3"/>
  <c r="I17" i="3"/>
  <c r="I18" i="3"/>
  <c r="I19" i="3"/>
  <c r="I20" i="3"/>
  <c r="K22" i="3"/>
  <c r="K13" i="3"/>
  <c r="K14" i="3"/>
  <c r="K15" i="3"/>
  <c r="K16" i="3"/>
  <c r="K17" i="3"/>
  <c r="K18" i="3"/>
  <c r="K19" i="3"/>
  <c r="K20" i="3"/>
  <c r="M22" i="3"/>
  <c r="M13" i="3"/>
  <c r="M14" i="3"/>
  <c r="M15" i="3"/>
  <c r="M16" i="3"/>
  <c r="M17" i="3"/>
  <c r="M18" i="3"/>
  <c r="M19" i="3"/>
  <c r="M20" i="3"/>
  <c r="L13" i="3"/>
  <c r="L14" i="3"/>
  <c r="L15" i="3"/>
  <c r="L16" i="3"/>
  <c r="L17" i="3"/>
  <c r="L18" i="3"/>
  <c r="L19" i="3"/>
  <c r="L20" i="3"/>
  <c r="L21" i="3"/>
  <c r="L22" i="3"/>
  <c r="J13" i="3"/>
  <c r="J14" i="3"/>
  <c r="J15" i="3"/>
  <c r="J16" i="3"/>
  <c r="J17" i="3"/>
  <c r="J18" i="3"/>
  <c r="J19" i="3"/>
  <c r="J20" i="3"/>
  <c r="J21" i="3"/>
  <c r="J22" i="3"/>
  <c r="H13" i="3"/>
  <c r="H14" i="3"/>
  <c r="H15" i="3"/>
  <c r="H16" i="3"/>
  <c r="H17" i="3"/>
  <c r="H18" i="3"/>
  <c r="H19" i="3"/>
  <c r="H20" i="3"/>
  <c r="H21" i="3"/>
  <c r="H22" i="3"/>
  <c r="G22" i="3"/>
  <c r="G13" i="3"/>
  <c r="G14" i="3"/>
  <c r="G15" i="3"/>
  <c r="G16" i="3"/>
  <c r="G17" i="3"/>
  <c r="G18" i="3"/>
  <c r="G19" i="3"/>
  <c r="G20" i="3"/>
  <c r="F13" i="3"/>
  <c r="F14" i="3"/>
  <c r="F15" i="3"/>
  <c r="F16" i="3"/>
  <c r="F17" i="3"/>
  <c r="F18" i="3"/>
  <c r="F19" i="3"/>
  <c r="F20" i="3"/>
  <c r="F21" i="3"/>
  <c r="F22" i="3"/>
  <c r="M12" i="3"/>
  <c r="L12" i="3"/>
  <c r="K12" i="3"/>
  <c r="J12" i="3"/>
  <c r="I12" i="3"/>
  <c r="H12" i="3"/>
  <c r="G12" i="3"/>
  <c r="E22" i="3"/>
  <c r="E13" i="3"/>
  <c r="E14" i="3"/>
  <c r="E15" i="3"/>
  <c r="E16" i="3"/>
  <c r="E17" i="3"/>
  <c r="E18" i="3"/>
  <c r="E19" i="3"/>
  <c r="E20" i="3"/>
  <c r="E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C13" i="3"/>
  <c r="C14" i="3"/>
  <c r="C15" i="3"/>
  <c r="C16" i="3"/>
  <c r="C17" i="3"/>
  <c r="C18" i="3"/>
  <c r="C19" i="3"/>
  <c r="C20" i="3"/>
  <c r="C21" i="3"/>
  <c r="C22" i="3"/>
  <c r="C12" i="3"/>
  <c r="B12" i="3"/>
  <c r="A13" i="3"/>
  <c r="A14" i="3"/>
  <c r="A15" i="3"/>
  <c r="A16" i="3"/>
  <c r="A18" i="3"/>
  <c r="A19" i="3"/>
  <c r="A20" i="3"/>
  <c r="A21" i="3"/>
  <c r="A22" i="3"/>
  <c r="A23" i="3"/>
  <c r="A24" i="3"/>
  <c r="A25" i="3"/>
  <c r="A26" i="3"/>
  <c r="A27" i="3"/>
  <c r="A28" i="3"/>
  <c r="A30" i="3"/>
  <c r="R22" i="6"/>
  <c r="N22" i="6"/>
  <c r="M22" i="6" s="1"/>
  <c r="L22" i="6"/>
  <c r="K22" i="6"/>
  <c r="J22" i="6"/>
  <c r="I22" i="6"/>
  <c r="H22" i="6"/>
  <c r="G22" i="6"/>
  <c r="F22" i="6"/>
  <c r="R21" i="6"/>
  <c r="N21" i="6"/>
  <c r="L21" i="6"/>
  <c r="J21" i="6"/>
  <c r="H21" i="6"/>
  <c r="F21" i="6"/>
  <c r="R20" i="6"/>
  <c r="N20" i="6"/>
  <c r="M20" i="6"/>
  <c r="L20" i="6"/>
  <c r="K20" i="6"/>
  <c r="J20" i="6"/>
  <c r="I20" i="6"/>
  <c r="H20" i="6"/>
  <c r="G20" i="6"/>
  <c r="F20" i="6"/>
  <c r="E20" i="6"/>
  <c r="R19" i="6"/>
  <c r="N19" i="6"/>
  <c r="K19" i="6" s="1"/>
  <c r="M19" i="6"/>
  <c r="L19" i="6"/>
  <c r="J19" i="6"/>
  <c r="H19" i="6"/>
  <c r="F19" i="6"/>
  <c r="E19" i="6"/>
  <c r="R18" i="6"/>
  <c r="N18" i="6"/>
  <c r="M18" i="6" s="1"/>
  <c r="L18" i="6"/>
  <c r="J18" i="6"/>
  <c r="I18" i="6"/>
  <c r="H18" i="6"/>
  <c r="G18" i="6"/>
  <c r="F18" i="6"/>
  <c r="R17" i="6"/>
  <c r="N17" i="6"/>
  <c r="G17" i="6" s="1"/>
  <c r="M17" i="6"/>
  <c r="L17" i="6"/>
  <c r="K17" i="6"/>
  <c r="J17" i="6"/>
  <c r="I17" i="6"/>
  <c r="H17" i="6"/>
  <c r="F17" i="6"/>
  <c r="E17" i="6"/>
  <c r="R16" i="6"/>
  <c r="N16" i="6"/>
  <c r="K16" i="6" s="1"/>
  <c r="M16" i="6"/>
  <c r="L16" i="6"/>
  <c r="J16" i="6"/>
  <c r="H16" i="6"/>
  <c r="F16" i="6"/>
  <c r="E16" i="6"/>
  <c r="R15" i="6"/>
  <c r="N15" i="6"/>
  <c r="M15" i="6" s="1"/>
  <c r="L15" i="6"/>
  <c r="K15" i="6"/>
  <c r="J15" i="6"/>
  <c r="I15" i="6"/>
  <c r="H15" i="6"/>
  <c r="G15" i="6"/>
  <c r="F15" i="6"/>
  <c r="R14" i="6"/>
  <c r="N14" i="6"/>
  <c r="I14" i="6" s="1"/>
  <c r="M14" i="6"/>
  <c r="L14" i="6"/>
  <c r="K14" i="6"/>
  <c r="J14" i="6"/>
  <c r="H14" i="6"/>
  <c r="F14" i="6"/>
  <c r="E14" i="6"/>
  <c r="R13" i="6"/>
  <c r="N13" i="6"/>
  <c r="M13" i="6" s="1"/>
  <c r="L13" i="6"/>
  <c r="J13" i="6"/>
  <c r="H13" i="6"/>
  <c r="F13" i="6"/>
  <c r="R12" i="6"/>
  <c r="N12" i="6"/>
  <c r="M12" i="6"/>
  <c r="L12" i="6"/>
  <c r="K12" i="6"/>
  <c r="J12" i="6"/>
  <c r="I12" i="6"/>
  <c r="H12" i="6"/>
  <c r="G12" i="6"/>
  <c r="F12" i="6"/>
  <c r="E12" i="6"/>
  <c r="R22" i="5"/>
  <c r="N22" i="5"/>
  <c r="M22" i="5"/>
  <c r="L22" i="5"/>
  <c r="K22" i="5"/>
  <c r="J22" i="5"/>
  <c r="I22" i="5"/>
  <c r="H22" i="5"/>
  <c r="G22" i="5"/>
  <c r="F22" i="5"/>
  <c r="E22" i="5"/>
  <c r="R21" i="5"/>
  <c r="N21" i="5"/>
  <c r="L21" i="5"/>
  <c r="J21" i="5"/>
  <c r="H21" i="5"/>
  <c r="F21" i="5"/>
  <c r="R20" i="5"/>
  <c r="N20" i="5"/>
  <c r="G20" i="5" s="1"/>
  <c r="M20" i="5"/>
  <c r="L20" i="5"/>
  <c r="J20" i="5"/>
  <c r="I20" i="5"/>
  <c r="H20" i="5"/>
  <c r="F20" i="5"/>
  <c r="E20" i="5"/>
  <c r="R19" i="5"/>
  <c r="N19" i="5"/>
  <c r="M19" i="5"/>
  <c r="L19" i="5"/>
  <c r="K19" i="5"/>
  <c r="J19" i="5"/>
  <c r="I19" i="5"/>
  <c r="H19" i="5"/>
  <c r="G19" i="5"/>
  <c r="F19" i="5"/>
  <c r="E19" i="5"/>
  <c r="R18" i="5"/>
  <c r="N18" i="5"/>
  <c r="M18" i="5" s="1"/>
  <c r="L18" i="5"/>
  <c r="K18" i="5"/>
  <c r="J18" i="5"/>
  <c r="H18" i="5"/>
  <c r="G18" i="5"/>
  <c r="F18" i="5"/>
  <c r="R17" i="5"/>
  <c r="N17" i="5"/>
  <c r="I17" i="5" s="1"/>
  <c r="L17" i="5"/>
  <c r="K17" i="5"/>
  <c r="J17" i="5"/>
  <c r="H17" i="5"/>
  <c r="F17" i="5"/>
  <c r="R16" i="5"/>
  <c r="N16" i="5"/>
  <c r="K16" i="5" s="1"/>
  <c r="M16" i="5"/>
  <c r="L16" i="5"/>
  <c r="J16" i="5"/>
  <c r="H16" i="5"/>
  <c r="F16" i="5"/>
  <c r="E16" i="5"/>
  <c r="R15" i="5"/>
  <c r="N15" i="5"/>
  <c r="M15" i="5"/>
  <c r="L15" i="5"/>
  <c r="K15" i="5"/>
  <c r="J15" i="5"/>
  <c r="I15" i="5"/>
  <c r="H15" i="5"/>
  <c r="G15" i="5"/>
  <c r="F15" i="5"/>
  <c r="E15" i="5"/>
  <c r="R14" i="5"/>
  <c r="N14" i="5"/>
  <c r="I14" i="5" s="1"/>
  <c r="L14" i="5"/>
  <c r="K14" i="5"/>
  <c r="J14" i="5"/>
  <c r="H14" i="5"/>
  <c r="G14" i="5"/>
  <c r="F14" i="5"/>
  <c r="R13" i="5"/>
  <c r="N13" i="5"/>
  <c r="M13" i="5" s="1"/>
  <c r="L13" i="5"/>
  <c r="J13" i="5"/>
  <c r="H13" i="5"/>
  <c r="F13" i="5"/>
  <c r="R12" i="5"/>
  <c r="N12" i="5"/>
  <c r="G12" i="5" s="1"/>
  <c r="M12" i="5"/>
  <c r="L12" i="5"/>
  <c r="J12" i="5"/>
  <c r="I12" i="5"/>
  <c r="H12" i="5"/>
  <c r="F12" i="5"/>
  <c r="E12" i="5"/>
  <c r="H44" i="4" l="1"/>
  <c r="D44" i="4"/>
  <c r="H45" i="4"/>
  <c r="D43" i="4"/>
  <c r="H43" i="4"/>
  <c r="D45" i="4"/>
  <c r="G19" i="6"/>
  <c r="I13" i="6"/>
  <c r="G14" i="6"/>
  <c r="I16" i="6"/>
  <c r="K18" i="6"/>
  <c r="K13" i="6"/>
  <c r="E15" i="6"/>
  <c r="I19" i="6"/>
  <c r="E22" i="6"/>
  <c r="G16" i="6"/>
  <c r="E18" i="6"/>
  <c r="G13" i="6"/>
  <c r="E13" i="6"/>
  <c r="K12" i="5"/>
  <c r="E14" i="5"/>
  <c r="M14" i="5"/>
  <c r="G16" i="5"/>
  <c r="I18" i="5"/>
  <c r="K20" i="5"/>
  <c r="G13" i="5"/>
  <c r="I13" i="5"/>
  <c r="E17" i="5"/>
  <c r="M17" i="5"/>
  <c r="I16" i="5"/>
  <c r="K13" i="5"/>
  <c r="G17" i="5"/>
  <c r="E18" i="5"/>
  <c r="E13" i="5"/>
  <c r="R22" i="2" l="1"/>
  <c r="N22" i="2"/>
  <c r="K22" i="2" s="1"/>
  <c r="M22" i="2"/>
  <c r="L22" i="2"/>
  <c r="J22" i="2"/>
  <c r="I22" i="2"/>
  <c r="H22" i="2"/>
  <c r="G22" i="2"/>
  <c r="F22" i="2"/>
  <c r="E22" i="2"/>
  <c r="R21" i="2"/>
  <c r="N21" i="2"/>
  <c r="L21" i="2"/>
  <c r="J21" i="2"/>
  <c r="H21" i="2"/>
  <c r="F21" i="2"/>
  <c r="R20" i="2"/>
  <c r="N20" i="2"/>
  <c r="G20" i="2" s="1"/>
  <c r="L20" i="2"/>
  <c r="J20" i="2"/>
  <c r="I20" i="2"/>
  <c r="H20" i="2"/>
  <c r="F20" i="2"/>
  <c r="R19" i="2"/>
  <c r="N19" i="2"/>
  <c r="M19" i="2"/>
  <c r="L19" i="2"/>
  <c r="K19" i="2"/>
  <c r="J19" i="2"/>
  <c r="I19" i="2"/>
  <c r="H19" i="2"/>
  <c r="G19" i="2"/>
  <c r="F19" i="2"/>
  <c r="E19" i="2"/>
  <c r="R18" i="2"/>
  <c r="N18" i="2"/>
  <c r="M18" i="2" s="1"/>
  <c r="L18" i="2"/>
  <c r="J18" i="2"/>
  <c r="H18" i="2"/>
  <c r="G18" i="2"/>
  <c r="F18" i="2"/>
  <c r="R17" i="2"/>
  <c r="N17" i="2"/>
  <c r="M17" i="2"/>
  <c r="L17" i="2"/>
  <c r="K17" i="2"/>
  <c r="J17" i="2"/>
  <c r="I17" i="2"/>
  <c r="H17" i="2"/>
  <c r="G17" i="2"/>
  <c r="F17" i="2"/>
  <c r="E17" i="2"/>
  <c r="R16" i="2"/>
  <c r="N16" i="2"/>
  <c r="K16" i="2" s="1"/>
  <c r="M16" i="2"/>
  <c r="L16" i="2"/>
  <c r="J16" i="2"/>
  <c r="H16" i="2"/>
  <c r="F16" i="2"/>
  <c r="E16" i="2"/>
  <c r="R15" i="2"/>
  <c r="N15" i="2"/>
  <c r="M15" i="2"/>
  <c r="L15" i="2"/>
  <c r="K15" i="2"/>
  <c r="J15" i="2"/>
  <c r="I15" i="2"/>
  <c r="H15" i="2"/>
  <c r="G15" i="2"/>
  <c r="F15" i="2"/>
  <c r="E15" i="2"/>
  <c r="R14" i="2"/>
  <c r="N14" i="2"/>
  <c r="I14" i="2" s="1"/>
  <c r="L14" i="2"/>
  <c r="K14" i="2"/>
  <c r="J14" i="2"/>
  <c r="H14" i="2"/>
  <c r="F14" i="2"/>
  <c r="R13" i="2"/>
  <c r="N13" i="2"/>
  <c r="K13" i="2" s="1"/>
  <c r="M13" i="2"/>
  <c r="L13" i="2"/>
  <c r="J13" i="2"/>
  <c r="H13" i="2"/>
  <c r="F13" i="2"/>
  <c r="E13" i="2"/>
  <c r="R12" i="2"/>
  <c r="N12" i="2"/>
  <c r="G12" i="2" s="1"/>
  <c r="L12" i="2"/>
  <c r="J12" i="2"/>
  <c r="I12" i="2"/>
  <c r="H12" i="2"/>
  <c r="F12" i="2"/>
  <c r="N22" i="1"/>
  <c r="M22" i="1" s="1"/>
  <c r="N21" i="1"/>
  <c r="N20" i="1"/>
  <c r="I20" i="1" s="1"/>
  <c r="N19" i="1"/>
  <c r="K19" i="1" s="1"/>
  <c r="N18" i="1"/>
  <c r="N17" i="1"/>
  <c r="N16" i="1"/>
  <c r="N15" i="1"/>
  <c r="I15" i="1" s="1"/>
  <c r="N14" i="1"/>
  <c r="E14" i="1" s="1"/>
  <c r="N13" i="1"/>
  <c r="M13" i="1" s="1"/>
  <c r="N12" i="1"/>
  <c r="K12" i="1" s="1"/>
  <c r="L22" i="1"/>
  <c r="J22" i="1"/>
  <c r="H22" i="1"/>
  <c r="L20" i="1"/>
  <c r="J20" i="1"/>
  <c r="H20" i="1"/>
  <c r="L19" i="1"/>
  <c r="J19" i="1"/>
  <c r="H19" i="1"/>
  <c r="M18" i="1"/>
  <c r="L18" i="1"/>
  <c r="K18" i="1"/>
  <c r="J18" i="1"/>
  <c r="I18" i="1"/>
  <c r="H18" i="1"/>
  <c r="M17" i="1"/>
  <c r="L17" i="1"/>
  <c r="K17" i="1"/>
  <c r="J17" i="1"/>
  <c r="I17" i="1"/>
  <c r="H17" i="1"/>
  <c r="M16" i="1"/>
  <c r="L16" i="1"/>
  <c r="K16" i="1"/>
  <c r="J16" i="1"/>
  <c r="I16" i="1"/>
  <c r="H16" i="1"/>
  <c r="L15" i="1"/>
  <c r="K15" i="1"/>
  <c r="J15" i="1"/>
  <c r="H15" i="1"/>
  <c r="L14" i="1"/>
  <c r="J14" i="1"/>
  <c r="H14" i="1"/>
  <c r="L13" i="1"/>
  <c r="J13" i="1"/>
  <c r="H13" i="1"/>
  <c r="L12" i="1"/>
  <c r="H12" i="1"/>
  <c r="I12" i="1"/>
  <c r="J12" i="1"/>
  <c r="F22" i="1"/>
  <c r="F20" i="1"/>
  <c r="F19" i="1"/>
  <c r="F18" i="1"/>
  <c r="F17" i="1"/>
  <c r="F16" i="1"/>
  <c r="F15" i="1"/>
  <c r="F14" i="1"/>
  <c r="F13" i="1"/>
  <c r="F12" i="1"/>
  <c r="G18" i="1"/>
  <c r="G17" i="1"/>
  <c r="G16" i="1"/>
  <c r="G15" i="1"/>
  <c r="G12" i="1"/>
  <c r="E18" i="1"/>
  <c r="E17" i="1"/>
  <c r="E16" i="1"/>
  <c r="E12" i="1"/>
  <c r="K12" i="2" l="1"/>
  <c r="E14" i="2"/>
  <c r="M14" i="2"/>
  <c r="G16" i="2"/>
  <c r="I18" i="2"/>
  <c r="K20" i="2"/>
  <c r="G13" i="2"/>
  <c r="I13" i="2"/>
  <c r="E12" i="2"/>
  <c r="M12" i="2"/>
  <c r="G14" i="2"/>
  <c r="I16" i="2"/>
  <c r="K18" i="2"/>
  <c r="E20" i="2"/>
  <c r="M20" i="2"/>
  <c r="E18" i="2"/>
  <c r="E15" i="1"/>
  <c r="M15" i="1"/>
  <c r="G22" i="1"/>
  <c r="I22" i="1"/>
  <c r="K22" i="1"/>
  <c r="E22" i="1"/>
  <c r="M20" i="1"/>
  <c r="G20" i="1"/>
  <c r="K20" i="1"/>
  <c r="E20" i="1"/>
  <c r="E19" i="1"/>
  <c r="G19" i="1"/>
  <c r="I19" i="1"/>
  <c r="M19" i="1"/>
  <c r="I14" i="1"/>
  <c r="I13" i="1"/>
  <c r="K14" i="1"/>
  <c r="K13" i="1"/>
  <c r="M14" i="1"/>
  <c r="G13" i="1"/>
  <c r="G14" i="1"/>
  <c r="E13" i="1"/>
  <c r="M12" i="1"/>
  <c r="F21" i="1"/>
  <c r="L21" i="1" l="1"/>
  <c r="J21" i="1"/>
  <c r="H21" i="1"/>
  <c r="R22" i="1"/>
  <c r="R21" i="1"/>
  <c r="R20" i="1"/>
  <c r="R19" i="1"/>
  <c r="R18" i="1"/>
  <c r="R17" i="1"/>
  <c r="R16" i="1"/>
  <c r="R15" i="1"/>
  <c r="R14" i="1"/>
  <c r="R13" i="1"/>
  <c r="R12" i="1"/>
  <c r="Q30" i="4" l="1"/>
  <c r="R30" i="4" s="1"/>
  <c r="T30" i="4"/>
  <c r="V46" i="4"/>
  <c r="X46" i="4" s="1"/>
  <c r="V47" i="4"/>
  <c r="X47" i="4" s="1"/>
  <c r="V44" i="4"/>
  <c r="X44" i="4" s="1"/>
  <c r="F44" i="4" s="1"/>
  <c r="K44" i="4" s="1"/>
  <c r="Q31" i="4"/>
  <c r="R31" i="4" s="1"/>
  <c r="T31" i="4"/>
  <c r="Q32" i="4"/>
  <c r="R32" i="4" s="1"/>
  <c r="T32" i="4"/>
  <c r="Q33" i="4"/>
  <c r="R33" i="4" s="1"/>
  <c r="T33" i="4"/>
  <c r="Q34" i="4"/>
  <c r="R34" i="4" s="1"/>
  <c r="T34" i="4"/>
  <c r="Q35" i="4"/>
  <c r="R35" i="4" s="1"/>
  <c r="T35" i="4"/>
  <c r="Q36" i="4"/>
  <c r="R36" i="4" s="1"/>
  <c r="T36" i="4"/>
  <c r="Q38" i="4"/>
  <c r="R38" i="4" s="1"/>
  <c r="T38" i="4"/>
  <c r="Q37" i="4"/>
  <c r="R37" i="4" s="1"/>
  <c r="T37" i="4"/>
  <c r="Q39" i="4"/>
  <c r="R39" i="4" s="1"/>
  <c r="T39" i="4"/>
  <c r="V45" i="4"/>
  <c r="X45" i="4" s="1"/>
  <c r="F45" i="4" s="1"/>
  <c r="K45" i="4" s="1"/>
  <c r="G44" i="4" l="1"/>
  <c r="G45" i="4"/>
  <c r="V43" i="4"/>
  <c r="F43" i="4" l="1"/>
  <c r="K43" i="4" s="1"/>
  <c r="X43" i="4"/>
  <c r="G43" i="4"/>
  <c r="Q29" i="4"/>
  <c r="T29" i="4"/>
  <c r="Q40" i="4"/>
  <c r="G55" i="4" s="1"/>
  <c r="G41" i="4"/>
  <c r="R40" i="4" l="1"/>
  <c r="K25" i="4" s="1"/>
  <c r="J55" i="4"/>
  <c r="J30" i="4" l="1"/>
  <c r="J34" i="4"/>
  <c r="J38" i="4"/>
  <c r="I36" i="4"/>
  <c r="I33" i="4"/>
  <c r="I37" i="4"/>
  <c r="J33" i="4"/>
  <c r="J37" i="4"/>
  <c r="I32" i="4"/>
  <c r="I30" i="4"/>
  <c r="I34" i="4"/>
  <c r="I38" i="4"/>
  <c r="J32" i="4"/>
  <c r="J36" i="4"/>
  <c r="J35" i="4"/>
  <c r="J39" i="4"/>
  <c r="J29" i="4"/>
  <c r="I31" i="4"/>
  <c r="I35" i="4"/>
  <c r="I39" i="4"/>
  <c r="I29" i="4"/>
  <c r="J31" i="4"/>
  <c r="F29" i="4"/>
  <c r="G29" i="4"/>
  <c r="K29" i="4"/>
  <c r="L29" i="4"/>
  <c r="F30" i="4"/>
  <c r="G30" i="4"/>
  <c r="K30" i="4"/>
  <c r="L30" i="4"/>
  <c r="F31" i="4"/>
  <c r="G31" i="4"/>
  <c r="K31" i="4"/>
  <c r="L31" i="4"/>
  <c r="F32" i="4"/>
  <c r="G32" i="4"/>
  <c r="K32" i="4"/>
  <c r="L32" i="4"/>
  <c r="F33" i="4"/>
  <c r="G33" i="4"/>
  <c r="K33" i="4"/>
  <c r="L33" i="4"/>
  <c r="F34" i="4"/>
  <c r="G34" i="4"/>
  <c r="K34" i="4"/>
  <c r="L34" i="4"/>
  <c r="F35" i="4"/>
  <c r="G35" i="4"/>
  <c r="K35" i="4"/>
  <c r="L35" i="4"/>
  <c r="F36" i="4"/>
  <c r="G36" i="4"/>
  <c r="K36" i="4"/>
  <c r="L36" i="4"/>
  <c r="F37" i="4"/>
  <c r="G37" i="4"/>
  <c r="K37" i="4"/>
  <c r="L37" i="4"/>
  <c r="F38" i="4"/>
  <c r="G38" i="4"/>
  <c r="K38" i="4"/>
  <c r="L38" i="4"/>
  <c r="F39" i="4"/>
  <c r="G39" i="4"/>
  <c r="K39" i="4"/>
  <c r="L39" i="4"/>
  <c r="K41" i="4"/>
  <c r="K50" i="4"/>
  <c r="K51" i="4"/>
  <c r="K52" i="4"/>
</calcChain>
</file>

<file path=xl/sharedStrings.xml><?xml version="1.0" encoding="utf-8"?>
<sst xmlns="http://schemas.openxmlformats.org/spreadsheetml/2006/main" count="508" uniqueCount="126">
  <si>
    <t>Selon nombre de palettes commandées</t>
  </si>
  <si>
    <t>Packaging</t>
  </si>
  <si>
    <t>poids</t>
  </si>
  <si>
    <t>Type de BTCS</t>
  </si>
  <si>
    <t>TARIF</t>
  </si>
  <si>
    <t xml:space="preserve">Unités/m² </t>
  </si>
  <si>
    <t>Unités /palette</t>
  </si>
  <si>
    <t>M²/ palette</t>
  </si>
  <si>
    <t>Poids/unité</t>
  </si>
  <si>
    <t>poids par palettes</t>
  </si>
  <si>
    <t>unité</t>
  </si>
  <si>
    <t>m²</t>
  </si>
  <si>
    <t>CODE</t>
  </si>
  <si>
    <t>25CR9</t>
  </si>
  <si>
    <t>25PL9</t>
  </si>
  <si>
    <t>25LI9</t>
  </si>
  <si>
    <t>25U9</t>
  </si>
  <si>
    <t>30CR11</t>
  </si>
  <si>
    <t>30PL11</t>
  </si>
  <si>
    <t>30LI11</t>
  </si>
  <si>
    <t>30U11</t>
  </si>
  <si>
    <t>25PAR12</t>
  </si>
  <si>
    <t>25PACK12</t>
  </si>
  <si>
    <t>30PAR11</t>
  </si>
  <si>
    <t>HSB3,5</t>
  </si>
  <si>
    <t>HSB25</t>
  </si>
  <si>
    <t>sika25</t>
  </si>
  <si>
    <t>Tamis25</t>
  </si>
  <si>
    <t>AchatJointoy</t>
  </si>
  <si>
    <t>Trans SLM</t>
  </si>
  <si>
    <t>9 x 12,5 x 25</t>
  </si>
  <si>
    <t>9 x 13 x 25</t>
  </si>
  <si>
    <t>11 x 15 x 30</t>
  </si>
  <si>
    <t>12 x 15 x 30</t>
  </si>
  <si>
    <t>2,5 x 12,5 x 25</t>
  </si>
  <si>
    <t>3 x 11 x 30</t>
  </si>
  <si>
    <t>Cons Pal</t>
  </si>
  <si>
    <t>Cons Joint</t>
  </si>
  <si>
    <t>Hydrofuge spécial briques</t>
  </si>
  <si>
    <t>Sika colle joint mince</t>
  </si>
  <si>
    <t>Sac de terre tamisée</t>
  </si>
  <si>
    <t>Jointoyeuse spécial briques</t>
  </si>
  <si>
    <t>transport Saint Laurent du Maroni</t>
  </si>
  <si>
    <t>Transport Cayenne</t>
  </si>
  <si>
    <t>Location Jointoyeuse</t>
  </si>
  <si>
    <t>Consigne Palettes</t>
  </si>
  <si>
    <t>Consigne Jointoyeuses</t>
  </si>
  <si>
    <t>chèque de caution</t>
  </si>
  <si>
    <t>prix à la semaine</t>
  </si>
  <si>
    <t>pack 12</t>
  </si>
  <si>
    <t>Dimensions en cm</t>
  </si>
  <si>
    <t>TARIF PARTENAIRE (commande mensuelle)</t>
  </si>
  <si>
    <t>Taux remise                     de 5 à 10</t>
  </si>
  <si>
    <t>Taux remise                        de 11 à 20</t>
  </si>
  <si>
    <t>Taux remise                       de ≥ 20</t>
  </si>
  <si>
    <t>Taux remise                     de 1 à 4</t>
  </si>
  <si>
    <t>Géolocalisation de l'usine</t>
  </si>
  <si>
    <t>LocJointy</t>
  </si>
  <si>
    <t>TARIF CLIENT</t>
  </si>
  <si>
    <t>Désignation du produit</t>
  </si>
  <si>
    <t>Rèf.</t>
  </si>
  <si>
    <t>Quantité Briques</t>
  </si>
  <si>
    <t>Quantité M²</t>
  </si>
  <si>
    <t>Unité</t>
  </si>
  <si>
    <t>M²</t>
  </si>
  <si>
    <t>L</t>
  </si>
  <si>
    <t>P</t>
  </si>
  <si>
    <t>Montant</t>
  </si>
  <si>
    <t>Poids</t>
  </si>
  <si>
    <t xml:space="preserve">Norme harmonisée : EN 771-3:2011* Organisme notifié : ON1164 CERIB </t>
  </si>
  <si>
    <t xml:space="preserve">NOM </t>
  </si>
  <si>
    <t>TELEPHONE</t>
  </si>
  <si>
    <t>MAIL</t>
  </si>
  <si>
    <t>ADRESSE</t>
  </si>
  <si>
    <t>Objet : Fourniture de Briques</t>
  </si>
  <si>
    <t>Un chèque de caution est demandé pour les palettes consignées</t>
  </si>
  <si>
    <t>sous total</t>
  </si>
  <si>
    <t>hydrofuge</t>
  </si>
  <si>
    <t>colle</t>
  </si>
  <si>
    <t>terre</t>
  </si>
  <si>
    <t>Total</t>
  </si>
  <si>
    <t>restant dû (livraison)</t>
  </si>
  <si>
    <t>Acompte (commande)</t>
  </si>
  <si>
    <t>P.U. M² après remise</t>
  </si>
  <si>
    <t>P.U. M²</t>
  </si>
  <si>
    <t>pour</t>
  </si>
  <si>
    <t>P.U. Brique</t>
  </si>
  <si>
    <t>P.U. Brique après remise</t>
  </si>
  <si>
    <t>pose</t>
  </si>
  <si>
    <t>client</t>
  </si>
  <si>
    <t>partenaire</t>
  </si>
  <si>
    <t>métropole</t>
  </si>
  <si>
    <t>antille</t>
  </si>
  <si>
    <t>rejointoiement et hydrofuge</t>
  </si>
  <si>
    <t>% remise de 1 à 4</t>
  </si>
  <si>
    <t>% remise de 5 à 10</t>
  </si>
  <si>
    <t>% remise de 11 à 20</t>
  </si>
  <si>
    <t>% remise 21+</t>
  </si>
  <si>
    <t>quantité par M²</t>
  </si>
  <si>
    <t xml:space="preserve">U </t>
  </si>
  <si>
    <t>Trans DDC</t>
  </si>
  <si>
    <t xml:space="preserve">Encastrables perforées </t>
  </si>
  <si>
    <t xml:space="preserve">Encastrables pleines </t>
  </si>
  <si>
    <t xml:space="preserve">Encastrables lisses </t>
  </si>
  <si>
    <t xml:space="preserve">Encastrables U </t>
  </si>
  <si>
    <t xml:space="preserve">Plaquette de Parement </t>
  </si>
  <si>
    <t>Plaquette de Parement PACK 12</t>
  </si>
  <si>
    <t>Encastrables pleines</t>
  </si>
  <si>
    <t>Encastrables U</t>
  </si>
  <si>
    <t>Plaquette de Parement</t>
  </si>
  <si>
    <t>Encastrables perforées</t>
  </si>
  <si>
    <t>nombres de palettes</t>
  </si>
  <si>
    <t>Poids unité</t>
  </si>
  <si>
    <t>m²/palette</t>
  </si>
  <si>
    <t>Nb Palettes</t>
  </si>
  <si>
    <t>Taux de remise</t>
  </si>
  <si>
    <t>remise sur briques</t>
  </si>
  <si>
    <t>PRIX par M²</t>
  </si>
  <si>
    <t>palettes</t>
  </si>
  <si>
    <t>M² total</t>
  </si>
  <si>
    <t>besoin</t>
  </si>
  <si>
    <t>transport CAYENNE</t>
  </si>
  <si>
    <t xml:space="preserve">DEVIS N° </t>
  </si>
  <si>
    <t>nbrs unité</t>
  </si>
  <si>
    <t>=SI(type="partenaire"(Q29&gt;=20;$P$25;SI(Q29&gt;=11;$P$24;SI(Q29&gt;=6;$P$23;SI(Q29&gt;=1;$P$22;0)))));SI(type="client"(Q29&gt;=20;$q$25;SI(Q29&gt;=11;$q$24;SI(Q29&gt;=6;$q$23;SI(Q29&gt;=1;$q$22;0)))));SI(type="métropole"(Q29&gt;=20;$r$25;SI(Q29&gt;=11;$r$24;SI(Q29&gt;=6;$r$23;SI(Q29&gt;=1;$r$22;0)))));SI(type="antille"(Q29&gt;=20;$s$25;SI(Q29&gt;=11;$s$24;SI(Q29&gt;=6;$s$23;SI(Q29&gt;=1;$s$22;0)))))</t>
  </si>
  <si>
    <t>nbrs de palettes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</si>
</sst>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,##0.00\ &quot;€&quot;"/>
    <numFmt numFmtId="165" formatCode="General&quot; /m2&quot;"/>
    <numFmt numFmtId="166" formatCode="General&quot; kg&quot;"/>
    <numFmt numFmtId="167" formatCode="General&quot; €/m2&quot;"/>
    <numFmt numFmtId="168" formatCode="General&quot; u&quot;"/>
    <numFmt numFmtId="169" formatCode="#,##0\ &quot;€&quot;"/>
    <numFmt numFmtId="170" formatCode="General&quot; l&quot;"/>
    <numFmt numFmtId="171" formatCode="General&quot; m2&quot;"/>
  </numFmts>
  <fonts count="3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u/>
      <sz val="12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sz val="9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i/>
      <sz val="14"/>
      <name val="Arial"/>
      <family val="2"/>
    </font>
    <font>
      <sz val="12"/>
      <color indexed="60"/>
      <name val="Arial"/>
      <family val="2"/>
    </font>
    <font>
      <b/>
      <sz val="12"/>
      <color indexed="60"/>
      <name val="Arial"/>
      <family val="2"/>
    </font>
    <font>
      <u/>
      <sz val="12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u/>
      <sz val="18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name val="Arial"/>
      <family val="2"/>
    </font>
    <font>
      <sz val="16"/>
      <color indexed="60"/>
      <name val="Arial"/>
      <family val="2"/>
    </font>
    <font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i/>
      <u/>
      <sz val="16"/>
      <name val="Calibri"/>
      <family val="2"/>
      <scheme val="minor"/>
    </font>
    <font>
      <i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83">
    <xf numFmtId="0" fontId="0" fillId="0" borderId="0" xfId="0"/>
    <xf numFmtId="0" fontId="1" fillId="2" borderId="0" xfId="1" applyFont="1" applyFill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/>
    </xf>
    <xf numFmtId="0" fontId="1" fillId="2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2" borderId="0" xfId="1" applyFont="1" applyFill="1" applyAlignment="1">
      <alignment vertical="center" wrapText="1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 wrapText="1"/>
    </xf>
    <xf numFmtId="167" fontId="0" fillId="2" borderId="1" xfId="0" applyNumberFormat="1" applyFill="1" applyBorder="1" applyAlignment="1">
      <alignment horizontal="center" vertical="center" wrapText="1"/>
    </xf>
    <xf numFmtId="16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166" fontId="7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center" vertical="center"/>
    </xf>
    <xf numFmtId="169" fontId="8" fillId="2" borderId="1" xfId="0" applyNumberFormat="1" applyFont="1" applyFill="1" applyBorder="1" applyAlignment="1">
      <alignment horizontal="center" vertical="center"/>
    </xf>
    <xf numFmtId="169" fontId="8" fillId="2" borderId="3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169" fontId="8" fillId="2" borderId="0" xfId="0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68" fontId="5" fillId="2" borderId="1" xfId="0" applyNumberFormat="1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168" fontId="13" fillId="2" borderId="1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0" fillId="2" borderId="0" xfId="0" applyFill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5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left" vertical="center"/>
    </xf>
    <xf numFmtId="0" fontId="15" fillId="2" borderId="0" xfId="0" applyFont="1" applyFill="1" applyAlignment="1">
      <alignment vertical="center"/>
    </xf>
    <xf numFmtId="9" fontId="15" fillId="0" borderId="0" xfId="0" applyNumberFormat="1" applyFont="1" applyAlignment="1">
      <alignment horizontal="center" vertical="center"/>
    </xf>
    <xf numFmtId="0" fontId="15" fillId="3" borderId="0" xfId="0" applyFont="1" applyFill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7" fillId="2" borderId="4" xfId="0" applyFont="1" applyFill="1" applyBorder="1"/>
    <xf numFmtId="0" fontId="15" fillId="2" borderId="5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/>
    </xf>
    <xf numFmtId="4" fontId="18" fillId="2" borderId="0" xfId="0" applyNumberFormat="1" applyFont="1" applyFill="1" applyAlignment="1">
      <alignment horizontal="center"/>
    </xf>
    <xf numFmtId="4" fontId="19" fillId="2" borderId="0" xfId="0" applyNumberFormat="1" applyFont="1" applyFill="1"/>
    <xf numFmtId="0" fontId="16" fillId="2" borderId="0" xfId="0" applyFont="1" applyFill="1"/>
    <xf numFmtId="0" fontId="15" fillId="2" borderId="0" xfId="0" applyFont="1" applyFill="1"/>
    <xf numFmtId="0" fontId="15" fillId="2" borderId="0" xfId="0" applyFont="1" applyFill="1" applyAlignment="1">
      <alignment horizontal="center"/>
    </xf>
    <xf numFmtId="4" fontId="15" fillId="2" borderId="0" xfId="0" applyNumberFormat="1" applyFont="1" applyFill="1" applyAlignment="1">
      <alignment horizontal="center"/>
    </xf>
    <xf numFmtId="4" fontId="15" fillId="2" borderId="0" xfId="0" applyNumberFormat="1" applyFont="1" applyFill="1"/>
    <xf numFmtId="0" fontId="20" fillId="2" borderId="0" xfId="0" applyFont="1" applyFill="1"/>
    <xf numFmtId="0" fontId="2" fillId="2" borderId="0" xfId="0" applyFont="1" applyFill="1" applyAlignment="1">
      <alignment horizontal="center" vertical="center"/>
    </xf>
    <xf numFmtId="4" fontId="21" fillId="2" borderId="0" xfId="0" applyNumberFormat="1" applyFont="1" applyFill="1" applyAlignment="1">
      <alignment horizontal="right"/>
    </xf>
    <xf numFmtId="4" fontId="22" fillId="2" borderId="0" xfId="0" applyNumberFormat="1" applyFont="1" applyFill="1" applyAlignment="1">
      <alignment horizontal="right"/>
    </xf>
    <xf numFmtId="4" fontId="23" fillId="2" borderId="0" xfId="3" applyNumberFormat="1" applyFont="1" applyFill="1" applyAlignment="1" applyProtection="1">
      <alignment horizontal="right"/>
    </xf>
    <xf numFmtId="0" fontId="15" fillId="0" borderId="1" xfId="0" applyFont="1" applyBorder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9" fontId="1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2" fillId="6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7" fontId="0" fillId="2" borderId="1" xfId="0" applyNumberFormat="1" applyFill="1" applyBorder="1" applyAlignment="1">
      <alignment horizontal="center" vertical="center"/>
    </xf>
    <xf numFmtId="168" fontId="4" fillId="2" borderId="1" xfId="0" applyNumberFormat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166" fontId="4" fillId="2" borderId="1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/>
    </xf>
    <xf numFmtId="0" fontId="26" fillId="2" borderId="4" xfId="0" applyFont="1" applyFill="1" applyBorder="1" applyAlignment="1">
      <alignment horizontal="center" vertical="center"/>
    </xf>
    <xf numFmtId="0" fontId="26" fillId="2" borderId="5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170" fontId="8" fillId="2" borderId="1" xfId="0" applyNumberFormat="1" applyFont="1" applyFill="1" applyBorder="1" applyAlignment="1">
      <alignment horizontal="center" vertical="center"/>
    </xf>
    <xf numFmtId="166" fontId="8" fillId="2" borderId="1" xfId="0" applyNumberFormat="1" applyFont="1" applyFill="1" applyBorder="1" applyAlignment="1">
      <alignment horizontal="center" vertical="center"/>
    </xf>
    <xf numFmtId="170" fontId="0" fillId="2" borderId="1" xfId="0" applyNumberFormat="1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center" vertical="center"/>
    </xf>
    <xf numFmtId="9" fontId="34" fillId="2" borderId="1" xfId="0" applyNumberFormat="1" applyFont="1" applyFill="1" applyBorder="1" applyAlignment="1">
      <alignment horizontal="center" vertical="center"/>
    </xf>
    <xf numFmtId="168" fontId="15" fillId="2" borderId="1" xfId="0" applyNumberFormat="1" applyFont="1" applyFill="1" applyBorder="1" applyAlignment="1">
      <alignment horizontal="center" vertical="center"/>
    </xf>
    <xf numFmtId="164" fontId="29" fillId="2" borderId="8" xfId="0" applyNumberFormat="1" applyFont="1" applyFill="1" applyBorder="1" applyAlignment="1">
      <alignment horizontal="center" vertical="center"/>
    </xf>
    <xf numFmtId="164" fontId="34" fillId="2" borderId="8" xfId="0" applyNumberFormat="1" applyFont="1" applyFill="1" applyBorder="1" applyAlignment="1">
      <alignment horizontal="center" vertical="center"/>
    </xf>
    <xf numFmtId="0" fontId="29" fillId="2" borderId="8" xfId="0" applyFont="1" applyFill="1" applyBorder="1" applyAlignment="1">
      <alignment horizontal="center" vertical="center"/>
    </xf>
    <xf numFmtId="164" fontId="34" fillId="2" borderId="9" xfId="0" applyNumberFormat="1" applyFont="1" applyFill="1" applyBorder="1" applyAlignment="1">
      <alignment horizontal="center" vertical="center"/>
    </xf>
    <xf numFmtId="166" fontId="0" fillId="2" borderId="3" xfId="0" applyNumberFormat="1" applyFill="1" applyBorder="1" applyAlignment="1">
      <alignment horizontal="center" vertical="center"/>
    </xf>
    <xf numFmtId="166" fontId="0" fillId="2" borderId="4" xfId="0" applyNumberFormat="1" applyFill="1" applyBorder="1" applyAlignment="1">
      <alignment horizontal="center" vertical="center"/>
    </xf>
    <xf numFmtId="166" fontId="0" fillId="2" borderId="5" xfId="0" applyNumberForma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37" fillId="2" borderId="3" xfId="0" applyFont="1" applyFill="1" applyBorder="1" applyAlignment="1">
      <alignment horizontal="center" vertical="center" wrapText="1"/>
    </xf>
    <xf numFmtId="0" fontId="37" fillId="2" borderId="4" xfId="0" applyFont="1" applyFill="1" applyBorder="1" applyAlignment="1">
      <alignment horizontal="center" vertical="center" wrapText="1"/>
    </xf>
    <xf numFmtId="164" fontId="29" fillId="2" borderId="3" xfId="0" applyNumberFormat="1" applyFont="1" applyFill="1" applyBorder="1" applyAlignment="1">
      <alignment horizontal="center" vertical="center"/>
    </xf>
    <xf numFmtId="169" fontId="29" fillId="2" borderId="3" xfId="0" applyNumberFormat="1" applyFont="1" applyFill="1" applyBorder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164" fontId="29" fillId="2" borderId="4" xfId="0" applyNumberFormat="1" applyFont="1" applyFill="1" applyBorder="1" applyAlignment="1">
      <alignment horizontal="center" vertical="center"/>
    </xf>
    <xf numFmtId="169" fontId="29" fillId="2" borderId="4" xfId="0" applyNumberFormat="1" applyFont="1" applyFill="1" applyBorder="1" applyAlignment="1">
      <alignment horizontal="center" vertical="center"/>
    </xf>
    <xf numFmtId="168" fontId="15" fillId="0" borderId="0" xfId="0" applyNumberFormat="1" applyFont="1" applyAlignment="1">
      <alignment horizontal="center" vertical="center"/>
    </xf>
    <xf numFmtId="0" fontId="29" fillId="6" borderId="3" xfId="0" applyFont="1" applyFill="1" applyBorder="1" applyAlignment="1">
      <alignment horizontal="center" vertical="center"/>
    </xf>
    <xf numFmtId="0" fontId="29" fillId="6" borderId="4" xfId="0" applyFont="1" applyFill="1" applyBorder="1" applyAlignment="1">
      <alignment horizontal="center" vertical="center"/>
    </xf>
    <xf numFmtId="0" fontId="25" fillId="6" borderId="0" xfId="0" applyFont="1" applyFill="1" applyAlignment="1">
      <alignment horizontal="left" vertical="center"/>
    </xf>
    <xf numFmtId="164" fontId="0" fillId="0" borderId="1" xfId="0" applyNumberFormat="1" applyBorder="1" applyAlignment="1">
      <alignment horizontal="center" vertical="center"/>
    </xf>
    <xf numFmtId="0" fontId="29" fillId="2" borderId="2" xfId="0" applyFont="1" applyFill="1" applyBorder="1" applyAlignment="1">
      <alignment horizontal="center" vertical="center"/>
    </xf>
    <xf numFmtId="164" fontId="15" fillId="2" borderId="4" xfId="0" applyNumberFormat="1" applyFont="1" applyFill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0" fontId="15" fillId="0" borderId="1" xfId="0" applyNumberFormat="1" applyFont="1" applyBorder="1" applyAlignment="1">
      <alignment horizontal="center" vertical="center"/>
    </xf>
    <xf numFmtId="168" fontId="15" fillId="0" borderId="1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169" fontId="15" fillId="0" borderId="1" xfId="0" applyNumberFormat="1" applyFont="1" applyBorder="1" applyAlignment="1">
      <alignment horizontal="center" vertical="center"/>
    </xf>
    <xf numFmtId="0" fontId="34" fillId="2" borderId="8" xfId="0" applyFont="1" applyFill="1" applyBorder="1" applyAlignment="1">
      <alignment horizontal="center" vertical="center"/>
    </xf>
    <xf numFmtId="164" fontId="29" fillId="2" borderId="0" xfId="0" applyNumberFormat="1" applyFont="1" applyFill="1" applyAlignment="1">
      <alignment horizontal="center" vertical="center"/>
    </xf>
    <xf numFmtId="164" fontId="29" fillId="2" borderId="12" xfId="0" applyNumberFormat="1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7" fillId="2" borderId="8" xfId="0" applyFont="1" applyFill="1" applyBorder="1"/>
    <xf numFmtId="0" fontId="15" fillId="2" borderId="9" xfId="0" applyFont="1" applyFill="1" applyBorder="1" applyAlignment="1">
      <alignment horizontal="center" vertical="center"/>
    </xf>
    <xf numFmtId="171" fontId="15" fillId="2" borderId="4" xfId="0" applyNumberFormat="1" applyFont="1" applyFill="1" applyBorder="1" applyAlignment="1">
      <alignment horizontal="center" vertical="center"/>
    </xf>
    <xf numFmtId="0" fontId="29" fillId="2" borderId="13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17" fillId="2" borderId="0" xfId="0" applyFont="1" applyFill="1"/>
    <xf numFmtId="9" fontId="15" fillId="0" borderId="1" xfId="0" quotePrefix="1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38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31" fillId="2" borderId="0" xfId="0" applyFont="1" applyFill="1" applyAlignment="1">
      <alignment horizontal="center"/>
    </xf>
    <xf numFmtId="0" fontId="29" fillId="2" borderId="0" xfId="0" applyFont="1" applyFill="1" applyAlignment="1">
      <alignment horizontal="center" vertical="center"/>
    </xf>
    <xf numFmtId="0" fontId="25" fillId="2" borderId="0" xfId="0" applyFont="1" applyFill="1" applyAlignment="1">
      <alignment horizontal="left" vertical="center"/>
    </xf>
    <xf numFmtId="0" fontId="25" fillId="6" borderId="0" xfId="0" applyFont="1" applyFill="1" applyAlignment="1">
      <alignment horizontal="left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30" fillId="2" borderId="0" xfId="0" applyFont="1" applyFill="1" applyAlignment="1">
      <alignment horizontal="center"/>
    </xf>
    <xf numFmtId="0" fontId="17" fillId="2" borderId="0" xfId="0" applyFont="1" applyFill="1" applyAlignment="1">
      <alignment horizontal="left"/>
    </xf>
    <xf numFmtId="0" fontId="28" fillId="2" borderId="0" xfId="0" applyFont="1" applyFill="1" applyAlignment="1">
      <alignment horizontal="left"/>
    </xf>
    <xf numFmtId="0" fontId="35" fillId="2" borderId="0" xfId="0" applyFont="1" applyFill="1" applyAlignment="1">
      <alignment horizontal="right"/>
    </xf>
    <xf numFmtId="0" fontId="36" fillId="2" borderId="0" xfId="0" applyFont="1" applyFill="1" applyAlignment="1">
      <alignment horizontal="center"/>
    </xf>
    <xf numFmtId="0" fontId="27" fillId="2" borderId="7" xfId="0" applyFont="1" applyFill="1" applyBorder="1" applyAlignment="1">
      <alignment horizontal="center" vertical="center"/>
    </xf>
    <xf numFmtId="0" fontId="27" fillId="2" borderId="10" xfId="0" applyFont="1" applyFill="1" applyBorder="1" applyAlignment="1">
      <alignment horizontal="center" vertical="center"/>
    </xf>
    <xf numFmtId="169" fontId="28" fillId="2" borderId="7" xfId="0" applyNumberFormat="1" applyFont="1" applyFill="1" applyBorder="1" applyAlignment="1">
      <alignment horizontal="center" vertical="center"/>
    </xf>
    <xf numFmtId="169" fontId="28" fillId="2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14" fillId="2" borderId="0" xfId="3" applyFill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1" fillId="2" borderId="1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9" fontId="1" fillId="2" borderId="1" xfId="2" applyFont="1" applyFill="1" applyBorder="1" applyAlignment="1">
      <alignment horizontal="center" vertical="center"/>
    </xf>
    <xf numFmtId="16" fontId="1" fillId="2" borderId="1" xfId="1" applyNumberFormat="1" applyFont="1" applyFill="1" applyBorder="1" applyAlignment="1">
      <alignment horizontal="center" vertical="center" wrapText="1"/>
    </xf>
    <xf numFmtId="2" fontId="3" fillId="2" borderId="1" xfId="1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</cellXfs>
  <cellStyles count="4">
    <cellStyle name="Lien hypertexte" xfId="3" builtinId="8"/>
    <cellStyle name="Normal" xfId="0" builtinId="0"/>
    <cellStyle name="Normal 2" xfId="1" xr:uid="{784D7559-C2E9-4A33-9F55-357FCF6EA207}"/>
    <cellStyle name="Pourcentage 2" xfId="2" xr:uid="{F839C749-DB7C-4B7C-B55E-6C73F4913E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W$43" lockText="1" noThreeD="1"/>
</file>

<file path=xl/ctrlProps/ctrlProp2.xml><?xml version="1.0" encoding="utf-8"?>
<formControlPr xmlns="http://schemas.microsoft.com/office/spreadsheetml/2009/9/main" objectType="CheckBox" fmlaLink="$W$44" lockText="1" noThreeD="1"/>
</file>

<file path=xl/ctrlProps/ctrlProp3.xml><?xml version="1.0" encoding="utf-8"?>
<formControlPr xmlns="http://schemas.microsoft.com/office/spreadsheetml/2009/9/main" objectType="CheckBox" fmlaLink="$W$45" lockText="1" noThreeD="1"/>
</file>

<file path=xl/ctrlProps/ctrlProp4.xml><?xml version="1.0" encoding="utf-8"?>
<formControlPr xmlns="http://schemas.microsoft.com/office/spreadsheetml/2009/9/main" objectType="CheckBox" fmlaLink="$W$46" lockText="1" noThreeD="1"/>
</file>

<file path=xl/ctrlProps/ctrlProp5.xml><?xml version="1.0" encoding="utf-8"?>
<formControlPr xmlns="http://schemas.microsoft.com/office/spreadsheetml/2009/9/main" objectType="CheckBox" fmlaLink="$W$47" lockText="1" noThreeD="1"/>
</file>

<file path=xl/ctrlProps/ctrlProp6.xml><?xml version="1.0" encoding="utf-8"?>
<formControlPr xmlns="http://schemas.microsoft.com/office/spreadsheetml/2009/9/main" objectType="CheckBox" fmlaLink="$W$48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42</xdr:row>
          <xdr:rowOff>83820</xdr:rowOff>
        </xdr:from>
        <xdr:to>
          <xdr:col>15</xdr:col>
          <xdr:colOff>464820</xdr:colOff>
          <xdr:row>42</xdr:row>
          <xdr:rowOff>304800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0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43</xdr:row>
          <xdr:rowOff>83820</xdr:rowOff>
        </xdr:from>
        <xdr:to>
          <xdr:col>15</xdr:col>
          <xdr:colOff>464820</xdr:colOff>
          <xdr:row>43</xdr:row>
          <xdr:rowOff>304800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0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44</xdr:row>
          <xdr:rowOff>83820</xdr:rowOff>
        </xdr:from>
        <xdr:to>
          <xdr:col>15</xdr:col>
          <xdr:colOff>464820</xdr:colOff>
          <xdr:row>44</xdr:row>
          <xdr:rowOff>304800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0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45</xdr:row>
          <xdr:rowOff>83820</xdr:rowOff>
        </xdr:from>
        <xdr:to>
          <xdr:col>15</xdr:col>
          <xdr:colOff>464820</xdr:colOff>
          <xdr:row>45</xdr:row>
          <xdr:rowOff>304800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0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46</xdr:row>
          <xdr:rowOff>83820</xdr:rowOff>
        </xdr:from>
        <xdr:to>
          <xdr:col>15</xdr:col>
          <xdr:colOff>464820</xdr:colOff>
          <xdr:row>46</xdr:row>
          <xdr:rowOff>304800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0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47</xdr:row>
          <xdr:rowOff>83820</xdr:rowOff>
        </xdr:from>
        <xdr:to>
          <xdr:col>15</xdr:col>
          <xdr:colOff>464820</xdr:colOff>
          <xdr:row>47</xdr:row>
          <xdr:rowOff>304800</xdr:rowOff>
        </xdr:to>
        <xdr:sp macro="" textlink="">
          <xdr:nvSpPr>
            <xdr:cNvPr id="4117" name="Check Box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0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B00EF-5CE0-465D-8D96-5C072099AFB3}">
  <sheetPr>
    <pageSetUpPr fitToPage="1"/>
  </sheetPr>
  <dimension ref="A2:X67"/>
  <sheetViews>
    <sheetView tabSelected="1" topLeftCell="A44" zoomScale="70" zoomScaleNormal="70" workbookViewId="0">
      <selection activeCell="I17" sqref="I17"/>
    </sheetView>
  </sheetViews>
  <sheetFormatPr baseColWidth="10" defaultRowHeight="18" x14ac:dyDescent="0.3"/>
  <cols>
    <col min="1" max="1" width="2.77734375" style="46" customWidth="1"/>
    <col min="2" max="2" width="50.77734375" style="46" customWidth="1"/>
    <col min="3" max="3" width="12.77734375" style="46" customWidth="1"/>
    <col min="4" max="5" width="9.77734375" style="46" customWidth="1"/>
    <col min="6" max="7" width="12.77734375" style="46" customWidth="1"/>
    <col min="8" max="8" width="8.77734375" style="46" customWidth="1"/>
    <col min="9" max="10" width="11.5546875" style="46"/>
    <col min="11" max="11" width="16.77734375" style="46" customWidth="1"/>
    <col min="12" max="12" width="11.5546875" style="46"/>
    <col min="13" max="13" width="3" style="46" customWidth="1"/>
    <col min="14" max="20" width="11.5546875" style="46"/>
    <col min="21" max="21" width="12.109375" style="46" bestFit="1" customWidth="1"/>
    <col min="22" max="23" width="11.5546875" style="46"/>
    <col min="24" max="24" width="12.109375" style="46" bestFit="1" customWidth="1"/>
    <col min="25" max="16384" width="11.5546875" style="46"/>
  </cols>
  <sheetData>
    <row r="2" spans="1:12" ht="13.95" customHeight="1" x14ac:dyDescent="0.3">
      <c r="A2" s="44"/>
      <c r="B2" s="45"/>
      <c r="C2" s="45"/>
      <c r="D2" s="45"/>
      <c r="E2" s="44"/>
      <c r="F2" s="44"/>
      <c r="G2" s="44"/>
      <c r="H2" s="44"/>
      <c r="I2" s="44"/>
      <c r="J2" s="44"/>
      <c r="K2" s="44"/>
      <c r="L2" s="44"/>
    </row>
    <row r="3" spans="1:12" ht="13.95" customHeight="1" x14ac:dyDescent="0.25">
      <c r="A3" s="44"/>
      <c r="B3" s="146"/>
      <c r="C3" s="146"/>
      <c r="D3" s="146"/>
      <c r="E3" s="47"/>
      <c r="F3" s="47"/>
      <c r="G3" s="47"/>
      <c r="H3" s="47"/>
      <c r="I3" s="47"/>
      <c r="J3" s="68"/>
      <c r="K3" s="68"/>
      <c r="L3" s="69"/>
    </row>
    <row r="4" spans="1:12" ht="13.95" customHeight="1" x14ac:dyDescent="0.25">
      <c r="A4" s="44"/>
      <c r="B4" s="146"/>
      <c r="C4" s="146"/>
      <c r="D4" s="146"/>
      <c r="E4" s="47"/>
      <c r="F4" s="47"/>
      <c r="G4" s="47"/>
      <c r="H4" s="47"/>
      <c r="I4" s="47"/>
      <c r="J4" s="68"/>
      <c r="K4" s="68"/>
      <c r="L4" s="69"/>
    </row>
    <row r="5" spans="1:12" ht="13.95" customHeight="1" x14ac:dyDescent="0.3">
      <c r="A5" s="44"/>
      <c r="B5" s="146"/>
      <c r="C5" s="146"/>
      <c r="D5" s="146"/>
      <c r="E5" s="47"/>
      <c r="F5" s="47"/>
      <c r="G5" s="47"/>
      <c r="H5" s="47"/>
      <c r="I5" s="47"/>
      <c r="J5" s="68"/>
      <c r="K5" s="68"/>
      <c r="L5" s="70"/>
    </row>
    <row r="6" spans="1:12" ht="13.95" customHeight="1" x14ac:dyDescent="0.25">
      <c r="A6" s="44"/>
      <c r="B6" s="146"/>
      <c r="C6" s="146"/>
      <c r="D6" s="146"/>
      <c r="E6" s="47"/>
      <c r="F6" s="47"/>
      <c r="G6" s="47"/>
      <c r="H6" s="47"/>
      <c r="I6" s="47"/>
      <c r="J6" s="68"/>
      <c r="K6" s="68"/>
      <c r="L6" s="69"/>
    </row>
    <row r="7" spans="1:12" ht="13.95" customHeight="1" x14ac:dyDescent="0.3">
      <c r="A7" s="44"/>
      <c r="B7" s="146"/>
      <c r="C7" s="146"/>
      <c r="D7" s="146"/>
      <c r="E7" s="47"/>
      <c r="F7" s="47"/>
      <c r="G7" s="47"/>
      <c r="H7" s="47"/>
      <c r="I7" s="47"/>
      <c r="J7" s="68"/>
      <c r="K7" s="68"/>
      <c r="L7" s="71"/>
    </row>
    <row r="8" spans="1:12" ht="12" customHeight="1" x14ac:dyDescent="0.3">
      <c r="A8" s="44"/>
      <c r="B8" s="146"/>
      <c r="C8" s="146"/>
      <c r="D8" s="146"/>
      <c r="E8" s="47"/>
      <c r="F8" s="47"/>
      <c r="G8" s="47"/>
      <c r="H8" s="47"/>
      <c r="I8" s="47"/>
      <c r="J8" s="68"/>
      <c r="K8" s="68"/>
      <c r="L8" s="71"/>
    </row>
    <row r="9" spans="1:12" ht="12" customHeight="1" x14ac:dyDescent="0.3">
      <c r="A9" s="44"/>
      <c r="B9" s="146"/>
      <c r="C9" s="146"/>
      <c r="D9" s="146"/>
      <c r="E9" s="47"/>
      <c r="F9" s="47"/>
      <c r="G9" s="47"/>
      <c r="H9" s="47"/>
      <c r="I9" s="47"/>
      <c r="J9" s="68"/>
      <c r="K9" s="68"/>
      <c r="L9" s="68"/>
    </row>
    <row r="10" spans="1:12" ht="12" customHeight="1" x14ac:dyDescent="0.3">
      <c r="A10" s="44"/>
      <c r="B10" s="146"/>
      <c r="C10" s="146"/>
      <c r="D10" s="146"/>
      <c r="E10" s="47"/>
      <c r="F10" s="47"/>
      <c r="G10" s="47"/>
      <c r="H10" s="47"/>
      <c r="I10" s="47"/>
      <c r="J10" s="68"/>
      <c r="K10" s="68"/>
      <c r="L10" s="68"/>
    </row>
    <row r="11" spans="1:12" ht="12" customHeight="1" x14ac:dyDescent="0.3">
      <c r="A11" s="44"/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</row>
    <row r="12" spans="1:12" ht="25.95" customHeight="1" x14ac:dyDescent="0.3">
      <c r="A12" s="44"/>
      <c r="B12" s="47"/>
      <c r="C12" s="47"/>
      <c r="D12" s="149"/>
      <c r="E12" s="149"/>
      <c r="F12" s="149"/>
      <c r="G12" s="149"/>
      <c r="H12" s="49"/>
      <c r="I12" s="49"/>
      <c r="J12" s="47"/>
      <c r="K12" s="47"/>
      <c r="L12" s="47"/>
    </row>
    <row r="13" spans="1:12" ht="25.95" customHeight="1" x14ac:dyDescent="0.3">
      <c r="A13" s="44"/>
      <c r="B13" s="47"/>
      <c r="C13" s="47"/>
      <c r="D13" s="150" t="s">
        <v>70</v>
      </c>
      <c r="E13" s="150"/>
      <c r="F13" s="150"/>
      <c r="G13" s="150"/>
      <c r="H13" s="49"/>
      <c r="I13" s="49"/>
      <c r="J13" s="47"/>
      <c r="K13" s="47"/>
      <c r="L13" s="47"/>
    </row>
    <row r="14" spans="1:12" ht="25.95" customHeight="1" x14ac:dyDescent="0.3">
      <c r="A14" s="44"/>
      <c r="B14" s="47"/>
      <c r="C14" s="47"/>
      <c r="D14" s="122" t="s">
        <v>71</v>
      </c>
      <c r="E14" s="122"/>
      <c r="F14" s="122"/>
      <c r="G14" s="122"/>
      <c r="H14" s="49"/>
      <c r="I14" s="49"/>
      <c r="J14" s="47"/>
      <c r="K14" s="47"/>
      <c r="L14" s="47"/>
    </row>
    <row r="15" spans="1:12" ht="25.95" customHeight="1" x14ac:dyDescent="0.3">
      <c r="A15" s="44"/>
      <c r="B15" s="47"/>
      <c r="C15" s="47"/>
      <c r="D15" s="122" t="s">
        <v>72</v>
      </c>
      <c r="E15" s="122"/>
      <c r="F15" s="122"/>
      <c r="G15" s="122"/>
      <c r="H15" s="49"/>
      <c r="I15" s="49"/>
      <c r="J15" s="47"/>
      <c r="K15" s="47"/>
      <c r="L15" s="47"/>
    </row>
    <row r="16" spans="1:12" ht="25.95" customHeight="1" x14ac:dyDescent="0.3">
      <c r="A16" s="44"/>
      <c r="B16" s="47"/>
      <c r="C16" s="47"/>
      <c r="D16" s="122" t="s">
        <v>73</v>
      </c>
      <c r="E16" s="122"/>
      <c r="F16" s="122"/>
      <c r="G16" s="122"/>
      <c r="H16" s="49"/>
      <c r="I16" s="49"/>
      <c r="J16" s="47"/>
      <c r="K16" s="47"/>
      <c r="L16" s="47"/>
    </row>
    <row r="17" spans="1:20" ht="25.95" customHeight="1" x14ac:dyDescent="0.3">
      <c r="A17" s="44"/>
      <c r="B17" s="47"/>
      <c r="C17" s="47"/>
      <c r="D17" s="122" t="s">
        <v>73</v>
      </c>
      <c r="E17" s="122"/>
      <c r="F17" s="122"/>
      <c r="G17" s="122"/>
      <c r="H17" s="47"/>
      <c r="I17" s="47"/>
      <c r="J17" s="47"/>
      <c r="K17" s="47"/>
      <c r="L17" s="47"/>
    </row>
    <row r="18" spans="1:20" ht="25.95" customHeight="1" x14ac:dyDescent="0.3">
      <c r="A18" s="44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O18" s="77" t="s">
        <v>90</v>
      </c>
    </row>
    <row r="19" spans="1:20" ht="25.95" customHeight="1" x14ac:dyDescent="0.3">
      <c r="A19" s="44"/>
      <c r="B19" s="47"/>
      <c r="C19" s="145" t="s">
        <v>122</v>
      </c>
      <c r="D19" s="146"/>
      <c r="E19" s="146"/>
      <c r="F19" s="146"/>
      <c r="G19" s="146"/>
      <c r="H19" s="146"/>
      <c r="I19" s="146"/>
      <c r="J19" s="47"/>
      <c r="K19" s="47"/>
      <c r="L19" s="47"/>
    </row>
    <row r="20" spans="1:20" ht="25.95" customHeight="1" x14ac:dyDescent="0.3">
      <c r="A20" s="44"/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</row>
    <row r="21" spans="1:20" ht="16.05" customHeight="1" x14ac:dyDescent="0.3">
      <c r="A21" s="44"/>
      <c r="B21" s="148" t="s">
        <v>74</v>
      </c>
      <c r="C21" s="148"/>
      <c r="D21" s="116"/>
      <c r="E21" s="116"/>
      <c r="F21" s="116"/>
      <c r="G21" s="116"/>
      <c r="H21" s="116"/>
      <c r="I21" s="116"/>
      <c r="J21" s="116"/>
      <c r="K21" s="116"/>
      <c r="L21" s="116"/>
      <c r="N21" s="144" t="s">
        <v>125</v>
      </c>
      <c r="O21" s="144"/>
      <c r="P21" s="75" t="s">
        <v>90</v>
      </c>
      <c r="Q21" s="75" t="s">
        <v>89</v>
      </c>
      <c r="R21" s="75" t="s">
        <v>91</v>
      </c>
      <c r="S21" s="75" t="s">
        <v>92</v>
      </c>
    </row>
    <row r="22" spans="1:20" ht="16.05" customHeight="1" x14ac:dyDescent="0.3">
      <c r="A22" s="44"/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N22" s="153" t="s">
        <v>94</v>
      </c>
      <c r="O22" s="153"/>
      <c r="P22" s="76">
        <v>0.45</v>
      </c>
      <c r="Q22" s="76">
        <v>0.25</v>
      </c>
      <c r="R22" s="76">
        <v>0.25</v>
      </c>
      <c r="S22" s="76">
        <v>0.25</v>
      </c>
    </row>
    <row r="23" spans="1:20" ht="16.05" customHeight="1" x14ac:dyDescent="0.3">
      <c r="A23" s="44"/>
      <c r="B23" s="148" t="s">
        <v>69</v>
      </c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N23" s="153" t="s">
        <v>95</v>
      </c>
      <c r="O23" s="153"/>
      <c r="P23" s="76">
        <v>0.45</v>
      </c>
      <c r="Q23" s="76">
        <v>0.35</v>
      </c>
      <c r="R23" s="76">
        <v>0.35</v>
      </c>
      <c r="S23" s="76">
        <v>0.35</v>
      </c>
    </row>
    <row r="24" spans="1:20" ht="16.05" customHeight="1" x14ac:dyDescent="0.3">
      <c r="A24" s="4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N24" s="153" t="s">
        <v>96</v>
      </c>
      <c r="O24" s="153"/>
      <c r="P24" s="76">
        <v>0.5</v>
      </c>
      <c r="Q24" s="76">
        <v>0.4</v>
      </c>
      <c r="R24" s="76">
        <v>0.4</v>
      </c>
      <c r="S24" s="76">
        <v>0.4</v>
      </c>
    </row>
    <row r="25" spans="1:20" ht="16.05" customHeight="1" x14ac:dyDescent="0.3">
      <c r="A25" s="44"/>
      <c r="B25" s="47"/>
      <c r="C25" s="47"/>
      <c r="D25" s="47"/>
      <c r="E25" s="47"/>
      <c r="F25" s="47"/>
      <c r="G25" s="47"/>
      <c r="H25" s="47"/>
      <c r="I25" s="153" t="s">
        <v>116</v>
      </c>
      <c r="J25" s="153"/>
      <c r="K25" s="102">
        <f>IFERROR(nombre_de_palettes,0)</f>
        <v>0</v>
      </c>
      <c r="L25" s="47"/>
      <c r="N25" s="153" t="s">
        <v>97</v>
      </c>
      <c r="O25" s="153"/>
      <c r="P25" s="76">
        <v>0.56000000000000005</v>
      </c>
      <c r="Q25" s="76">
        <v>0.45</v>
      </c>
      <c r="R25" s="76">
        <v>0.45</v>
      </c>
      <c r="S25" s="76">
        <v>0.45</v>
      </c>
    </row>
    <row r="26" spans="1:20" ht="16.05" customHeight="1" x14ac:dyDescent="0.3">
      <c r="A26" s="44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Q26" s="50"/>
    </row>
    <row r="27" spans="1:20" ht="16.05" customHeight="1" x14ac:dyDescent="0.3">
      <c r="A27" s="4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Q27" s="50"/>
    </row>
    <row r="28" spans="1:20" s="53" customFormat="1" ht="49.95" customHeight="1" x14ac:dyDescent="0.3">
      <c r="A28" s="51"/>
      <c r="B28" s="90" t="s">
        <v>59</v>
      </c>
      <c r="C28" s="141" t="s">
        <v>60</v>
      </c>
      <c r="D28" s="111" t="s">
        <v>86</v>
      </c>
      <c r="E28" s="111" t="s">
        <v>84</v>
      </c>
      <c r="F28" s="111" t="s">
        <v>61</v>
      </c>
      <c r="G28" s="52" t="s">
        <v>62</v>
      </c>
      <c r="H28" s="111" t="s">
        <v>63</v>
      </c>
      <c r="I28" s="111" t="s">
        <v>87</v>
      </c>
      <c r="J28" s="111" t="s">
        <v>83</v>
      </c>
      <c r="K28" s="90" t="s">
        <v>67</v>
      </c>
      <c r="L28" s="111" t="s">
        <v>68</v>
      </c>
      <c r="N28" s="73"/>
      <c r="O28" s="96" t="s">
        <v>112</v>
      </c>
      <c r="P28" s="97" t="s">
        <v>113</v>
      </c>
      <c r="Q28" s="96" t="s">
        <v>114</v>
      </c>
      <c r="R28" s="97" t="s">
        <v>115</v>
      </c>
      <c r="T28" s="53" t="s">
        <v>119</v>
      </c>
    </row>
    <row r="29" spans="1:20" ht="30" customHeight="1" x14ac:dyDescent="0.3">
      <c r="A29" s="44"/>
      <c r="B29" s="112" t="str">
        <f>IFERROR(VLOOKUP(C29,'TARIF global'!$A$12:$T$30,2)&amp;" "&amp;VLOOKUP(C29,'TARIF global'!$A$12:$T$30,3),"vide")</f>
        <v>vide</v>
      </c>
      <c r="C29" s="140"/>
      <c r="D29" s="114">
        <f>IFERROR(VLOOKUP(C29,'TARIF global'!$A$12:$T$30,4),0)</f>
        <v>0</v>
      </c>
      <c r="E29" s="115">
        <f>IFERROR(VLOOKUP(C29,'TARIF global'!$A$12:$T$30,5),0)</f>
        <v>0</v>
      </c>
      <c r="F29" s="120">
        <f ca="1">IFERROR(IF(C29="vide","",G29*VLOOKUP(C29,'TARIF global'!$A$12:$T$30,14)),0)</f>
        <v>0</v>
      </c>
      <c r="G29" s="121">
        <f ca="1">IFERROR(IF(C29="vide","",G29/VLOOKUP(C29,'TARIF global'!$A$12:$T$30,14)),0)</f>
        <v>0</v>
      </c>
      <c r="H29" s="54" t="str">
        <f>IFERROR(VLOOKUP(C29,'TARIF global'!$A$12:$T$30,20),"vide")</f>
        <v>vide</v>
      </c>
      <c r="I29" s="135">
        <f>IF(C29="vide","",(D29-$K$25*D29))</f>
        <v>0</v>
      </c>
      <c r="J29" s="115">
        <f>IF(C29="vide","",(E29-$K$25*E29))</f>
        <v>0</v>
      </c>
      <c r="K29" s="134">
        <f ca="1">IFERROR(IF(C29="vide",0,G29*J29),0)</f>
        <v>0</v>
      </c>
      <c r="L29" s="108">
        <f ca="1">IFERROR(IF(C29="vide",0,F29*O29),0)</f>
        <v>0</v>
      </c>
      <c r="O29" s="72">
        <f>IFERROR(VLOOKUP(C29,'TARIF global'!$A$12:$T$30,17),0)</f>
        <v>0</v>
      </c>
      <c r="P29" s="72">
        <f>IFERROR(VLOOKUP(C29,'TARIF global'!$A$12:$T$30,16),0)</f>
        <v>0</v>
      </c>
      <c r="Q29" s="72">
        <f>IF(H29="M²",G29/P29,0)</f>
        <v>0</v>
      </c>
      <c r="R29" s="143" t="s">
        <v>124</v>
      </c>
      <c r="T29" s="46" t="b">
        <f>IF(H29="M²",G29)</f>
        <v>0</v>
      </c>
    </row>
    <row r="30" spans="1:20" ht="30" customHeight="1" x14ac:dyDescent="0.3">
      <c r="A30" s="44"/>
      <c r="B30" s="113" t="str">
        <f>IFERROR(VLOOKUP(C30,'TARIF global'!$A$12:$T$30,2)&amp;" "&amp;VLOOKUP(C30,'TARIF global'!$A$12:$T$30,3),"vide")</f>
        <v>vide</v>
      </c>
      <c r="C30" s="116"/>
      <c r="D30" s="117">
        <f>IFERROR(VLOOKUP(C30,'TARIF global'!$A$12:$T$30,4),0)</f>
        <v>0</v>
      </c>
      <c r="E30" s="118">
        <f>IFERROR(VLOOKUP(C30,'TARIF global'!$A$12:$T$30,5),0)</f>
        <v>0</v>
      </c>
      <c r="F30" s="121">
        <f ca="1">IFERROR(IF(C30="vide","",G30*VLOOKUP(C30,'TARIF global'!$A$12:$T$30,14)),0)</f>
        <v>0</v>
      </c>
      <c r="G30" s="121">
        <f ca="1">IFERROR(IF(C30="vide","",G30/VLOOKUP(C30,'TARIF global'!$A$12:$T$30,14)),0)</f>
        <v>0</v>
      </c>
      <c r="H30" s="55" t="str">
        <f>IFERROR(VLOOKUP(C30,'TARIF global'!$A$12:$T$30,20),"vide")</f>
        <v>vide</v>
      </c>
      <c r="I30" s="104">
        <f t="shared" ref="I30:I39" si="0">IF(C30="vide","",(D30-$K$25*D30))</f>
        <v>0</v>
      </c>
      <c r="J30" s="118">
        <f t="shared" ref="J30:J39" si="1">IF(C30="vide","",(E30-$K$25*E30))</f>
        <v>0</v>
      </c>
      <c r="K30" s="134">
        <f t="shared" ref="K30:K39" ca="1" si="2">IFERROR(IF(C30="vide",0,G30*J30),0)</f>
        <v>0</v>
      </c>
      <c r="L30" s="109">
        <f t="shared" ref="L30:L39" ca="1" si="3">IFERROR(IF(C30="vide",0,F30*O30),0)</f>
        <v>0</v>
      </c>
      <c r="O30" s="72">
        <f>IFERROR(VLOOKUP(C30,'TARIF global'!$A$12:$T$30,17),0)</f>
        <v>0</v>
      </c>
      <c r="P30" s="72">
        <f>IFERROR(VLOOKUP(C30,'TARIF global'!$A$12:$T$30,16),0)</f>
        <v>0</v>
      </c>
      <c r="Q30" s="72">
        <f t="shared" ref="Q30:Q39" si="4">IF(H30="M²",G30/P30,0)</f>
        <v>0</v>
      </c>
      <c r="R30" s="74">
        <f t="shared" ref="R30:R39" si="5">IF(Q30&gt;=20,$P$25,IF(Q30&gt;=11,$P$24,IF(Q30&gt;=6,$P$23,IF(Q30&gt;=1,$P$22,0))))</f>
        <v>0</v>
      </c>
      <c r="T30" s="46" t="b">
        <f t="shared" ref="T30:T39" si="6">IF(H30="M²",G30)</f>
        <v>0</v>
      </c>
    </row>
    <row r="31" spans="1:20" ht="30" customHeight="1" x14ac:dyDescent="0.3">
      <c r="A31" s="44"/>
      <c r="B31" s="113" t="str">
        <f>IFERROR(VLOOKUP(C31,'TARIF global'!$A$12:$T$30,2)&amp;" "&amp;VLOOKUP(C31,'TARIF global'!$A$12:$T$30,3),"vide")</f>
        <v>vide</v>
      </c>
      <c r="C31" s="116"/>
      <c r="D31" s="117">
        <f>IFERROR(VLOOKUP(C31,'TARIF global'!$A$12:$T$30,4),0)</f>
        <v>0</v>
      </c>
      <c r="E31" s="118">
        <f>IFERROR(VLOOKUP(C31,'TARIF global'!$A$12:$T$30,5),0)</f>
        <v>0</v>
      </c>
      <c r="F31" s="121">
        <f ca="1">IFERROR(IF(C31="vide","",G31*VLOOKUP(C31,'TARIF global'!$A$12:$T$30,14)),0)</f>
        <v>0</v>
      </c>
      <c r="G31" s="121">
        <f ca="1">IFERROR(IF(C31="vide","",G31/VLOOKUP(C31,'TARIF global'!$A$12:$T$30,14)),0)</f>
        <v>0</v>
      </c>
      <c r="H31" s="55" t="str">
        <f>IFERROR(VLOOKUP(C31,'TARIF global'!$A$12:$T$30,20),"vide")</f>
        <v>vide</v>
      </c>
      <c r="I31" s="104">
        <f t="shared" si="0"/>
        <v>0</v>
      </c>
      <c r="J31" s="118">
        <f t="shared" si="1"/>
        <v>0</v>
      </c>
      <c r="K31" s="134">
        <f t="shared" ca="1" si="2"/>
        <v>0</v>
      </c>
      <c r="L31" s="109">
        <f t="shared" ca="1" si="3"/>
        <v>0</v>
      </c>
      <c r="O31" s="72">
        <f>IFERROR(VLOOKUP(C31,'TARIF global'!$A$12:$T$30,17),0)</f>
        <v>0</v>
      </c>
      <c r="P31" s="72">
        <f>IFERROR(VLOOKUP(C31,'TARIF global'!$A$12:$T$30,16),0)</f>
        <v>0</v>
      </c>
      <c r="Q31" s="72">
        <f t="shared" si="4"/>
        <v>0</v>
      </c>
      <c r="R31" s="74">
        <f t="shared" si="5"/>
        <v>0</v>
      </c>
      <c r="T31" s="46" t="b">
        <f t="shared" si="6"/>
        <v>0</v>
      </c>
    </row>
    <row r="32" spans="1:20" ht="30" customHeight="1" x14ac:dyDescent="0.3">
      <c r="A32" s="44"/>
      <c r="B32" s="113" t="str">
        <f>IFERROR(VLOOKUP(C32,'TARIF global'!$A$12:$T$30,2)&amp;" "&amp;VLOOKUP(C32,'TARIF global'!$A$12:$T$30,3),"vide")</f>
        <v>vide</v>
      </c>
      <c r="C32" s="116"/>
      <c r="D32" s="117">
        <f>IFERROR(VLOOKUP(C32,'TARIF global'!$A$12:$T$30,4),0)</f>
        <v>0</v>
      </c>
      <c r="E32" s="118">
        <f>IFERROR(VLOOKUP(C32,'TARIF global'!$A$12:$T$30,5),0)</f>
        <v>0</v>
      </c>
      <c r="F32" s="121">
        <f ca="1">IFERROR(IF(C32="vide","",G32*VLOOKUP(C32,'TARIF global'!$A$12:$T$30,14)),0)</f>
        <v>0</v>
      </c>
      <c r="G32" s="121">
        <f ca="1">IFERROR(IF(C32="vide","",G32/VLOOKUP(C32,'TARIF global'!$A$12:$T$30,14)),0)</f>
        <v>0</v>
      </c>
      <c r="H32" s="55" t="str">
        <f>IFERROR(VLOOKUP(C32,'TARIF global'!$A$12:$T$30,20),"vide")</f>
        <v>vide</v>
      </c>
      <c r="I32" s="104">
        <f t="shared" si="0"/>
        <v>0</v>
      </c>
      <c r="J32" s="118">
        <f t="shared" si="1"/>
        <v>0</v>
      </c>
      <c r="K32" s="134">
        <f t="shared" ca="1" si="2"/>
        <v>0</v>
      </c>
      <c r="L32" s="109">
        <f t="shared" ca="1" si="3"/>
        <v>0</v>
      </c>
      <c r="O32" s="72">
        <f>IFERROR(VLOOKUP(C32,'TARIF global'!$A$12:$T$30,17),0)</f>
        <v>0</v>
      </c>
      <c r="P32" s="72">
        <f>IFERROR(VLOOKUP(C32,'TARIF global'!$A$12:$T$30,16),0)</f>
        <v>0</v>
      </c>
      <c r="Q32" s="72">
        <f t="shared" si="4"/>
        <v>0</v>
      </c>
      <c r="R32" s="74">
        <f t="shared" si="5"/>
        <v>0</v>
      </c>
      <c r="T32" s="46" t="b">
        <f t="shared" si="6"/>
        <v>0</v>
      </c>
    </row>
    <row r="33" spans="1:24" ht="30" customHeight="1" x14ac:dyDescent="0.3">
      <c r="A33" s="44"/>
      <c r="B33" s="113" t="str">
        <f>IFERROR(VLOOKUP(C33,'TARIF global'!$A$12:$T$30,2)&amp;" "&amp;VLOOKUP(C33,'TARIF global'!$A$12:$T$30,3),"vide")</f>
        <v>vide</v>
      </c>
      <c r="C33" s="116"/>
      <c r="D33" s="117">
        <f>IFERROR(VLOOKUP(C33,'TARIF global'!$A$12:$T$30,4),0)</f>
        <v>0</v>
      </c>
      <c r="E33" s="118">
        <f>IFERROR(VLOOKUP(C33,'TARIF global'!$A$12:$T$30,5),0)</f>
        <v>0</v>
      </c>
      <c r="F33" s="121">
        <f ca="1">IFERROR(IF(C33="vide","",G33*VLOOKUP(C33,'TARIF global'!$A$12:$T$30,14)),0)</f>
        <v>0</v>
      </c>
      <c r="G33" s="121">
        <f ca="1">IFERROR(IF(C33="vide","",G33/VLOOKUP(C33,'TARIF global'!$A$12:$T$30,14)),0)</f>
        <v>0</v>
      </c>
      <c r="H33" s="55" t="str">
        <f>IFERROR(VLOOKUP(C33,'TARIF global'!$A$12:$T$30,20),"vide")</f>
        <v>vide</v>
      </c>
      <c r="I33" s="104">
        <f t="shared" si="0"/>
        <v>0</v>
      </c>
      <c r="J33" s="118">
        <f t="shared" si="1"/>
        <v>0</v>
      </c>
      <c r="K33" s="134">
        <f t="shared" ca="1" si="2"/>
        <v>0</v>
      </c>
      <c r="L33" s="109">
        <f t="shared" ca="1" si="3"/>
        <v>0</v>
      </c>
      <c r="O33" s="72">
        <f>IFERROR(VLOOKUP(C33,'TARIF global'!$A$12:$T$30,17),0)</f>
        <v>0</v>
      </c>
      <c r="P33" s="72">
        <f>IFERROR(VLOOKUP(C33,'TARIF global'!$A$12:$T$30,16),0)</f>
        <v>0</v>
      </c>
      <c r="Q33" s="72">
        <f t="shared" si="4"/>
        <v>0</v>
      </c>
      <c r="R33" s="74">
        <f t="shared" si="5"/>
        <v>0</v>
      </c>
      <c r="T33" s="46" t="b">
        <f t="shared" si="6"/>
        <v>0</v>
      </c>
      <c r="X33" s="126"/>
    </row>
    <row r="34" spans="1:24" ht="30" customHeight="1" x14ac:dyDescent="0.3">
      <c r="A34" s="44"/>
      <c r="B34" s="113" t="str">
        <f>IFERROR(VLOOKUP(C34,'TARIF global'!$A$12:$T$30,2)&amp;" "&amp;VLOOKUP(C34,'TARIF global'!$A$12:$T$30,3),"vide")</f>
        <v>vide</v>
      </c>
      <c r="C34" s="116"/>
      <c r="D34" s="117">
        <f>IFERROR(VLOOKUP(C34,'TARIF global'!$A$12:$T$30,4),0)</f>
        <v>0</v>
      </c>
      <c r="E34" s="118">
        <f>IFERROR(VLOOKUP(C34,'TARIF global'!$A$12:$T$30,5),0)</f>
        <v>0</v>
      </c>
      <c r="F34" s="121">
        <f ca="1">IFERROR(IF(C34="vide","",G34*VLOOKUP(C34,'TARIF global'!$A$12:$T$30,14)),0)</f>
        <v>0</v>
      </c>
      <c r="G34" s="121">
        <f ca="1">IFERROR(IF(C34="vide","",G34/VLOOKUP(C34,'TARIF global'!$A$12:$T$30,14)),0)</f>
        <v>0</v>
      </c>
      <c r="H34" s="55" t="str">
        <f>IFERROR(VLOOKUP(C34,'TARIF global'!$A$12:$T$30,20),"vide")</f>
        <v>vide</v>
      </c>
      <c r="I34" s="104">
        <f t="shared" si="0"/>
        <v>0</v>
      </c>
      <c r="J34" s="118">
        <f t="shared" si="1"/>
        <v>0</v>
      </c>
      <c r="K34" s="134">
        <f t="shared" ca="1" si="2"/>
        <v>0</v>
      </c>
      <c r="L34" s="109">
        <f t="shared" ca="1" si="3"/>
        <v>0</v>
      </c>
      <c r="O34" s="72">
        <f>IFERROR(VLOOKUP(C34,'TARIF global'!$A$12:$T$30,17),0)</f>
        <v>0</v>
      </c>
      <c r="P34" s="72">
        <f>IFERROR(VLOOKUP(C34,'TARIF global'!$A$12:$T$30,16),0)</f>
        <v>0</v>
      </c>
      <c r="Q34" s="72">
        <f t="shared" si="4"/>
        <v>0</v>
      </c>
      <c r="R34" s="74">
        <f t="shared" si="5"/>
        <v>0</v>
      </c>
      <c r="T34" s="46" t="b">
        <f t="shared" si="6"/>
        <v>0</v>
      </c>
    </row>
    <row r="35" spans="1:24" ht="30" customHeight="1" x14ac:dyDescent="0.3">
      <c r="A35" s="44"/>
      <c r="B35" s="113" t="str">
        <f>IFERROR(VLOOKUP(C35,'TARIF global'!$A$12:$T$30,2)&amp;" "&amp;VLOOKUP(C35,'TARIF global'!$A$12:$T$30,3),"vide")</f>
        <v>vide</v>
      </c>
      <c r="C35" s="116"/>
      <c r="D35" s="117">
        <f>IFERROR(VLOOKUP(C35,'TARIF global'!$A$12:$T$30,4),0)</f>
        <v>0</v>
      </c>
      <c r="E35" s="118">
        <f>IFERROR(VLOOKUP(C35,'TARIF global'!$A$12:$T$30,5),0)</f>
        <v>0</v>
      </c>
      <c r="F35" s="121">
        <f ca="1">IFERROR(IF(C35="vide","",G35*VLOOKUP(C35,'TARIF global'!$A$12:$T$30,14)),0)</f>
        <v>0</v>
      </c>
      <c r="G35" s="121">
        <f ca="1">IFERROR(IF(C35="vide","",G35/VLOOKUP(C35,'TARIF global'!$A$12:$T$30,14)),0)</f>
        <v>0</v>
      </c>
      <c r="H35" s="55" t="str">
        <f>IFERROR(VLOOKUP(C35,'TARIF global'!$A$12:$T$30,20),"vide")</f>
        <v>vide</v>
      </c>
      <c r="I35" s="104">
        <f t="shared" si="0"/>
        <v>0</v>
      </c>
      <c r="J35" s="118">
        <f t="shared" si="1"/>
        <v>0</v>
      </c>
      <c r="K35" s="134">
        <f t="shared" ca="1" si="2"/>
        <v>0</v>
      </c>
      <c r="L35" s="109">
        <f t="shared" ca="1" si="3"/>
        <v>0</v>
      </c>
      <c r="O35" s="72">
        <f>IFERROR(VLOOKUP(C35,'TARIF global'!$A$12:$T$30,17),0)</f>
        <v>0</v>
      </c>
      <c r="P35" s="72">
        <f>IFERROR(VLOOKUP(C35,'TARIF global'!$A$12:$T$30,16),0)</f>
        <v>0</v>
      </c>
      <c r="Q35" s="72">
        <f t="shared" si="4"/>
        <v>0</v>
      </c>
      <c r="R35" s="74">
        <f t="shared" si="5"/>
        <v>0</v>
      </c>
      <c r="T35" s="46" t="b">
        <f t="shared" si="6"/>
        <v>0</v>
      </c>
    </row>
    <row r="36" spans="1:24" ht="30" customHeight="1" x14ac:dyDescent="0.3">
      <c r="A36" s="44"/>
      <c r="B36" s="113" t="str">
        <f>IFERROR(VLOOKUP(C36,'TARIF global'!$A$12:$T$30,2)&amp;" "&amp;VLOOKUP(C36,'TARIF global'!$A$12:$T$30,3),"vide")</f>
        <v>vide</v>
      </c>
      <c r="C36" s="116"/>
      <c r="D36" s="117">
        <f>IFERROR(VLOOKUP(C36,'TARIF global'!$A$12:$T$30,4),0)</f>
        <v>0</v>
      </c>
      <c r="E36" s="118">
        <f>IFERROR(VLOOKUP(C36,'TARIF global'!$A$12:$T$30,5),0)</f>
        <v>0</v>
      </c>
      <c r="F36" s="121">
        <f ca="1">IFERROR(IF(C36="vide","",G36*VLOOKUP(C36,'TARIF global'!$A$12:$T$30,14)),0)</f>
        <v>0</v>
      </c>
      <c r="G36" s="121">
        <f ca="1">IFERROR(IF(C36="vide","",G36/VLOOKUP(C36,'TARIF global'!$A$12:$T$30,14)),0)</f>
        <v>0</v>
      </c>
      <c r="H36" s="55" t="str">
        <f>IFERROR(VLOOKUP(C36,'TARIF global'!$A$12:$T$30,20),"vide")</f>
        <v>vide</v>
      </c>
      <c r="I36" s="104">
        <f t="shared" si="0"/>
        <v>0</v>
      </c>
      <c r="J36" s="118">
        <f t="shared" si="1"/>
        <v>0</v>
      </c>
      <c r="K36" s="134">
        <f t="shared" ca="1" si="2"/>
        <v>0</v>
      </c>
      <c r="L36" s="109">
        <f t="shared" ca="1" si="3"/>
        <v>0</v>
      </c>
      <c r="O36" s="72">
        <f>IFERROR(VLOOKUP(C36,'TARIF global'!$A$12:$T$30,17),0)</f>
        <v>0</v>
      </c>
      <c r="P36" s="72">
        <f>IFERROR(VLOOKUP(C36,'TARIF global'!$A$12:$T$30,16),0)</f>
        <v>0</v>
      </c>
      <c r="Q36" s="72">
        <f t="shared" si="4"/>
        <v>0</v>
      </c>
      <c r="R36" s="74">
        <f t="shared" si="5"/>
        <v>0</v>
      </c>
      <c r="T36" s="46" t="b">
        <f t="shared" si="6"/>
        <v>0</v>
      </c>
    </row>
    <row r="37" spans="1:24" ht="30" customHeight="1" x14ac:dyDescent="0.3">
      <c r="A37" s="44"/>
      <c r="B37" s="113" t="str">
        <f>IFERROR(VLOOKUP(C37,'TARIF global'!$A$12:$T$30,2)&amp;" "&amp;VLOOKUP(C37,'TARIF global'!$A$12:$T$30,3),"vide")</f>
        <v>vide</v>
      </c>
      <c r="C37" s="116"/>
      <c r="D37" s="117">
        <f>IFERROR(VLOOKUP(C37,'TARIF global'!$A$12:$T$30,4),0)</f>
        <v>0</v>
      </c>
      <c r="E37" s="118">
        <f>IFERROR(VLOOKUP(C37,'TARIF global'!$A$12:$T$30,5),0)</f>
        <v>0</v>
      </c>
      <c r="F37" s="121">
        <f ca="1">IFERROR(IF(C37="vide","",G37*VLOOKUP(C37,'TARIF global'!$A$12:$T$30,14)),0)</f>
        <v>0</v>
      </c>
      <c r="G37" s="121">
        <f ca="1">IFERROR(IF(C37="vide","",G37/VLOOKUP(C37,'TARIF global'!$A$12:$T$30,14)),0)</f>
        <v>0</v>
      </c>
      <c r="H37" s="55" t="str">
        <f>IFERROR(VLOOKUP(C37,'TARIF global'!$A$12:$T$30,20),"vide")</f>
        <v>vide</v>
      </c>
      <c r="I37" s="104">
        <f t="shared" si="0"/>
        <v>0</v>
      </c>
      <c r="J37" s="118">
        <f t="shared" si="1"/>
        <v>0</v>
      </c>
      <c r="K37" s="134">
        <f t="shared" ca="1" si="2"/>
        <v>0</v>
      </c>
      <c r="L37" s="109">
        <f t="shared" ca="1" si="3"/>
        <v>0</v>
      </c>
      <c r="O37" s="72">
        <f>IFERROR(VLOOKUP(C37,'TARIF global'!$A$12:$T$30,17),0)</f>
        <v>0</v>
      </c>
      <c r="P37" s="72">
        <f>IFERROR(VLOOKUP(C37,'TARIF global'!$A$12:$T$30,16),0)</f>
        <v>0</v>
      </c>
      <c r="Q37" s="72">
        <f t="shared" si="4"/>
        <v>0</v>
      </c>
      <c r="R37" s="74">
        <f t="shared" si="5"/>
        <v>0</v>
      </c>
      <c r="T37" s="46" t="b">
        <f t="shared" si="6"/>
        <v>0</v>
      </c>
    </row>
    <row r="38" spans="1:24" ht="30" customHeight="1" x14ac:dyDescent="0.3">
      <c r="A38" s="44"/>
      <c r="B38" s="113" t="str">
        <f>IFERROR(VLOOKUP(C38,'TARIF global'!$A$12:$T$30,2)&amp;" "&amp;VLOOKUP(C38,'TARIF global'!$A$12:$T$30,3),"vide")</f>
        <v>vide</v>
      </c>
      <c r="C38" s="116"/>
      <c r="D38" s="117">
        <f>IFERROR(VLOOKUP(C38,'TARIF global'!$A$12:$T$30,4),0)</f>
        <v>0</v>
      </c>
      <c r="E38" s="118">
        <f>IFERROR(VLOOKUP(C38,'TARIF global'!$A$12:$T$30,5),0)</f>
        <v>0</v>
      </c>
      <c r="F38" s="121">
        <f ca="1">IFERROR(IF(C38="vide","",G38*VLOOKUP(C38,'TARIF global'!$A$12:$T$30,14)),0)</f>
        <v>0</v>
      </c>
      <c r="G38" s="121">
        <f ca="1">IFERROR(IF(C38="vide","",G38/VLOOKUP(C38,'TARIF global'!$A$12:$T$30,14)),0)</f>
        <v>0</v>
      </c>
      <c r="H38" s="55" t="str">
        <f>IFERROR(VLOOKUP(C38,'TARIF global'!$A$12:$T$30,20),"vide")</f>
        <v>vide</v>
      </c>
      <c r="I38" s="104">
        <f t="shared" si="0"/>
        <v>0</v>
      </c>
      <c r="J38" s="118">
        <f t="shared" si="1"/>
        <v>0</v>
      </c>
      <c r="K38" s="134">
        <f t="shared" ca="1" si="2"/>
        <v>0</v>
      </c>
      <c r="L38" s="109">
        <f t="shared" ca="1" si="3"/>
        <v>0</v>
      </c>
      <c r="O38" s="72">
        <f>IFERROR(VLOOKUP(C38,'TARIF global'!$A$12:$T$30,17),0)</f>
        <v>0</v>
      </c>
      <c r="P38" s="72">
        <f>IFERROR(VLOOKUP(C38,'TARIF global'!$A$12:$T$30,16),0)</f>
        <v>0</v>
      </c>
      <c r="Q38" s="72">
        <f t="shared" si="4"/>
        <v>0</v>
      </c>
      <c r="R38" s="74">
        <f t="shared" si="5"/>
        <v>0</v>
      </c>
      <c r="T38" s="46" t="b">
        <f t="shared" si="6"/>
        <v>0</v>
      </c>
    </row>
    <row r="39" spans="1:24" ht="30" customHeight="1" x14ac:dyDescent="0.3">
      <c r="A39" s="44"/>
      <c r="B39" s="113" t="str">
        <f>IFERROR(VLOOKUP(C39,'TARIF global'!$A$12:$T$30,2)&amp;" "&amp;VLOOKUP(C39,'TARIF global'!$A$12:$T$30,3),"vide")</f>
        <v>vide</v>
      </c>
      <c r="C39" s="116"/>
      <c r="D39" s="117">
        <f>IFERROR(VLOOKUP(C39,'TARIF global'!$A$12:$T$30,4),0)</f>
        <v>0</v>
      </c>
      <c r="E39" s="118">
        <f>IFERROR(VLOOKUP(C39,'TARIF global'!$A$12:$T$30,5),0)</f>
        <v>0</v>
      </c>
      <c r="F39" s="121">
        <f ca="1">IFERROR(IF(C39="vide","",G39*VLOOKUP(C39,'TARIF global'!$A$12:$T$30,14)),0)</f>
        <v>0</v>
      </c>
      <c r="G39" s="121">
        <f ca="1">IFERROR(IF(C39="vide","",G39/VLOOKUP(C39,'TARIF global'!$A$12:$T$30,14)),0)</f>
        <v>0</v>
      </c>
      <c r="H39" s="55" t="str">
        <f>IFERROR(VLOOKUP(C39,'TARIF global'!$A$12:$T$30,20),"vide")</f>
        <v>vide</v>
      </c>
      <c r="I39" s="104">
        <f t="shared" si="0"/>
        <v>0</v>
      </c>
      <c r="J39" s="118">
        <f t="shared" si="1"/>
        <v>0</v>
      </c>
      <c r="K39" s="134">
        <f t="shared" ca="1" si="2"/>
        <v>0</v>
      </c>
      <c r="L39" s="110">
        <f t="shared" ca="1" si="3"/>
        <v>0</v>
      </c>
      <c r="O39" s="72">
        <f>IFERROR(VLOOKUP(C39,'TARIF global'!$A$12:$T$30,17),0)</f>
        <v>0</v>
      </c>
      <c r="P39" s="72">
        <f>IFERROR(VLOOKUP(C39,'TARIF global'!$A$12:$T$30,16),0)</f>
        <v>0</v>
      </c>
      <c r="Q39" s="72">
        <f t="shared" si="4"/>
        <v>0</v>
      </c>
      <c r="R39" s="74">
        <f t="shared" si="5"/>
        <v>0</v>
      </c>
      <c r="T39" s="46" t="b">
        <f t="shared" si="6"/>
        <v>0</v>
      </c>
    </row>
    <row r="40" spans="1:24" ht="25.95" customHeight="1" x14ac:dyDescent="0.3">
      <c r="A40" s="44"/>
      <c r="B40" s="91"/>
      <c r="C40" s="47"/>
      <c r="D40" s="117"/>
      <c r="E40" s="55"/>
      <c r="F40" s="55"/>
      <c r="G40" s="55"/>
      <c r="H40" s="55"/>
      <c r="I40" s="136"/>
      <c r="J40" s="55"/>
      <c r="K40" s="104"/>
      <c r="L40" s="47"/>
      <c r="O40" s="151" t="s">
        <v>111</v>
      </c>
      <c r="P40" s="152"/>
      <c r="Q40" s="103">
        <f>ROUNDUP(SUM(Q29:Q39),0)</f>
        <v>0</v>
      </c>
      <c r="R40" s="74">
        <f>IF(Q40&gt;=20,P25,IF(Q40&gt;=11,P24,IF(Q40&gt;=6,P23,IF(Q40&gt;=1,P22,0))))</f>
        <v>0</v>
      </c>
    </row>
    <row r="41" spans="1:24" ht="25.95" customHeight="1" x14ac:dyDescent="0.3">
      <c r="A41" s="44"/>
      <c r="B41" s="92" t="s">
        <v>76</v>
      </c>
      <c r="C41" s="47"/>
      <c r="D41" s="117"/>
      <c r="E41" s="55"/>
      <c r="F41" s="55"/>
      <c r="G41" s="139">
        <f>SUM(T29:T39)</f>
        <v>0</v>
      </c>
      <c r="H41" s="55"/>
      <c r="I41" s="136"/>
      <c r="J41" s="55"/>
      <c r="K41" s="105">
        <f ca="1">SUM(K29:K39)</f>
        <v>0</v>
      </c>
      <c r="L41" s="47"/>
    </row>
    <row r="42" spans="1:24" ht="25.95" customHeight="1" x14ac:dyDescent="0.3">
      <c r="A42" s="44"/>
      <c r="B42" s="91"/>
      <c r="C42" s="47"/>
      <c r="D42" s="117"/>
      <c r="E42" s="55"/>
      <c r="F42" s="55"/>
      <c r="G42" s="55"/>
      <c r="H42" s="55"/>
      <c r="I42" s="136"/>
      <c r="J42" s="55"/>
      <c r="K42" s="104"/>
      <c r="L42" s="47"/>
      <c r="S42" s="78" t="s">
        <v>98</v>
      </c>
      <c r="T42" s="79" t="s">
        <v>10</v>
      </c>
      <c r="U42" s="128" t="s">
        <v>117</v>
      </c>
      <c r="V42" s="72" t="s">
        <v>120</v>
      </c>
      <c r="X42" s="72" t="s">
        <v>123</v>
      </c>
    </row>
    <row r="43" spans="1:24" ht="25.95" customHeight="1" x14ac:dyDescent="0.3">
      <c r="A43" s="44"/>
      <c r="B43" s="91" t="str">
        <f>VLOOKUP(C43,'TARIF global'!$A$12:$T$30,2)&amp;" "&amp;VLOOKUP(C43,'TARIF global'!$A$12:$T$30,3)</f>
        <v>Plaquette de Parement  3 x 11 x 30</v>
      </c>
      <c r="C43" s="116" t="s">
        <v>25</v>
      </c>
      <c r="D43" s="125">
        <f>VLOOKUP(C43,'TARIF global'!$A$12:$T$30,4)</f>
        <v>2.9</v>
      </c>
      <c r="E43" s="55"/>
      <c r="F43" s="55" t="str">
        <f>IF(W43,X43,"non fournis")</f>
        <v>non fournis</v>
      </c>
      <c r="G43" s="55" t="str">
        <f>IF(W43,V43,"non fournis")</f>
        <v>non fournis</v>
      </c>
      <c r="H43" s="55" t="str">
        <f>VLOOKUP(C43,'TARIF global'!$A$12:$T$30,20)</f>
        <v>M²</v>
      </c>
      <c r="I43" s="136"/>
      <c r="J43" s="55"/>
      <c r="K43" s="104">
        <f>IFERROR(IF(C43="vide",0,F43*D43),0)</f>
        <v>0</v>
      </c>
      <c r="L43" s="47"/>
      <c r="O43" s="56"/>
      <c r="P43" s="163" t="s">
        <v>77</v>
      </c>
      <c r="Q43" s="163"/>
      <c r="R43" s="163"/>
      <c r="S43" s="79">
        <v>0.5</v>
      </c>
      <c r="T43" s="79" t="s">
        <v>65</v>
      </c>
      <c r="U43" s="123">
        <f>'TARIF global'!D24/'TARIF global'!E24*DEVIS!S43</f>
        <v>6.48</v>
      </c>
      <c r="V43" s="129">
        <f>IF(W43,$G$41*S43,0)</f>
        <v>0</v>
      </c>
      <c r="W43" s="131" t="b">
        <v>0</v>
      </c>
      <c r="X43" s="130">
        <f>ROUNDUP(V43/'TARIF global'!E24,0)</f>
        <v>0</v>
      </c>
    </row>
    <row r="44" spans="1:24" ht="25.95" customHeight="1" x14ac:dyDescent="0.3">
      <c r="A44" s="44"/>
      <c r="B44" s="91" t="str">
        <f>VLOOKUP(C44,'TARIF global'!$A$12:$T$30,2)&amp;" "&amp;VLOOKUP(C44,'TARIF global'!$A$12:$T$30,3)</f>
        <v xml:space="preserve">Sika colle joint mince </v>
      </c>
      <c r="C44" s="116" t="s">
        <v>26</v>
      </c>
      <c r="D44" s="125">
        <f>VLOOKUP(C44,'TARIF global'!$A$12:$T$30,4)</f>
        <v>33.6</v>
      </c>
      <c r="E44" s="55"/>
      <c r="F44" s="55" t="str">
        <f t="shared" ref="F44:F45" si="7">IF(W44,X44,"non fournis")</f>
        <v>non fournis</v>
      </c>
      <c r="G44" s="55" t="str">
        <f t="shared" ref="G44:G45" si="8">IF(W44,V44,"non fournis")</f>
        <v>non fournis</v>
      </c>
      <c r="H44" s="55" t="str">
        <f>VLOOKUP(C44,'TARIF global'!$A$12:$T$30,20)</f>
        <v>L</v>
      </c>
      <c r="I44" s="136"/>
      <c r="J44" s="55"/>
      <c r="K44" s="104">
        <f t="shared" ref="K44:K45" si="9">IFERROR(IF(C44="vide",0,F44*D44),0)</f>
        <v>0</v>
      </c>
      <c r="L44" s="47"/>
      <c r="O44" s="56"/>
      <c r="P44" s="163" t="s">
        <v>78</v>
      </c>
      <c r="Q44" s="163"/>
      <c r="R44" s="163"/>
      <c r="S44" s="79">
        <v>2</v>
      </c>
      <c r="T44" s="79" t="s">
        <v>65</v>
      </c>
      <c r="U44" s="123">
        <f>'TARIF global'!D25/'TARIF global'!E25*DEVIS!S44</f>
        <v>2.6880000000000002</v>
      </c>
      <c r="V44" s="129">
        <f>IF(W44,$G$41*S44,0)</f>
        <v>0</v>
      </c>
      <c r="W44" s="131" t="b">
        <v>0</v>
      </c>
      <c r="X44" s="130">
        <f>ROUNDUP(V44/'TARIF global'!E25,0)</f>
        <v>0</v>
      </c>
    </row>
    <row r="45" spans="1:24" ht="25.95" customHeight="1" x14ac:dyDescent="0.3">
      <c r="A45" s="44"/>
      <c r="B45" s="91" t="str">
        <f>VLOOKUP(C45,'TARIF global'!$A$12:$T$30,2)&amp;" "&amp;VLOOKUP(C45,'TARIF global'!$A$12:$T$30,3)</f>
        <v xml:space="preserve">Sac de terre tamisée </v>
      </c>
      <c r="C45" s="116" t="s">
        <v>27</v>
      </c>
      <c r="D45" s="125">
        <f>VLOOKUP(C45,'TARIF global'!$A$12:$T$30,4)</f>
        <v>25</v>
      </c>
      <c r="E45" s="55"/>
      <c r="F45" s="55" t="str">
        <f t="shared" si="7"/>
        <v>non fournis</v>
      </c>
      <c r="G45" s="55" t="str">
        <f t="shared" si="8"/>
        <v>non fournis</v>
      </c>
      <c r="H45" s="55" t="str">
        <f>VLOOKUP(C45,'TARIF global'!$A$12:$T$30,20)</f>
        <v>L</v>
      </c>
      <c r="I45" s="136"/>
      <c r="J45" s="55"/>
      <c r="K45" s="104">
        <f t="shared" si="9"/>
        <v>0</v>
      </c>
      <c r="L45" s="47"/>
      <c r="O45" s="56"/>
      <c r="P45" s="163" t="s">
        <v>79</v>
      </c>
      <c r="Q45" s="163"/>
      <c r="R45" s="163"/>
      <c r="S45" s="79">
        <v>0.66</v>
      </c>
      <c r="T45" s="79" t="s">
        <v>65</v>
      </c>
      <c r="U45" s="123">
        <f>'TARIF global'!D26/'TARIF global'!E26*S45</f>
        <v>0.66</v>
      </c>
      <c r="V45" s="129">
        <f>IF(W45,$G$41*S45,0)</f>
        <v>0</v>
      </c>
      <c r="W45" s="131" t="b">
        <v>0</v>
      </c>
      <c r="X45" s="130">
        <f>ROUNDUP(V45/'TARIF global'!E26,0)</f>
        <v>0</v>
      </c>
    </row>
    <row r="46" spans="1:24" ht="25.95" customHeight="1" x14ac:dyDescent="0.3">
      <c r="A46" s="44"/>
      <c r="B46" s="91"/>
      <c r="C46" s="47"/>
      <c r="D46" s="55"/>
      <c r="E46" s="55"/>
      <c r="F46" s="55"/>
      <c r="G46" s="55"/>
      <c r="H46" s="55"/>
      <c r="I46" s="136"/>
      <c r="J46" s="55"/>
      <c r="K46" s="106"/>
      <c r="L46" s="47"/>
      <c r="O46" s="56"/>
      <c r="P46" s="163" t="s">
        <v>88</v>
      </c>
      <c r="Q46" s="163"/>
      <c r="R46" s="163"/>
      <c r="S46" s="79">
        <v>1</v>
      </c>
      <c r="T46" s="79" t="s">
        <v>99</v>
      </c>
      <c r="U46" s="123">
        <v>80</v>
      </c>
      <c r="V46" s="130">
        <f>IF(W46,G41,0)</f>
        <v>0</v>
      </c>
      <c r="W46" s="72" t="b">
        <v>0</v>
      </c>
      <c r="X46" s="132">
        <f>U46*V46</f>
        <v>0</v>
      </c>
    </row>
    <row r="47" spans="1:24" ht="25.95" customHeight="1" x14ac:dyDescent="0.3">
      <c r="A47" s="44"/>
      <c r="B47" s="91"/>
      <c r="C47" s="47"/>
      <c r="D47" s="55"/>
      <c r="E47" s="55"/>
      <c r="F47" s="55"/>
      <c r="G47" s="55"/>
      <c r="H47" s="55"/>
      <c r="I47" s="136"/>
      <c r="J47" s="55"/>
      <c r="K47" s="106"/>
      <c r="L47" s="47"/>
      <c r="O47" s="56"/>
      <c r="P47" s="163" t="s">
        <v>93</v>
      </c>
      <c r="Q47" s="163"/>
      <c r="R47" s="163"/>
      <c r="S47" s="79">
        <v>1</v>
      </c>
      <c r="T47" s="79" t="s">
        <v>99</v>
      </c>
      <c r="U47" s="123">
        <v>15</v>
      </c>
      <c r="V47" s="130">
        <f>IF(W47,G41,0)</f>
        <v>0</v>
      </c>
      <c r="W47" s="72" t="b">
        <v>0</v>
      </c>
      <c r="X47" s="132">
        <f>U47*V47</f>
        <v>0</v>
      </c>
    </row>
    <row r="48" spans="1:24" ht="25.95" customHeight="1" x14ac:dyDescent="0.3">
      <c r="A48" s="44"/>
      <c r="B48" s="91"/>
      <c r="C48" s="47"/>
      <c r="D48" s="55"/>
      <c r="E48" s="55"/>
      <c r="F48" s="55"/>
      <c r="G48" s="55"/>
      <c r="H48" s="55"/>
      <c r="I48" s="136"/>
      <c r="J48" s="55"/>
      <c r="K48" s="106"/>
      <c r="L48" s="47"/>
      <c r="O48" s="56"/>
      <c r="P48" s="163" t="s">
        <v>121</v>
      </c>
      <c r="Q48" s="163"/>
      <c r="R48" s="163"/>
      <c r="S48" s="79">
        <v>1</v>
      </c>
      <c r="T48" s="79" t="s">
        <v>99</v>
      </c>
      <c r="U48" s="123">
        <v>1000</v>
      </c>
      <c r="V48" s="130">
        <f>ROUNDUP(IF(W48,Q40/20,0),0)</f>
        <v>0</v>
      </c>
      <c r="W48" s="72" t="b">
        <v>0</v>
      </c>
      <c r="X48" s="132">
        <f>U48*V48</f>
        <v>0</v>
      </c>
    </row>
    <row r="49" spans="1:24" ht="25.95" customHeight="1" x14ac:dyDescent="0.3">
      <c r="A49" s="44"/>
      <c r="B49" s="91"/>
      <c r="C49" s="47"/>
      <c r="D49" s="55"/>
      <c r="E49" s="55"/>
      <c r="F49" s="55"/>
      <c r="G49" s="55"/>
      <c r="H49" s="55"/>
      <c r="I49" s="136"/>
      <c r="J49" s="55"/>
      <c r="K49" s="106"/>
      <c r="L49" s="47"/>
      <c r="O49" s="47"/>
      <c r="P49" s="164"/>
      <c r="Q49" s="164"/>
      <c r="R49" s="164"/>
      <c r="S49" s="8"/>
      <c r="T49" s="8"/>
      <c r="U49" s="127"/>
      <c r="V49" s="47"/>
      <c r="W49" s="47"/>
      <c r="X49" s="119"/>
    </row>
    <row r="50" spans="1:24" ht="25.95" customHeight="1" x14ac:dyDescent="0.3">
      <c r="A50" s="44"/>
      <c r="B50" s="92" t="s">
        <v>80</v>
      </c>
      <c r="C50" s="47"/>
      <c r="D50" s="55"/>
      <c r="E50" s="55"/>
      <c r="F50" s="55"/>
      <c r="G50" s="55"/>
      <c r="H50" s="55"/>
      <c r="I50" s="136"/>
      <c r="J50" s="55"/>
      <c r="K50" s="105">
        <f ca="1">SUM(K41:K49)</f>
        <v>0</v>
      </c>
      <c r="L50" s="47"/>
    </row>
    <row r="51" spans="1:24" ht="25.95" customHeight="1" x14ac:dyDescent="0.35">
      <c r="A51" s="44"/>
      <c r="B51" s="92" t="s">
        <v>82</v>
      </c>
      <c r="C51" s="142"/>
      <c r="D51" s="57"/>
      <c r="E51" s="57"/>
      <c r="F51" s="57"/>
      <c r="G51" s="57"/>
      <c r="H51" s="57"/>
      <c r="I51" s="137"/>
      <c r="J51" s="55"/>
      <c r="K51" s="133">
        <f ca="1">K50*O51</f>
        <v>0</v>
      </c>
      <c r="L51" s="47"/>
      <c r="O51" s="74">
        <v>0.3</v>
      </c>
    </row>
    <row r="52" spans="1:24" ht="25.95" customHeight="1" x14ac:dyDescent="0.3">
      <c r="A52" s="44"/>
      <c r="B52" s="93" t="s">
        <v>81</v>
      </c>
      <c r="C52" s="95"/>
      <c r="D52" s="58"/>
      <c r="E52" s="58"/>
      <c r="F52" s="58"/>
      <c r="G52" s="58"/>
      <c r="H52" s="58"/>
      <c r="I52" s="138"/>
      <c r="J52" s="58"/>
      <c r="K52" s="107">
        <f ca="1">K50*O52</f>
        <v>0</v>
      </c>
      <c r="L52" s="47"/>
      <c r="O52" s="74">
        <v>0.7</v>
      </c>
    </row>
    <row r="53" spans="1:24" x14ac:dyDescent="0.3">
      <c r="A53" s="44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</row>
    <row r="54" spans="1:24" x14ac:dyDescent="0.3">
      <c r="A54" s="44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</row>
    <row r="55" spans="1:24" ht="19.95" customHeight="1" x14ac:dyDescent="0.3">
      <c r="A55" s="44"/>
      <c r="B55" s="159" t="s">
        <v>75</v>
      </c>
      <c r="C55" s="160"/>
      <c r="D55" s="160"/>
      <c r="E55" s="160"/>
      <c r="F55" s="160"/>
      <c r="G55" s="161">
        <f>IFERROR(Q40*50,0)</f>
        <v>0</v>
      </c>
      <c r="H55" s="162"/>
      <c r="I55" s="94" t="s">
        <v>85</v>
      </c>
      <c r="J55" s="124">
        <f>IFERROR(ROUNDUP(Q40,0),0)</f>
        <v>0</v>
      </c>
      <c r="K55" s="48" t="s">
        <v>118</v>
      </c>
      <c r="L55" s="47"/>
    </row>
    <row r="56" spans="1:24" ht="70.2" customHeight="1" x14ac:dyDescent="0.35">
      <c r="A56" s="44"/>
      <c r="B56" s="155"/>
      <c r="C56" s="155"/>
      <c r="D56" s="59"/>
      <c r="E56" s="59"/>
      <c r="F56" s="60"/>
      <c r="G56" s="60"/>
      <c r="H56" s="60"/>
      <c r="I56" s="61"/>
      <c r="J56" s="47"/>
      <c r="K56" s="47"/>
      <c r="L56" s="47"/>
    </row>
    <row r="57" spans="1:24" ht="21" x14ac:dyDescent="0.4">
      <c r="A57" s="44"/>
      <c r="B57" s="156"/>
      <c r="C57" s="156"/>
      <c r="D57" s="156"/>
      <c r="E57" s="156"/>
      <c r="F57" s="156"/>
      <c r="G57" s="156"/>
      <c r="H57" s="156"/>
      <c r="I57" s="156"/>
      <c r="J57" s="47"/>
      <c r="K57" s="47"/>
      <c r="L57" s="47"/>
    </row>
    <row r="58" spans="1:24" x14ac:dyDescent="0.35">
      <c r="A58" s="44"/>
      <c r="B58" s="62"/>
      <c r="C58" s="63"/>
      <c r="D58" s="63"/>
      <c r="E58" s="64"/>
      <c r="F58" s="65"/>
      <c r="G58" s="65"/>
      <c r="H58" s="65"/>
      <c r="I58" s="66"/>
      <c r="J58" s="47"/>
      <c r="K58" s="47"/>
      <c r="L58" s="47"/>
    </row>
    <row r="59" spans="1:24" ht="21" x14ac:dyDescent="0.4">
      <c r="A59" s="44"/>
      <c r="B59" s="157"/>
      <c r="C59" s="157"/>
      <c r="D59" s="157"/>
      <c r="E59" s="157"/>
      <c r="F59" s="157"/>
      <c r="G59" s="65"/>
      <c r="H59" s="65"/>
      <c r="I59" s="66"/>
      <c r="J59" s="47"/>
      <c r="K59" s="47"/>
      <c r="L59" s="47"/>
    </row>
    <row r="60" spans="1:24" ht="21" x14ac:dyDescent="0.4">
      <c r="A60" s="44"/>
      <c r="B60" s="158"/>
      <c r="C60" s="158"/>
      <c r="D60" s="158"/>
      <c r="E60" s="158"/>
      <c r="F60" s="158"/>
      <c r="G60" s="65"/>
      <c r="H60" s="65"/>
      <c r="I60" s="66"/>
      <c r="J60" s="47"/>
      <c r="K60" s="47"/>
      <c r="L60" s="47"/>
    </row>
    <row r="61" spans="1:24" x14ac:dyDescent="0.3">
      <c r="A61" s="44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</row>
    <row r="62" spans="1:24" x14ac:dyDescent="0.35">
      <c r="A62" s="44"/>
      <c r="B62" s="67"/>
      <c r="C62" s="47"/>
      <c r="D62" s="47"/>
      <c r="E62" s="47"/>
      <c r="F62" s="47"/>
      <c r="G62" s="47"/>
      <c r="H62" s="47"/>
      <c r="I62" s="47"/>
      <c r="J62" s="47"/>
      <c r="K62" s="47"/>
      <c r="L62" s="47"/>
    </row>
    <row r="63" spans="1:24" x14ac:dyDescent="0.35">
      <c r="A63" s="44"/>
      <c r="B63" s="67"/>
      <c r="C63" s="47"/>
      <c r="D63" s="47"/>
      <c r="E63" s="47"/>
      <c r="F63" s="47"/>
      <c r="G63" s="47"/>
      <c r="H63" s="47"/>
      <c r="I63" s="47"/>
      <c r="J63" s="47"/>
      <c r="K63" s="47"/>
      <c r="L63" s="47"/>
    </row>
    <row r="64" spans="1:24" x14ac:dyDescent="0.3">
      <c r="A64" s="44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</row>
    <row r="65" spans="1:12" ht="22.8" x14ac:dyDescent="0.4">
      <c r="A65" s="44"/>
      <c r="B65" s="154"/>
      <c r="C65" s="154"/>
      <c r="D65" s="154"/>
      <c r="E65" s="154"/>
      <c r="F65" s="154"/>
      <c r="G65" s="154"/>
      <c r="H65" s="154"/>
      <c r="I65" s="154"/>
      <c r="J65" s="154"/>
      <c r="K65" s="154"/>
      <c r="L65" s="154"/>
    </row>
    <row r="66" spans="1:12" x14ac:dyDescent="0.3">
      <c r="A66" s="44"/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</row>
    <row r="67" spans="1:12" ht="20.399999999999999" x14ac:dyDescent="0.35">
      <c r="A67" s="44"/>
      <c r="B67" s="147"/>
      <c r="C67" s="147"/>
      <c r="D67" s="147"/>
      <c r="E67" s="147"/>
      <c r="F67" s="147"/>
      <c r="G67" s="147"/>
      <c r="H67" s="147"/>
      <c r="I67" s="147"/>
      <c r="J67" s="147"/>
      <c r="K67" s="147"/>
      <c r="L67" s="147"/>
    </row>
  </sheetData>
  <mergeCells count="29">
    <mergeCell ref="P43:R43"/>
    <mergeCell ref="P49:R49"/>
    <mergeCell ref="P47:R47"/>
    <mergeCell ref="P46:R46"/>
    <mergeCell ref="P45:R45"/>
    <mergeCell ref="P44:R44"/>
    <mergeCell ref="P48:R48"/>
    <mergeCell ref="B55:F55"/>
    <mergeCell ref="G55:H55"/>
    <mergeCell ref="N22:O22"/>
    <mergeCell ref="N23:O23"/>
    <mergeCell ref="N24:O24"/>
    <mergeCell ref="N25:O25"/>
    <mergeCell ref="N21:O21"/>
    <mergeCell ref="C19:I19"/>
    <mergeCell ref="B3:D10"/>
    <mergeCell ref="B67:L67"/>
    <mergeCell ref="B26:L26"/>
    <mergeCell ref="B23:L23"/>
    <mergeCell ref="D12:G12"/>
    <mergeCell ref="D13:G13"/>
    <mergeCell ref="O40:P40"/>
    <mergeCell ref="I25:J25"/>
    <mergeCell ref="B21:C21"/>
    <mergeCell ref="B65:L65"/>
    <mergeCell ref="B56:C56"/>
    <mergeCell ref="B57:I57"/>
    <mergeCell ref="B59:F59"/>
    <mergeCell ref="B60:F60"/>
  </mergeCells>
  <dataValidations count="3">
    <dataValidation type="list" allowBlank="1" showInputMessage="1" showErrorMessage="1" sqref="O18" xr:uid="{B2186F8A-FA68-43E5-A91E-FEF305A854E4}">
      <formula1>$P$21:$S$21</formula1>
    </dataValidation>
    <dataValidation type="list" allowBlank="1" showInputMessage="1" showErrorMessage="1" sqref="N28" xr:uid="{54955CAE-50CD-4105-8B4E-7124C7DF89DB}">
      <formula1>$O$22:$O$23</formula1>
    </dataValidation>
    <dataValidation type="list" allowBlank="1" showInputMessage="1" showErrorMessage="1" sqref="C29:C39 C43:C45" xr:uid="{F6829E47-6978-4BE0-83DF-3C96F1E9BF59}">
      <formula1>liste_code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8" r:id="rId4" name="Check Box 12">
              <controlPr defaultSize="0" autoFill="0" autoLine="0" autoPict="0">
                <anchor moveWithCells="1">
                  <from>
                    <xdr:col>14</xdr:col>
                    <xdr:colOff>266700</xdr:colOff>
                    <xdr:row>42</xdr:row>
                    <xdr:rowOff>83820</xdr:rowOff>
                  </from>
                  <to>
                    <xdr:col>15</xdr:col>
                    <xdr:colOff>464820</xdr:colOff>
                    <xdr:row>42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5" name="Check Box 13">
              <controlPr defaultSize="0" autoFill="0" autoLine="0" autoPict="0">
                <anchor moveWithCells="1">
                  <from>
                    <xdr:col>14</xdr:col>
                    <xdr:colOff>266700</xdr:colOff>
                    <xdr:row>43</xdr:row>
                    <xdr:rowOff>83820</xdr:rowOff>
                  </from>
                  <to>
                    <xdr:col>15</xdr:col>
                    <xdr:colOff>464820</xdr:colOff>
                    <xdr:row>43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6" name="Check Box 14">
              <controlPr defaultSize="0" autoFill="0" autoLine="0" autoPict="0">
                <anchor moveWithCells="1">
                  <from>
                    <xdr:col>14</xdr:col>
                    <xdr:colOff>266700</xdr:colOff>
                    <xdr:row>44</xdr:row>
                    <xdr:rowOff>83820</xdr:rowOff>
                  </from>
                  <to>
                    <xdr:col>15</xdr:col>
                    <xdr:colOff>464820</xdr:colOff>
                    <xdr:row>44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7" name="Check Box 15">
              <controlPr defaultSize="0" autoFill="0" autoLine="0" autoPict="0">
                <anchor moveWithCells="1">
                  <from>
                    <xdr:col>14</xdr:col>
                    <xdr:colOff>266700</xdr:colOff>
                    <xdr:row>45</xdr:row>
                    <xdr:rowOff>83820</xdr:rowOff>
                  </from>
                  <to>
                    <xdr:col>15</xdr:col>
                    <xdr:colOff>464820</xdr:colOff>
                    <xdr:row>45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8" name="Check Box 16">
              <controlPr defaultSize="0" autoFill="0" autoLine="0" autoPict="0">
                <anchor moveWithCells="1">
                  <from>
                    <xdr:col>14</xdr:col>
                    <xdr:colOff>266700</xdr:colOff>
                    <xdr:row>46</xdr:row>
                    <xdr:rowOff>83820</xdr:rowOff>
                  </from>
                  <to>
                    <xdr:col>15</xdr:col>
                    <xdr:colOff>464820</xdr:colOff>
                    <xdr:row>46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9" name="Check Box 21">
              <controlPr defaultSize="0" autoFill="0" autoLine="0" autoPict="0">
                <anchor moveWithCells="1">
                  <from>
                    <xdr:col>14</xdr:col>
                    <xdr:colOff>266700</xdr:colOff>
                    <xdr:row>47</xdr:row>
                    <xdr:rowOff>83820</xdr:rowOff>
                  </from>
                  <to>
                    <xdr:col>15</xdr:col>
                    <xdr:colOff>464820</xdr:colOff>
                    <xdr:row>47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1C16A-7278-46A5-A5F7-824998156C55}">
  <sheetPr>
    <pageSetUpPr fitToPage="1"/>
  </sheetPr>
  <dimension ref="A1:T40"/>
  <sheetViews>
    <sheetView topLeftCell="A17" workbookViewId="0">
      <selection activeCell="B50" sqref="B50"/>
    </sheetView>
  </sheetViews>
  <sheetFormatPr baseColWidth="10" defaultColWidth="8.88671875" defaultRowHeight="14.4" x14ac:dyDescent="0.3"/>
  <cols>
    <col min="1" max="1" width="12.77734375" style="6" customWidth="1"/>
    <col min="2" max="2" width="36.77734375" style="5" customWidth="1"/>
    <col min="3" max="3" width="10.77734375" style="5" customWidth="1"/>
    <col min="4" max="13" width="8.77734375" style="5" customWidth="1"/>
    <col min="14" max="18" width="8.88671875" style="5" customWidth="1"/>
    <col min="19" max="16384" width="8.88671875" style="5"/>
  </cols>
  <sheetData>
    <row r="1" spans="1:20" x14ac:dyDescent="0.3">
      <c r="A1" s="164"/>
      <c r="B1" s="164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20" x14ac:dyDescent="0.3">
      <c r="A2" s="164"/>
      <c r="B2" s="164"/>
      <c r="C2" s="8"/>
      <c r="D2" s="176" t="s">
        <v>51</v>
      </c>
      <c r="E2" s="176"/>
      <c r="F2" s="176"/>
      <c r="G2" s="176"/>
      <c r="H2" s="176"/>
      <c r="I2" s="176"/>
      <c r="J2" s="176"/>
      <c r="K2" s="176"/>
      <c r="L2" s="176"/>
      <c r="M2" s="176"/>
      <c r="N2" s="8"/>
      <c r="O2" s="8"/>
      <c r="P2" s="8"/>
      <c r="Q2" s="8"/>
      <c r="R2" s="8"/>
      <c r="S2" s="8"/>
    </row>
    <row r="3" spans="1:20" x14ac:dyDescent="0.3">
      <c r="A3" s="164"/>
      <c r="B3" s="164"/>
      <c r="C3" s="8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8"/>
      <c r="O3" s="8"/>
      <c r="P3" s="8"/>
      <c r="Q3" s="8"/>
      <c r="R3" s="8"/>
      <c r="S3" s="8"/>
    </row>
    <row r="4" spans="1:20" x14ac:dyDescent="0.3">
      <c r="A4" s="164"/>
      <c r="B4" s="164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0" x14ac:dyDescent="0.3">
      <c r="A5" s="164"/>
      <c r="B5" s="16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20" x14ac:dyDescent="0.3">
      <c r="A6" s="164"/>
      <c r="B6" s="164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20" x14ac:dyDescent="0.3">
      <c r="A7" s="164"/>
      <c r="B7" s="164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20" ht="14.4" customHeight="1" x14ac:dyDescent="0.3">
      <c r="A8" s="8"/>
      <c r="B8" s="8"/>
      <c r="C8" s="8"/>
      <c r="D8" s="7"/>
      <c r="E8" s="7"/>
      <c r="F8" s="7"/>
      <c r="G8" s="7"/>
      <c r="H8" s="7"/>
      <c r="I8" s="7"/>
      <c r="J8" s="7"/>
      <c r="K8" s="7"/>
      <c r="L8" s="7"/>
      <c r="M8" s="7"/>
      <c r="N8" s="8"/>
      <c r="O8" s="8"/>
      <c r="P8" s="8"/>
      <c r="Q8" s="8"/>
      <c r="R8" s="8"/>
      <c r="S8" s="8"/>
    </row>
    <row r="9" spans="1:20" ht="14.4" customHeight="1" x14ac:dyDescent="0.3">
      <c r="A9" s="9"/>
      <c r="B9" s="4"/>
      <c r="C9" s="1"/>
      <c r="D9" s="169" t="s">
        <v>0</v>
      </c>
      <c r="E9" s="169"/>
      <c r="F9" s="169"/>
      <c r="G9" s="169"/>
      <c r="H9" s="169"/>
      <c r="I9" s="169"/>
      <c r="J9" s="169"/>
      <c r="K9" s="169"/>
      <c r="L9" s="169"/>
      <c r="M9" s="169"/>
      <c r="N9" s="177" t="s">
        <v>1</v>
      </c>
      <c r="O9" s="178"/>
      <c r="P9" s="178"/>
      <c r="Q9" s="178" t="s">
        <v>2</v>
      </c>
      <c r="R9" s="178"/>
      <c r="S9" s="8"/>
    </row>
    <row r="10" spans="1:20" ht="25.95" customHeight="1" x14ac:dyDescent="0.3">
      <c r="A10" s="9"/>
      <c r="B10" s="4"/>
      <c r="C10" s="1"/>
      <c r="D10" s="169" t="s">
        <v>4</v>
      </c>
      <c r="E10" s="169"/>
      <c r="F10" s="174" t="s">
        <v>55</v>
      </c>
      <c r="G10" s="174"/>
      <c r="H10" s="174" t="s">
        <v>52</v>
      </c>
      <c r="I10" s="174"/>
      <c r="J10" s="174" t="s">
        <v>53</v>
      </c>
      <c r="K10" s="174"/>
      <c r="L10" s="175" t="s">
        <v>54</v>
      </c>
      <c r="M10" s="175"/>
      <c r="N10" s="169" t="s">
        <v>5</v>
      </c>
      <c r="O10" s="169" t="s">
        <v>6</v>
      </c>
      <c r="P10" s="169" t="s">
        <v>7</v>
      </c>
      <c r="Q10" s="169" t="s">
        <v>8</v>
      </c>
      <c r="R10" s="169" t="s">
        <v>9</v>
      </c>
      <c r="S10" s="8"/>
    </row>
    <row r="11" spans="1:20" ht="28.8" x14ac:dyDescent="0.3">
      <c r="A11" s="10" t="s">
        <v>12</v>
      </c>
      <c r="B11" s="3" t="s">
        <v>3</v>
      </c>
      <c r="C11" s="2" t="s">
        <v>50</v>
      </c>
      <c r="D11" s="2" t="s">
        <v>10</v>
      </c>
      <c r="E11" s="2" t="s">
        <v>11</v>
      </c>
      <c r="F11" s="173">
        <f>IF(type="client",'tarif client'!F11,IF(type="partenaire",'tarif partenaire'!F11,IF(type="métropole",'tarif métropole'!F11,IF(type="antilles",'tarif antilles'!F11,"Sélectionner Zone O18 dans DEVIS"))))</f>
        <v>0.45</v>
      </c>
      <c r="G11" s="173"/>
      <c r="H11" s="173">
        <f>IF(type="client",'tarif client'!H11,IF(type="partenaire",'tarif partenaire'!H11,IF(type="métropole",'tarif métropole'!H11,IF(type="antilles",'tarif antilles'!H11,"Sélectionner Zone O18 dans DEVIS"))))</f>
        <v>0.45</v>
      </c>
      <c r="I11" s="173"/>
      <c r="J11" s="173">
        <f>IF(type="client",'tarif client'!J11,IF(type="partenaire",'tarif partenaire'!J11,IF(type="métropole",'tarif métropole'!J11,IF(type="antilles",'tarif antilles'!J11,"Sélectionner Zone O18 dans DEVIS"))))</f>
        <v>0.5</v>
      </c>
      <c r="K11" s="173"/>
      <c r="L11" s="173">
        <f>IF(type="client",'tarif client'!L11,IF(type="partenaire",'tarif partenaire'!L11,IF(type="métropole",'tarif métropole'!L11,IF(type="antilles",'tarif antilles'!L11,"Sélectionner Zone O18 dans DEVIS"))))</f>
        <v>0.56000000000000005</v>
      </c>
      <c r="M11" s="173"/>
      <c r="N11" s="169"/>
      <c r="O11" s="169"/>
      <c r="P11" s="169"/>
      <c r="Q11" s="169"/>
      <c r="R11" s="169"/>
      <c r="S11" s="8"/>
      <c r="T11" s="5" t="s">
        <v>63</v>
      </c>
    </row>
    <row r="12" spans="1:20" ht="19.95" customHeight="1" x14ac:dyDescent="0.3">
      <c r="A12" s="43" t="str">
        <f>IF(type="client",'tarif client'!A12,IF(type="partenaire",'tarif partenaire'!A12,IF(type="métropole",'tarif métropole'!A12,IF(type="antilles",'tarif antilles'!A12,"Sélectionner Zone O18 dans DEVIS"))))</f>
        <v>25CR9</v>
      </c>
      <c r="B12" s="43" t="str">
        <f>IF(type="client",'tarif client'!B12,IF(type="partenaire",'tarif partenaire'!B12,IF(type="métropole",'tarif métropole'!B12,IF(type="antilles",'tarif antilles'!B12,"Sélectionner Zone O18 dans DEVIS"))))</f>
        <v xml:space="preserve">Encastrables perforées </v>
      </c>
      <c r="C12" s="11" t="str">
        <f>IF(type="client",'tarif client'!C12,IF(type="partenaire",'tarif partenaire'!C12,IF(type="métropole",'tarif métropole'!C12,IF(type="antilles",'tarif antilles'!C12,"Sélectionner Zone O18 dans DEVIS"))))</f>
        <v>9 x 12,5 x 25</v>
      </c>
      <c r="D12" s="84">
        <f>IF(type="client",'tarif client'!D12,IF(type="partenaire",'tarif partenaire'!D12,IF(type="métropole",'tarif métropole'!D12,IF(type="antilles",'tarif antilles'!D12,"Sélectionner Zone O18 dans DEVIS"))))</f>
        <v>1.8</v>
      </c>
      <c r="E12" s="86">
        <f>IF(type="client",'tarif client'!E12,IF(type="partenaire",'tarif partenaire'!E12,IF(type="métropole",'tarif métropole'!E12,IF(type="antilles",'tarif antilles'!E12,"Sélectionner Zone O18 dans DEVIS"))))</f>
        <v>79.2</v>
      </c>
      <c r="F12" s="84">
        <f>IF(type="client",'tarif client'!F12,IF(type="partenaire",'tarif partenaire'!F12,IF(type="métropole",'tarif métropole'!F12,IF(type="antilles",'tarif antilles'!F12,"Sélectionner Zone O18 dans DEVIS"))))</f>
        <v>0.9900000000000001</v>
      </c>
      <c r="G12" s="86">
        <f>IF(type="client",'tarif client'!G12,IF(type="partenaire",'tarif partenaire'!G12,IF(type="métropole",'tarif métropole'!G12,IF(type="antilles",'tarif antilles'!G12,"Sélectionner Zone O18 dans DEVIS"))))</f>
        <v>44</v>
      </c>
      <c r="H12" s="84">
        <f>IF(type="client",'tarif client'!H12,IF(type="partenaire",'tarif partenaire'!H12,IF(type="métropole",'tarif métropole'!H12,IF(type="antilles",'tarif antilles'!H12,"Sélectionner Zone O18 dans DEVIS"))))</f>
        <v>0.9900000000000001</v>
      </c>
      <c r="I12" s="86">
        <f>IF(type="client",'tarif client'!I12,IF(type="partenaire",'tarif partenaire'!I12,IF(type="métropole",'tarif métropole'!I12,IF(type="antilles",'tarif antilles'!I12,"Sélectionner Zone O18 dans DEVIS"))))</f>
        <v>44</v>
      </c>
      <c r="J12" s="84">
        <f>IF(type="client",'tarif client'!J12,IF(type="partenaire",'tarif partenaire'!J12,IF(type="métropole",'tarif métropole'!J12,IF(type="antilles",'tarif antilles'!J12,"Sélectionner Zone O18 dans DEVIS"))))</f>
        <v>0.9</v>
      </c>
      <c r="K12" s="86">
        <f>IF(type="client",'tarif client'!K12,IF(type="partenaire",'tarif partenaire'!K12,IF(type="métropole",'tarif métropole'!K12,IF(type="antilles",'tarif antilles'!K12,"Sélectionner Zone O18 dans DEVIS"))))</f>
        <v>40</v>
      </c>
      <c r="L12" s="84">
        <f>IF(type="client",'tarif client'!L12,IF(type="partenaire",'tarif partenaire'!L12,IF(type="métropole",'tarif métropole'!L12,IF(type="antilles",'tarif antilles'!L12,"Sélectionner Zone O18 dans DEVIS"))))</f>
        <v>0.79199999999999993</v>
      </c>
      <c r="M12" s="86">
        <f>IF(type="client",'tarif client'!M12,IF(type="partenaire",'tarif partenaire'!M12,IF(type="métropole",'tarif métropole'!M12,IF(type="antilles",'tarif antilles'!M12,"Sélectionner Zone O18 dans DEVIS"))))</f>
        <v>35</v>
      </c>
      <c r="N12" s="87">
        <f>IF(type="client",'tarif client'!N12,IF(type="partenaire",'tarif partenaire'!N12,IF(type="métropole",'tarif métropole'!N12,IF(type="antilles",'tarif antilles'!N12,"Sélectionner Zone O18 dans DEVIS"))))</f>
        <v>44</v>
      </c>
      <c r="O12" s="87">
        <f>IF(type="client",'tarif client'!O12,IF(type="partenaire",'tarif partenaire'!O12,IF(type="métropole",'tarif métropole'!O12,IF(type="antilles",'tarif antilles'!O12,"Sélectionner Zone O18 dans DEVIS"))))</f>
        <v>264</v>
      </c>
      <c r="P12" s="88">
        <f>IF(type="client",'tarif client'!P12,IF(type="partenaire",'tarif partenaire'!P12,IF(type="métropole",'tarif métropole'!P12,IF(type="antilles",'tarif antilles'!P12,"Sélectionner Zone O18 dans DEVIS"))))</f>
        <v>6</v>
      </c>
      <c r="Q12" s="89">
        <f>IF(type="client",'tarif client'!Q12,IF(type="partenaire",'tarif partenaire'!Q12,IF(type="métropole",'tarif métropole'!Q12,IF(type="antilles",'tarif antilles'!Q12,"Sélectionner Zone O18 dans DEVIS"))))</f>
        <v>4.4000000000000004</v>
      </c>
      <c r="R12" s="89">
        <f>IF(type="client",'tarif client'!R12,IF(type="partenaire",'tarif partenaire'!R12,IF(type="métropole",'tarif métropole'!R12,IF(type="antilles",'tarif antilles'!R12,"Sélectionner Zone O18 dans DEVIS"))))</f>
        <v>1191.6000000000001</v>
      </c>
      <c r="S12" s="8"/>
      <c r="T12" s="5" t="s">
        <v>64</v>
      </c>
    </row>
    <row r="13" spans="1:20" ht="19.95" customHeight="1" x14ac:dyDescent="0.3">
      <c r="A13" s="43" t="str">
        <f>IF(type="client",'tarif client'!A13,IF(type="partenaire",'tarif partenaire'!A13,IF(type="métropole",'tarif métropole'!A13,IF(type="antilles",'tarif antilles'!A13,"Sélectionner Zone O18 dans DEVIS"))))</f>
        <v>25PL9</v>
      </c>
      <c r="B13" s="43" t="str">
        <f>IF(type="client",'tarif client'!B13,IF(type="partenaire",'tarif partenaire'!B13,IF(type="métropole",'tarif métropole'!B13,IF(type="antilles",'tarif antilles'!B13,"Sélectionner Zone O18 dans DEVIS"))))</f>
        <v xml:space="preserve">Encastrables pleines </v>
      </c>
      <c r="C13" s="11" t="str">
        <f>IF(type="client",'tarif client'!C13,IF(type="partenaire",'tarif partenaire'!C13,IF(type="métropole",'tarif métropole'!C13,IF(type="antilles",'tarif antilles'!C13,"Sélectionner Zone O18 dans DEVIS"))))</f>
        <v>9 x 12,5 x 25</v>
      </c>
      <c r="D13" s="84">
        <f>IF(type="client",'tarif client'!D13,IF(type="partenaire",'tarif partenaire'!D13,IF(type="métropole",'tarif métropole'!D13,IF(type="antilles",'tarif antilles'!D13,"Sélectionner Zone O18 dans DEVIS"))))</f>
        <v>2.15</v>
      </c>
      <c r="E13" s="86">
        <f>IF(type="client",'tarif client'!E13,IF(type="partenaire",'tarif partenaire'!E13,IF(type="métropole",'tarif métropole'!E13,IF(type="antilles",'tarif antilles'!E13,"Sélectionner Zone O18 dans DEVIS"))))</f>
        <v>94.6</v>
      </c>
      <c r="F13" s="84">
        <f>IF(type="client",'tarif client'!F13,IF(type="partenaire",'tarif partenaire'!F13,IF(type="métropole",'tarif métropole'!F13,IF(type="antilles",'tarif antilles'!F13,"Sélectionner Zone O18 dans DEVIS"))))</f>
        <v>1.1825000000000001</v>
      </c>
      <c r="G13" s="86">
        <f>IF(type="client",'tarif client'!G13,IF(type="partenaire",'tarif partenaire'!G13,IF(type="métropole",'tarif métropole'!G13,IF(type="antilles",'tarif antilles'!G13,"Sélectionner Zone O18 dans DEVIS"))))</f>
        <v>52</v>
      </c>
      <c r="H13" s="84">
        <f>IF(type="client",'tarif client'!H13,IF(type="partenaire",'tarif partenaire'!H13,IF(type="métropole",'tarif métropole'!H13,IF(type="antilles",'tarif antilles'!H13,"Sélectionner Zone O18 dans DEVIS"))))</f>
        <v>1.1825000000000001</v>
      </c>
      <c r="I13" s="86">
        <f>IF(type="client",'tarif client'!I13,IF(type="partenaire",'tarif partenaire'!I13,IF(type="métropole",'tarif métropole'!I13,IF(type="antilles",'tarif antilles'!I13,"Sélectionner Zone O18 dans DEVIS"))))</f>
        <v>52</v>
      </c>
      <c r="J13" s="84">
        <f>IF(type="client",'tarif client'!J13,IF(type="partenaire",'tarif partenaire'!J13,IF(type="métropole",'tarif métropole'!J13,IF(type="antilles",'tarif antilles'!J13,"Sélectionner Zone O18 dans DEVIS"))))</f>
        <v>1.075</v>
      </c>
      <c r="K13" s="86">
        <f>IF(type="client",'tarif client'!K13,IF(type="partenaire",'tarif partenaire'!K13,IF(type="métropole",'tarif métropole'!K13,IF(type="antilles",'tarif antilles'!K13,"Sélectionner Zone O18 dans DEVIS"))))</f>
        <v>47</v>
      </c>
      <c r="L13" s="84">
        <f>IF(type="client",'tarif client'!L13,IF(type="partenaire",'tarif partenaire'!L13,IF(type="métropole",'tarif métropole'!L13,IF(type="antilles",'tarif antilles'!L13,"Sélectionner Zone O18 dans DEVIS"))))</f>
        <v>0.94599999999999984</v>
      </c>
      <c r="M13" s="86">
        <f>IF(type="client",'tarif client'!M13,IF(type="partenaire",'tarif partenaire'!M13,IF(type="métropole",'tarif métropole'!M13,IF(type="antilles",'tarif antilles'!M13,"Sélectionner Zone O18 dans DEVIS"))))</f>
        <v>42</v>
      </c>
      <c r="N13" s="87">
        <f>IF(type="client",'tarif client'!N13,IF(type="partenaire",'tarif partenaire'!N13,IF(type="métropole",'tarif métropole'!N13,IF(type="antilles",'tarif antilles'!N13,"Sélectionner Zone O18 dans DEVIS"))))</f>
        <v>44</v>
      </c>
      <c r="O13" s="87">
        <f>IF(type="client",'tarif client'!O13,IF(type="partenaire",'tarif partenaire'!O13,IF(type="métropole",'tarif métropole'!O13,IF(type="antilles",'tarif antilles'!O13,"Sélectionner Zone O18 dans DEVIS"))))</f>
        <v>220</v>
      </c>
      <c r="P13" s="88">
        <f>IF(type="client",'tarif client'!P13,IF(type="partenaire",'tarif partenaire'!P13,IF(type="métropole",'tarif métropole'!P13,IF(type="antilles",'tarif antilles'!P13,"Sélectionner Zone O18 dans DEVIS"))))</f>
        <v>5</v>
      </c>
      <c r="Q13" s="89">
        <f>IF(type="client",'tarif client'!Q13,IF(type="partenaire",'tarif partenaire'!Q13,IF(type="métropole",'tarif métropole'!Q13,IF(type="antilles",'tarif antilles'!Q13,"Sélectionner Zone O18 dans DEVIS"))))</f>
        <v>5.2</v>
      </c>
      <c r="R13" s="89">
        <f>IF(type="client",'tarif client'!R13,IF(type="partenaire",'tarif partenaire'!R13,IF(type="métropole",'tarif métropole'!R13,IF(type="antilles",'tarif antilles'!R13,"Sélectionner Zone O18 dans DEVIS"))))</f>
        <v>1174</v>
      </c>
      <c r="S13" s="8"/>
      <c r="T13" s="5" t="s">
        <v>64</v>
      </c>
    </row>
    <row r="14" spans="1:20" ht="19.95" customHeight="1" x14ac:dyDescent="0.3">
      <c r="A14" s="43" t="str">
        <f>IF(type="client",'tarif client'!A14,IF(type="partenaire",'tarif partenaire'!A14,IF(type="métropole",'tarif métropole'!A14,IF(type="antilles",'tarif antilles'!A14,"Sélectionner Zone O18 dans DEVIS"))))</f>
        <v>25LI9</v>
      </c>
      <c r="B14" s="43" t="str">
        <f>IF(type="client",'tarif client'!B14,IF(type="partenaire",'tarif partenaire'!B14,IF(type="métropole",'tarif métropole'!B14,IF(type="antilles",'tarif antilles'!B14,"Sélectionner Zone O18 dans DEVIS"))))</f>
        <v xml:space="preserve">Encastrables lisses </v>
      </c>
      <c r="C14" s="11" t="str">
        <f>IF(type="client",'tarif client'!C14,IF(type="partenaire",'tarif partenaire'!C14,IF(type="métropole",'tarif métropole'!C14,IF(type="antilles",'tarif antilles'!C14,"Sélectionner Zone O18 dans DEVIS"))))</f>
        <v>9 x 12,5 x 25</v>
      </c>
      <c r="D14" s="84">
        <f>IF(type="client",'tarif client'!D14,IF(type="partenaire",'tarif partenaire'!D14,IF(type="métropole",'tarif métropole'!D14,IF(type="antilles",'tarif antilles'!D14,"Sélectionner Zone O18 dans DEVIS"))))</f>
        <v>2.4</v>
      </c>
      <c r="E14" s="86">
        <f>IF(type="client",'tarif client'!E14,IF(type="partenaire",'tarif partenaire'!E14,IF(type="métropole",'tarif métropole'!E14,IF(type="antilles",'tarif antilles'!E14,"Sélectionner Zone O18 dans DEVIS"))))</f>
        <v>105.6</v>
      </c>
      <c r="F14" s="84">
        <f>IF(type="client",'tarif client'!F14,IF(type="partenaire",'tarif partenaire'!F14,IF(type="métropole",'tarif métropole'!F14,IF(type="antilles",'tarif antilles'!F14,"Sélectionner Zone O18 dans DEVIS"))))</f>
        <v>1.32</v>
      </c>
      <c r="G14" s="86">
        <f>IF(type="client",'tarif client'!G14,IF(type="partenaire",'tarif partenaire'!G14,IF(type="métropole",'tarif métropole'!G14,IF(type="antilles",'tarif antilles'!G14,"Sélectionner Zone O18 dans DEVIS"))))</f>
        <v>58</v>
      </c>
      <c r="H14" s="84">
        <f>IF(type="client",'tarif client'!H14,IF(type="partenaire",'tarif partenaire'!H14,IF(type="métropole",'tarif métropole'!H14,IF(type="antilles",'tarif antilles'!H14,"Sélectionner Zone O18 dans DEVIS"))))</f>
        <v>1.32</v>
      </c>
      <c r="I14" s="86">
        <f>IF(type="client",'tarif client'!I14,IF(type="partenaire",'tarif partenaire'!I14,IF(type="métropole",'tarif métropole'!I14,IF(type="antilles",'tarif antilles'!I14,"Sélectionner Zone O18 dans DEVIS"))))</f>
        <v>58</v>
      </c>
      <c r="J14" s="84">
        <f>IF(type="client",'tarif client'!J14,IF(type="partenaire",'tarif partenaire'!J14,IF(type="métropole",'tarif métropole'!J14,IF(type="antilles",'tarif antilles'!J14,"Sélectionner Zone O18 dans DEVIS"))))</f>
        <v>1.2</v>
      </c>
      <c r="K14" s="86">
        <f>IF(type="client",'tarif client'!K14,IF(type="partenaire",'tarif partenaire'!K14,IF(type="métropole",'tarif métropole'!K14,IF(type="antilles",'tarif antilles'!K14,"Sélectionner Zone O18 dans DEVIS"))))</f>
        <v>53</v>
      </c>
      <c r="L14" s="84">
        <f>IF(type="client",'tarif client'!L14,IF(type="partenaire",'tarif partenaire'!L14,IF(type="métropole",'tarif métropole'!L14,IF(type="antilles",'tarif antilles'!L14,"Sélectionner Zone O18 dans DEVIS"))))</f>
        <v>1.0559999999999998</v>
      </c>
      <c r="M14" s="86">
        <f>IF(type="client",'tarif client'!M14,IF(type="partenaire",'tarif partenaire'!M14,IF(type="métropole",'tarif métropole'!M14,IF(type="antilles",'tarif antilles'!M14,"Sélectionner Zone O18 dans DEVIS"))))</f>
        <v>46</v>
      </c>
      <c r="N14" s="87">
        <f>IF(type="client",'tarif client'!N14,IF(type="partenaire",'tarif partenaire'!N14,IF(type="métropole",'tarif métropole'!N14,IF(type="antilles",'tarif antilles'!N14,"Sélectionner Zone O18 dans DEVIS"))))</f>
        <v>44</v>
      </c>
      <c r="O14" s="87">
        <f>IF(type="client",'tarif client'!O14,IF(type="partenaire",'tarif partenaire'!O14,IF(type="métropole",'tarif métropole'!O14,IF(type="antilles",'tarif antilles'!O14,"Sélectionner Zone O18 dans DEVIS"))))</f>
        <v>220</v>
      </c>
      <c r="P14" s="88">
        <f>IF(type="client",'tarif client'!P14,IF(type="partenaire",'tarif partenaire'!P14,IF(type="métropole",'tarif métropole'!P14,IF(type="antilles",'tarif antilles'!P14,"Sélectionner Zone O18 dans DEVIS"))))</f>
        <v>5</v>
      </c>
      <c r="Q14" s="89">
        <f>IF(type="client",'tarif client'!Q14,IF(type="partenaire",'tarif partenaire'!Q14,IF(type="métropole",'tarif métropole'!Q14,IF(type="antilles",'tarif antilles'!Q14,"Sélectionner Zone O18 dans DEVIS"))))</f>
        <v>5.2</v>
      </c>
      <c r="R14" s="89">
        <f>IF(type="client",'tarif client'!R14,IF(type="partenaire",'tarif partenaire'!R14,IF(type="métropole",'tarif métropole'!R14,IF(type="antilles",'tarif antilles'!R14,"Sélectionner Zone O18 dans DEVIS"))))</f>
        <v>1174</v>
      </c>
      <c r="S14" s="8"/>
      <c r="T14" s="5" t="s">
        <v>64</v>
      </c>
    </row>
    <row r="15" spans="1:20" ht="19.95" customHeight="1" x14ac:dyDescent="0.3">
      <c r="A15" s="43" t="str">
        <f>IF(type="client",'tarif client'!A15,IF(type="partenaire",'tarif partenaire'!A15,IF(type="métropole",'tarif métropole'!A15,IF(type="antilles",'tarif antilles'!A15,"Sélectionner Zone O18 dans DEVIS"))))</f>
        <v>25U9</v>
      </c>
      <c r="B15" s="43" t="str">
        <f>IF(type="client",'tarif client'!B15,IF(type="partenaire",'tarif partenaire'!B15,IF(type="métropole",'tarif métropole'!B15,IF(type="antilles",'tarif antilles'!B15,"Sélectionner Zone O18 dans DEVIS"))))</f>
        <v xml:space="preserve">Encastrables U </v>
      </c>
      <c r="C15" s="11" t="str">
        <f>IF(type="client",'tarif client'!C15,IF(type="partenaire",'tarif partenaire'!C15,IF(type="métropole",'tarif métropole'!C15,IF(type="antilles",'tarif antilles'!C15,"Sélectionner Zone O18 dans DEVIS"))))</f>
        <v>9 x 13 x 25</v>
      </c>
      <c r="D15" s="84">
        <f>IF(type="client",'tarif client'!D15,IF(type="partenaire",'tarif partenaire'!D15,IF(type="métropole",'tarif métropole'!D15,IF(type="antilles",'tarif antilles'!D15,"Sélectionner Zone O18 dans DEVIS"))))</f>
        <v>3.39</v>
      </c>
      <c r="E15" s="86">
        <f>IF(type="client",'tarif client'!E15,IF(type="partenaire",'tarif partenaire'!E15,IF(type="métropole",'tarif métropole'!E15,IF(type="antilles",'tarif antilles'!E15,"Sélectionner Zone O18 dans DEVIS"))))</f>
        <v>149.16</v>
      </c>
      <c r="F15" s="84">
        <f>IF(type="client",'tarif client'!F15,IF(type="partenaire",'tarif partenaire'!F15,IF(type="métropole",'tarif métropole'!F15,IF(type="antilles",'tarif antilles'!F15,"Sélectionner Zone O18 dans DEVIS"))))</f>
        <v>1.8645000000000003</v>
      </c>
      <c r="G15" s="86">
        <f>IF(type="client",'tarif client'!G15,IF(type="partenaire",'tarif partenaire'!G15,IF(type="métropole",'tarif métropole'!G15,IF(type="antilles",'tarif antilles'!G15,"Sélectionner Zone O18 dans DEVIS"))))</f>
        <v>82</v>
      </c>
      <c r="H15" s="84">
        <f>IF(type="client",'tarif client'!H15,IF(type="partenaire",'tarif partenaire'!H15,IF(type="métropole",'tarif métropole'!H15,IF(type="antilles",'tarif antilles'!H15,"Sélectionner Zone O18 dans DEVIS"))))</f>
        <v>1.8645000000000003</v>
      </c>
      <c r="I15" s="86">
        <f>IF(type="client",'tarif client'!I15,IF(type="partenaire",'tarif partenaire'!I15,IF(type="métropole",'tarif métropole'!I15,IF(type="antilles",'tarif antilles'!I15,"Sélectionner Zone O18 dans DEVIS"))))</f>
        <v>82</v>
      </c>
      <c r="J15" s="84">
        <f>IF(type="client",'tarif client'!J15,IF(type="partenaire",'tarif partenaire'!J15,IF(type="métropole",'tarif métropole'!J15,IF(type="antilles",'tarif antilles'!J15,"Sélectionner Zone O18 dans DEVIS"))))</f>
        <v>1.6950000000000001</v>
      </c>
      <c r="K15" s="86">
        <f>IF(type="client",'tarif client'!K15,IF(type="partenaire",'tarif partenaire'!K15,IF(type="métropole",'tarif métropole'!K15,IF(type="antilles",'tarif antilles'!K15,"Sélectionner Zone O18 dans DEVIS"))))</f>
        <v>75</v>
      </c>
      <c r="L15" s="84">
        <f>IF(type="client",'tarif client'!L15,IF(type="partenaire",'tarif partenaire'!L15,IF(type="métropole",'tarif métropole'!L15,IF(type="antilles",'tarif antilles'!L15,"Sélectionner Zone O18 dans DEVIS"))))</f>
        <v>1.4915999999999998</v>
      </c>
      <c r="M15" s="86">
        <f>IF(type="client",'tarif client'!M15,IF(type="partenaire",'tarif partenaire'!M15,IF(type="métropole",'tarif métropole'!M15,IF(type="antilles",'tarif antilles'!M15,"Sélectionner Zone O18 dans DEVIS"))))</f>
        <v>66</v>
      </c>
      <c r="N15" s="87">
        <f>IF(type="client",'tarif client'!N15,IF(type="partenaire",'tarif partenaire'!N15,IF(type="métropole",'tarif métropole'!N15,IF(type="antilles",'tarif antilles'!N15,"Sélectionner Zone O18 dans DEVIS"))))</f>
        <v>44</v>
      </c>
      <c r="O15" s="87">
        <f>IF(type="client",'tarif client'!O15,IF(type="partenaire",'tarif partenaire'!O15,IF(type="métropole",'tarif métropole'!O15,IF(type="antilles",'tarif antilles'!O15,"Sélectionner Zone O18 dans DEVIS"))))</f>
        <v>264</v>
      </c>
      <c r="P15" s="88">
        <f>IF(type="client",'tarif client'!P15,IF(type="partenaire",'tarif partenaire'!P15,IF(type="métropole",'tarif métropole'!P15,IF(type="antilles",'tarif antilles'!P15,"Sélectionner Zone O18 dans DEVIS"))))</f>
        <v>6</v>
      </c>
      <c r="Q15" s="89">
        <f>IF(type="client",'tarif client'!Q15,IF(type="partenaire",'tarif partenaire'!Q15,IF(type="métropole",'tarif métropole'!Q15,IF(type="antilles",'tarif antilles'!Q15,"Sélectionner Zone O18 dans DEVIS"))))</f>
        <v>3.2</v>
      </c>
      <c r="R15" s="89">
        <f>IF(type="client",'tarif client'!R15,IF(type="partenaire",'tarif partenaire'!R15,IF(type="métropole",'tarif métropole'!R15,IF(type="antilles",'tarif antilles'!R15,"Sélectionner Zone O18 dans DEVIS"))))</f>
        <v>874.80000000000007</v>
      </c>
      <c r="S15" s="8"/>
      <c r="T15" s="5" t="s">
        <v>64</v>
      </c>
    </row>
    <row r="16" spans="1:20" ht="19.95" customHeight="1" x14ac:dyDescent="0.3">
      <c r="A16" s="43" t="str">
        <f>IF(type="client",'tarif client'!A16,IF(type="partenaire",'tarif partenaire'!A16,IF(type="métropole",'tarif métropole'!A16,IF(type="antilles",'tarif antilles'!A16,"Sélectionner Zone O18 dans DEVIS"))))</f>
        <v>30CR11</v>
      </c>
      <c r="B16" s="43" t="str">
        <f>IF(type="client",'tarif client'!B16,IF(type="partenaire",'tarif partenaire'!B16,IF(type="métropole",'tarif métropole'!B16,IF(type="antilles",'tarif antilles'!B16,"Sélectionner Zone O18 dans DEVIS"))))</f>
        <v xml:space="preserve">Encastrables perforées </v>
      </c>
      <c r="C16" s="11" t="str">
        <f>IF(type="client",'tarif client'!C16,IF(type="partenaire",'tarif partenaire'!C16,IF(type="métropole",'tarif métropole'!C16,IF(type="antilles",'tarif antilles'!C16,"Sélectionner Zone O18 dans DEVIS"))))</f>
        <v>11 x 15 x 30</v>
      </c>
      <c r="D16" s="84">
        <f>IF(type="client",'tarif client'!D16,IF(type="partenaire",'tarif partenaire'!D16,IF(type="métropole",'tarif métropole'!D16,IF(type="antilles",'tarif antilles'!D16,"Sélectionner Zone O18 dans DEVIS"))))</f>
        <v>2.61</v>
      </c>
      <c r="E16" s="86">
        <f>IF(type="client",'tarif client'!E16,IF(type="partenaire",'tarif partenaire'!E16,IF(type="métropole",'tarif métropole'!E16,IF(type="antilles",'tarif antilles'!E16,"Sélectionner Zone O18 dans DEVIS"))))</f>
        <v>78.3</v>
      </c>
      <c r="F16" s="84">
        <f>IF(type="client",'tarif client'!F16,IF(type="partenaire",'tarif partenaire'!F16,IF(type="métropole",'tarif métropole'!F16,IF(type="antilles",'tarif antilles'!F16,"Sélectionner Zone O18 dans DEVIS"))))</f>
        <v>1.4355</v>
      </c>
      <c r="G16" s="86">
        <f>IF(type="client",'tarif client'!G16,IF(type="partenaire",'tarif partenaire'!G16,IF(type="métropole",'tarif métropole'!G16,IF(type="antilles",'tarif antilles'!G16,"Sélectionner Zone O18 dans DEVIS"))))</f>
        <v>43</v>
      </c>
      <c r="H16" s="84">
        <f>IF(type="client",'tarif client'!H16,IF(type="partenaire",'tarif partenaire'!H16,IF(type="métropole",'tarif métropole'!H16,IF(type="antilles",'tarif antilles'!H16,"Sélectionner Zone O18 dans DEVIS"))))</f>
        <v>1.4355</v>
      </c>
      <c r="I16" s="86">
        <f>IF(type="client",'tarif client'!I16,IF(type="partenaire",'tarif partenaire'!I16,IF(type="métropole",'tarif métropole'!I16,IF(type="antilles",'tarif antilles'!I16,"Sélectionner Zone O18 dans DEVIS"))))</f>
        <v>43</v>
      </c>
      <c r="J16" s="84">
        <f>IF(type="client",'tarif client'!J16,IF(type="partenaire",'tarif partenaire'!J16,IF(type="métropole",'tarif métropole'!J16,IF(type="antilles",'tarif antilles'!J16,"Sélectionner Zone O18 dans DEVIS"))))</f>
        <v>1.3049999999999999</v>
      </c>
      <c r="K16" s="86">
        <f>IF(type="client",'tarif client'!K16,IF(type="partenaire",'tarif partenaire'!K16,IF(type="métropole",'tarif métropole'!K16,IF(type="antilles",'tarif antilles'!K16,"Sélectionner Zone O18 dans DEVIS"))))</f>
        <v>39</v>
      </c>
      <c r="L16" s="84">
        <f>IF(type="client",'tarif client'!L16,IF(type="partenaire",'tarif partenaire'!L16,IF(type="métropole",'tarif métropole'!L16,IF(type="antilles",'tarif antilles'!L16,"Sélectionner Zone O18 dans DEVIS"))))</f>
        <v>1.1483999999999999</v>
      </c>
      <c r="M16" s="86">
        <f>IF(type="client",'tarif client'!M16,IF(type="partenaire",'tarif partenaire'!M16,IF(type="métropole",'tarif métropole'!M16,IF(type="antilles",'tarif antilles'!M16,"Sélectionner Zone O18 dans DEVIS"))))</f>
        <v>34</v>
      </c>
      <c r="N16" s="87">
        <f>IF(type="client",'tarif client'!N16,IF(type="partenaire",'tarif partenaire'!N16,IF(type="métropole",'tarif métropole'!N16,IF(type="antilles",'tarif antilles'!N16,"Sélectionner Zone O18 dans DEVIS"))))</f>
        <v>30</v>
      </c>
      <c r="O16" s="87">
        <f>IF(type="client",'tarif client'!O16,IF(type="partenaire",'tarif partenaire'!O16,IF(type="métropole",'tarif métropole'!O16,IF(type="antilles",'tarif antilles'!O16,"Sélectionner Zone O18 dans DEVIS"))))</f>
        <v>150</v>
      </c>
      <c r="P16" s="88">
        <f>IF(type="client",'tarif client'!P16,IF(type="partenaire",'tarif partenaire'!P16,IF(type="métropole",'tarif métropole'!P16,IF(type="antilles",'tarif antilles'!P16,"Sélectionner Zone O18 dans DEVIS"))))</f>
        <v>5</v>
      </c>
      <c r="Q16" s="89">
        <f>IF(type="client",'tarif client'!Q16,IF(type="partenaire",'tarif partenaire'!Q16,IF(type="métropole",'tarif métropole'!Q16,IF(type="antilles",'tarif antilles'!Q16,"Sélectionner Zone O18 dans DEVIS"))))</f>
        <v>7.8</v>
      </c>
      <c r="R16" s="89">
        <f>IF(type="client",'tarif client'!R16,IF(type="partenaire",'tarif partenaire'!R16,IF(type="métropole",'tarif métropole'!R16,IF(type="antilles",'tarif antilles'!R16,"Sélectionner Zone O18 dans DEVIS"))))</f>
        <v>1200</v>
      </c>
      <c r="S16" s="8"/>
      <c r="T16" s="5" t="s">
        <v>64</v>
      </c>
    </row>
    <row r="17" spans="1:20" ht="19.95" customHeight="1" x14ac:dyDescent="0.3">
      <c r="A17" s="43" t="str">
        <f>IF(type="client",'tarif client'!A17,IF(type="partenaire",'tarif partenaire'!A17,IF(type="métropole",'tarif métropole'!A17,IF(type="antilles",'tarif antilles'!A17,"Sélectionner Zone O18 dans DEVIS"))))</f>
        <v>30PL11</v>
      </c>
      <c r="B17" s="43" t="str">
        <f>IF(type="client",'tarif client'!B17,IF(type="partenaire",'tarif partenaire'!B17,IF(type="métropole",'tarif métropole'!B17,IF(type="antilles",'tarif antilles'!B17,"Sélectionner Zone O18 dans DEVIS"))))</f>
        <v xml:space="preserve">Encastrables pleines </v>
      </c>
      <c r="C17" s="11" t="str">
        <f>IF(type="client",'tarif client'!C17,IF(type="partenaire",'tarif partenaire'!C17,IF(type="métropole",'tarif métropole'!C17,IF(type="antilles",'tarif antilles'!C17,"Sélectionner Zone O18 dans DEVIS"))))</f>
        <v>11 x 15 x 30</v>
      </c>
      <c r="D17" s="84">
        <f>IF(type="client",'tarif client'!D17,IF(type="partenaire",'tarif partenaire'!D17,IF(type="métropole",'tarif métropole'!D17,IF(type="antilles",'tarif antilles'!D17,"Sélectionner Zone O18 dans DEVIS"))))</f>
        <v>3.16</v>
      </c>
      <c r="E17" s="86">
        <f>IF(type="client",'tarif client'!E17,IF(type="partenaire",'tarif partenaire'!E17,IF(type="métropole",'tarif métropole'!E17,IF(type="antilles",'tarif antilles'!E17,"Sélectionner Zone O18 dans DEVIS"))))</f>
        <v>94.800000000000011</v>
      </c>
      <c r="F17" s="84">
        <f>IF(type="client",'tarif client'!F17,IF(type="partenaire",'tarif partenaire'!F17,IF(type="métropole",'tarif métropole'!F17,IF(type="antilles",'tarif antilles'!F17,"Sélectionner Zone O18 dans DEVIS"))))</f>
        <v>1.7380000000000002</v>
      </c>
      <c r="G17" s="86">
        <f>IF(type="client",'tarif client'!G17,IF(type="partenaire",'tarif partenaire'!G17,IF(type="métropole",'tarif métropole'!G17,IF(type="antilles",'tarif antilles'!G17,"Sélectionner Zone O18 dans DEVIS"))))</f>
        <v>52</v>
      </c>
      <c r="H17" s="84">
        <f>IF(type="client",'tarif client'!H17,IF(type="partenaire",'tarif partenaire'!H17,IF(type="métropole",'tarif métropole'!H17,IF(type="antilles",'tarif antilles'!H17,"Sélectionner Zone O18 dans DEVIS"))))</f>
        <v>1.7380000000000002</v>
      </c>
      <c r="I17" s="86">
        <f>IF(type="client",'tarif client'!I17,IF(type="partenaire",'tarif partenaire'!I17,IF(type="métropole",'tarif métropole'!I17,IF(type="antilles",'tarif antilles'!I17,"Sélectionner Zone O18 dans DEVIS"))))</f>
        <v>52</v>
      </c>
      <c r="J17" s="84">
        <f>IF(type="client",'tarif client'!J17,IF(type="partenaire",'tarif partenaire'!J17,IF(type="métropole",'tarif métropole'!J17,IF(type="antilles",'tarif antilles'!J17,"Sélectionner Zone O18 dans DEVIS"))))</f>
        <v>1.58</v>
      </c>
      <c r="K17" s="86">
        <f>IF(type="client",'tarif client'!K17,IF(type="partenaire",'tarif partenaire'!K17,IF(type="métropole",'tarif métropole'!K17,IF(type="antilles",'tarif antilles'!K17,"Sélectionner Zone O18 dans DEVIS"))))</f>
        <v>47</v>
      </c>
      <c r="L17" s="84">
        <f>IF(type="client",'tarif client'!L17,IF(type="partenaire",'tarif partenaire'!L17,IF(type="métropole",'tarif métropole'!L17,IF(type="antilles",'tarif antilles'!L17,"Sélectionner Zone O18 dans DEVIS"))))</f>
        <v>1.3903999999999999</v>
      </c>
      <c r="M17" s="86">
        <f>IF(type="client",'tarif client'!M17,IF(type="partenaire",'tarif partenaire'!M17,IF(type="métropole",'tarif métropole'!M17,IF(type="antilles",'tarif antilles'!M17,"Sélectionner Zone O18 dans DEVIS"))))</f>
        <v>42</v>
      </c>
      <c r="N17" s="87">
        <f>IF(type="client",'tarif client'!N17,IF(type="partenaire",'tarif partenaire'!N17,IF(type="métropole",'tarif métropole'!N17,IF(type="antilles",'tarif antilles'!N17,"Sélectionner Zone O18 dans DEVIS"))))</f>
        <v>30</v>
      </c>
      <c r="O17" s="87">
        <f>IF(type="client",'tarif client'!O17,IF(type="partenaire",'tarif partenaire'!O17,IF(type="métropole",'tarif métropole'!O17,IF(type="antilles",'tarif antilles'!O17,"Sélectionner Zone O18 dans DEVIS"))))</f>
        <v>120</v>
      </c>
      <c r="P17" s="88">
        <f>IF(type="client",'tarif client'!P17,IF(type="partenaire",'tarif partenaire'!P17,IF(type="métropole",'tarif métropole'!P17,IF(type="antilles",'tarif antilles'!P17,"Sélectionner Zone O18 dans DEVIS"))))</f>
        <v>4</v>
      </c>
      <c r="Q17" s="89">
        <f>IF(type="client",'tarif client'!Q17,IF(type="partenaire",'tarif partenaire'!Q17,IF(type="métropole",'tarif métropole'!Q17,IF(type="antilles",'tarif antilles'!Q17,"Sélectionner Zone O18 dans DEVIS"))))</f>
        <v>9</v>
      </c>
      <c r="R17" s="89">
        <f>IF(type="client",'tarif client'!R17,IF(type="partenaire",'tarif partenaire'!R17,IF(type="métropole",'tarif métropole'!R17,IF(type="antilles",'tarif antilles'!R17,"Sélectionner Zone O18 dans DEVIS"))))</f>
        <v>1110</v>
      </c>
      <c r="S17" s="8"/>
      <c r="T17" s="5" t="s">
        <v>64</v>
      </c>
    </row>
    <row r="18" spans="1:20" ht="19.95" customHeight="1" x14ac:dyDescent="0.3">
      <c r="A18" s="43" t="str">
        <f>IF(type="client",'tarif client'!A18,IF(type="partenaire",'tarif partenaire'!A18,IF(type="métropole",'tarif métropole'!A18,IF(type="antilles",'tarif antilles'!A18,"Sélectionner Zone O18 dans DEVIS"))))</f>
        <v>30LI11</v>
      </c>
      <c r="B18" s="43" t="str">
        <f>IF(type="client",'tarif client'!B18,IF(type="partenaire",'tarif partenaire'!B18,IF(type="métropole",'tarif métropole'!B18,IF(type="antilles",'tarif antilles'!B18,"Sélectionner Zone O18 dans DEVIS"))))</f>
        <v xml:space="preserve">Encastrables lisses </v>
      </c>
      <c r="C18" s="11" t="str">
        <f>IF(type="client",'tarif client'!C18,IF(type="partenaire",'tarif partenaire'!C18,IF(type="métropole",'tarif métropole'!C18,IF(type="antilles",'tarif antilles'!C18,"Sélectionner Zone O18 dans DEVIS"))))</f>
        <v>11 x 15 x 30</v>
      </c>
      <c r="D18" s="84">
        <f>IF(type="client",'tarif client'!D18,IF(type="partenaire",'tarif partenaire'!D18,IF(type="métropole",'tarif métropole'!D18,IF(type="antilles",'tarif antilles'!D18,"Sélectionner Zone O18 dans DEVIS"))))</f>
        <v>3.52</v>
      </c>
      <c r="E18" s="86">
        <f>IF(type="client",'tarif client'!E18,IF(type="partenaire",'tarif partenaire'!E18,IF(type="métropole",'tarif métropole'!E18,IF(type="antilles",'tarif antilles'!E18,"Sélectionner Zone O18 dans DEVIS"))))</f>
        <v>105.6</v>
      </c>
      <c r="F18" s="84">
        <f>IF(type="client",'tarif client'!F18,IF(type="partenaire",'tarif partenaire'!F18,IF(type="métropole",'tarif métropole'!F18,IF(type="antilles",'tarif antilles'!F18,"Sélectionner Zone O18 dans DEVIS"))))</f>
        <v>1.9360000000000002</v>
      </c>
      <c r="G18" s="86">
        <f>IF(type="client",'tarif client'!G18,IF(type="partenaire",'tarif partenaire'!G18,IF(type="métropole",'tarif métropole'!G18,IF(type="antilles",'tarif antilles'!G18,"Sélectionner Zone O18 dans DEVIS"))))</f>
        <v>58</v>
      </c>
      <c r="H18" s="84">
        <f>IF(type="client",'tarif client'!H18,IF(type="partenaire",'tarif partenaire'!H18,IF(type="métropole",'tarif métropole'!H18,IF(type="antilles",'tarif antilles'!H18,"Sélectionner Zone O18 dans DEVIS"))))</f>
        <v>1.9360000000000002</v>
      </c>
      <c r="I18" s="86">
        <f>IF(type="client",'tarif client'!I18,IF(type="partenaire",'tarif partenaire'!I18,IF(type="métropole",'tarif métropole'!I18,IF(type="antilles",'tarif antilles'!I18,"Sélectionner Zone O18 dans DEVIS"))))</f>
        <v>58</v>
      </c>
      <c r="J18" s="84">
        <f>IF(type="client",'tarif client'!J18,IF(type="partenaire",'tarif partenaire'!J18,IF(type="métropole",'tarif métropole'!J18,IF(type="antilles",'tarif antilles'!J18,"Sélectionner Zone O18 dans DEVIS"))))</f>
        <v>1.76</v>
      </c>
      <c r="K18" s="86">
        <f>IF(type="client",'tarif client'!K18,IF(type="partenaire",'tarif partenaire'!K18,IF(type="métropole",'tarif métropole'!K18,IF(type="antilles",'tarif antilles'!K18,"Sélectionner Zone O18 dans DEVIS"))))</f>
        <v>53</v>
      </c>
      <c r="L18" s="84">
        <f>IF(type="client",'tarif client'!L18,IF(type="partenaire",'tarif partenaire'!L18,IF(type="métropole",'tarif métropole'!L18,IF(type="antilles",'tarif antilles'!L18,"Sélectionner Zone O18 dans DEVIS"))))</f>
        <v>1.5487999999999997</v>
      </c>
      <c r="M18" s="86">
        <f>IF(type="client",'tarif client'!M18,IF(type="partenaire",'tarif partenaire'!M18,IF(type="métropole",'tarif métropole'!M18,IF(type="antilles",'tarif antilles'!M18,"Sélectionner Zone O18 dans DEVIS"))))</f>
        <v>46</v>
      </c>
      <c r="N18" s="87">
        <f>IF(type="client",'tarif client'!N18,IF(type="partenaire",'tarif partenaire'!N18,IF(type="métropole",'tarif métropole'!N18,IF(type="antilles",'tarif antilles'!N18,"Sélectionner Zone O18 dans DEVIS"))))</f>
        <v>30</v>
      </c>
      <c r="O18" s="87">
        <f>IF(type="client",'tarif client'!O18,IF(type="partenaire",'tarif partenaire'!O18,IF(type="métropole",'tarif métropole'!O18,IF(type="antilles",'tarif antilles'!O18,"Sélectionner Zone O18 dans DEVIS"))))</f>
        <v>120</v>
      </c>
      <c r="P18" s="88">
        <f>IF(type="client",'tarif client'!P18,IF(type="partenaire",'tarif partenaire'!P18,IF(type="métropole",'tarif métropole'!P18,IF(type="antilles",'tarif antilles'!P18,"Sélectionner Zone O18 dans DEVIS"))))</f>
        <v>4</v>
      </c>
      <c r="Q18" s="89">
        <f>IF(type="client",'tarif client'!Q18,IF(type="partenaire",'tarif partenaire'!Q18,IF(type="métropole",'tarif métropole'!Q18,IF(type="antilles",'tarif antilles'!Q18,"Sélectionner Zone O18 dans DEVIS"))))</f>
        <v>9</v>
      </c>
      <c r="R18" s="89">
        <f>IF(type="client",'tarif client'!R18,IF(type="partenaire",'tarif partenaire'!R18,IF(type="métropole",'tarif métropole'!R18,IF(type="antilles",'tarif antilles'!R18,"Sélectionner Zone O18 dans DEVIS"))))</f>
        <v>1110</v>
      </c>
      <c r="S18" s="8"/>
      <c r="T18" s="5" t="s">
        <v>64</v>
      </c>
    </row>
    <row r="19" spans="1:20" ht="19.95" customHeight="1" x14ac:dyDescent="0.3">
      <c r="A19" s="43" t="str">
        <f>IF(type="client",'tarif client'!A19,IF(type="partenaire",'tarif partenaire'!A19,IF(type="métropole",'tarif métropole'!A19,IF(type="antilles",'tarif antilles'!A19,"Sélectionner Zone O18 dans DEVIS"))))</f>
        <v>30U11</v>
      </c>
      <c r="B19" s="43" t="str">
        <f>IF(type="client",'tarif client'!B19,IF(type="partenaire",'tarif partenaire'!B19,IF(type="métropole",'tarif métropole'!B19,IF(type="antilles",'tarif antilles'!B19,"Sélectionner Zone O18 dans DEVIS"))))</f>
        <v xml:space="preserve">Encastrables U </v>
      </c>
      <c r="C19" s="11" t="str">
        <f>IF(type="client",'tarif client'!C19,IF(type="partenaire",'tarif partenaire'!C19,IF(type="métropole",'tarif métropole'!C19,IF(type="antilles",'tarif antilles'!C19,"Sélectionner Zone O18 dans DEVIS"))))</f>
        <v>12 x 15 x 30</v>
      </c>
      <c r="D19" s="84">
        <f>IF(type="client",'tarif client'!D19,IF(type="partenaire",'tarif partenaire'!D19,IF(type="métropole",'tarif métropole'!D19,IF(type="antilles",'tarif antilles'!D19,"Sélectionner Zone O18 dans DEVIS"))))</f>
        <v>4.97</v>
      </c>
      <c r="E19" s="86">
        <f>IF(type="client",'tarif client'!E19,IF(type="partenaire",'tarif partenaire'!E19,IF(type="métropole",'tarif métropole'!E19,IF(type="antilles",'tarif antilles'!E19,"Sélectionner Zone O18 dans DEVIS"))))</f>
        <v>149.1</v>
      </c>
      <c r="F19" s="84">
        <f>IF(type="client",'tarif client'!F19,IF(type="partenaire",'tarif partenaire'!F19,IF(type="métropole",'tarif métropole'!F19,IF(type="antilles",'tarif antilles'!F19,"Sélectionner Zone O18 dans DEVIS"))))</f>
        <v>2.7335000000000003</v>
      </c>
      <c r="G19" s="86">
        <f>IF(type="client",'tarif client'!G19,IF(type="partenaire",'tarif partenaire'!G19,IF(type="métropole",'tarif métropole'!G19,IF(type="antilles",'tarif antilles'!G19,"Sélectionner Zone O18 dans DEVIS"))))</f>
        <v>82</v>
      </c>
      <c r="H19" s="84">
        <f>IF(type="client",'tarif client'!H19,IF(type="partenaire",'tarif partenaire'!H19,IF(type="métropole",'tarif métropole'!H19,IF(type="antilles",'tarif antilles'!H19,"Sélectionner Zone O18 dans DEVIS"))))</f>
        <v>2.7335000000000003</v>
      </c>
      <c r="I19" s="86">
        <f>IF(type="client",'tarif client'!I19,IF(type="partenaire",'tarif partenaire'!I19,IF(type="métropole",'tarif métropole'!I19,IF(type="antilles",'tarif antilles'!I19,"Sélectionner Zone O18 dans DEVIS"))))</f>
        <v>82</v>
      </c>
      <c r="J19" s="84">
        <f>IF(type="client",'tarif client'!J19,IF(type="partenaire",'tarif partenaire'!J19,IF(type="métropole",'tarif métropole'!J19,IF(type="antilles",'tarif antilles'!J19,"Sélectionner Zone O18 dans DEVIS"))))</f>
        <v>2.4849999999999999</v>
      </c>
      <c r="K19" s="86">
        <f>IF(type="client",'tarif client'!K19,IF(type="partenaire",'tarif partenaire'!K19,IF(type="métropole",'tarif métropole'!K19,IF(type="antilles",'tarif antilles'!K19,"Sélectionner Zone O18 dans DEVIS"))))</f>
        <v>75</v>
      </c>
      <c r="L19" s="84">
        <f>IF(type="client",'tarif client'!L19,IF(type="partenaire",'tarif partenaire'!L19,IF(type="métropole",'tarif métropole'!L19,IF(type="antilles",'tarif antilles'!L19,"Sélectionner Zone O18 dans DEVIS"))))</f>
        <v>2.1867999999999994</v>
      </c>
      <c r="M19" s="86">
        <f>IF(type="client",'tarif client'!M19,IF(type="partenaire",'tarif partenaire'!M19,IF(type="métropole",'tarif métropole'!M19,IF(type="antilles",'tarif antilles'!M19,"Sélectionner Zone O18 dans DEVIS"))))</f>
        <v>66</v>
      </c>
      <c r="N19" s="87">
        <f>IF(type="client",'tarif client'!N19,IF(type="partenaire",'tarif partenaire'!N19,IF(type="métropole",'tarif métropole'!N19,IF(type="antilles",'tarif antilles'!N19,"Sélectionner Zone O18 dans DEVIS"))))</f>
        <v>30</v>
      </c>
      <c r="O19" s="87">
        <f>IF(type="client",'tarif client'!O19,IF(type="partenaire",'tarif partenaire'!O19,IF(type="métropole",'tarif métropole'!O19,IF(type="antilles",'tarif antilles'!O19,"Sélectionner Zone O18 dans DEVIS"))))</f>
        <v>180</v>
      </c>
      <c r="P19" s="88">
        <f>IF(type="client",'tarif client'!P19,IF(type="partenaire",'tarif partenaire'!P19,IF(type="métropole",'tarif métropole'!P19,IF(type="antilles",'tarif antilles'!P19,"Sélectionner Zone O18 dans DEVIS"))))</f>
        <v>6</v>
      </c>
      <c r="Q19" s="89">
        <f>IF(type="client",'tarif client'!Q19,IF(type="partenaire",'tarif partenaire'!Q19,IF(type="métropole",'tarif métropole'!Q19,IF(type="antilles",'tarif antilles'!Q19,"Sélectionner Zone O18 dans DEVIS"))))</f>
        <v>5.5</v>
      </c>
      <c r="R19" s="89">
        <f>IF(type="client",'tarif client'!R19,IF(type="partenaire",'tarif partenaire'!R19,IF(type="métropole",'tarif métropole'!R19,IF(type="antilles",'tarif antilles'!R19,"Sélectionner Zone O18 dans DEVIS"))))</f>
        <v>1020</v>
      </c>
      <c r="S19" s="8"/>
      <c r="T19" s="5" t="s">
        <v>64</v>
      </c>
    </row>
    <row r="20" spans="1:20" ht="19.95" customHeight="1" x14ac:dyDescent="0.3">
      <c r="A20" s="43" t="str">
        <f>IF(type="client",'tarif client'!A20,IF(type="partenaire",'tarif partenaire'!A20,IF(type="métropole",'tarif métropole'!A20,IF(type="antilles",'tarif antilles'!A20,"Sélectionner Zone O18 dans DEVIS"))))</f>
        <v>25PAR12</v>
      </c>
      <c r="B20" s="43" t="str">
        <f>IF(type="client",'tarif client'!B20,IF(type="partenaire",'tarif partenaire'!B20,IF(type="métropole",'tarif métropole'!B20,IF(type="antilles",'tarif antilles'!B20,"Sélectionner Zone O18 dans DEVIS"))))</f>
        <v xml:space="preserve">Plaquette de Parement </v>
      </c>
      <c r="C20" s="11" t="str">
        <f>IF(type="client",'tarif client'!C20,IF(type="partenaire",'tarif partenaire'!C20,IF(type="métropole",'tarif métropole'!C20,IF(type="antilles",'tarif antilles'!C20,"Sélectionner Zone O18 dans DEVIS"))))</f>
        <v>2,5 x 12,5 x 25</v>
      </c>
      <c r="D20" s="84">
        <f>IF(type="client",'tarif client'!D20,IF(type="partenaire",'tarif partenaire'!D20,IF(type="métropole",'tarif métropole'!D20,IF(type="antilles",'tarif antilles'!D20,"Sélectionner Zone O18 dans DEVIS"))))</f>
        <v>1.8</v>
      </c>
      <c r="E20" s="86">
        <f>IF(type="client",'tarif client'!E20,IF(type="partenaire",'tarif partenaire'!E20,IF(type="métropole",'tarif métropole'!E20,IF(type="antilles",'tarif antilles'!E20,"Sélectionner Zone O18 dans DEVIS"))))</f>
        <v>57.6</v>
      </c>
      <c r="F20" s="84">
        <f>IF(type="client",'tarif client'!F20,IF(type="partenaire",'tarif partenaire'!F20,IF(type="métropole",'tarif métropole'!F20,IF(type="antilles",'tarif antilles'!F20,"Sélectionner Zone O18 dans DEVIS"))))</f>
        <v>0.9900000000000001</v>
      </c>
      <c r="G20" s="86">
        <f>IF(type="client",'tarif client'!G20,IF(type="partenaire",'tarif partenaire'!G20,IF(type="métropole",'tarif métropole'!G20,IF(type="antilles",'tarif antilles'!G20,"Sélectionner Zone O18 dans DEVIS"))))</f>
        <v>32</v>
      </c>
      <c r="H20" s="84">
        <f>IF(type="client",'tarif client'!H20,IF(type="partenaire",'tarif partenaire'!H20,IF(type="métropole",'tarif métropole'!H20,IF(type="antilles",'tarif antilles'!H20,"Sélectionner Zone O18 dans DEVIS"))))</f>
        <v>0.9900000000000001</v>
      </c>
      <c r="I20" s="86">
        <f>IF(type="client",'tarif client'!I20,IF(type="partenaire",'tarif partenaire'!I20,IF(type="métropole",'tarif métropole'!I20,IF(type="antilles",'tarif antilles'!I20,"Sélectionner Zone O18 dans DEVIS"))))</f>
        <v>32</v>
      </c>
      <c r="J20" s="84">
        <f>IF(type="client",'tarif client'!J20,IF(type="partenaire",'tarif partenaire'!J20,IF(type="métropole",'tarif métropole'!J20,IF(type="antilles",'tarif antilles'!J20,"Sélectionner Zone O18 dans DEVIS"))))</f>
        <v>0.9</v>
      </c>
      <c r="K20" s="86">
        <f>IF(type="client",'tarif client'!K20,IF(type="partenaire",'tarif partenaire'!K20,IF(type="métropole",'tarif métropole'!K20,IF(type="antilles",'tarif antilles'!K20,"Sélectionner Zone O18 dans DEVIS"))))</f>
        <v>29</v>
      </c>
      <c r="L20" s="84">
        <f>IF(type="client",'tarif client'!L20,IF(type="partenaire",'tarif partenaire'!L20,IF(type="métropole",'tarif métropole'!L20,IF(type="antilles",'tarif antilles'!L20,"Sélectionner Zone O18 dans DEVIS"))))</f>
        <v>0.79199999999999993</v>
      </c>
      <c r="M20" s="86">
        <f>IF(type="client",'tarif client'!M20,IF(type="partenaire",'tarif partenaire'!M20,IF(type="métropole",'tarif métropole'!M20,IF(type="antilles",'tarif antilles'!M20,"Sélectionner Zone O18 dans DEVIS"))))</f>
        <v>25</v>
      </c>
      <c r="N20" s="87">
        <f>IF(type="client",'tarif client'!N20,IF(type="partenaire",'tarif partenaire'!N20,IF(type="métropole",'tarif métropole'!N20,IF(type="antilles",'tarif antilles'!N20,"Sélectionner Zone O18 dans DEVIS"))))</f>
        <v>32</v>
      </c>
      <c r="O20" s="87">
        <f>IF(type="client",'tarif client'!O20,IF(type="partenaire",'tarif partenaire'!O20,IF(type="métropole",'tarif métropole'!O20,IF(type="antilles",'tarif antilles'!O20,"Sélectionner Zone O18 dans DEVIS"))))</f>
        <v>800</v>
      </c>
      <c r="P20" s="88">
        <f>IF(type="client",'tarif client'!P20,IF(type="partenaire",'tarif partenaire'!P20,IF(type="métropole",'tarif métropole'!P20,IF(type="antilles",'tarif antilles'!P20,"Sélectionner Zone O18 dans DEVIS"))))</f>
        <v>25</v>
      </c>
      <c r="Q20" s="89">
        <f>IF(type="client",'tarif client'!Q20,IF(type="partenaire",'tarif partenaire'!Q20,IF(type="métropole",'tarif métropole'!Q20,IF(type="antilles",'tarif antilles'!Q20,"Sélectionner Zone O18 dans DEVIS"))))</f>
        <v>1</v>
      </c>
      <c r="R20" s="89">
        <f>IF(type="client",'tarif client'!R20,IF(type="partenaire",'tarif partenaire'!R20,IF(type="métropole",'tarif métropole'!R20,IF(type="antilles",'tarif antilles'!R20,"Sélectionner Zone O18 dans DEVIS"))))</f>
        <v>830</v>
      </c>
      <c r="S20" s="8"/>
      <c r="T20" s="5" t="s">
        <v>64</v>
      </c>
    </row>
    <row r="21" spans="1:20" ht="25.95" customHeight="1" x14ac:dyDescent="0.3">
      <c r="A21" s="43" t="str">
        <f>IF(type="client",'tarif client'!A21,IF(type="partenaire",'tarif partenaire'!A21,IF(type="métropole",'tarif métropole'!A21,IF(type="antilles",'tarif antilles'!A21,"Sélectionner Zone O18 dans DEVIS"))))</f>
        <v>25PACK12</v>
      </c>
      <c r="B21" s="43" t="str">
        <f>IF(type="client",'tarif client'!B21,IF(type="partenaire",'tarif partenaire'!B21,IF(type="métropole",'tarif métropole'!B21,IF(type="antilles",'tarif antilles'!B21,"Sélectionner Zone O18 dans DEVIS"))))</f>
        <v>Plaquette de Parement PACK 12</v>
      </c>
      <c r="C21" s="11" t="str">
        <f>IF(type="client",'tarif client'!C21,IF(type="partenaire",'tarif partenaire'!C21,IF(type="métropole",'tarif métropole'!C21,IF(type="antilles",'tarif antilles'!C21,"Sélectionner Zone O18 dans DEVIS"))))</f>
        <v>2,5 x 12,5 x 25</v>
      </c>
      <c r="D21" s="84">
        <f>IF(type="client",'tarif client'!D21,IF(type="partenaire",'tarif partenaire'!D21,IF(type="métropole",'tarif métropole'!D21,IF(type="antilles",'tarif antilles'!D21,"Sélectionner Zone O18 dans DEVIS"))))</f>
        <v>25</v>
      </c>
      <c r="E21" s="15" t="s">
        <v>49</v>
      </c>
      <c r="F21" s="84">
        <f>IF(type="client",'tarif client'!F21,IF(type="partenaire",'tarif partenaire'!F21,IF(type="métropole",'tarif métropole'!F21,IF(type="antilles",'tarif antilles'!F21,"Sélectionner Zone O18 dans DEVIS"))))</f>
        <v>13.750000000000002</v>
      </c>
      <c r="G21" s="12" t="s">
        <v>49</v>
      </c>
      <c r="H21" s="84">
        <f>IF(type="client",'tarif client'!H21,IF(type="partenaire",'tarif partenaire'!H21,IF(type="métropole",'tarif métropole'!H21,IF(type="antilles",'tarif antilles'!H21,"Sélectionner Zone O18 dans DEVIS"))))</f>
        <v>13.750000000000002</v>
      </c>
      <c r="I21" s="12" t="s">
        <v>49</v>
      </c>
      <c r="J21" s="84">
        <f>IF(type="client",'tarif client'!J21,IF(type="partenaire",'tarif partenaire'!J21,IF(type="métropole",'tarif métropole'!J21,IF(type="antilles",'tarif antilles'!J21,"Sélectionner Zone O18 dans DEVIS"))))</f>
        <v>12.5</v>
      </c>
      <c r="K21" s="12" t="s">
        <v>49</v>
      </c>
      <c r="L21" s="84">
        <f>IF(type="client",'tarif client'!L21,IF(type="partenaire",'tarif partenaire'!L21,IF(type="métropole",'tarif métropole'!L21,IF(type="antilles",'tarif antilles'!L21,"Sélectionner Zone O18 dans DEVIS"))))</f>
        <v>11</v>
      </c>
      <c r="M21" s="12" t="s">
        <v>49</v>
      </c>
      <c r="N21" s="87">
        <f>IF(type="client",'tarif client'!N21,IF(type="partenaire",'tarif partenaire'!N21,IF(type="métropole",'tarif métropole'!N21,IF(type="antilles",'tarif antilles'!N21,"Sélectionner Zone O18 dans DEVIS"))))</f>
        <v>2.68</v>
      </c>
      <c r="O21" s="87">
        <f>IF(type="client",'tarif client'!O21,IF(type="partenaire",'tarif partenaire'!O21,IF(type="métropole",'tarif métropole'!O21,IF(type="antilles",'tarif antilles'!O21,"Sélectionner Zone O18 dans DEVIS"))))</f>
        <v>67</v>
      </c>
      <c r="P21" s="88">
        <f>IF(type="client",'tarif client'!P21,IF(type="partenaire",'tarif partenaire'!P21,IF(type="métropole",'tarif métropole'!P21,IF(type="antilles",'tarif antilles'!P21,"Sélectionner Zone O18 dans DEVIS"))))</f>
        <v>25</v>
      </c>
      <c r="Q21" s="89">
        <f>IF(type="client",'tarif client'!Q21,IF(type="partenaire",'tarif partenaire'!Q21,IF(type="métropole",'tarif métropole'!Q21,IF(type="antilles",'tarif antilles'!Q21,"Sélectionner Zone O18 dans DEVIS"))))</f>
        <v>12</v>
      </c>
      <c r="R21" s="89">
        <f>IF(type="client",'tarif client'!R21,IF(type="partenaire",'tarif partenaire'!R21,IF(type="métropole",'tarif métropole'!R21,IF(type="antilles",'tarif antilles'!R21,"Sélectionner Zone O18 dans DEVIS"))))</f>
        <v>834</v>
      </c>
      <c r="S21" s="8"/>
      <c r="T21" s="5" t="s">
        <v>64</v>
      </c>
    </row>
    <row r="22" spans="1:20" ht="19.95" customHeight="1" x14ac:dyDescent="0.3">
      <c r="A22" s="43" t="str">
        <f>IF(type="client",'tarif client'!A22,IF(type="partenaire",'tarif partenaire'!A22,IF(type="métropole",'tarif métropole'!A22,IF(type="antilles",'tarif antilles'!A22,"Sélectionner Zone O18 dans DEVIS"))))</f>
        <v>30PAR11</v>
      </c>
      <c r="B22" s="43" t="str">
        <f>IF(type="client",'tarif client'!B22,IF(type="partenaire",'tarif partenaire'!B22,IF(type="métropole",'tarif métropole'!B22,IF(type="antilles",'tarif antilles'!B22,"Sélectionner Zone O18 dans DEVIS"))))</f>
        <v xml:space="preserve">Plaquette de Parement </v>
      </c>
      <c r="C22" s="11" t="str">
        <f>IF(type="client",'tarif client'!C22,IF(type="partenaire",'tarif partenaire'!C22,IF(type="métropole",'tarif métropole'!C22,IF(type="antilles",'tarif antilles'!C22,"Sélectionner Zone O18 dans DEVIS"))))</f>
        <v>3 x 11 x 30</v>
      </c>
      <c r="D22" s="84">
        <f>IF(type="client",'tarif client'!D22,IF(type="partenaire",'tarif partenaire'!D22,IF(type="métropole",'tarif métropole'!D22,IF(type="antilles",'tarif antilles'!D22,"Sélectionner Zone O18 dans DEVIS"))))</f>
        <v>2.9</v>
      </c>
      <c r="E22" s="86">
        <f>IF(type="client",'tarif client'!E22,IF(type="partenaire",'tarif partenaire'!E22,IF(type="métropole",'tarif métropole'!E22,IF(type="antilles",'tarif antilles'!E22,"Sélectionner Zone O18 dans DEVIS"))))</f>
        <v>87</v>
      </c>
      <c r="F22" s="84">
        <f>IF(type="client",'tarif client'!F22,IF(type="partenaire",'tarif partenaire'!F22,IF(type="métropole",'tarif métropole'!F22,IF(type="antilles",'tarif antilles'!F22,"Sélectionner Zone O18 dans DEVIS"))))</f>
        <v>1.595</v>
      </c>
      <c r="G22" s="86">
        <f>IF(type="client",'tarif client'!G22,IF(type="partenaire",'tarif partenaire'!G22,IF(type="métropole",'tarif métropole'!G22,IF(type="antilles",'tarif antilles'!G22,"Sélectionner Zone O18 dans DEVIS"))))</f>
        <v>48</v>
      </c>
      <c r="H22" s="84">
        <f>IF(type="client",'tarif client'!H22,IF(type="partenaire",'tarif partenaire'!H22,IF(type="métropole",'tarif métropole'!H22,IF(type="antilles",'tarif antilles'!H22,"Sélectionner Zone O18 dans DEVIS"))))</f>
        <v>1.595</v>
      </c>
      <c r="I22" s="86">
        <f>IF(type="client",'tarif client'!I22,IF(type="partenaire",'tarif partenaire'!I22,IF(type="métropole",'tarif métropole'!I22,IF(type="antilles",'tarif antilles'!I22,"Sélectionner Zone O18 dans DEVIS"))))</f>
        <v>48</v>
      </c>
      <c r="J22" s="84">
        <f>IF(type="client",'tarif client'!J22,IF(type="partenaire",'tarif partenaire'!J22,IF(type="métropole",'tarif métropole'!J22,IF(type="antilles",'tarif antilles'!J22,"Sélectionner Zone O18 dans DEVIS"))))</f>
        <v>1.45</v>
      </c>
      <c r="K22" s="86">
        <f>IF(type="client",'tarif client'!K22,IF(type="partenaire",'tarif partenaire'!K22,IF(type="métropole",'tarif métropole'!K22,IF(type="antilles",'tarif antilles'!K22,"Sélectionner Zone O18 dans DEVIS"))))</f>
        <v>44</v>
      </c>
      <c r="L22" s="84">
        <f>IF(type="client",'tarif client'!L22,IF(type="partenaire",'tarif partenaire'!L22,IF(type="métropole",'tarif métropole'!L22,IF(type="antilles",'tarif antilles'!L22,"Sélectionner Zone O18 dans DEVIS"))))</f>
        <v>1.2759999999999998</v>
      </c>
      <c r="M22" s="86">
        <f>IF(type="client",'tarif client'!M22,IF(type="partenaire",'tarif partenaire'!M22,IF(type="métropole",'tarif métropole'!M22,IF(type="antilles",'tarif antilles'!M22,"Sélectionner Zone O18 dans DEVIS"))))</f>
        <v>38</v>
      </c>
      <c r="N22" s="87">
        <f>IF(type="client",'tarif client'!N22,IF(type="partenaire",'tarif partenaire'!N22,IF(type="métropole",'tarif métropole'!N22,IF(type="antilles",'tarif antilles'!N22,"Sélectionner Zone O18 dans DEVIS"))))</f>
        <v>30</v>
      </c>
      <c r="O22" s="87">
        <f>IF(type="client",'tarif client'!O22,IF(type="partenaire",'tarif partenaire'!O22,IF(type="métropole",'tarif métropole'!O22,IF(type="antilles",'tarif antilles'!O22,"Sélectionner Zone O18 dans DEVIS"))))</f>
        <v>750</v>
      </c>
      <c r="P22" s="88">
        <f>IF(type="client",'tarif client'!P22,IF(type="partenaire",'tarif partenaire'!P22,IF(type="métropole",'tarif métropole'!P22,IF(type="antilles",'tarif antilles'!P22,"Sélectionner Zone O18 dans DEVIS"))))</f>
        <v>25</v>
      </c>
      <c r="Q22" s="89">
        <f>IF(type="client",'tarif client'!Q22,IF(type="partenaire",'tarif partenaire'!Q22,IF(type="métropole",'tarif métropole'!Q22,IF(type="antilles",'tarif antilles'!Q22,"Sélectionner Zone O18 dans DEVIS"))))</f>
        <v>1.4</v>
      </c>
      <c r="R22" s="89">
        <f>IF(type="client",'tarif client'!R22,IF(type="partenaire",'tarif partenaire'!R22,IF(type="métropole",'tarif métropole'!R22,IF(type="antilles",'tarif antilles'!R22,"Sélectionner Zone O18 dans DEVIS"))))</f>
        <v>1080</v>
      </c>
      <c r="S22" s="8"/>
      <c r="T22" s="5" t="s">
        <v>64</v>
      </c>
    </row>
    <row r="23" spans="1:20" ht="19.95" customHeight="1" x14ac:dyDescent="0.3">
      <c r="A23" s="43" t="str">
        <f>IF(type="client",'tarif client'!A23,IF(type="partenaire",'tarif partenaire'!A23,IF(type="métropole",'tarif métropole'!A23,IF(type="antilles",'tarif antilles'!A23,"Sélectionner Zone O18 dans DEVIS"))))</f>
        <v>HSB3,5</v>
      </c>
      <c r="B23" s="43" t="str">
        <f>IF(type="client",'tarif client'!B23,IF(type="partenaire",'tarif partenaire'!B23,IF(type="métropole",'tarif métropole'!B23,IF(type="antilles",'tarif antilles'!B23,"Sélectionner Zone O18 dans DEVIS"))))</f>
        <v>Hydrofuge spécial briques</v>
      </c>
      <c r="C23" s="18"/>
      <c r="D23" s="85">
        <f>IF(type="client",'tarif client'!D23,IF(type="partenaire",'tarif partenaire'!D23,IF(type="métropole",'tarif métropole'!D23,IF(type="antilles",'tarif antilles'!D23,"Sélectionner Zone O18 dans DEVIS"))))</f>
        <v>45.5</v>
      </c>
      <c r="E23" s="100">
        <f>IF(type="client",'tarif client'!E23,IF(type="partenaire",'tarif partenaire'!E23,IF(type="métropole",'tarif métropole'!E23,IF(type="antilles",'tarif antilles'!E23,"Sélectionner Zone O18 dans DEVIS"))))</f>
        <v>3.5</v>
      </c>
      <c r="F23" s="26"/>
      <c r="G23" s="26"/>
      <c r="H23" s="19"/>
      <c r="I23" s="20"/>
      <c r="J23" s="19"/>
      <c r="K23" s="19"/>
      <c r="L23" s="19"/>
      <c r="M23" s="19"/>
      <c r="N23" s="19"/>
      <c r="O23" s="19"/>
      <c r="P23" s="19"/>
      <c r="Q23" s="19"/>
      <c r="R23" s="8"/>
      <c r="S23" s="8"/>
      <c r="T23" s="5" t="s">
        <v>65</v>
      </c>
    </row>
    <row r="24" spans="1:20" ht="19.95" customHeight="1" x14ac:dyDescent="0.3">
      <c r="A24" s="43" t="str">
        <f>IF(type="client",'tarif client'!A24,IF(type="partenaire",'tarif partenaire'!A24,IF(type="métropole",'tarif métropole'!A24,IF(type="antilles",'tarif antilles'!A24,"Sélectionner Zone O18 dans DEVIS"))))</f>
        <v>HSB25</v>
      </c>
      <c r="B24" s="43" t="str">
        <f>IF(type="client",'tarif client'!B24,IF(type="partenaire",'tarif partenaire'!B24,IF(type="métropole",'tarif métropole'!B24,IF(type="antilles",'tarif antilles'!B24,"Sélectionner Zone O18 dans DEVIS"))))</f>
        <v>Hydrofuge spécial briques</v>
      </c>
      <c r="C24" s="18"/>
      <c r="D24" s="85">
        <f>IF(type="client",'tarif client'!D24,IF(type="partenaire",'tarif partenaire'!D24,IF(type="métropole",'tarif métropole'!D24,IF(type="antilles",'tarif antilles'!D24,"Sélectionner Zone O18 dans DEVIS"))))</f>
        <v>324</v>
      </c>
      <c r="E24" s="100">
        <f>IF(type="client",'tarif client'!E24,IF(type="partenaire",'tarif partenaire'!E24,IF(type="métropole",'tarif métropole'!E24,IF(type="antilles",'tarif antilles'!E24,"Sélectionner Zone O18 dans DEVIS"))))</f>
        <v>25</v>
      </c>
      <c r="F24" s="26"/>
      <c r="G24" s="26"/>
      <c r="H24" s="19"/>
      <c r="I24" s="20"/>
      <c r="J24" s="19"/>
      <c r="K24" s="19"/>
      <c r="L24" s="19"/>
      <c r="M24" s="19"/>
      <c r="N24" s="19"/>
      <c r="O24" s="19"/>
      <c r="P24" s="19"/>
      <c r="Q24" s="19"/>
      <c r="R24" s="8"/>
      <c r="S24" s="8"/>
      <c r="T24" s="5" t="s">
        <v>65</v>
      </c>
    </row>
    <row r="25" spans="1:20" ht="19.95" customHeight="1" x14ac:dyDescent="0.3">
      <c r="A25" s="43" t="str">
        <f>IF(type="client",'tarif client'!A25,IF(type="partenaire",'tarif partenaire'!A25,IF(type="métropole",'tarif métropole'!A25,IF(type="antilles",'tarif antilles'!A25,"Sélectionner Zone O18 dans DEVIS"))))</f>
        <v>sika25</v>
      </c>
      <c r="B25" s="43" t="str">
        <f>IF(type="client",'tarif client'!B25,IF(type="partenaire",'tarif partenaire'!B25,IF(type="métropole",'tarif métropole'!B25,IF(type="antilles",'tarif antilles'!B25,"Sélectionner Zone O18 dans DEVIS"))))</f>
        <v>Sika colle joint mince</v>
      </c>
      <c r="C25" s="18"/>
      <c r="D25" s="85">
        <f>IF(type="client",'tarif client'!D25,IF(type="partenaire",'tarif partenaire'!D25,IF(type="métropole",'tarif métropole'!D25,IF(type="antilles",'tarif antilles'!D25,"Sélectionner Zone O18 dans DEVIS"))))</f>
        <v>33.6</v>
      </c>
      <c r="E25" s="101">
        <f>IF(type="client",'tarif client'!E25,IF(type="partenaire",'tarif partenaire'!E25,IF(type="métropole",'tarif métropole'!E25,IF(type="antilles",'tarif antilles'!E25,"Sélectionner Zone O18 dans DEVIS"))))</f>
        <v>25</v>
      </c>
      <c r="F25" s="26"/>
      <c r="G25" s="26"/>
      <c r="H25" s="19"/>
      <c r="I25" s="20"/>
      <c r="J25" s="19"/>
      <c r="K25" s="19"/>
      <c r="L25" s="19"/>
      <c r="M25" s="19"/>
      <c r="N25" s="19"/>
      <c r="O25" s="19"/>
      <c r="P25" s="19"/>
      <c r="Q25" s="19"/>
      <c r="R25" s="8"/>
      <c r="S25" s="8"/>
      <c r="T25" s="5" t="s">
        <v>65</v>
      </c>
    </row>
    <row r="26" spans="1:20" ht="19.95" customHeight="1" x14ac:dyDescent="0.3">
      <c r="A26" s="43" t="str">
        <f>IF(type="client",'tarif client'!A26,IF(type="partenaire",'tarif partenaire'!A26,IF(type="métropole",'tarif métropole'!A26,IF(type="antilles",'tarif antilles'!A26,"Sélectionner Zone O18 dans DEVIS"))))</f>
        <v>Tamis25</v>
      </c>
      <c r="B26" s="43" t="str">
        <f>IF(type="client",'tarif client'!B26,IF(type="partenaire",'tarif partenaire'!B26,IF(type="métropole",'tarif métropole'!B26,IF(type="antilles",'tarif antilles'!B26,"Sélectionner Zone O18 dans DEVIS"))))</f>
        <v>Sac de terre tamisée</v>
      </c>
      <c r="C26" s="18"/>
      <c r="D26" s="85">
        <f>IF(type="client",'tarif client'!D26,IF(type="partenaire",'tarif partenaire'!D26,IF(type="métropole",'tarif métropole'!D26,IF(type="antilles",'tarif antilles'!D26,"Sélectionner Zone O18 dans DEVIS"))))</f>
        <v>25</v>
      </c>
      <c r="E26" s="100">
        <f>IF(type="client",'tarif client'!E26,IF(type="partenaire",'tarif partenaire'!E26,IF(type="métropole",'tarif métropole'!E26,IF(type="antilles",'tarif antilles'!E26,"Sélectionner Zone O18 dans DEVIS"))))</f>
        <v>25</v>
      </c>
      <c r="F26" s="26"/>
      <c r="G26" s="26"/>
      <c r="H26" s="19"/>
      <c r="I26" s="20"/>
      <c r="J26" s="19"/>
      <c r="K26" s="19"/>
      <c r="L26" s="19"/>
      <c r="M26" s="19"/>
      <c r="N26" s="19"/>
      <c r="O26" s="19"/>
      <c r="P26" s="19"/>
      <c r="Q26" s="19"/>
      <c r="R26" s="8"/>
      <c r="S26" s="8"/>
      <c r="T26" s="5" t="s">
        <v>65</v>
      </c>
    </row>
    <row r="27" spans="1:20" ht="13.95" customHeight="1" x14ac:dyDescent="0.3">
      <c r="A27" s="43" t="str">
        <f>IF(type="client",'tarif client'!A27,IF(type="partenaire",'tarif partenaire'!A27,IF(type="métropole",'tarif métropole'!A27,IF(type="antilles",'tarif antilles'!A27,"Sélectionner Zone O18 dans DEVIS"))))</f>
        <v>AchatJointoy</v>
      </c>
      <c r="B27" s="43" t="str">
        <f>IF(type="client",'tarif client'!B27,IF(type="partenaire",'tarif partenaire'!B27,IF(type="métropole",'tarif métropole'!B27,IF(type="antilles",'tarif antilles'!B27,"Sélectionner Zone O18 dans DEVIS"))))</f>
        <v>Jointoyeuse spécial briques</v>
      </c>
      <c r="C27" s="18"/>
      <c r="D27" s="85">
        <f>IF(type="client",'tarif client'!D27,IF(type="partenaire",'tarif partenaire'!D27,IF(type="métropole",'tarif métropole'!D27,IF(type="antilles",'tarif antilles'!D27,"Sélectionner Zone O18 dans DEVIS"))))</f>
        <v>380</v>
      </c>
      <c r="E27" s="19"/>
      <c r="F27" s="19"/>
      <c r="G27" s="19"/>
      <c r="H27" s="19"/>
      <c r="I27" s="20"/>
      <c r="J27" s="19"/>
      <c r="K27" s="19"/>
      <c r="L27" s="19"/>
      <c r="M27" s="19"/>
      <c r="N27" s="19"/>
      <c r="O27" s="19"/>
      <c r="P27" s="19"/>
      <c r="Q27" s="19"/>
      <c r="R27" s="8"/>
      <c r="S27" s="8"/>
      <c r="T27" s="5" t="s">
        <v>66</v>
      </c>
    </row>
    <row r="28" spans="1:20" ht="13.95" customHeight="1" x14ac:dyDescent="0.3">
      <c r="A28" s="43" t="str">
        <f>IF(type="client",'tarif client'!A28,IF(type="partenaire",'tarif partenaire'!A28,IF(type="métropole",'tarif métropole'!A28,IF(type="antilles",'tarif antilles'!A28,"Sélectionner Zone O18 dans DEVIS"))))</f>
        <v>Trans SLM</v>
      </c>
      <c r="B28" s="43" t="str">
        <f>IF(type="client",'tarif client'!B28,IF(type="partenaire",'tarif partenaire'!B28,IF(type="métropole",'tarif métropole'!B28,IF(type="antilles",'tarif antilles'!B28,"Sélectionner Zone O18 dans DEVIS"))))</f>
        <v>transport Saint Laurent du Maroni</v>
      </c>
      <c r="C28" s="18"/>
      <c r="D28" s="85">
        <f>IF(type="client",'tarif client'!D28,IF(type="partenaire",'tarif partenaire'!D28,IF(type="métropole",'tarif métropole'!D28,IF(type="antilles",'tarif antilles'!D28,"Sélectionner Zone O18 dans DEVIS"))))</f>
        <v>400</v>
      </c>
      <c r="E28" s="19"/>
      <c r="F28" s="19"/>
      <c r="G28" s="19"/>
      <c r="H28" s="19"/>
      <c r="I28" s="20"/>
      <c r="J28" s="19"/>
      <c r="K28" s="19"/>
      <c r="L28" s="19"/>
      <c r="M28" s="19"/>
      <c r="N28" s="19"/>
      <c r="O28" s="19"/>
      <c r="P28" s="19"/>
      <c r="Q28" s="19"/>
      <c r="R28" s="8"/>
      <c r="S28" s="8"/>
      <c r="T28" s="5" t="s">
        <v>66</v>
      </c>
    </row>
    <row r="29" spans="1:20" ht="13.95" customHeight="1" x14ac:dyDescent="0.3">
      <c r="A29" s="43" t="str">
        <f>IF(type="client",'tarif client'!A29,IF(type="partenaire",'tarif partenaire'!A29,IF(type="métropole",'tarif métropole'!A29,IF(type="antilles",'tarif antilles'!A29,"Sélectionner Zone O18 dans DEVIS"))))</f>
        <v>Trans DDC</v>
      </c>
      <c r="B29" s="43" t="str">
        <f>IF(type="client",'tarif client'!B29,IF(type="partenaire",'tarif partenaire'!B29,IF(type="métropole",'tarif métropole'!B29,IF(type="antilles",'tarif antilles'!B29,"Sélectionner Zone O18 dans DEVIS"))))</f>
        <v>Transport Cayenne</v>
      </c>
      <c r="C29" s="18"/>
      <c r="D29" s="85">
        <f>IF(type="client",'tarif client'!D29,IF(type="partenaire",'tarif partenaire'!D29,IF(type="métropole",'tarif métropole'!D29,IF(type="antilles",'tarif antilles'!D29,"Sélectionner Zone O18 dans DEVIS"))))</f>
        <v>1000</v>
      </c>
      <c r="E29" s="19"/>
      <c r="F29" s="19"/>
      <c r="G29" s="19"/>
      <c r="H29" s="19"/>
      <c r="I29" s="20"/>
      <c r="J29" s="19"/>
      <c r="K29" s="19"/>
      <c r="L29" s="19"/>
      <c r="M29" s="19"/>
      <c r="N29" s="19"/>
      <c r="O29" s="19"/>
      <c r="P29" s="19"/>
      <c r="Q29" s="19"/>
      <c r="R29" s="8"/>
      <c r="S29" s="8"/>
      <c r="T29" s="5" t="s">
        <v>66</v>
      </c>
    </row>
    <row r="30" spans="1:20" ht="13.95" customHeight="1" x14ac:dyDescent="0.3">
      <c r="A30" s="43" t="str">
        <f>IF(type="client",'tarif client'!A30,IF(type="partenaire",'tarif partenaire'!A30,IF(type="métropole",'tarif métropole'!A30,IF(type="antilles",'tarif antilles'!A30,"Sélectionner Zone O18 dans DEVIS"))))</f>
        <v>LocJointy</v>
      </c>
      <c r="B30" s="43" t="str">
        <f>IF(type="client",'tarif client'!B30,IF(type="partenaire",'tarif partenaire'!B30,IF(type="métropole",'tarif métropole'!B30,IF(type="antilles",'tarif antilles'!B30,"Sélectionner Zone O18 dans DEVIS"))))</f>
        <v>Location Jointoyeuse</v>
      </c>
      <c r="C30" s="18"/>
      <c r="D30" s="85">
        <f>IF(type="client",'tarif client'!D30,IF(type="partenaire",'tarif partenaire'!D30,IF(type="métropole",'tarif métropole'!D30,IF(type="antilles",'tarif antilles'!D30,"Sélectionner Zone O18 dans DEVIS"))))</f>
        <v>50</v>
      </c>
      <c r="E30" s="170" t="s">
        <v>48</v>
      </c>
      <c r="F30" s="170"/>
      <c r="G30" s="170"/>
      <c r="H30" s="170"/>
      <c r="I30" s="20"/>
      <c r="J30" s="19"/>
      <c r="K30" s="19"/>
      <c r="L30" s="19"/>
      <c r="M30" s="19"/>
      <c r="N30" s="19"/>
      <c r="O30" s="19"/>
      <c r="P30" s="19"/>
      <c r="Q30" s="19"/>
      <c r="R30" s="8"/>
      <c r="S30" s="8"/>
      <c r="T30" s="5" t="s">
        <v>66</v>
      </c>
    </row>
    <row r="31" spans="1:20" ht="13.95" customHeight="1" x14ac:dyDescent="0.3">
      <c r="A31" s="23"/>
      <c r="B31" s="24"/>
      <c r="C31" s="18"/>
      <c r="D31" s="25"/>
      <c r="E31" s="26"/>
      <c r="F31" s="26"/>
      <c r="G31" s="26"/>
      <c r="H31" s="26"/>
      <c r="I31" s="20"/>
      <c r="J31" s="19"/>
      <c r="K31" s="19"/>
      <c r="L31" s="19"/>
      <c r="M31" s="19"/>
      <c r="N31" s="19"/>
      <c r="O31" s="19"/>
      <c r="P31" s="19"/>
      <c r="Q31" s="19"/>
      <c r="R31" s="8"/>
      <c r="S31" s="8"/>
    </row>
    <row r="32" spans="1:20" ht="13.95" customHeight="1" x14ac:dyDescent="0.3">
      <c r="A32" s="11" t="s">
        <v>36</v>
      </c>
      <c r="B32" s="171" t="s">
        <v>45</v>
      </c>
      <c r="C32" s="171"/>
      <c r="D32" s="171"/>
      <c r="E32" s="171"/>
      <c r="F32" s="21">
        <v>50</v>
      </c>
      <c r="G32" s="170" t="s">
        <v>47</v>
      </c>
      <c r="H32" s="170"/>
      <c r="I32" s="36"/>
      <c r="J32" s="36"/>
      <c r="K32" s="25"/>
      <c r="L32" s="172"/>
      <c r="M32" s="172"/>
      <c r="N32" s="19"/>
      <c r="O32" s="19"/>
      <c r="P32" s="19"/>
      <c r="Q32" s="19"/>
      <c r="R32" s="8"/>
      <c r="S32" s="8"/>
    </row>
    <row r="33" spans="1:19" ht="13.95" customHeight="1" x14ac:dyDescent="0.3">
      <c r="A33" s="11" t="s">
        <v>37</v>
      </c>
      <c r="B33" s="171" t="s">
        <v>46</v>
      </c>
      <c r="C33" s="171"/>
      <c r="D33" s="171"/>
      <c r="E33" s="171"/>
      <c r="F33" s="21">
        <v>500</v>
      </c>
      <c r="G33" s="170"/>
      <c r="H33" s="170"/>
      <c r="I33" s="36"/>
      <c r="J33" s="36"/>
      <c r="K33" s="25"/>
      <c r="L33" s="172"/>
      <c r="M33" s="172"/>
      <c r="N33" s="8"/>
      <c r="O33" s="8"/>
      <c r="P33" s="8"/>
      <c r="Q33" s="8"/>
      <c r="R33" s="8"/>
      <c r="S33" s="8"/>
    </row>
    <row r="34" spans="1:19" x14ac:dyDescent="0.3">
      <c r="A34" s="23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ht="15.6" x14ac:dyDescent="0.3">
      <c r="A35" s="23"/>
      <c r="B35" s="168"/>
      <c r="C35" s="168"/>
      <c r="D35" s="168"/>
      <c r="E35" s="8"/>
      <c r="F35" s="8"/>
      <c r="G35" s="8"/>
      <c r="H35" s="8"/>
      <c r="I35" s="8"/>
      <c r="J35" s="8"/>
      <c r="K35" s="8"/>
      <c r="L35" s="164" t="s">
        <v>56</v>
      </c>
      <c r="M35" s="164"/>
      <c r="N35" s="164"/>
      <c r="O35" s="8"/>
      <c r="P35" s="8"/>
      <c r="Q35" s="8"/>
      <c r="R35" s="8"/>
      <c r="S35" s="8"/>
    </row>
    <row r="36" spans="1:19" x14ac:dyDescent="0.3">
      <c r="A36" s="23"/>
      <c r="B36" s="8"/>
      <c r="C36" s="8"/>
      <c r="D36" s="8"/>
      <c r="E36" s="8"/>
      <c r="F36" s="165"/>
      <c r="G36" s="165"/>
      <c r="H36" s="165"/>
      <c r="I36" s="37"/>
      <c r="J36" s="37"/>
      <c r="K36" s="8"/>
      <c r="L36" s="8"/>
      <c r="M36" s="8"/>
      <c r="N36" s="8"/>
      <c r="O36" s="8"/>
      <c r="P36" s="8"/>
      <c r="Q36" s="8"/>
      <c r="R36" s="8"/>
      <c r="S36" s="8"/>
    </row>
    <row r="37" spans="1:19" x14ac:dyDescent="0.3">
      <c r="A37" s="166"/>
      <c r="B37" s="166"/>
      <c r="C37" s="166"/>
      <c r="D37" s="166"/>
      <c r="E37" s="166"/>
      <c r="F37" s="165"/>
      <c r="G37" s="165"/>
      <c r="H37" s="165"/>
      <c r="I37" s="37"/>
      <c r="J37" s="37"/>
      <c r="K37" s="8"/>
      <c r="L37" s="8"/>
      <c r="M37" s="8"/>
      <c r="N37" s="8"/>
      <c r="O37" s="8"/>
      <c r="P37" s="8"/>
      <c r="Q37" s="8"/>
      <c r="R37" s="8"/>
      <c r="S37" s="8"/>
    </row>
    <row r="38" spans="1:19" x14ac:dyDescent="0.3">
      <c r="A38" s="166"/>
      <c r="B38" s="166"/>
      <c r="C38" s="166"/>
      <c r="D38" s="166"/>
      <c r="E38" s="166"/>
      <c r="F38" s="167"/>
      <c r="G38" s="167"/>
      <c r="H38" s="167"/>
      <c r="I38" s="167"/>
      <c r="J38" s="167"/>
      <c r="K38" s="8"/>
      <c r="L38" s="8"/>
      <c r="M38" s="8"/>
      <c r="N38" s="8"/>
      <c r="O38" s="8"/>
      <c r="P38" s="8"/>
      <c r="Q38" s="8"/>
      <c r="R38" s="8"/>
      <c r="S38" s="8"/>
    </row>
    <row r="39" spans="1:19" x14ac:dyDescent="0.3">
      <c r="A39" s="23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1:19" x14ac:dyDescent="0.3">
      <c r="A40" s="23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</sheetData>
  <mergeCells count="31">
    <mergeCell ref="A1:B7"/>
    <mergeCell ref="D2:M3"/>
    <mergeCell ref="D9:M9"/>
    <mergeCell ref="N9:P9"/>
    <mergeCell ref="Q9:R9"/>
    <mergeCell ref="Q10:Q11"/>
    <mergeCell ref="R10:R11"/>
    <mergeCell ref="F11:G11"/>
    <mergeCell ref="H11:I11"/>
    <mergeCell ref="J11:K11"/>
    <mergeCell ref="L11:M11"/>
    <mergeCell ref="F10:G10"/>
    <mergeCell ref="H10:I10"/>
    <mergeCell ref="J10:K10"/>
    <mergeCell ref="L10:M10"/>
    <mergeCell ref="B35:D35"/>
    <mergeCell ref="L35:N35"/>
    <mergeCell ref="N10:N11"/>
    <mergeCell ref="O10:O11"/>
    <mergeCell ref="P10:P11"/>
    <mergeCell ref="D10:E10"/>
    <mergeCell ref="E30:H30"/>
    <mergeCell ref="B32:E32"/>
    <mergeCell ref="G32:H33"/>
    <mergeCell ref="L32:M33"/>
    <mergeCell ref="B33:E33"/>
    <mergeCell ref="F36:H36"/>
    <mergeCell ref="A37:E37"/>
    <mergeCell ref="F37:H37"/>
    <mergeCell ref="A38:E38"/>
    <mergeCell ref="F38:J38"/>
  </mergeCells>
  <pageMargins left="0.7" right="0.7" top="0.75" bottom="0.75" header="0.3" footer="0.3"/>
  <pageSetup paperSize="9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9D2E1-AC3F-427C-A941-3A6F9E69AB47}">
  <sheetPr>
    <pageSetUpPr fitToPage="1"/>
  </sheetPr>
  <dimension ref="A1:U40"/>
  <sheetViews>
    <sheetView topLeftCell="A22" workbookViewId="0">
      <selection activeCell="A38" sqref="A35:J38"/>
    </sheetView>
  </sheetViews>
  <sheetFormatPr baseColWidth="10" defaultColWidth="8.88671875" defaultRowHeight="14.4" x14ac:dyDescent="0.3"/>
  <cols>
    <col min="1" max="1" width="12.77734375" style="6" customWidth="1"/>
    <col min="2" max="2" width="36.77734375" style="5" customWidth="1"/>
    <col min="3" max="3" width="10.77734375" style="5" customWidth="1"/>
    <col min="4" max="13" width="8.77734375" style="5" customWidth="1"/>
    <col min="14" max="18" width="8.88671875" style="5" customWidth="1"/>
    <col min="19" max="19" width="3" style="5" customWidth="1"/>
    <col min="20" max="20" width="3.6640625" style="5" customWidth="1"/>
    <col min="21" max="16384" width="8.88671875" style="5"/>
  </cols>
  <sheetData>
    <row r="1" spans="1:21" x14ac:dyDescent="0.3">
      <c r="A1" s="164"/>
      <c r="B1" s="164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21" x14ac:dyDescent="0.3">
      <c r="A2" s="164"/>
      <c r="B2" s="164"/>
      <c r="C2" s="8"/>
      <c r="D2" s="179" t="s">
        <v>58</v>
      </c>
      <c r="E2" s="179"/>
      <c r="F2" s="179"/>
      <c r="G2" s="179"/>
      <c r="H2" s="179"/>
      <c r="I2" s="179"/>
      <c r="J2" s="179"/>
      <c r="K2" s="179"/>
      <c r="L2" s="179"/>
      <c r="M2" s="179"/>
      <c r="N2" s="8"/>
      <c r="O2" s="8"/>
      <c r="P2" s="8"/>
      <c r="Q2" s="8"/>
      <c r="R2" s="8"/>
      <c r="S2" s="8"/>
    </row>
    <row r="3" spans="1:21" x14ac:dyDescent="0.3">
      <c r="A3" s="164"/>
      <c r="B3" s="164"/>
      <c r="C3" s="8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8"/>
      <c r="O3" s="8"/>
      <c r="P3" s="8"/>
      <c r="Q3" s="8"/>
      <c r="R3" s="8"/>
      <c r="S3" s="8"/>
    </row>
    <row r="4" spans="1:21" x14ac:dyDescent="0.3">
      <c r="A4" s="164"/>
      <c r="B4" s="164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x14ac:dyDescent="0.3">
      <c r="A5" s="164"/>
      <c r="B5" s="16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21" x14ac:dyDescent="0.3">
      <c r="A6" s="164"/>
      <c r="B6" s="164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21" x14ac:dyDescent="0.3">
      <c r="A7" s="164"/>
      <c r="B7" s="164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21" ht="14.4" customHeight="1" x14ac:dyDescent="0.3">
      <c r="A8" s="8"/>
      <c r="B8" s="8"/>
      <c r="C8" s="8"/>
      <c r="D8" s="7"/>
      <c r="E8" s="7"/>
      <c r="F8" s="7"/>
      <c r="G8" s="7"/>
      <c r="H8" s="7"/>
      <c r="I8" s="7"/>
      <c r="J8" s="7"/>
      <c r="K8" s="7"/>
      <c r="L8" s="7"/>
      <c r="M8" s="7"/>
      <c r="N8" s="8"/>
      <c r="O8" s="8"/>
      <c r="P8" s="8"/>
      <c r="Q8" s="8"/>
      <c r="R8" s="8"/>
      <c r="S8" s="8"/>
    </row>
    <row r="9" spans="1:21" ht="14.4" customHeight="1" x14ac:dyDescent="0.3">
      <c r="A9" s="9"/>
      <c r="B9" s="4"/>
      <c r="C9" s="1"/>
      <c r="D9" s="169" t="s">
        <v>0</v>
      </c>
      <c r="E9" s="169"/>
      <c r="F9" s="169"/>
      <c r="G9" s="169"/>
      <c r="H9" s="169"/>
      <c r="I9" s="169"/>
      <c r="J9" s="169"/>
      <c r="K9" s="169"/>
      <c r="L9" s="169"/>
      <c r="M9" s="169"/>
      <c r="N9" s="177" t="s">
        <v>1</v>
      </c>
      <c r="O9" s="178"/>
      <c r="P9" s="178"/>
      <c r="Q9" s="178" t="s">
        <v>2</v>
      </c>
      <c r="R9" s="178"/>
      <c r="S9" s="8"/>
    </row>
    <row r="10" spans="1:21" ht="25.95" customHeight="1" x14ac:dyDescent="0.3">
      <c r="A10" s="9"/>
      <c r="B10" s="4"/>
      <c r="C10" s="1"/>
      <c r="D10" s="169" t="s">
        <v>4</v>
      </c>
      <c r="E10" s="169"/>
      <c r="F10" s="174" t="s">
        <v>55</v>
      </c>
      <c r="G10" s="174"/>
      <c r="H10" s="174" t="s">
        <v>52</v>
      </c>
      <c r="I10" s="174"/>
      <c r="J10" s="174" t="s">
        <v>53</v>
      </c>
      <c r="K10" s="174"/>
      <c r="L10" s="175" t="s">
        <v>54</v>
      </c>
      <c r="M10" s="175"/>
      <c r="N10" s="169" t="s">
        <v>5</v>
      </c>
      <c r="O10" s="169" t="s">
        <v>6</v>
      </c>
      <c r="P10" s="169" t="s">
        <v>7</v>
      </c>
      <c r="Q10" s="169" t="s">
        <v>8</v>
      </c>
      <c r="R10" s="169" t="s">
        <v>9</v>
      </c>
      <c r="S10" s="8"/>
    </row>
    <row r="11" spans="1:21" ht="28.8" x14ac:dyDescent="0.3">
      <c r="A11" s="10" t="s">
        <v>12</v>
      </c>
      <c r="B11" s="3" t="s">
        <v>3</v>
      </c>
      <c r="C11" s="2" t="s">
        <v>50</v>
      </c>
      <c r="D11" s="2" t="s">
        <v>10</v>
      </c>
      <c r="E11" s="2" t="s">
        <v>11</v>
      </c>
      <c r="F11" s="173">
        <v>0.25</v>
      </c>
      <c r="G11" s="173"/>
      <c r="H11" s="173">
        <v>0.35</v>
      </c>
      <c r="I11" s="173"/>
      <c r="J11" s="173">
        <v>0.4</v>
      </c>
      <c r="K11" s="173"/>
      <c r="L11" s="173">
        <v>0.45</v>
      </c>
      <c r="M11" s="173"/>
      <c r="N11" s="169"/>
      <c r="O11" s="169"/>
      <c r="P11" s="169"/>
      <c r="Q11" s="169"/>
      <c r="R11" s="169"/>
      <c r="S11" s="8"/>
    </row>
    <row r="12" spans="1:21" ht="19.95" customHeight="1" x14ac:dyDescent="0.3">
      <c r="A12" s="31" t="s">
        <v>13</v>
      </c>
      <c r="B12" s="39" t="s">
        <v>101</v>
      </c>
      <c r="C12" s="42" t="s">
        <v>30</v>
      </c>
      <c r="D12" s="12">
        <v>1.8</v>
      </c>
      <c r="E12" s="13">
        <f>D12*N12</f>
        <v>79.2</v>
      </c>
      <c r="F12" s="12">
        <f>($D12*(1-$F$11))</f>
        <v>1.35</v>
      </c>
      <c r="G12" s="13">
        <f>ROUND($D12*(1-$F$11)*$N12,0)</f>
        <v>59</v>
      </c>
      <c r="H12" s="12">
        <f>($D12*(1-$H$11))</f>
        <v>1.1700000000000002</v>
      </c>
      <c r="I12" s="13">
        <f>ROUND($D12*(1-$H$11)*$N12,0)</f>
        <v>51</v>
      </c>
      <c r="J12" s="12">
        <f>($D12*(1-$J$11))</f>
        <v>1.08</v>
      </c>
      <c r="K12" s="13">
        <f>ROUND($D12*(1-$J$11)*$N12,0)</f>
        <v>48</v>
      </c>
      <c r="L12" s="12">
        <f>($D12*(1-$L$11))</f>
        <v>0.9900000000000001</v>
      </c>
      <c r="M12" s="13">
        <f>ROUND($D12*(1-$L$11)*$N12,0)</f>
        <v>44</v>
      </c>
      <c r="N12" s="33">
        <f>O12/P12</f>
        <v>44</v>
      </c>
      <c r="O12" s="33">
        <v>264</v>
      </c>
      <c r="P12" s="34">
        <v>6</v>
      </c>
      <c r="Q12" s="14">
        <v>4.4000000000000004</v>
      </c>
      <c r="R12" s="14">
        <f>Q12*O12+30</f>
        <v>1191.6000000000001</v>
      </c>
      <c r="S12" s="8"/>
      <c r="U12" s="5" t="s">
        <v>64</v>
      </c>
    </row>
    <row r="13" spans="1:21" ht="19.95" customHeight="1" x14ac:dyDescent="0.3">
      <c r="A13" s="31" t="s">
        <v>14</v>
      </c>
      <c r="B13" s="39" t="s">
        <v>102</v>
      </c>
      <c r="C13" s="42" t="s">
        <v>30</v>
      </c>
      <c r="D13" s="12">
        <v>2.15</v>
      </c>
      <c r="E13" s="13">
        <f t="shared" ref="E13:E20" si="0">D13*N13</f>
        <v>94.6</v>
      </c>
      <c r="F13" s="12">
        <f t="shared" ref="F13:F20" si="1">($D13*(1-$F$11))</f>
        <v>1.6124999999999998</v>
      </c>
      <c r="G13" s="13">
        <f>ROUND($D13*(1-$F$11)*$N13,0)</f>
        <v>71</v>
      </c>
      <c r="H13" s="12">
        <f t="shared" ref="H13:H20" si="2">($D13*(1-$H$11))</f>
        <v>1.3975</v>
      </c>
      <c r="I13" s="13">
        <f t="shared" ref="I13:I20" si="3">ROUND($D13*(1-$H$11)*$N13,0)</f>
        <v>61</v>
      </c>
      <c r="J13" s="12">
        <f t="shared" ref="J13:J20" si="4">($D13*(1-$J$11))</f>
        <v>1.2899999999999998</v>
      </c>
      <c r="K13" s="13">
        <f t="shared" ref="K13:K20" si="5">ROUND($D13*(1-$J$11)*$N13,0)</f>
        <v>57</v>
      </c>
      <c r="L13" s="12">
        <f t="shared" ref="L13:L20" si="6">($D13*(1-$L$11))</f>
        <v>1.1825000000000001</v>
      </c>
      <c r="M13" s="13">
        <f t="shared" ref="M13:M20" si="7">ROUND($D13*(1-$L$11)*$N13,0)</f>
        <v>52</v>
      </c>
      <c r="N13" s="33">
        <f t="shared" ref="N13:N18" si="8">O13/P13</f>
        <v>44</v>
      </c>
      <c r="O13" s="33">
        <v>220</v>
      </c>
      <c r="P13" s="34">
        <v>5</v>
      </c>
      <c r="Q13" s="14">
        <v>5.2</v>
      </c>
      <c r="R13" s="14">
        <f t="shared" ref="R13:R22" si="9">Q13*O13+30</f>
        <v>1174</v>
      </c>
      <c r="S13" s="8"/>
      <c r="U13" s="5" t="s">
        <v>64</v>
      </c>
    </row>
    <row r="14" spans="1:21" ht="19.95" customHeight="1" x14ac:dyDescent="0.3">
      <c r="A14" s="31" t="s">
        <v>15</v>
      </c>
      <c r="B14" s="39" t="s">
        <v>103</v>
      </c>
      <c r="C14" s="42" t="s">
        <v>30</v>
      </c>
      <c r="D14" s="12">
        <v>2.4</v>
      </c>
      <c r="E14" s="13">
        <f t="shared" si="0"/>
        <v>105.6</v>
      </c>
      <c r="F14" s="12">
        <f t="shared" si="1"/>
        <v>1.7999999999999998</v>
      </c>
      <c r="G14" s="13">
        <f>ROUND($D14*(1-$F$11)*$N14,0)</f>
        <v>79</v>
      </c>
      <c r="H14" s="12">
        <f t="shared" si="2"/>
        <v>1.56</v>
      </c>
      <c r="I14" s="13">
        <f t="shared" si="3"/>
        <v>69</v>
      </c>
      <c r="J14" s="12">
        <f t="shared" si="4"/>
        <v>1.44</v>
      </c>
      <c r="K14" s="13">
        <f t="shared" si="5"/>
        <v>63</v>
      </c>
      <c r="L14" s="12">
        <f t="shared" si="6"/>
        <v>1.32</v>
      </c>
      <c r="M14" s="13">
        <f t="shared" si="7"/>
        <v>58</v>
      </c>
      <c r="N14" s="33">
        <f t="shared" si="8"/>
        <v>44</v>
      </c>
      <c r="O14" s="33">
        <v>220</v>
      </c>
      <c r="P14" s="34">
        <v>5</v>
      </c>
      <c r="Q14" s="14">
        <v>5.2</v>
      </c>
      <c r="R14" s="14">
        <f t="shared" si="9"/>
        <v>1174</v>
      </c>
      <c r="S14" s="8"/>
      <c r="U14" s="5" t="s">
        <v>64</v>
      </c>
    </row>
    <row r="15" spans="1:21" ht="19.95" customHeight="1" x14ac:dyDescent="0.3">
      <c r="A15" s="31" t="s">
        <v>16</v>
      </c>
      <c r="B15" s="39" t="s">
        <v>104</v>
      </c>
      <c r="C15" s="42" t="s">
        <v>31</v>
      </c>
      <c r="D15" s="12">
        <v>3.39</v>
      </c>
      <c r="E15" s="13">
        <f t="shared" si="0"/>
        <v>149.16</v>
      </c>
      <c r="F15" s="12">
        <f t="shared" si="1"/>
        <v>2.5425</v>
      </c>
      <c r="G15" s="13">
        <f>ROUND($D15*(1-$F$11)*$N15,0)</f>
        <v>112</v>
      </c>
      <c r="H15" s="12">
        <f t="shared" si="2"/>
        <v>2.2035</v>
      </c>
      <c r="I15" s="13">
        <f t="shared" si="3"/>
        <v>97</v>
      </c>
      <c r="J15" s="12">
        <f t="shared" si="4"/>
        <v>2.0339999999999998</v>
      </c>
      <c r="K15" s="13">
        <f t="shared" si="5"/>
        <v>89</v>
      </c>
      <c r="L15" s="12">
        <f t="shared" si="6"/>
        <v>1.8645000000000003</v>
      </c>
      <c r="M15" s="13">
        <f t="shared" si="7"/>
        <v>82</v>
      </c>
      <c r="N15" s="33">
        <f t="shared" si="8"/>
        <v>44</v>
      </c>
      <c r="O15" s="33">
        <v>264</v>
      </c>
      <c r="P15" s="34">
        <v>6</v>
      </c>
      <c r="Q15" s="14">
        <v>3.2</v>
      </c>
      <c r="R15" s="14">
        <f t="shared" si="9"/>
        <v>874.80000000000007</v>
      </c>
      <c r="S15" s="8"/>
      <c r="U15" s="5" t="s">
        <v>64</v>
      </c>
    </row>
    <row r="16" spans="1:21" ht="19.95" customHeight="1" x14ac:dyDescent="0.3">
      <c r="A16" s="31" t="s">
        <v>17</v>
      </c>
      <c r="B16" s="39" t="s">
        <v>101</v>
      </c>
      <c r="C16" s="42" t="s">
        <v>32</v>
      </c>
      <c r="D16" s="12">
        <v>2.61</v>
      </c>
      <c r="E16" s="13">
        <f t="shared" si="0"/>
        <v>78.3</v>
      </c>
      <c r="F16" s="12">
        <f t="shared" si="1"/>
        <v>1.9575</v>
      </c>
      <c r="G16" s="13">
        <f t="shared" ref="G16:G20" si="10">ROUND($D16*(1-$F$11)*$N16,0)</f>
        <v>59</v>
      </c>
      <c r="H16" s="12">
        <f t="shared" si="2"/>
        <v>1.6964999999999999</v>
      </c>
      <c r="I16" s="13">
        <f t="shared" si="3"/>
        <v>51</v>
      </c>
      <c r="J16" s="12">
        <f t="shared" si="4"/>
        <v>1.5659999999999998</v>
      </c>
      <c r="K16" s="13">
        <f t="shared" si="5"/>
        <v>47</v>
      </c>
      <c r="L16" s="12">
        <f t="shared" si="6"/>
        <v>1.4355</v>
      </c>
      <c r="M16" s="13">
        <f t="shared" si="7"/>
        <v>43</v>
      </c>
      <c r="N16" s="33">
        <f t="shared" si="8"/>
        <v>30</v>
      </c>
      <c r="O16" s="33">
        <v>150</v>
      </c>
      <c r="P16" s="34">
        <v>5</v>
      </c>
      <c r="Q16" s="14">
        <v>7.8</v>
      </c>
      <c r="R16" s="14">
        <f t="shared" si="9"/>
        <v>1200</v>
      </c>
      <c r="S16" s="8"/>
      <c r="U16" s="5" t="s">
        <v>64</v>
      </c>
    </row>
    <row r="17" spans="1:21" ht="19.95" customHeight="1" x14ac:dyDescent="0.3">
      <c r="A17" s="31" t="s">
        <v>18</v>
      </c>
      <c r="B17" s="39" t="s">
        <v>102</v>
      </c>
      <c r="C17" s="42" t="s">
        <v>32</v>
      </c>
      <c r="D17" s="12">
        <v>3.16</v>
      </c>
      <c r="E17" s="13">
        <f t="shared" si="0"/>
        <v>94.800000000000011</v>
      </c>
      <c r="F17" s="12">
        <f t="shared" si="1"/>
        <v>2.37</v>
      </c>
      <c r="G17" s="13">
        <f t="shared" si="10"/>
        <v>71</v>
      </c>
      <c r="H17" s="12">
        <f t="shared" si="2"/>
        <v>2.0540000000000003</v>
      </c>
      <c r="I17" s="13">
        <f t="shared" si="3"/>
        <v>62</v>
      </c>
      <c r="J17" s="12">
        <f t="shared" si="4"/>
        <v>1.8959999999999999</v>
      </c>
      <c r="K17" s="13">
        <f t="shared" si="5"/>
        <v>57</v>
      </c>
      <c r="L17" s="12">
        <f t="shared" si="6"/>
        <v>1.7380000000000002</v>
      </c>
      <c r="M17" s="13">
        <f t="shared" si="7"/>
        <v>52</v>
      </c>
      <c r="N17" s="33">
        <f t="shared" si="8"/>
        <v>30</v>
      </c>
      <c r="O17" s="33">
        <v>120</v>
      </c>
      <c r="P17" s="34">
        <v>4</v>
      </c>
      <c r="Q17" s="14">
        <v>9</v>
      </c>
      <c r="R17" s="14">
        <f t="shared" si="9"/>
        <v>1110</v>
      </c>
      <c r="S17" s="8"/>
      <c r="U17" s="5" t="s">
        <v>64</v>
      </c>
    </row>
    <row r="18" spans="1:21" ht="19.95" customHeight="1" x14ac:dyDescent="0.3">
      <c r="A18" s="31" t="s">
        <v>19</v>
      </c>
      <c r="B18" s="39" t="s">
        <v>103</v>
      </c>
      <c r="C18" s="42" t="s">
        <v>32</v>
      </c>
      <c r="D18" s="12">
        <v>3.52</v>
      </c>
      <c r="E18" s="13">
        <f t="shared" si="0"/>
        <v>105.6</v>
      </c>
      <c r="F18" s="12">
        <f t="shared" si="1"/>
        <v>2.64</v>
      </c>
      <c r="G18" s="13">
        <f t="shared" si="10"/>
        <v>79</v>
      </c>
      <c r="H18" s="12">
        <f t="shared" si="2"/>
        <v>2.2880000000000003</v>
      </c>
      <c r="I18" s="13">
        <f t="shared" si="3"/>
        <v>69</v>
      </c>
      <c r="J18" s="12">
        <f t="shared" si="4"/>
        <v>2.1120000000000001</v>
      </c>
      <c r="K18" s="13">
        <f t="shared" si="5"/>
        <v>63</v>
      </c>
      <c r="L18" s="12">
        <f t="shared" si="6"/>
        <v>1.9360000000000002</v>
      </c>
      <c r="M18" s="13">
        <f t="shared" si="7"/>
        <v>58</v>
      </c>
      <c r="N18" s="33">
        <f t="shared" si="8"/>
        <v>30</v>
      </c>
      <c r="O18" s="33">
        <v>120</v>
      </c>
      <c r="P18" s="34">
        <v>4</v>
      </c>
      <c r="Q18" s="14">
        <v>9</v>
      </c>
      <c r="R18" s="14">
        <f t="shared" si="9"/>
        <v>1110</v>
      </c>
      <c r="S18" s="8"/>
      <c r="U18" s="5" t="s">
        <v>64</v>
      </c>
    </row>
    <row r="19" spans="1:21" ht="19.95" customHeight="1" x14ac:dyDescent="0.3">
      <c r="A19" s="31" t="s">
        <v>20</v>
      </c>
      <c r="B19" s="39" t="s">
        <v>104</v>
      </c>
      <c r="C19" s="42" t="s">
        <v>33</v>
      </c>
      <c r="D19" s="12">
        <v>4.97</v>
      </c>
      <c r="E19" s="13">
        <f t="shared" si="0"/>
        <v>149.1</v>
      </c>
      <c r="F19" s="12">
        <f t="shared" si="1"/>
        <v>3.7275</v>
      </c>
      <c r="G19" s="13">
        <f t="shared" si="10"/>
        <v>112</v>
      </c>
      <c r="H19" s="12">
        <f t="shared" si="2"/>
        <v>3.2305000000000001</v>
      </c>
      <c r="I19" s="13">
        <f t="shared" si="3"/>
        <v>97</v>
      </c>
      <c r="J19" s="12">
        <f t="shared" si="4"/>
        <v>2.9819999999999998</v>
      </c>
      <c r="K19" s="13">
        <f t="shared" si="5"/>
        <v>89</v>
      </c>
      <c r="L19" s="12">
        <f t="shared" si="6"/>
        <v>2.7335000000000003</v>
      </c>
      <c r="M19" s="13">
        <f t="shared" si="7"/>
        <v>82</v>
      </c>
      <c r="N19" s="33">
        <f>O19/P19</f>
        <v>30</v>
      </c>
      <c r="O19" s="33">
        <v>180</v>
      </c>
      <c r="P19" s="34">
        <v>6</v>
      </c>
      <c r="Q19" s="14">
        <v>5.5</v>
      </c>
      <c r="R19" s="14">
        <f t="shared" si="9"/>
        <v>1020</v>
      </c>
      <c r="S19" s="8"/>
      <c r="U19" s="5" t="s">
        <v>64</v>
      </c>
    </row>
    <row r="20" spans="1:21" ht="19.95" customHeight="1" x14ac:dyDescent="0.3">
      <c r="A20" s="31" t="s">
        <v>21</v>
      </c>
      <c r="B20" s="39" t="s">
        <v>105</v>
      </c>
      <c r="C20" s="42" t="s">
        <v>34</v>
      </c>
      <c r="D20" s="12">
        <v>1.8</v>
      </c>
      <c r="E20" s="13">
        <f t="shared" si="0"/>
        <v>57.6</v>
      </c>
      <c r="F20" s="12">
        <f t="shared" si="1"/>
        <v>1.35</v>
      </c>
      <c r="G20" s="13">
        <f t="shared" si="10"/>
        <v>43</v>
      </c>
      <c r="H20" s="12">
        <f t="shared" si="2"/>
        <v>1.1700000000000002</v>
      </c>
      <c r="I20" s="13">
        <f t="shared" si="3"/>
        <v>37</v>
      </c>
      <c r="J20" s="12">
        <f t="shared" si="4"/>
        <v>1.08</v>
      </c>
      <c r="K20" s="13">
        <f t="shared" si="5"/>
        <v>35</v>
      </c>
      <c r="L20" s="12">
        <f t="shared" si="6"/>
        <v>0.9900000000000001</v>
      </c>
      <c r="M20" s="13">
        <f t="shared" si="7"/>
        <v>32</v>
      </c>
      <c r="N20" s="33">
        <f t="shared" ref="N20:N21" si="11">O20/P20</f>
        <v>32</v>
      </c>
      <c r="O20" s="33">
        <v>800</v>
      </c>
      <c r="P20" s="34">
        <v>25</v>
      </c>
      <c r="Q20" s="14">
        <v>1</v>
      </c>
      <c r="R20" s="14">
        <f t="shared" si="9"/>
        <v>830</v>
      </c>
      <c r="S20" s="8"/>
      <c r="U20" s="5" t="s">
        <v>64</v>
      </c>
    </row>
    <row r="21" spans="1:21" ht="25.95" customHeight="1" x14ac:dyDescent="0.3">
      <c r="A21" s="31" t="s">
        <v>22</v>
      </c>
      <c r="B21" s="40" t="s">
        <v>106</v>
      </c>
      <c r="C21" s="42" t="s">
        <v>34</v>
      </c>
      <c r="D21" s="12">
        <v>25</v>
      </c>
      <c r="E21" s="15" t="s">
        <v>49</v>
      </c>
      <c r="F21" s="12">
        <f t="shared" ref="F21" si="12">D21*0.55</f>
        <v>13.750000000000002</v>
      </c>
      <c r="G21" s="12" t="s">
        <v>49</v>
      </c>
      <c r="H21" s="12">
        <f t="shared" ref="H21" si="13">D21*0.55</f>
        <v>13.750000000000002</v>
      </c>
      <c r="I21" s="12" t="s">
        <v>49</v>
      </c>
      <c r="J21" s="12">
        <f t="shared" ref="J21" si="14">D21*0.5</f>
        <v>12.5</v>
      </c>
      <c r="K21" s="12" t="s">
        <v>49</v>
      </c>
      <c r="L21" s="12">
        <f t="shared" ref="L21" si="15">D21*0.44</f>
        <v>11</v>
      </c>
      <c r="M21" s="12" t="s">
        <v>49</v>
      </c>
      <c r="N21" s="33">
        <f t="shared" si="11"/>
        <v>2.68</v>
      </c>
      <c r="O21" s="33">
        <v>67</v>
      </c>
      <c r="P21" s="34">
        <v>25</v>
      </c>
      <c r="Q21" s="14">
        <v>12</v>
      </c>
      <c r="R21" s="14">
        <f t="shared" si="9"/>
        <v>834</v>
      </c>
      <c r="S21" s="8"/>
      <c r="U21" s="5" t="s">
        <v>64</v>
      </c>
    </row>
    <row r="22" spans="1:21" ht="19.95" customHeight="1" x14ac:dyDescent="0.3">
      <c r="A22" s="31" t="s">
        <v>23</v>
      </c>
      <c r="B22" s="39" t="s">
        <v>105</v>
      </c>
      <c r="C22" s="42" t="s">
        <v>35</v>
      </c>
      <c r="D22" s="16">
        <v>2.9</v>
      </c>
      <c r="E22" s="13">
        <f>D22*N22</f>
        <v>87</v>
      </c>
      <c r="F22" s="12">
        <f>($D22*(1-$F$11))</f>
        <v>2.1749999999999998</v>
      </c>
      <c r="G22" s="13">
        <f>ROUND($D22*(1-$F$11)*$N22,0)</f>
        <v>65</v>
      </c>
      <c r="H22" s="12">
        <f>($D22*(1-$H$11))</f>
        <v>1.885</v>
      </c>
      <c r="I22" s="13">
        <f>ROUND($D22*(1-$H$11)*$N22,0)</f>
        <v>57</v>
      </c>
      <c r="J22" s="12">
        <f>($D22*(1-$J$11))</f>
        <v>1.74</v>
      </c>
      <c r="K22" s="13">
        <f>ROUND($D22*(1-$J$11)*$N22,0)</f>
        <v>52</v>
      </c>
      <c r="L22" s="12">
        <f>($D22*(1-$L$11))</f>
        <v>1.595</v>
      </c>
      <c r="M22" s="13">
        <f>ROUND($D22*(1-$L$11)*$N22,0)</f>
        <v>48</v>
      </c>
      <c r="N22" s="33">
        <f>O22/P22</f>
        <v>30</v>
      </c>
      <c r="O22" s="35">
        <v>750</v>
      </c>
      <c r="P22" s="34">
        <v>25</v>
      </c>
      <c r="Q22" s="17">
        <v>1.4</v>
      </c>
      <c r="R22" s="14">
        <f t="shared" si="9"/>
        <v>1080</v>
      </c>
      <c r="S22" s="8"/>
      <c r="U22" s="5" t="s">
        <v>64</v>
      </c>
    </row>
    <row r="23" spans="1:21" ht="19.95" customHeight="1" x14ac:dyDescent="0.3">
      <c r="A23" s="31" t="s">
        <v>24</v>
      </c>
      <c r="B23" s="39" t="s">
        <v>38</v>
      </c>
      <c r="C23" s="18"/>
      <c r="D23" s="16">
        <v>45.5</v>
      </c>
      <c r="E23" s="98">
        <v>3.5</v>
      </c>
      <c r="F23" s="26"/>
      <c r="G23" s="26"/>
      <c r="H23" s="19"/>
      <c r="I23" s="20"/>
      <c r="J23" s="19"/>
      <c r="K23" s="19"/>
      <c r="L23" s="19"/>
      <c r="M23" s="19"/>
      <c r="N23" s="19"/>
      <c r="O23" s="19"/>
      <c r="P23" s="19"/>
      <c r="Q23" s="19"/>
      <c r="R23" s="8"/>
      <c r="S23" s="8"/>
      <c r="U23" s="5" t="s">
        <v>65</v>
      </c>
    </row>
    <row r="24" spans="1:21" ht="19.95" customHeight="1" x14ac:dyDescent="0.3">
      <c r="A24" s="31" t="s">
        <v>25</v>
      </c>
      <c r="B24" s="39" t="s">
        <v>38</v>
      </c>
      <c r="C24" s="18"/>
      <c r="D24" s="21">
        <v>324</v>
      </c>
      <c r="E24" s="98">
        <v>25</v>
      </c>
      <c r="F24" s="26"/>
      <c r="G24" s="26"/>
      <c r="H24" s="19"/>
      <c r="I24" s="20"/>
      <c r="J24" s="19"/>
      <c r="K24" s="19"/>
      <c r="L24" s="19"/>
      <c r="M24" s="19"/>
      <c r="N24" s="19"/>
      <c r="O24" s="19"/>
      <c r="P24" s="19"/>
      <c r="Q24" s="19"/>
      <c r="R24" s="8"/>
      <c r="S24" s="8"/>
      <c r="U24" s="5" t="s">
        <v>65</v>
      </c>
    </row>
    <row r="25" spans="1:21" ht="19.95" customHeight="1" x14ac:dyDescent="0.3">
      <c r="A25" s="31" t="s">
        <v>26</v>
      </c>
      <c r="B25" s="39" t="s">
        <v>39</v>
      </c>
      <c r="C25" s="18"/>
      <c r="D25" s="16">
        <v>33.6</v>
      </c>
      <c r="E25" s="99">
        <v>25</v>
      </c>
      <c r="F25" s="26"/>
      <c r="G25" s="26"/>
      <c r="H25" s="19"/>
      <c r="I25" s="20"/>
      <c r="J25" s="19"/>
      <c r="K25" s="19"/>
      <c r="L25" s="19"/>
      <c r="M25" s="19"/>
      <c r="N25" s="19"/>
      <c r="O25" s="19"/>
      <c r="P25" s="19"/>
      <c r="Q25" s="19"/>
      <c r="R25" s="8"/>
      <c r="S25" s="8"/>
      <c r="U25" s="5" t="s">
        <v>65</v>
      </c>
    </row>
    <row r="26" spans="1:21" ht="19.95" customHeight="1" x14ac:dyDescent="0.3">
      <c r="A26" s="31" t="s">
        <v>27</v>
      </c>
      <c r="B26" s="39" t="s">
        <v>40</v>
      </c>
      <c r="C26" s="18"/>
      <c r="D26" s="21">
        <v>25</v>
      </c>
      <c r="E26" s="98">
        <v>25</v>
      </c>
      <c r="F26" s="26"/>
      <c r="G26" s="26"/>
      <c r="H26" s="19"/>
      <c r="I26" s="20"/>
      <c r="J26" s="19"/>
      <c r="K26" s="19"/>
      <c r="L26" s="19"/>
      <c r="M26" s="19"/>
      <c r="N26" s="19"/>
      <c r="O26" s="19"/>
      <c r="P26" s="19"/>
      <c r="Q26" s="19"/>
      <c r="R26" s="8"/>
      <c r="S26" s="8"/>
      <c r="U26" s="5" t="s">
        <v>65</v>
      </c>
    </row>
    <row r="27" spans="1:21" ht="13.95" customHeight="1" x14ac:dyDescent="0.3">
      <c r="A27" s="31" t="s">
        <v>28</v>
      </c>
      <c r="B27" s="39" t="s">
        <v>41</v>
      </c>
      <c r="C27" s="18"/>
      <c r="D27" s="21">
        <v>380</v>
      </c>
      <c r="E27" s="19"/>
      <c r="F27" s="19"/>
      <c r="G27" s="19"/>
      <c r="H27" s="19"/>
      <c r="I27" s="20"/>
      <c r="J27" s="19"/>
      <c r="K27" s="19"/>
      <c r="L27" s="19"/>
      <c r="M27" s="19"/>
      <c r="N27" s="19"/>
      <c r="O27" s="19"/>
      <c r="P27" s="19"/>
      <c r="Q27" s="19"/>
      <c r="R27" s="8"/>
      <c r="S27" s="8"/>
    </row>
    <row r="28" spans="1:21" ht="13.95" customHeight="1" x14ac:dyDescent="0.3">
      <c r="A28" s="32" t="s">
        <v>29</v>
      </c>
      <c r="B28" s="39" t="s">
        <v>42</v>
      </c>
      <c r="C28" s="18"/>
      <c r="D28" s="21">
        <v>400</v>
      </c>
      <c r="E28" s="19"/>
      <c r="F28" s="19"/>
      <c r="G28" s="19"/>
      <c r="H28" s="19"/>
      <c r="I28" s="20"/>
      <c r="J28" s="19"/>
      <c r="K28" s="19"/>
      <c r="L28" s="19"/>
      <c r="M28" s="19"/>
      <c r="N28" s="19"/>
      <c r="O28" s="19"/>
      <c r="P28" s="19"/>
      <c r="Q28" s="19"/>
      <c r="R28" s="8"/>
      <c r="S28" s="8"/>
    </row>
    <row r="29" spans="1:21" ht="13.95" customHeight="1" x14ac:dyDescent="0.3">
      <c r="A29" s="32" t="s">
        <v>100</v>
      </c>
      <c r="B29" s="41" t="s">
        <v>43</v>
      </c>
      <c r="C29" s="18"/>
      <c r="D29" s="22">
        <v>1000</v>
      </c>
      <c r="E29" s="19"/>
      <c r="F29" s="19"/>
      <c r="G29" s="19"/>
      <c r="H29" s="19"/>
      <c r="I29" s="20"/>
      <c r="J29" s="19"/>
      <c r="K29" s="19"/>
      <c r="L29" s="19"/>
      <c r="M29" s="19"/>
      <c r="N29" s="19"/>
      <c r="O29" s="19"/>
      <c r="P29" s="19"/>
      <c r="Q29" s="19"/>
      <c r="R29" s="8"/>
      <c r="S29" s="8"/>
    </row>
    <row r="30" spans="1:21" ht="13.95" customHeight="1" x14ac:dyDescent="0.3">
      <c r="A30" s="31" t="s">
        <v>57</v>
      </c>
      <c r="B30" s="39" t="s">
        <v>44</v>
      </c>
      <c r="C30" s="18"/>
      <c r="D30" s="21">
        <v>50</v>
      </c>
      <c r="E30" s="170" t="s">
        <v>48</v>
      </c>
      <c r="F30" s="170"/>
      <c r="G30" s="170"/>
      <c r="H30" s="170"/>
      <c r="I30" s="20"/>
      <c r="J30" s="19"/>
      <c r="K30" s="19"/>
      <c r="L30" s="19"/>
      <c r="M30" s="19"/>
      <c r="N30" s="19"/>
      <c r="O30" s="19"/>
      <c r="P30" s="19"/>
      <c r="Q30" s="19"/>
      <c r="R30" s="8"/>
      <c r="S30" s="8"/>
    </row>
    <row r="31" spans="1:21" ht="13.95" customHeight="1" x14ac:dyDescent="0.3">
      <c r="A31" s="23"/>
      <c r="B31" s="24"/>
      <c r="C31" s="18"/>
      <c r="D31" s="25"/>
      <c r="E31" s="26"/>
      <c r="F31" s="26"/>
      <c r="G31" s="26"/>
      <c r="H31" s="26"/>
      <c r="I31" s="20"/>
      <c r="J31" s="19"/>
      <c r="K31" s="19"/>
      <c r="L31" s="19"/>
      <c r="M31" s="19"/>
      <c r="N31" s="19"/>
      <c r="O31" s="19"/>
      <c r="P31" s="19"/>
      <c r="Q31" s="19"/>
      <c r="R31" s="8"/>
      <c r="S31" s="8"/>
    </row>
    <row r="32" spans="1:21" ht="13.95" customHeight="1" x14ac:dyDescent="0.3">
      <c r="A32" s="11" t="s">
        <v>36</v>
      </c>
      <c r="B32" s="171" t="s">
        <v>45</v>
      </c>
      <c r="C32" s="171"/>
      <c r="D32" s="171"/>
      <c r="E32" s="171"/>
      <c r="F32" s="21">
        <v>50</v>
      </c>
      <c r="G32" s="170" t="s">
        <v>47</v>
      </c>
      <c r="H32" s="170"/>
      <c r="I32" s="36"/>
      <c r="J32" s="36"/>
      <c r="K32" s="25"/>
      <c r="L32" s="172"/>
      <c r="M32" s="172"/>
      <c r="N32" s="19"/>
      <c r="O32" s="19"/>
      <c r="P32" s="19"/>
      <c r="Q32" s="19"/>
      <c r="R32" s="8"/>
      <c r="S32" s="8"/>
    </row>
    <row r="33" spans="1:19" ht="13.95" customHeight="1" x14ac:dyDescent="0.3">
      <c r="A33" s="11" t="s">
        <v>37</v>
      </c>
      <c r="B33" s="171" t="s">
        <v>46</v>
      </c>
      <c r="C33" s="171"/>
      <c r="D33" s="171"/>
      <c r="E33" s="171"/>
      <c r="F33" s="21">
        <v>500</v>
      </c>
      <c r="G33" s="170"/>
      <c r="H33" s="170"/>
      <c r="I33" s="36"/>
      <c r="J33" s="36"/>
      <c r="K33" s="25"/>
      <c r="L33" s="172"/>
      <c r="M33" s="172"/>
      <c r="N33" s="8"/>
      <c r="O33" s="8"/>
      <c r="P33" s="8"/>
      <c r="Q33" s="8"/>
      <c r="R33" s="8"/>
      <c r="S33" s="8"/>
    </row>
    <row r="34" spans="1:19" x14ac:dyDescent="0.3">
      <c r="A34" s="23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ht="15.6" x14ac:dyDescent="0.3">
      <c r="A35" s="23"/>
      <c r="B35" s="168"/>
      <c r="C35" s="168"/>
      <c r="D35" s="168"/>
      <c r="E35" s="8"/>
      <c r="F35" s="8"/>
      <c r="G35" s="8"/>
      <c r="H35" s="8"/>
      <c r="I35" s="8"/>
      <c r="J35" s="8"/>
      <c r="K35" s="8"/>
      <c r="L35" s="164" t="s">
        <v>56</v>
      </c>
      <c r="M35" s="164"/>
      <c r="N35" s="164"/>
      <c r="O35" s="8"/>
      <c r="P35" s="8"/>
      <c r="Q35" s="8"/>
      <c r="R35" s="8"/>
      <c r="S35" s="8"/>
    </row>
    <row r="36" spans="1:19" x14ac:dyDescent="0.3">
      <c r="A36" s="23"/>
      <c r="B36" s="8"/>
      <c r="C36" s="8"/>
      <c r="D36" s="8"/>
      <c r="E36" s="8"/>
      <c r="F36" s="165"/>
      <c r="G36" s="165"/>
      <c r="H36" s="165"/>
      <c r="I36" s="37"/>
      <c r="J36" s="37"/>
      <c r="K36" s="8"/>
      <c r="L36" s="8"/>
      <c r="M36" s="8"/>
      <c r="N36" s="8"/>
      <c r="O36" s="8"/>
      <c r="P36" s="8"/>
      <c r="Q36" s="8"/>
      <c r="R36" s="8"/>
      <c r="S36" s="8"/>
    </row>
    <row r="37" spans="1:19" x14ac:dyDescent="0.3">
      <c r="A37" s="166"/>
      <c r="B37" s="166"/>
      <c r="C37" s="166"/>
      <c r="D37" s="166"/>
      <c r="E37" s="166"/>
      <c r="F37" s="165"/>
      <c r="G37" s="165"/>
      <c r="H37" s="165"/>
      <c r="I37" s="37"/>
      <c r="J37" s="37"/>
      <c r="K37" s="8"/>
      <c r="L37" s="8"/>
      <c r="M37" s="8"/>
      <c r="N37" s="8"/>
      <c r="O37" s="8"/>
      <c r="P37" s="8"/>
      <c r="Q37" s="8"/>
      <c r="R37" s="8"/>
      <c r="S37" s="8"/>
    </row>
    <row r="38" spans="1:19" x14ac:dyDescent="0.3">
      <c r="A38" s="166"/>
      <c r="B38" s="166"/>
      <c r="C38" s="166"/>
      <c r="D38" s="166"/>
      <c r="E38" s="166"/>
      <c r="F38" s="167"/>
      <c r="G38" s="167"/>
      <c r="H38" s="167"/>
      <c r="I38" s="167"/>
      <c r="J38" s="167"/>
      <c r="K38" s="8"/>
      <c r="L38" s="8"/>
      <c r="M38" s="8"/>
      <c r="N38" s="8"/>
      <c r="O38" s="8"/>
      <c r="P38" s="8"/>
      <c r="Q38" s="8"/>
      <c r="R38" s="8"/>
      <c r="S38" s="8"/>
    </row>
    <row r="39" spans="1:19" x14ac:dyDescent="0.3">
      <c r="A39" s="23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1:19" x14ac:dyDescent="0.3">
      <c r="A40" s="23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</sheetData>
  <mergeCells count="31">
    <mergeCell ref="A1:B7"/>
    <mergeCell ref="D2:M3"/>
    <mergeCell ref="D9:M9"/>
    <mergeCell ref="N9:P9"/>
    <mergeCell ref="Q9:R9"/>
    <mergeCell ref="Q10:Q11"/>
    <mergeCell ref="R10:R11"/>
    <mergeCell ref="F11:G11"/>
    <mergeCell ref="H11:I11"/>
    <mergeCell ref="J11:K11"/>
    <mergeCell ref="L11:M11"/>
    <mergeCell ref="F10:G10"/>
    <mergeCell ref="H10:I10"/>
    <mergeCell ref="J10:K10"/>
    <mergeCell ref="L10:M10"/>
    <mergeCell ref="B35:D35"/>
    <mergeCell ref="L35:N35"/>
    <mergeCell ref="N10:N11"/>
    <mergeCell ref="O10:O11"/>
    <mergeCell ref="P10:P11"/>
    <mergeCell ref="D10:E10"/>
    <mergeCell ref="E30:H30"/>
    <mergeCell ref="B32:E32"/>
    <mergeCell ref="G32:H33"/>
    <mergeCell ref="L32:M33"/>
    <mergeCell ref="B33:E33"/>
    <mergeCell ref="F36:H36"/>
    <mergeCell ref="A37:E37"/>
    <mergeCell ref="F37:H37"/>
    <mergeCell ref="A38:E38"/>
    <mergeCell ref="F38:J38"/>
  </mergeCells>
  <pageMargins left="0.7" right="0.7" top="0.75" bottom="0.75" header="0.3" footer="0.3"/>
  <pageSetup paperSize="9" scale="6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0"/>
  <sheetViews>
    <sheetView topLeftCell="A15" workbookViewId="0">
      <selection activeCell="A35" sqref="A35:J40"/>
    </sheetView>
  </sheetViews>
  <sheetFormatPr baseColWidth="10" defaultColWidth="8.88671875" defaultRowHeight="14.4" x14ac:dyDescent="0.3"/>
  <cols>
    <col min="1" max="1" width="12.77734375" style="6" customWidth="1"/>
    <col min="2" max="2" width="36.77734375" style="5" customWidth="1"/>
    <col min="3" max="3" width="10.77734375" style="5" customWidth="1"/>
    <col min="4" max="5" width="8.77734375" style="5" customWidth="1"/>
    <col min="6" max="7" width="8.77734375" style="5" hidden="1" customWidth="1"/>
    <col min="8" max="13" width="8.77734375" style="5" customWidth="1"/>
    <col min="14" max="18" width="8.88671875" style="5" customWidth="1"/>
    <col min="19" max="16384" width="8.88671875" style="5"/>
  </cols>
  <sheetData>
    <row r="1" spans="1:20" x14ac:dyDescent="0.3">
      <c r="A1" s="164"/>
      <c r="B1" s="164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20" x14ac:dyDescent="0.3">
      <c r="A2" s="164"/>
      <c r="B2" s="164"/>
      <c r="C2" s="8"/>
      <c r="D2" s="180" t="s">
        <v>51</v>
      </c>
      <c r="E2" s="180"/>
      <c r="F2" s="180"/>
      <c r="G2" s="180"/>
      <c r="H2" s="180"/>
      <c r="I2" s="180"/>
      <c r="J2" s="180"/>
      <c r="K2" s="180"/>
      <c r="L2" s="180"/>
      <c r="M2" s="180"/>
      <c r="N2" s="8"/>
      <c r="O2" s="8"/>
      <c r="P2" s="8"/>
      <c r="Q2" s="8"/>
      <c r="R2" s="8"/>
      <c r="S2" s="8"/>
    </row>
    <row r="3" spans="1:20" x14ac:dyDescent="0.3">
      <c r="A3" s="164"/>
      <c r="B3" s="164"/>
      <c r="C3" s="8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8"/>
      <c r="O3" s="8"/>
      <c r="P3" s="8"/>
      <c r="Q3" s="8"/>
      <c r="R3" s="8"/>
      <c r="S3" s="8"/>
    </row>
    <row r="4" spans="1:20" x14ac:dyDescent="0.3">
      <c r="A4" s="164"/>
      <c r="B4" s="164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0" x14ac:dyDescent="0.3">
      <c r="A5" s="164"/>
      <c r="B5" s="16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20" x14ac:dyDescent="0.3">
      <c r="A6" s="164"/>
      <c r="B6" s="164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20" x14ac:dyDescent="0.3">
      <c r="A7" s="164"/>
      <c r="B7" s="164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20" ht="14.4" customHeight="1" x14ac:dyDescent="0.3">
      <c r="A8" s="8"/>
      <c r="B8" s="8"/>
      <c r="C8" s="8"/>
      <c r="D8" s="7"/>
      <c r="E8" s="7"/>
      <c r="F8" s="7"/>
      <c r="G8" s="7"/>
      <c r="H8" s="7"/>
      <c r="I8" s="7"/>
      <c r="J8" s="7"/>
      <c r="K8" s="7"/>
      <c r="L8" s="7"/>
      <c r="M8" s="7"/>
      <c r="N8" s="8"/>
      <c r="O8" s="8"/>
      <c r="P8" s="8"/>
      <c r="Q8" s="8"/>
      <c r="R8" s="8"/>
      <c r="S8" s="8"/>
    </row>
    <row r="9" spans="1:20" ht="14.4" customHeight="1" x14ac:dyDescent="0.3">
      <c r="A9" s="9"/>
      <c r="B9" s="4"/>
      <c r="C9" s="1"/>
      <c r="D9" s="169" t="s">
        <v>0</v>
      </c>
      <c r="E9" s="169"/>
      <c r="F9" s="169"/>
      <c r="G9" s="169"/>
      <c r="H9" s="169"/>
      <c r="I9" s="169"/>
      <c r="J9" s="169"/>
      <c r="K9" s="169"/>
      <c r="L9" s="169"/>
      <c r="M9" s="169"/>
      <c r="N9" s="177" t="s">
        <v>1</v>
      </c>
      <c r="O9" s="178"/>
      <c r="P9" s="178"/>
      <c r="Q9" s="178" t="s">
        <v>2</v>
      </c>
      <c r="R9" s="178"/>
      <c r="S9" s="8"/>
    </row>
    <row r="10" spans="1:20" ht="25.95" customHeight="1" x14ac:dyDescent="0.3">
      <c r="A10" s="9"/>
      <c r="B10" s="4"/>
      <c r="C10" s="1"/>
      <c r="D10" s="169" t="s">
        <v>4</v>
      </c>
      <c r="E10" s="169"/>
      <c r="F10" s="174" t="s">
        <v>55</v>
      </c>
      <c r="G10" s="174"/>
      <c r="H10" s="174" t="s">
        <v>52</v>
      </c>
      <c r="I10" s="174"/>
      <c r="J10" s="174" t="s">
        <v>53</v>
      </c>
      <c r="K10" s="174"/>
      <c r="L10" s="175" t="s">
        <v>54</v>
      </c>
      <c r="M10" s="175"/>
      <c r="N10" s="169" t="s">
        <v>5</v>
      </c>
      <c r="O10" s="169" t="s">
        <v>6</v>
      </c>
      <c r="P10" s="169" t="s">
        <v>7</v>
      </c>
      <c r="Q10" s="169" t="s">
        <v>8</v>
      </c>
      <c r="R10" s="169" t="s">
        <v>9</v>
      </c>
      <c r="S10" s="8"/>
    </row>
    <row r="11" spans="1:20" ht="28.8" x14ac:dyDescent="0.3">
      <c r="A11" s="10" t="s">
        <v>12</v>
      </c>
      <c r="B11" s="3" t="s">
        <v>3</v>
      </c>
      <c r="C11" s="2" t="s">
        <v>50</v>
      </c>
      <c r="D11" s="2" t="s">
        <v>10</v>
      </c>
      <c r="E11" s="2" t="s">
        <v>11</v>
      </c>
      <c r="F11" s="173">
        <v>0.45</v>
      </c>
      <c r="G11" s="173"/>
      <c r="H11" s="173">
        <v>0.45</v>
      </c>
      <c r="I11" s="173"/>
      <c r="J11" s="173">
        <v>0.5</v>
      </c>
      <c r="K11" s="173"/>
      <c r="L11" s="173">
        <v>0.56000000000000005</v>
      </c>
      <c r="M11" s="173"/>
      <c r="N11" s="169"/>
      <c r="O11" s="169"/>
      <c r="P11" s="169"/>
      <c r="Q11" s="169"/>
      <c r="R11" s="169"/>
      <c r="S11" s="8"/>
      <c r="T11" s="5" t="s">
        <v>63</v>
      </c>
    </row>
    <row r="12" spans="1:20" ht="19.95" customHeight="1" x14ac:dyDescent="0.3">
      <c r="A12" s="31" t="s">
        <v>13</v>
      </c>
      <c r="B12" s="27" t="s">
        <v>101</v>
      </c>
      <c r="C12" s="30" t="s">
        <v>30</v>
      </c>
      <c r="D12" s="12">
        <v>1.8</v>
      </c>
      <c r="E12" s="13">
        <f>D12*N12</f>
        <v>79.2</v>
      </c>
      <c r="F12" s="12">
        <f>($D12*(1-$F$11))</f>
        <v>0.9900000000000001</v>
      </c>
      <c r="G12" s="13">
        <f>ROUND($D12*(1-$F$11)*$N12,0)</f>
        <v>44</v>
      </c>
      <c r="H12" s="12">
        <f>($D12*(1-$H$11))</f>
        <v>0.9900000000000001</v>
      </c>
      <c r="I12" s="13">
        <f>ROUND($D12*(1-$H$11)*$N12,0)</f>
        <v>44</v>
      </c>
      <c r="J12" s="12">
        <f>($D12*(1-$J$11))</f>
        <v>0.9</v>
      </c>
      <c r="K12" s="13">
        <f>ROUND($D12*(1-$J$11)*$N12,0)</f>
        <v>40</v>
      </c>
      <c r="L12" s="12">
        <f>($D12*(1-$L$11))</f>
        <v>0.79199999999999993</v>
      </c>
      <c r="M12" s="13">
        <f>ROUND($D12*(1-$L$11)*$N12,0)</f>
        <v>35</v>
      </c>
      <c r="N12" s="33">
        <f>O12/P12</f>
        <v>44</v>
      </c>
      <c r="O12" s="33">
        <v>264</v>
      </c>
      <c r="P12" s="34">
        <v>6</v>
      </c>
      <c r="Q12" s="14">
        <v>4.4000000000000004</v>
      </c>
      <c r="R12" s="14">
        <f>Q12*O12+30</f>
        <v>1191.6000000000001</v>
      </c>
      <c r="S12" s="8"/>
      <c r="T12" s="5" t="s">
        <v>64</v>
      </c>
    </row>
    <row r="13" spans="1:20" ht="19.95" customHeight="1" x14ac:dyDescent="0.3">
      <c r="A13" s="31" t="s">
        <v>14</v>
      </c>
      <c r="B13" s="27" t="s">
        <v>102</v>
      </c>
      <c r="C13" s="30" t="s">
        <v>30</v>
      </c>
      <c r="D13" s="12">
        <v>2.15</v>
      </c>
      <c r="E13" s="13">
        <f t="shared" ref="E13:E20" si="0">D13*N13</f>
        <v>94.6</v>
      </c>
      <c r="F13" s="12">
        <f t="shared" ref="F13:F20" si="1">($D13*(1-$F$11))</f>
        <v>1.1825000000000001</v>
      </c>
      <c r="G13" s="13">
        <f>ROUND($D13*(1-$F$11)*$N13,0)</f>
        <v>52</v>
      </c>
      <c r="H13" s="12">
        <f t="shared" ref="H13:H20" si="2">($D13*(1-$H$11))</f>
        <v>1.1825000000000001</v>
      </c>
      <c r="I13" s="13">
        <f t="shared" ref="I13:I20" si="3">ROUND($D13*(1-$H$11)*$N13,0)</f>
        <v>52</v>
      </c>
      <c r="J13" s="12">
        <f t="shared" ref="J13:J20" si="4">($D13*(1-$J$11))</f>
        <v>1.075</v>
      </c>
      <c r="K13" s="13">
        <f t="shared" ref="K13:K20" si="5">ROUND($D13*(1-$J$11)*$N13,0)</f>
        <v>47</v>
      </c>
      <c r="L13" s="12">
        <f t="shared" ref="L13:L20" si="6">($D13*(1-$L$11))</f>
        <v>0.94599999999999984</v>
      </c>
      <c r="M13" s="13">
        <f t="shared" ref="M13:M20" si="7">ROUND($D13*(1-$L$11)*$N13,0)</f>
        <v>42</v>
      </c>
      <c r="N13" s="33">
        <f t="shared" ref="N13:N18" si="8">O13/P13</f>
        <v>44</v>
      </c>
      <c r="O13" s="33">
        <v>220</v>
      </c>
      <c r="P13" s="34">
        <v>5</v>
      </c>
      <c r="Q13" s="14">
        <v>5.2</v>
      </c>
      <c r="R13" s="14">
        <f t="shared" ref="R13:R22" si="9">Q13*O13+30</f>
        <v>1174</v>
      </c>
      <c r="S13" s="8"/>
      <c r="T13" s="5" t="s">
        <v>64</v>
      </c>
    </row>
    <row r="14" spans="1:20" ht="19.95" customHeight="1" x14ac:dyDescent="0.3">
      <c r="A14" s="31" t="s">
        <v>15</v>
      </c>
      <c r="B14" s="27" t="s">
        <v>103</v>
      </c>
      <c r="C14" s="30" t="s">
        <v>30</v>
      </c>
      <c r="D14" s="12">
        <v>2.4</v>
      </c>
      <c r="E14" s="13">
        <f t="shared" si="0"/>
        <v>105.6</v>
      </c>
      <c r="F14" s="12">
        <f t="shared" si="1"/>
        <v>1.32</v>
      </c>
      <c r="G14" s="13">
        <f>ROUND($D14*(1-$F$11)*$N14,0)</f>
        <v>58</v>
      </c>
      <c r="H14" s="12">
        <f t="shared" si="2"/>
        <v>1.32</v>
      </c>
      <c r="I14" s="13">
        <f t="shared" si="3"/>
        <v>58</v>
      </c>
      <c r="J14" s="12">
        <f t="shared" si="4"/>
        <v>1.2</v>
      </c>
      <c r="K14" s="13">
        <f t="shared" si="5"/>
        <v>53</v>
      </c>
      <c r="L14" s="12">
        <f t="shared" si="6"/>
        <v>1.0559999999999998</v>
      </c>
      <c r="M14" s="13">
        <f t="shared" si="7"/>
        <v>46</v>
      </c>
      <c r="N14" s="33">
        <f t="shared" si="8"/>
        <v>44</v>
      </c>
      <c r="O14" s="33">
        <v>220</v>
      </c>
      <c r="P14" s="34">
        <v>5</v>
      </c>
      <c r="Q14" s="14">
        <v>5.2</v>
      </c>
      <c r="R14" s="14">
        <f t="shared" si="9"/>
        <v>1174</v>
      </c>
      <c r="S14" s="8"/>
      <c r="T14" s="5" t="s">
        <v>64</v>
      </c>
    </row>
    <row r="15" spans="1:20" ht="19.95" customHeight="1" x14ac:dyDescent="0.3">
      <c r="A15" s="31" t="s">
        <v>16</v>
      </c>
      <c r="B15" s="27" t="s">
        <v>104</v>
      </c>
      <c r="C15" s="30" t="s">
        <v>31</v>
      </c>
      <c r="D15" s="12">
        <v>3.39</v>
      </c>
      <c r="E15" s="13">
        <f t="shared" si="0"/>
        <v>149.16</v>
      </c>
      <c r="F15" s="12">
        <f t="shared" si="1"/>
        <v>1.8645000000000003</v>
      </c>
      <c r="G15" s="13">
        <f>ROUND($D15*(1-$F$11)*$N15,0)</f>
        <v>82</v>
      </c>
      <c r="H15" s="12">
        <f t="shared" si="2"/>
        <v>1.8645000000000003</v>
      </c>
      <c r="I15" s="13">
        <f t="shared" si="3"/>
        <v>82</v>
      </c>
      <c r="J15" s="12">
        <f t="shared" si="4"/>
        <v>1.6950000000000001</v>
      </c>
      <c r="K15" s="13">
        <f t="shared" si="5"/>
        <v>75</v>
      </c>
      <c r="L15" s="12">
        <f t="shared" si="6"/>
        <v>1.4915999999999998</v>
      </c>
      <c r="M15" s="13">
        <f t="shared" si="7"/>
        <v>66</v>
      </c>
      <c r="N15" s="33">
        <f t="shared" si="8"/>
        <v>44</v>
      </c>
      <c r="O15" s="33">
        <v>264</v>
      </c>
      <c r="P15" s="34">
        <v>6</v>
      </c>
      <c r="Q15" s="14">
        <v>3.2</v>
      </c>
      <c r="R15" s="14">
        <f t="shared" si="9"/>
        <v>874.80000000000007</v>
      </c>
      <c r="S15" s="8"/>
      <c r="T15" s="5" t="s">
        <v>64</v>
      </c>
    </row>
    <row r="16" spans="1:20" ht="19.95" customHeight="1" x14ac:dyDescent="0.3">
      <c r="A16" s="31" t="s">
        <v>17</v>
      </c>
      <c r="B16" s="27" t="s">
        <v>101</v>
      </c>
      <c r="C16" s="30" t="s">
        <v>32</v>
      </c>
      <c r="D16" s="12">
        <v>2.61</v>
      </c>
      <c r="E16" s="13">
        <f t="shared" si="0"/>
        <v>78.3</v>
      </c>
      <c r="F16" s="12">
        <f t="shared" si="1"/>
        <v>1.4355</v>
      </c>
      <c r="G16" s="13">
        <f t="shared" ref="G16:G20" si="10">ROUND($D16*(1-$F$11)*$N16,0)</f>
        <v>43</v>
      </c>
      <c r="H16" s="12">
        <f t="shared" si="2"/>
        <v>1.4355</v>
      </c>
      <c r="I16" s="13">
        <f t="shared" si="3"/>
        <v>43</v>
      </c>
      <c r="J16" s="12">
        <f t="shared" si="4"/>
        <v>1.3049999999999999</v>
      </c>
      <c r="K16" s="13">
        <f t="shared" si="5"/>
        <v>39</v>
      </c>
      <c r="L16" s="12">
        <f t="shared" si="6"/>
        <v>1.1483999999999999</v>
      </c>
      <c r="M16" s="13">
        <f t="shared" si="7"/>
        <v>34</v>
      </c>
      <c r="N16" s="33">
        <f t="shared" si="8"/>
        <v>30</v>
      </c>
      <c r="O16" s="33">
        <v>150</v>
      </c>
      <c r="P16" s="34">
        <v>5</v>
      </c>
      <c r="Q16" s="14">
        <v>7.8</v>
      </c>
      <c r="R16" s="14">
        <f t="shared" si="9"/>
        <v>1200</v>
      </c>
      <c r="S16" s="8"/>
      <c r="T16" s="5" t="s">
        <v>64</v>
      </c>
    </row>
    <row r="17" spans="1:20" ht="19.95" customHeight="1" x14ac:dyDescent="0.3">
      <c r="A17" s="31" t="s">
        <v>18</v>
      </c>
      <c r="B17" s="27" t="s">
        <v>102</v>
      </c>
      <c r="C17" s="30" t="s">
        <v>32</v>
      </c>
      <c r="D17" s="12">
        <v>3.16</v>
      </c>
      <c r="E17" s="13">
        <f t="shared" si="0"/>
        <v>94.800000000000011</v>
      </c>
      <c r="F17" s="12">
        <f t="shared" si="1"/>
        <v>1.7380000000000002</v>
      </c>
      <c r="G17" s="13">
        <f t="shared" si="10"/>
        <v>52</v>
      </c>
      <c r="H17" s="12">
        <f t="shared" si="2"/>
        <v>1.7380000000000002</v>
      </c>
      <c r="I17" s="13">
        <f t="shared" si="3"/>
        <v>52</v>
      </c>
      <c r="J17" s="12">
        <f t="shared" si="4"/>
        <v>1.58</v>
      </c>
      <c r="K17" s="13">
        <f t="shared" si="5"/>
        <v>47</v>
      </c>
      <c r="L17" s="12">
        <f t="shared" si="6"/>
        <v>1.3903999999999999</v>
      </c>
      <c r="M17" s="13">
        <f t="shared" si="7"/>
        <v>42</v>
      </c>
      <c r="N17" s="33">
        <f t="shared" si="8"/>
        <v>30</v>
      </c>
      <c r="O17" s="33">
        <v>120</v>
      </c>
      <c r="P17" s="34">
        <v>4</v>
      </c>
      <c r="Q17" s="14">
        <v>9</v>
      </c>
      <c r="R17" s="14">
        <f t="shared" si="9"/>
        <v>1110</v>
      </c>
      <c r="S17" s="8"/>
      <c r="T17" s="5" t="s">
        <v>64</v>
      </c>
    </row>
    <row r="18" spans="1:20" ht="19.95" customHeight="1" x14ac:dyDescent="0.3">
      <c r="A18" s="31" t="s">
        <v>19</v>
      </c>
      <c r="B18" s="27" t="s">
        <v>103</v>
      </c>
      <c r="C18" s="30" t="s">
        <v>32</v>
      </c>
      <c r="D18" s="12">
        <v>3.52</v>
      </c>
      <c r="E18" s="13">
        <f t="shared" si="0"/>
        <v>105.6</v>
      </c>
      <c r="F18" s="12">
        <f t="shared" si="1"/>
        <v>1.9360000000000002</v>
      </c>
      <c r="G18" s="13">
        <f t="shared" si="10"/>
        <v>58</v>
      </c>
      <c r="H18" s="12">
        <f t="shared" si="2"/>
        <v>1.9360000000000002</v>
      </c>
      <c r="I18" s="13">
        <f t="shared" si="3"/>
        <v>58</v>
      </c>
      <c r="J18" s="12">
        <f t="shared" si="4"/>
        <v>1.76</v>
      </c>
      <c r="K18" s="13">
        <f t="shared" si="5"/>
        <v>53</v>
      </c>
      <c r="L18" s="12">
        <f t="shared" si="6"/>
        <v>1.5487999999999997</v>
      </c>
      <c r="M18" s="13">
        <f t="shared" si="7"/>
        <v>46</v>
      </c>
      <c r="N18" s="33">
        <f t="shared" si="8"/>
        <v>30</v>
      </c>
      <c r="O18" s="33">
        <v>120</v>
      </c>
      <c r="P18" s="34">
        <v>4</v>
      </c>
      <c r="Q18" s="14">
        <v>9</v>
      </c>
      <c r="R18" s="14">
        <f t="shared" si="9"/>
        <v>1110</v>
      </c>
      <c r="S18" s="8"/>
      <c r="T18" s="5" t="s">
        <v>64</v>
      </c>
    </row>
    <row r="19" spans="1:20" ht="19.95" customHeight="1" x14ac:dyDescent="0.3">
      <c r="A19" s="31" t="s">
        <v>20</v>
      </c>
      <c r="B19" s="27" t="s">
        <v>104</v>
      </c>
      <c r="C19" s="30" t="s">
        <v>33</v>
      </c>
      <c r="D19" s="12">
        <v>4.97</v>
      </c>
      <c r="E19" s="13">
        <f t="shared" si="0"/>
        <v>149.1</v>
      </c>
      <c r="F19" s="12">
        <f t="shared" si="1"/>
        <v>2.7335000000000003</v>
      </c>
      <c r="G19" s="13">
        <f t="shared" si="10"/>
        <v>82</v>
      </c>
      <c r="H19" s="12">
        <f t="shared" si="2"/>
        <v>2.7335000000000003</v>
      </c>
      <c r="I19" s="13">
        <f t="shared" si="3"/>
        <v>82</v>
      </c>
      <c r="J19" s="12">
        <f t="shared" si="4"/>
        <v>2.4849999999999999</v>
      </c>
      <c r="K19" s="13">
        <f t="shared" si="5"/>
        <v>75</v>
      </c>
      <c r="L19" s="12">
        <f t="shared" si="6"/>
        <v>2.1867999999999994</v>
      </c>
      <c r="M19" s="13">
        <f t="shared" si="7"/>
        <v>66</v>
      </c>
      <c r="N19" s="33">
        <f>O19/P19</f>
        <v>30</v>
      </c>
      <c r="O19" s="33">
        <v>180</v>
      </c>
      <c r="P19" s="34">
        <v>6</v>
      </c>
      <c r="Q19" s="14">
        <v>5.5</v>
      </c>
      <c r="R19" s="14">
        <f t="shared" si="9"/>
        <v>1020</v>
      </c>
      <c r="S19" s="8"/>
      <c r="T19" s="5" t="s">
        <v>64</v>
      </c>
    </row>
    <row r="20" spans="1:20" ht="19.95" customHeight="1" x14ac:dyDescent="0.3">
      <c r="A20" s="31" t="s">
        <v>21</v>
      </c>
      <c r="B20" s="27" t="s">
        <v>105</v>
      </c>
      <c r="C20" s="30" t="s">
        <v>34</v>
      </c>
      <c r="D20" s="12">
        <v>1.8</v>
      </c>
      <c r="E20" s="13">
        <f t="shared" si="0"/>
        <v>57.6</v>
      </c>
      <c r="F20" s="12">
        <f t="shared" si="1"/>
        <v>0.9900000000000001</v>
      </c>
      <c r="G20" s="13">
        <f t="shared" si="10"/>
        <v>32</v>
      </c>
      <c r="H20" s="12">
        <f t="shared" si="2"/>
        <v>0.9900000000000001</v>
      </c>
      <c r="I20" s="13">
        <f t="shared" si="3"/>
        <v>32</v>
      </c>
      <c r="J20" s="12">
        <f t="shared" si="4"/>
        <v>0.9</v>
      </c>
      <c r="K20" s="13">
        <f t="shared" si="5"/>
        <v>29</v>
      </c>
      <c r="L20" s="12">
        <f t="shared" si="6"/>
        <v>0.79199999999999993</v>
      </c>
      <c r="M20" s="13">
        <f t="shared" si="7"/>
        <v>25</v>
      </c>
      <c r="N20" s="33">
        <f t="shared" ref="N20:N21" si="11">O20/P20</f>
        <v>32</v>
      </c>
      <c r="O20" s="33">
        <v>800</v>
      </c>
      <c r="P20" s="34">
        <v>25</v>
      </c>
      <c r="Q20" s="14">
        <v>1</v>
      </c>
      <c r="R20" s="14">
        <f t="shared" si="9"/>
        <v>830</v>
      </c>
      <c r="S20" s="8"/>
      <c r="T20" s="5" t="s">
        <v>64</v>
      </c>
    </row>
    <row r="21" spans="1:20" ht="25.95" customHeight="1" x14ac:dyDescent="0.3">
      <c r="A21" s="31" t="s">
        <v>22</v>
      </c>
      <c r="B21" s="28" t="s">
        <v>106</v>
      </c>
      <c r="C21" s="30" t="s">
        <v>34</v>
      </c>
      <c r="D21" s="12">
        <v>25</v>
      </c>
      <c r="E21" s="15" t="s">
        <v>49</v>
      </c>
      <c r="F21" s="12">
        <f t="shared" ref="F21" si="12">D21*0.55</f>
        <v>13.750000000000002</v>
      </c>
      <c r="G21" s="12" t="s">
        <v>49</v>
      </c>
      <c r="H21" s="12">
        <f t="shared" ref="H21" si="13">D21*0.55</f>
        <v>13.750000000000002</v>
      </c>
      <c r="I21" s="12" t="s">
        <v>49</v>
      </c>
      <c r="J21" s="12">
        <f t="shared" ref="J21" si="14">D21*0.5</f>
        <v>12.5</v>
      </c>
      <c r="K21" s="12" t="s">
        <v>49</v>
      </c>
      <c r="L21" s="12">
        <f t="shared" ref="L21" si="15">D21*0.44</f>
        <v>11</v>
      </c>
      <c r="M21" s="12" t="s">
        <v>49</v>
      </c>
      <c r="N21" s="33">
        <f t="shared" si="11"/>
        <v>2.68</v>
      </c>
      <c r="O21" s="33">
        <v>67</v>
      </c>
      <c r="P21" s="34">
        <v>25</v>
      </c>
      <c r="Q21" s="14">
        <v>12</v>
      </c>
      <c r="R21" s="14">
        <f t="shared" si="9"/>
        <v>834</v>
      </c>
      <c r="S21" s="8"/>
      <c r="T21" s="5" t="s">
        <v>64</v>
      </c>
    </row>
    <row r="22" spans="1:20" ht="19.95" customHeight="1" x14ac:dyDescent="0.3">
      <c r="A22" s="31" t="s">
        <v>23</v>
      </c>
      <c r="B22" s="27" t="s">
        <v>105</v>
      </c>
      <c r="C22" s="30" t="s">
        <v>35</v>
      </c>
      <c r="D22" s="16">
        <v>2.9</v>
      </c>
      <c r="E22" s="13">
        <f>D22*N22</f>
        <v>87</v>
      </c>
      <c r="F22" s="12">
        <f>($D22*(1-$F$11))</f>
        <v>1.595</v>
      </c>
      <c r="G22" s="13">
        <f>ROUND($D22*(1-$F$11)*$N22,0)</f>
        <v>48</v>
      </c>
      <c r="H22" s="12">
        <f>($D22*(1-$H$11))</f>
        <v>1.595</v>
      </c>
      <c r="I22" s="13">
        <f>ROUND($D22*(1-$H$11)*$N22,0)</f>
        <v>48</v>
      </c>
      <c r="J22" s="12">
        <f>($D22*(1-$J$11))</f>
        <v>1.45</v>
      </c>
      <c r="K22" s="13">
        <f>ROUND($D22*(1-$J$11)*$N22,0)</f>
        <v>44</v>
      </c>
      <c r="L22" s="12">
        <f>($D22*(1-$L$11))</f>
        <v>1.2759999999999998</v>
      </c>
      <c r="M22" s="13">
        <f>ROUND($D22*(1-$L$11)*$N22,0)</f>
        <v>38</v>
      </c>
      <c r="N22" s="33">
        <f>O22/P22</f>
        <v>30</v>
      </c>
      <c r="O22" s="35">
        <v>750</v>
      </c>
      <c r="P22" s="34">
        <v>25</v>
      </c>
      <c r="Q22" s="17">
        <v>1.4</v>
      </c>
      <c r="R22" s="14">
        <f t="shared" si="9"/>
        <v>1080</v>
      </c>
      <c r="S22" s="8"/>
      <c r="T22" s="5" t="s">
        <v>64</v>
      </c>
    </row>
    <row r="23" spans="1:20" ht="19.95" customHeight="1" x14ac:dyDescent="0.3">
      <c r="A23" s="31" t="s">
        <v>24</v>
      </c>
      <c r="B23" s="27" t="s">
        <v>38</v>
      </c>
      <c r="C23" s="18"/>
      <c r="D23" s="16">
        <v>45.5</v>
      </c>
      <c r="E23" s="98">
        <v>3.5</v>
      </c>
      <c r="F23" s="26"/>
      <c r="G23" s="26"/>
      <c r="H23" s="19"/>
      <c r="I23" s="20"/>
      <c r="J23" s="19"/>
      <c r="K23" s="19"/>
      <c r="L23" s="19"/>
      <c r="M23" s="19"/>
      <c r="N23" s="19"/>
      <c r="O23" s="19"/>
      <c r="P23" s="19"/>
      <c r="Q23" s="19"/>
      <c r="R23" s="8"/>
      <c r="S23" s="8"/>
      <c r="T23" s="5" t="s">
        <v>65</v>
      </c>
    </row>
    <row r="24" spans="1:20" ht="19.95" customHeight="1" x14ac:dyDescent="0.3">
      <c r="A24" s="31" t="s">
        <v>25</v>
      </c>
      <c r="B24" s="27" t="s">
        <v>38</v>
      </c>
      <c r="C24" s="18"/>
      <c r="D24" s="21">
        <v>324</v>
      </c>
      <c r="E24" s="98">
        <v>25</v>
      </c>
      <c r="F24" s="26"/>
      <c r="G24" s="26"/>
      <c r="H24" s="19"/>
      <c r="I24" s="20"/>
      <c r="J24" s="19"/>
      <c r="K24" s="19"/>
      <c r="L24" s="19"/>
      <c r="M24" s="19"/>
      <c r="N24" s="19"/>
      <c r="O24" s="19"/>
      <c r="P24" s="19"/>
      <c r="Q24" s="19"/>
      <c r="R24" s="8"/>
      <c r="S24" s="8"/>
      <c r="T24" s="5" t="s">
        <v>65</v>
      </c>
    </row>
    <row r="25" spans="1:20" ht="19.95" customHeight="1" x14ac:dyDescent="0.3">
      <c r="A25" s="31" t="s">
        <v>26</v>
      </c>
      <c r="B25" s="27" t="s">
        <v>39</v>
      </c>
      <c r="C25" s="18"/>
      <c r="D25" s="16">
        <v>33.6</v>
      </c>
      <c r="E25" s="99">
        <v>25</v>
      </c>
      <c r="F25" s="26"/>
      <c r="G25" s="26"/>
      <c r="H25" s="19"/>
      <c r="I25" s="20"/>
      <c r="J25" s="19"/>
      <c r="K25" s="19"/>
      <c r="L25" s="19"/>
      <c r="M25" s="19"/>
      <c r="N25" s="19"/>
      <c r="O25" s="19"/>
      <c r="P25" s="19"/>
      <c r="Q25" s="19"/>
      <c r="R25" s="8"/>
      <c r="S25" s="8"/>
      <c r="T25" s="5" t="s">
        <v>65</v>
      </c>
    </row>
    <row r="26" spans="1:20" ht="19.95" customHeight="1" x14ac:dyDescent="0.3">
      <c r="A26" s="31" t="s">
        <v>27</v>
      </c>
      <c r="B26" s="27" t="s">
        <v>40</v>
      </c>
      <c r="C26" s="18"/>
      <c r="D26" s="21">
        <v>25</v>
      </c>
      <c r="E26" s="98">
        <v>25</v>
      </c>
      <c r="F26" s="26"/>
      <c r="G26" s="26"/>
      <c r="H26" s="19"/>
      <c r="I26" s="20"/>
      <c r="J26" s="19"/>
      <c r="K26" s="19"/>
      <c r="L26" s="19"/>
      <c r="M26" s="19"/>
      <c r="N26" s="19"/>
      <c r="O26" s="19"/>
      <c r="P26" s="19"/>
      <c r="Q26" s="19"/>
      <c r="R26" s="8"/>
      <c r="S26" s="8"/>
      <c r="T26" s="5" t="s">
        <v>65</v>
      </c>
    </row>
    <row r="27" spans="1:20" ht="13.95" customHeight="1" x14ac:dyDescent="0.3">
      <c r="A27" s="31" t="s">
        <v>28</v>
      </c>
      <c r="B27" s="27" t="s">
        <v>41</v>
      </c>
      <c r="C27" s="18"/>
      <c r="D27" s="21">
        <v>380</v>
      </c>
      <c r="E27" s="19"/>
      <c r="F27" s="19"/>
      <c r="G27" s="19"/>
      <c r="H27" s="19"/>
      <c r="I27" s="20"/>
      <c r="J27" s="19"/>
      <c r="K27" s="19"/>
      <c r="L27" s="19"/>
      <c r="M27" s="19"/>
      <c r="N27" s="19"/>
      <c r="O27" s="19"/>
      <c r="P27" s="19"/>
      <c r="Q27" s="19"/>
      <c r="R27" s="8"/>
      <c r="S27" s="8"/>
      <c r="T27" s="5" t="s">
        <v>66</v>
      </c>
    </row>
    <row r="28" spans="1:20" ht="13.95" customHeight="1" x14ac:dyDescent="0.3">
      <c r="A28" s="32" t="s">
        <v>29</v>
      </c>
      <c r="B28" s="27" t="s">
        <v>42</v>
      </c>
      <c r="C28" s="18"/>
      <c r="D28" s="21">
        <v>400</v>
      </c>
      <c r="E28" s="19"/>
      <c r="F28" s="19"/>
      <c r="G28" s="19"/>
      <c r="H28" s="19"/>
      <c r="I28" s="20"/>
      <c r="J28" s="19"/>
      <c r="K28" s="19"/>
      <c r="L28" s="19"/>
      <c r="M28" s="19"/>
      <c r="N28" s="19"/>
      <c r="O28" s="19"/>
      <c r="P28" s="19"/>
      <c r="Q28" s="19"/>
      <c r="R28" s="8"/>
      <c r="S28" s="8"/>
      <c r="T28" s="5" t="s">
        <v>66</v>
      </c>
    </row>
    <row r="29" spans="1:20" ht="13.95" customHeight="1" x14ac:dyDescent="0.3">
      <c r="A29" s="32" t="s">
        <v>100</v>
      </c>
      <c r="B29" s="29" t="s">
        <v>43</v>
      </c>
      <c r="C29" s="18"/>
      <c r="D29" s="22">
        <v>1000</v>
      </c>
      <c r="E29" s="19"/>
      <c r="F29" s="19"/>
      <c r="G29" s="19"/>
      <c r="H29" s="19"/>
      <c r="I29" s="20"/>
      <c r="J29" s="19"/>
      <c r="K29" s="19"/>
      <c r="L29" s="19"/>
      <c r="M29" s="19"/>
      <c r="N29" s="19"/>
      <c r="O29" s="19"/>
      <c r="P29" s="19"/>
      <c r="Q29" s="19"/>
      <c r="R29" s="8"/>
      <c r="S29" s="8"/>
      <c r="T29" s="5" t="s">
        <v>66</v>
      </c>
    </row>
    <row r="30" spans="1:20" ht="13.95" customHeight="1" x14ac:dyDescent="0.3">
      <c r="A30" s="31" t="s">
        <v>57</v>
      </c>
      <c r="B30" s="27" t="s">
        <v>44</v>
      </c>
      <c r="C30" s="18"/>
      <c r="D30" s="21">
        <v>50</v>
      </c>
      <c r="E30" s="170" t="s">
        <v>48</v>
      </c>
      <c r="F30" s="170"/>
      <c r="G30" s="170"/>
      <c r="H30" s="170"/>
      <c r="I30" s="20"/>
      <c r="J30" s="19"/>
      <c r="K30" s="19"/>
      <c r="L30" s="19"/>
      <c r="M30" s="19"/>
      <c r="N30" s="19"/>
      <c r="O30" s="19"/>
      <c r="P30" s="19"/>
      <c r="Q30" s="19"/>
      <c r="R30" s="8"/>
      <c r="S30" s="8"/>
      <c r="T30" s="5" t="s">
        <v>66</v>
      </c>
    </row>
    <row r="31" spans="1:20" ht="13.95" customHeight="1" x14ac:dyDescent="0.3">
      <c r="A31" s="23"/>
      <c r="B31" s="24"/>
      <c r="C31" s="18"/>
      <c r="D31" s="25"/>
      <c r="E31" s="26"/>
      <c r="F31" s="26"/>
      <c r="G31" s="26"/>
      <c r="H31" s="26"/>
      <c r="I31" s="20"/>
      <c r="J31" s="19"/>
      <c r="K31" s="19"/>
      <c r="L31" s="19"/>
      <c r="M31" s="19"/>
      <c r="N31" s="19"/>
      <c r="O31" s="19"/>
      <c r="P31" s="19"/>
      <c r="Q31" s="19"/>
      <c r="R31" s="8"/>
      <c r="S31" s="8"/>
    </row>
    <row r="32" spans="1:20" ht="13.95" customHeight="1" x14ac:dyDescent="0.3">
      <c r="A32" s="11" t="s">
        <v>36</v>
      </c>
      <c r="B32" s="171" t="s">
        <v>45</v>
      </c>
      <c r="C32" s="171"/>
      <c r="D32" s="171"/>
      <c r="E32" s="171"/>
      <c r="F32" s="21">
        <v>50</v>
      </c>
      <c r="G32" s="181" t="s">
        <v>47</v>
      </c>
      <c r="H32" s="172"/>
      <c r="I32" s="172"/>
      <c r="J32" s="36"/>
      <c r="K32" s="25"/>
      <c r="L32" s="172"/>
      <c r="M32" s="172"/>
      <c r="N32" s="19"/>
      <c r="O32" s="19"/>
      <c r="P32" s="19"/>
      <c r="Q32" s="19"/>
      <c r="R32" s="8"/>
      <c r="S32" s="8"/>
    </row>
    <row r="33" spans="1:19" ht="13.95" customHeight="1" x14ac:dyDescent="0.3">
      <c r="A33" s="11" t="s">
        <v>37</v>
      </c>
      <c r="B33" s="171" t="s">
        <v>46</v>
      </c>
      <c r="C33" s="171"/>
      <c r="D33" s="171"/>
      <c r="E33" s="171"/>
      <c r="F33" s="21">
        <v>500</v>
      </c>
      <c r="G33" s="181"/>
      <c r="H33" s="172"/>
      <c r="I33" s="172"/>
      <c r="J33" s="36"/>
      <c r="K33" s="25"/>
      <c r="L33" s="172"/>
      <c r="M33" s="172"/>
      <c r="N33" s="8"/>
      <c r="O33" s="8"/>
      <c r="P33" s="8"/>
      <c r="Q33" s="8"/>
      <c r="R33" s="8"/>
      <c r="S33" s="8"/>
    </row>
    <row r="34" spans="1:19" x14ac:dyDescent="0.3">
      <c r="A34" s="23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ht="15.6" x14ac:dyDescent="0.3">
      <c r="A35" s="23"/>
      <c r="B35" s="168"/>
      <c r="C35" s="168"/>
      <c r="D35" s="168"/>
      <c r="E35" s="8"/>
      <c r="F35" s="8"/>
      <c r="G35" s="8"/>
      <c r="H35" s="8"/>
      <c r="I35" s="8"/>
      <c r="J35" s="8"/>
      <c r="K35" s="8"/>
      <c r="L35" s="164" t="s">
        <v>56</v>
      </c>
      <c r="M35" s="164"/>
      <c r="N35" s="164"/>
      <c r="O35" s="8"/>
      <c r="P35" s="8"/>
      <c r="Q35" s="8"/>
      <c r="R35" s="8"/>
      <c r="S35" s="8"/>
    </row>
    <row r="36" spans="1:19" x14ac:dyDescent="0.3">
      <c r="A36" s="23"/>
      <c r="B36" s="8"/>
      <c r="C36" s="8"/>
      <c r="D36" s="8"/>
      <c r="E36" s="8"/>
      <c r="F36" s="164"/>
      <c r="G36" s="164"/>
      <c r="H36" s="164"/>
      <c r="I36" s="164"/>
      <c r="J36" s="37"/>
      <c r="K36" s="8"/>
      <c r="L36" s="8"/>
      <c r="M36" s="8"/>
      <c r="N36" s="8"/>
      <c r="O36" s="8"/>
      <c r="P36" s="8"/>
      <c r="Q36" s="8"/>
      <c r="R36" s="8"/>
      <c r="S36" s="8"/>
    </row>
    <row r="37" spans="1:19" x14ac:dyDescent="0.3">
      <c r="A37" s="166"/>
      <c r="B37" s="166"/>
      <c r="C37" s="166"/>
      <c r="D37" s="166"/>
      <c r="E37" s="166"/>
      <c r="F37" s="164"/>
      <c r="G37" s="164"/>
      <c r="H37" s="164"/>
      <c r="I37" s="164"/>
      <c r="J37" s="37"/>
      <c r="K37" s="8"/>
      <c r="L37" s="8"/>
      <c r="M37" s="8"/>
      <c r="N37" s="8"/>
      <c r="O37" s="8"/>
      <c r="P37" s="8"/>
      <c r="Q37" s="8"/>
      <c r="R37" s="8"/>
      <c r="S37" s="8"/>
    </row>
    <row r="38" spans="1:19" x14ac:dyDescent="0.3">
      <c r="A38" s="166"/>
      <c r="B38" s="166"/>
      <c r="C38" s="166"/>
      <c r="D38" s="166"/>
      <c r="E38" s="166"/>
      <c r="F38" s="167"/>
      <c r="G38" s="167"/>
      <c r="H38" s="167"/>
      <c r="I38" s="167"/>
      <c r="J38" s="167"/>
      <c r="K38" s="8"/>
      <c r="L38" s="8"/>
      <c r="M38" s="8"/>
      <c r="N38" s="8"/>
      <c r="O38" s="8"/>
      <c r="P38" s="8"/>
      <c r="Q38" s="8"/>
      <c r="R38" s="8"/>
      <c r="S38" s="8"/>
    </row>
    <row r="39" spans="1:19" x14ac:dyDescent="0.3">
      <c r="A39" s="23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1:19" x14ac:dyDescent="0.3">
      <c r="A40" s="23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</sheetData>
  <mergeCells count="31">
    <mergeCell ref="A38:E38"/>
    <mergeCell ref="A37:E37"/>
    <mergeCell ref="B35:D35"/>
    <mergeCell ref="L32:M33"/>
    <mergeCell ref="B32:E32"/>
    <mergeCell ref="B33:E33"/>
    <mergeCell ref="L35:N35"/>
    <mergeCell ref="F38:J38"/>
    <mergeCell ref="F36:I36"/>
    <mergeCell ref="F37:I37"/>
    <mergeCell ref="G32:I33"/>
    <mergeCell ref="A1:B7"/>
    <mergeCell ref="N10:N11"/>
    <mergeCell ref="N9:P9"/>
    <mergeCell ref="F10:G10"/>
    <mergeCell ref="F11:G11"/>
    <mergeCell ref="D2:M3"/>
    <mergeCell ref="D9:M9"/>
    <mergeCell ref="E30:H30"/>
    <mergeCell ref="Q9:R9"/>
    <mergeCell ref="D10:E10"/>
    <mergeCell ref="H10:I10"/>
    <mergeCell ref="J10:K10"/>
    <mergeCell ref="L10:M10"/>
    <mergeCell ref="O10:O11"/>
    <mergeCell ref="P10:P11"/>
    <mergeCell ref="Q10:Q11"/>
    <mergeCell ref="R10:R11"/>
    <mergeCell ref="H11:I11"/>
    <mergeCell ref="J11:K11"/>
    <mergeCell ref="L11:M11"/>
  </mergeCells>
  <pageMargins left="0.7" right="0.7" top="0.75" bottom="0.75" header="0.3" footer="0.3"/>
  <pageSetup paperSize="9" scale="6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A8E8E-CF91-4783-A574-8ECFF4D56772}">
  <sheetPr>
    <pageSetUpPr fitToPage="1"/>
  </sheetPr>
  <dimension ref="A1:T40"/>
  <sheetViews>
    <sheetView topLeftCell="A15" workbookViewId="0">
      <selection activeCell="B35" sqref="A35:J40"/>
    </sheetView>
  </sheetViews>
  <sheetFormatPr baseColWidth="10" defaultColWidth="8.88671875" defaultRowHeight="14.4" x14ac:dyDescent="0.3"/>
  <cols>
    <col min="1" max="1" width="12.77734375" style="6" customWidth="1"/>
    <col min="2" max="2" width="36.77734375" style="5" customWidth="1"/>
    <col min="3" max="3" width="10.77734375" style="5" customWidth="1"/>
    <col min="4" max="13" width="8.77734375" style="5" customWidth="1"/>
    <col min="14" max="18" width="8.88671875" style="5" customWidth="1"/>
    <col min="19" max="16384" width="8.88671875" style="5"/>
  </cols>
  <sheetData>
    <row r="1" spans="1:20" x14ac:dyDescent="0.3">
      <c r="A1" s="164"/>
      <c r="B1" s="164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20" x14ac:dyDescent="0.3">
      <c r="A2" s="164"/>
      <c r="B2" s="164"/>
      <c r="C2" s="8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8"/>
      <c r="O2" s="8"/>
      <c r="P2" s="8"/>
      <c r="Q2" s="8"/>
      <c r="R2" s="8"/>
      <c r="S2" s="8"/>
    </row>
    <row r="3" spans="1:20" x14ac:dyDescent="0.3">
      <c r="A3" s="164"/>
      <c r="B3" s="164"/>
      <c r="C3" s="8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8"/>
      <c r="O3" s="8"/>
      <c r="P3" s="8"/>
      <c r="Q3" s="8"/>
      <c r="R3" s="8"/>
      <c r="S3" s="8"/>
    </row>
    <row r="4" spans="1:20" x14ac:dyDescent="0.3">
      <c r="A4" s="164"/>
      <c r="B4" s="164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0" x14ac:dyDescent="0.3">
      <c r="A5" s="164"/>
      <c r="B5" s="16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20" x14ac:dyDescent="0.3">
      <c r="A6" s="164"/>
      <c r="B6" s="164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20" x14ac:dyDescent="0.3">
      <c r="A7" s="164"/>
      <c r="B7" s="164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20" ht="14.4" customHeight="1" x14ac:dyDescent="0.3">
      <c r="A8" s="8"/>
      <c r="B8" s="8"/>
      <c r="C8" s="8"/>
      <c r="D8" s="7"/>
      <c r="E8" s="7"/>
      <c r="F8" s="7"/>
      <c r="G8" s="7"/>
      <c r="H8" s="7"/>
      <c r="I8" s="7"/>
      <c r="J8" s="7"/>
      <c r="K8" s="7"/>
      <c r="L8" s="7"/>
      <c r="M8" s="7"/>
      <c r="N8" s="8"/>
      <c r="O8" s="8"/>
      <c r="P8" s="8"/>
      <c r="Q8" s="8"/>
      <c r="R8" s="8"/>
      <c r="S8" s="8"/>
    </row>
    <row r="9" spans="1:20" ht="14.4" customHeight="1" x14ac:dyDescent="0.3">
      <c r="A9" s="9"/>
      <c r="B9" s="4"/>
      <c r="C9" s="1"/>
      <c r="D9" s="169" t="s">
        <v>0</v>
      </c>
      <c r="E9" s="169"/>
      <c r="F9" s="169"/>
      <c r="G9" s="169"/>
      <c r="H9" s="169"/>
      <c r="I9" s="169"/>
      <c r="J9" s="169"/>
      <c r="K9" s="169"/>
      <c r="L9" s="169"/>
      <c r="M9" s="169"/>
      <c r="N9" s="177" t="s">
        <v>1</v>
      </c>
      <c r="O9" s="178"/>
      <c r="P9" s="178"/>
      <c r="Q9" s="178" t="s">
        <v>2</v>
      </c>
      <c r="R9" s="178"/>
      <c r="S9" s="8"/>
    </row>
    <row r="10" spans="1:20" ht="25.95" customHeight="1" x14ac:dyDescent="0.3">
      <c r="A10" s="9"/>
      <c r="B10" s="4"/>
      <c r="C10" s="1"/>
      <c r="D10" s="169" t="s">
        <v>4</v>
      </c>
      <c r="E10" s="169"/>
      <c r="F10" s="174" t="s">
        <v>55</v>
      </c>
      <c r="G10" s="174"/>
      <c r="H10" s="174" t="s">
        <v>52</v>
      </c>
      <c r="I10" s="174"/>
      <c r="J10" s="174" t="s">
        <v>53</v>
      </c>
      <c r="K10" s="174"/>
      <c r="L10" s="175" t="s">
        <v>54</v>
      </c>
      <c r="M10" s="175"/>
      <c r="N10" s="169" t="s">
        <v>5</v>
      </c>
      <c r="O10" s="169" t="s">
        <v>6</v>
      </c>
      <c r="P10" s="169" t="s">
        <v>7</v>
      </c>
      <c r="Q10" s="169" t="s">
        <v>8</v>
      </c>
      <c r="R10" s="169" t="s">
        <v>9</v>
      </c>
      <c r="S10" s="8"/>
    </row>
    <row r="11" spans="1:20" ht="28.8" x14ac:dyDescent="0.3">
      <c r="A11" s="10" t="s">
        <v>12</v>
      </c>
      <c r="B11" s="3" t="s">
        <v>3</v>
      </c>
      <c r="C11" s="2" t="s">
        <v>50</v>
      </c>
      <c r="D11" s="2" t="s">
        <v>10</v>
      </c>
      <c r="E11" s="2" t="s">
        <v>11</v>
      </c>
      <c r="F11" s="173">
        <v>0.45</v>
      </c>
      <c r="G11" s="173"/>
      <c r="H11" s="173">
        <v>0.45</v>
      </c>
      <c r="I11" s="173"/>
      <c r="J11" s="173">
        <v>0.5</v>
      </c>
      <c r="K11" s="173"/>
      <c r="L11" s="173">
        <v>0.56000000000000005</v>
      </c>
      <c r="M11" s="173"/>
      <c r="N11" s="169"/>
      <c r="O11" s="169"/>
      <c r="P11" s="169"/>
      <c r="Q11" s="169"/>
      <c r="R11" s="169"/>
      <c r="S11" s="8"/>
      <c r="T11" s="5" t="s">
        <v>63</v>
      </c>
    </row>
    <row r="12" spans="1:20" ht="19.95" customHeight="1" x14ac:dyDescent="0.3">
      <c r="A12" s="10" t="s">
        <v>13</v>
      </c>
      <c r="B12" s="38" t="s">
        <v>101</v>
      </c>
      <c r="C12" s="80" t="s">
        <v>30</v>
      </c>
      <c r="D12" s="12">
        <v>1.8</v>
      </c>
      <c r="E12" s="13">
        <f>D12*N12</f>
        <v>79.2</v>
      </c>
      <c r="F12" s="12">
        <f>($D12*(1-$F$11))</f>
        <v>0.9900000000000001</v>
      </c>
      <c r="G12" s="13">
        <f>ROUND($D12*(1-$F$11)*$N12,0)</f>
        <v>44</v>
      </c>
      <c r="H12" s="12">
        <f>($D12*(1-$H$11))</f>
        <v>0.9900000000000001</v>
      </c>
      <c r="I12" s="13">
        <f>ROUND($D12*(1-$H$11)*$N12,0)</f>
        <v>44</v>
      </c>
      <c r="J12" s="12">
        <f>($D12*(1-$J$11))</f>
        <v>0.9</v>
      </c>
      <c r="K12" s="13">
        <f>ROUND($D12*(1-$J$11)*$N12,0)</f>
        <v>40</v>
      </c>
      <c r="L12" s="12">
        <f>($D12*(1-$L$11))</f>
        <v>0.79199999999999993</v>
      </c>
      <c r="M12" s="13">
        <f>ROUND($D12*(1-$L$11)*$N12,0)</f>
        <v>35</v>
      </c>
      <c r="N12" s="33">
        <f>O12/P12</f>
        <v>44</v>
      </c>
      <c r="O12" s="33">
        <v>264</v>
      </c>
      <c r="P12" s="34">
        <v>6</v>
      </c>
      <c r="Q12" s="14">
        <v>4.4000000000000004</v>
      </c>
      <c r="R12" s="14">
        <f>Q12*O12+30</f>
        <v>1191.6000000000001</v>
      </c>
      <c r="S12" s="8"/>
      <c r="T12" s="5" t="s">
        <v>64</v>
      </c>
    </row>
    <row r="13" spans="1:20" ht="19.95" customHeight="1" x14ac:dyDescent="0.3">
      <c r="A13" s="10" t="s">
        <v>14</v>
      </c>
      <c r="B13" s="38" t="s">
        <v>107</v>
      </c>
      <c r="C13" s="80" t="s">
        <v>30</v>
      </c>
      <c r="D13" s="12">
        <v>2.15</v>
      </c>
      <c r="E13" s="13">
        <f t="shared" ref="E13:E20" si="0">D13*N13</f>
        <v>94.6</v>
      </c>
      <c r="F13" s="12">
        <f t="shared" ref="F13:F20" si="1">($D13*(1-$F$11))</f>
        <v>1.1825000000000001</v>
      </c>
      <c r="G13" s="13">
        <f>ROUND($D13*(1-$F$11)*$N13,0)</f>
        <v>52</v>
      </c>
      <c r="H13" s="12">
        <f t="shared" ref="H13:H20" si="2">($D13*(1-$H$11))</f>
        <v>1.1825000000000001</v>
      </c>
      <c r="I13" s="13">
        <f t="shared" ref="I13:I20" si="3">ROUND($D13*(1-$H$11)*$N13,0)</f>
        <v>52</v>
      </c>
      <c r="J13" s="12">
        <f t="shared" ref="J13:J20" si="4">($D13*(1-$J$11))</f>
        <v>1.075</v>
      </c>
      <c r="K13" s="13">
        <f t="shared" ref="K13:K20" si="5">ROUND($D13*(1-$J$11)*$N13,0)</f>
        <v>47</v>
      </c>
      <c r="L13" s="12">
        <f t="shared" ref="L13:L20" si="6">($D13*(1-$L$11))</f>
        <v>0.94599999999999984</v>
      </c>
      <c r="M13" s="13">
        <f t="shared" ref="M13:M20" si="7">ROUND($D13*(1-$L$11)*$N13,0)</f>
        <v>42</v>
      </c>
      <c r="N13" s="33">
        <f t="shared" ref="N13:N18" si="8">O13/P13</f>
        <v>44</v>
      </c>
      <c r="O13" s="33">
        <v>220</v>
      </c>
      <c r="P13" s="34">
        <v>5</v>
      </c>
      <c r="Q13" s="14">
        <v>5.2</v>
      </c>
      <c r="R13" s="14">
        <f t="shared" ref="R13:R22" si="9">Q13*O13+30</f>
        <v>1174</v>
      </c>
      <c r="S13" s="8"/>
      <c r="T13" s="5" t="s">
        <v>64</v>
      </c>
    </row>
    <row r="14" spans="1:20" ht="19.95" customHeight="1" x14ac:dyDescent="0.3">
      <c r="A14" s="10" t="s">
        <v>15</v>
      </c>
      <c r="B14" s="38" t="s">
        <v>103</v>
      </c>
      <c r="C14" s="80" t="s">
        <v>30</v>
      </c>
      <c r="D14" s="12">
        <v>2.4</v>
      </c>
      <c r="E14" s="13">
        <f t="shared" si="0"/>
        <v>105.6</v>
      </c>
      <c r="F14" s="12">
        <f t="shared" si="1"/>
        <v>1.32</v>
      </c>
      <c r="G14" s="13">
        <f>ROUND($D14*(1-$F$11)*$N14,0)</f>
        <v>58</v>
      </c>
      <c r="H14" s="12">
        <f t="shared" si="2"/>
        <v>1.32</v>
      </c>
      <c r="I14" s="13">
        <f t="shared" si="3"/>
        <v>58</v>
      </c>
      <c r="J14" s="12">
        <f t="shared" si="4"/>
        <v>1.2</v>
      </c>
      <c r="K14" s="13">
        <f t="shared" si="5"/>
        <v>53</v>
      </c>
      <c r="L14" s="12">
        <f t="shared" si="6"/>
        <v>1.0559999999999998</v>
      </c>
      <c r="M14" s="13">
        <f t="shared" si="7"/>
        <v>46</v>
      </c>
      <c r="N14" s="33">
        <f t="shared" si="8"/>
        <v>44</v>
      </c>
      <c r="O14" s="33">
        <v>220</v>
      </c>
      <c r="P14" s="34">
        <v>5</v>
      </c>
      <c r="Q14" s="14">
        <v>5.2</v>
      </c>
      <c r="R14" s="14">
        <f t="shared" si="9"/>
        <v>1174</v>
      </c>
      <c r="S14" s="8"/>
      <c r="T14" s="5" t="s">
        <v>64</v>
      </c>
    </row>
    <row r="15" spans="1:20" ht="19.95" customHeight="1" x14ac:dyDescent="0.3">
      <c r="A15" s="10" t="s">
        <v>16</v>
      </c>
      <c r="B15" s="38" t="s">
        <v>104</v>
      </c>
      <c r="C15" s="80" t="s">
        <v>31</v>
      </c>
      <c r="D15" s="12">
        <v>3.39</v>
      </c>
      <c r="E15" s="13">
        <f t="shared" si="0"/>
        <v>149.16</v>
      </c>
      <c r="F15" s="12">
        <f t="shared" si="1"/>
        <v>1.8645000000000003</v>
      </c>
      <c r="G15" s="13">
        <f>ROUND($D15*(1-$F$11)*$N15,0)</f>
        <v>82</v>
      </c>
      <c r="H15" s="12">
        <f t="shared" si="2"/>
        <v>1.8645000000000003</v>
      </c>
      <c r="I15" s="13">
        <f t="shared" si="3"/>
        <v>82</v>
      </c>
      <c r="J15" s="12">
        <f t="shared" si="4"/>
        <v>1.6950000000000001</v>
      </c>
      <c r="K15" s="13">
        <f t="shared" si="5"/>
        <v>75</v>
      </c>
      <c r="L15" s="12">
        <f t="shared" si="6"/>
        <v>1.4915999999999998</v>
      </c>
      <c r="M15" s="13">
        <f t="shared" si="7"/>
        <v>66</v>
      </c>
      <c r="N15" s="33">
        <f t="shared" si="8"/>
        <v>44</v>
      </c>
      <c r="O15" s="33">
        <v>264</v>
      </c>
      <c r="P15" s="34">
        <v>6</v>
      </c>
      <c r="Q15" s="14">
        <v>3.2</v>
      </c>
      <c r="R15" s="14">
        <f t="shared" si="9"/>
        <v>874.80000000000007</v>
      </c>
      <c r="S15" s="8"/>
      <c r="T15" s="5" t="s">
        <v>64</v>
      </c>
    </row>
    <row r="16" spans="1:20" ht="19.95" customHeight="1" x14ac:dyDescent="0.3">
      <c r="A16" s="10" t="s">
        <v>17</v>
      </c>
      <c r="B16" s="38" t="s">
        <v>101</v>
      </c>
      <c r="C16" s="80" t="s">
        <v>32</v>
      </c>
      <c r="D16" s="12">
        <v>2.61</v>
      </c>
      <c r="E16" s="13">
        <f t="shared" si="0"/>
        <v>78.3</v>
      </c>
      <c r="F16" s="12">
        <f t="shared" si="1"/>
        <v>1.4355</v>
      </c>
      <c r="G16" s="13">
        <f t="shared" ref="G16:G20" si="10">ROUND($D16*(1-$F$11)*$N16,0)</f>
        <v>43</v>
      </c>
      <c r="H16" s="12">
        <f t="shared" si="2"/>
        <v>1.4355</v>
      </c>
      <c r="I16" s="13">
        <f t="shared" si="3"/>
        <v>43</v>
      </c>
      <c r="J16" s="12">
        <f t="shared" si="4"/>
        <v>1.3049999999999999</v>
      </c>
      <c r="K16" s="13">
        <f t="shared" si="5"/>
        <v>39</v>
      </c>
      <c r="L16" s="12">
        <f t="shared" si="6"/>
        <v>1.1483999999999999</v>
      </c>
      <c r="M16" s="13">
        <f t="shared" si="7"/>
        <v>34</v>
      </c>
      <c r="N16" s="33">
        <f t="shared" si="8"/>
        <v>30</v>
      </c>
      <c r="O16" s="33">
        <v>150</v>
      </c>
      <c r="P16" s="34">
        <v>5</v>
      </c>
      <c r="Q16" s="14">
        <v>7.8</v>
      </c>
      <c r="R16" s="14">
        <f t="shared" si="9"/>
        <v>1200</v>
      </c>
      <c r="S16" s="8"/>
      <c r="T16" s="5" t="s">
        <v>64</v>
      </c>
    </row>
    <row r="17" spans="1:20" ht="19.95" customHeight="1" x14ac:dyDescent="0.3">
      <c r="A17" s="10" t="s">
        <v>18</v>
      </c>
      <c r="B17" s="38" t="s">
        <v>107</v>
      </c>
      <c r="C17" s="80" t="s">
        <v>32</v>
      </c>
      <c r="D17" s="12">
        <v>3.16</v>
      </c>
      <c r="E17" s="13">
        <f t="shared" si="0"/>
        <v>94.800000000000011</v>
      </c>
      <c r="F17" s="12">
        <f t="shared" si="1"/>
        <v>1.7380000000000002</v>
      </c>
      <c r="G17" s="13">
        <f t="shared" si="10"/>
        <v>52</v>
      </c>
      <c r="H17" s="12">
        <f t="shared" si="2"/>
        <v>1.7380000000000002</v>
      </c>
      <c r="I17" s="13">
        <f t="shared" si="3"/>
        <v>52</v>
      </c>
      <c r="J17" s="12">
        <f t="shared" si="4"/>
        <v>1.58</v>
      </c>
      <c r="K17" s="13">
        <f t="shared" si="5"/>
        <v>47</v>
      </c>
      <c r="L17" s="12">
        <f t="shared" si="6"/>
        <v>1.3903999999999999</v>
      </c>
      <c r="M17" s="13">
        <f t="shared" si="7"/>
        <v>42</v>
      </c>
      <c r="N17" s="33">
        <f t="shared" si="8"/>
        <v>30</v>
      </c>
      <c r="O17" s="33">
        <v>120</v>
      </c>
      <c r="P17" s="34">
        <v>4</v>
      </c>
      <c r="Q17" s="14">
        <v>9</v>
      </c>
      <c r="R17" s="14">
        <f t="shared" si="9"/>
        <v>1110</v>
      </c>
      <c r="S17" s="8"/>
      <c r="T17" s="5" t="s">
        <v>64</v>
      </c>
    </row>
    <row r="18" spans="1:20" ht="19.95" customHeight="1" x14ac:dyDescent="0.3">
      <c r="A18" s="10" t="s">
        <v>19</v>
      </c>
      <c r="B18" s="38" t="s">
        <v>103</v>
      </c>
      <c r="C18" s="80" t="s">
        <v>32</v>
      </c>
      <c r="D18" s="12">
        <v>3.52</v>
      </c>
      <c r="E18" s="13">
        <f t="shared" si="0"/>
        <v>105.6</v>
      </c>
      <c r="F18" s="12">
        <f t="shared" si="1"/>
        <v>1.9360000000000002</v>
      </c>
      <c r="G18" s="13">
        <f t="shared" si="10"/>
        <v>58</v>
      </c>
      <c r="H18" s="12">
        <f t="shared" si="2"/>
        <v>1.9360000000000002</v>
      </c>
      <c r="I18" s="13">
        <f t="shared" si="3"/>
        <v>58</v>
      </c>
      <c r="J18" s="12">
        <f t="shared" si="4"/>
        <v>1.76</v>
      </c>
      <c r="K18" s="13">
        <f t="shared" si="5"/>
        <v>53</v>
      </c>
      <c r="L18" s="12">
        <f t="shared" si="6"/>
        <v>1.5487999999999997</v>
      </c>
      <c r="M18" s="13">
        <f t="shared" si="7"/>
        <v>46</v>
      </c>
      <c r="N18" s="33">
        <f t="shared" si="8"/>
        <v>30</v>
      </c>
      <c r="O18" s="33">
        <v>120</v>
      </c>
      <c r="P18" s="34">
        <v>4</v>
      </c>
      <c r="Q18" s="14">
        <v>9</v>
      </c>
      <c r="R18" s="14">
        <f t="shared" si="9"/>
        <v>1110</v>
      </c>
      <c r="S18" s="8"/>
      <c r="T18" s="5" t="s">
        <v>64</v>
      </c>
    </row>
    <row r="19" spans="1:20" ht="19.95" customHeight="1" x14ac:dyDescent="0.3">
      <c r="A19" s="10" t="s">
        <v>20</v>
      </c>
      <c r="B19" s="38" t="s">
        <v>108</v>
      </c>
      <c r="C19" s="80" t="s">
        <v>33</v>
      </c>
      <c r="D19" s="12">
        <v>4.97</v>
      </c>
      <c r="E19" s="13">
        <f t="shared" si="0"/>
        <v>149.1</v>
      </c>
      <c r="F19" s="12">
        <f t="shared" si="1"/>
        <v>2.7335000000000003</v>
      </c>
      <c r="G19" s="13">
        <f t="shared" si="10"/>
        <v>82</v>
      </c>
      <c r="H19" s="12">
        <f t="shared" si="2"/>
        <v>2.7335000000000003</v>
      </c>
      <c r="I19" s="13">
        <f t="shared" si="3"/>
        <v>82</v>
      </c>
      <c r="J19" s="12">
        <f t="shared" si="4"/>
        <v>2.4849999999999999</v>
      </c>
      <c r="K19" s="13">
        <f t="shared" si="5"/>
        <v>75</v>
      </c>
      <c r="L19" s="12">
        <f t="shared" si="6"/>
        <v>2.1867999999999994</v>
      </c>
      <c r="M19" s="13">
        <f t="shared" si="7"/>
        <v>66</v>
      </c>
      <c r="N19" s="33">
        <f>O19/P19</f>
        <v>30</v>
      </c>
      <c r="O19" s="33">
        <v>180</v>
      </c>
      <c r="P19" s="34">
        <v>6</v>
      </c>
      <c r="Q19" s="14">
        <v>5.5</v>
      </c>
      <c r="R19" s="14">
        <f t="shared" si="9"/>
        <v>1020</v>
      </c>
      <c r="S19" s="8"/>
      <c r="T19" s="5" t="s">
        <v>64</v>
      </c>
    </row>
    <row r="20" spans="1:20" ht="19.95" customHeight="1" x14ac:dyDescent="0.3">
      <c r="A20" s="10" t="s">
        <v>21</v>
      </c>
      <c r="B20" s="38" t="s">
        <v>109</v>
      </c>
      <c r="C20" s="80" t="s">
        <v>34</v>
      </c>
      <c r="D20" s="12">
        <v>1.8</v>
      </c>
      <c r="E20" s="13">
        <f t="shared" si="0"/>
        <v>57.6</v>
      </c>
      <c r="F20" s="12">
        <f t="shared" si="1"/>
        <v>0.9900000000000001</v>
      </c>
      <c r="G20" s="13">
        <f t="shared" si="10"/>
        <v>32</v>
      </c>
      <c r="H20" s="12">
        <f t="shared" si="2"/>
        <v>0.9900000000000001</v>
      </c>
      <c r="I20" s="13">
        <f t="shared" si="3"/>
        <v>32</v>
      </c>
      <c r="J20" s="12">
        <f t="shared" si="4"/>
        <v>0.9</v>
      </c>
      <c r="K20" s="13">
        <f t="shared" si="5"/>
        <v>29</v>
      </c>
      <c r="L20" s="12">
        <f t="shared" si="6"/>
        <v>0.79199999999999993</v>
      </c>
      <c r="M20" s="13">
        <f t="shared" si="7"/>
        <v>25</v>
      </c>
      <c r="N20" s="33">
        <f t="shared" ref="N20:N21" si="11">O20/P20</f>
        <v>32</v>
      </c>
      <c r="O20" s="33">
        <v>800</v>
      </c>
      <c r="P20" s="34">
        <v>25</v>
      </c>
      <c r="Q20" s="14">
        <v>1</v>
      </c>
      <c r="R20" s="14">
        <f t="shared" si="9"/>
        <v>830</v>
      </c>
      <c r="S20" s="8"/>
      <c r="T20" s="5" t="s">
        <v>64</v>
      </c>
    </row>
    <row r="21" spans="1:20" ht="25.95" customHeight="1" x14ac:dyDescent="0.3">
      <c r="A21" s="10" t="s">
        <v>22</v>
      </c>
      <c r="B21" s="81" t="s">
        <v>106</v>
      </c>
      <c r="C21" s="80" t="s">
        <v>34</v>
      </c>
      <c r="D21" s="12">
        <v>25</v>
      </c>
      <c r="E21" s="15" t="s">
        <v>49</v>
      </c>
      <c r="F21" s="12">
        <f t="shared" ref="F21" si="12">D21*0.55</f>
        <v>13.750000000000002</v>
      </c>
      <c r="G21" s="12" t="s">
        <v>49</v>
      </c>
      <c r="H21" s="12">
        <f t="shared" ref="H21" si="13">D21*0.55</f>
        <v>13.750000000000002</v>
      </c>
      <c r="I21" s="12" t="s">
        <v>49</v>
      </c>
      <c r="J21" s="12">
        <f t="shared" ref="J21" si="14">D21*0.5</f>
        <v>12.5</v>
      </c>
      <c r="K21" s="12" t="s">
        <v>49</v>
      </c>
      <c r="L21" s="12">
        <f t="shared" ref="L21" si="15">D21*0.44</f>
        <v>11</v>
      </c>
      <c r="M21" s="12" t="s">
        <v>49</v>
      </c>
      <c r="N21" s="33">
        <f t="shared" si="11"/>
        <v>2.68</v>
      </c>
      <c r="O21" s="33">
        <v>67</v>
      </c>
      <c r="P21" s="34">
        <v>25</v>
      </c>
      <c r="Q21" s="14">
        <v>12</v>
      </c>
      <c r="R21" s="14">
        <f t="shared" si="9"/>
        <v>834</v>
      </c>
      <c r="S21" s="8"/>
      <c r="T21" s="5" t="s">
        <v>64</v>
      </c>
    </row>
    <row r="22" spans="1:20" ht="19.95" customHeight="1" x14ac:dyDescent="0.3">
      <c r="A22" s="10" t="s">
        <v>23</v>
      </c>
      <c r="B22" s="38" t="s">
        <v>105</v>
      </c>
      <c r="C22" s="80" t="s">
        <v>35</v>
      </c>
      <c r="D22" s="16">
        <v>2.9</v>
      </c>
      <c r="E22" s="13">
        <f>D22*N22</f>
        <v>87</v>
      </c>
      <c r="F22" s="12">
        <f>($D22*(1-$F$11))</f>
        <v>1.595</v>
      </c>
      <c r="G22" s="13">
        <f>ROUND($D22*(1-$F$11)*$N22,0)</f>
        <v>48</v>
      </c>
      <c r="H22" s="12">
        <f>($D22*(1-$H$11))</f>
        <v>1.595</v>
      </c>
      <c r="I22" s="13">
        <f>ROUND($D22*(1-$H$11)*$N22,0)</f>
        <v>48</v>
      </c>
      <c r="J22" s="12">
        <f>($D22*(1-$J$11))</f>
        <v>1.45</v>
      </c>
      <c r="K22" s="13">
        <f>ROUND($D22*(1-$J$11)*$N22,0)</f>
        <v>44</v>
      </c>
      <c r="L22" s="12">
        <f>($D22*(1-$L$11))</f>
        <v>1.2759999999999998</v>
      </c>
      <c r="M22" s="13">
        <f>ROUND($D22*(1-$L$11)*$N22,0)</f>
        <v>38</v>
      </c>
      <c r="N22" s="33">
        <f>O22/P22</f>
        <v>30</v>
      </c>
      <c r="O22" s="35">
        <v>750</v>
      </c>
      <c r="P22" s="34">
        <v>25</v>
      </c>
      <c r="Q22" s="17">
        <v>1.4</v>
      </c>
      <c r="R22" s="14">
        <f t="shared" si="9"/>
        <v>1080</v>
      </c>
      <c r="S22" s="8"/>
      <c r="T22" s="5" t="s">
        <v>64</v>
      </c>
    </row>
    <row r="23" spans="1:20" ht="19.95" customHeight="1" x14ac:dyDescent="0.3">
      <c r="A23" s="10" t="s">
        <v>24</v>
      </c>
      <c r="B23" s="38" t="s">
        <v>38</v>
      </c>
      <c r="C23" s="18"/>
      <c r="D23" s="16">
        <v>45.5</v>
      </c>
      <c r="E23" s="98">
        <v>3.5</v>
      </c>
      <c r="F23" s="26"/>
      <c r="G23" s="26"/>
      <c r="H23" s="19"/>
      <c r="I23" s="20"/>
      <c r="J23" s="19"/>
      <c r="K23" s="19"/>
      <c r="L23" s="19"/>
      <c r="M23" s="19"/>
      <c r="N23" s="19"/>
      <c r="O23" s="19"/>
      <c r="P23" s="19"/>
      <c r="Q23" s="19"/>
      <c r="R23" s="8"/>
      <c r="S23" s="8"/>
      <c r="T23" s="5" t="s">
        <v>65</v>
      </c>
    </row>
    <row r="24" spans="1:20" ht="19.95" customHeight="1" x14ac:dyDescent="0.3">
      <c r="A24" s="10" t="s">
        <v>25</v>
      </c>
      <c r="B24" s="38" t="s">
        <v>38</v>
      </c>
      <c r="C24" s="18"/>
      <c r="D24" s="21">
        <v>324</v>
      </c>
      <c r="E24" s="98">
        <v>25</v>
      </c>
      <c r="F24" s="26"/>
      <c r="G24" s="26"/>
      <c r="H24" s="19"/>
      <c r="I24" s="20"/>
      <c r="J24" s="19"/>
      <c r="K24" s="19"/>
      <c r="L24" s="19"/>
      <c r="M24" s="19"/>
      <c r="N24" s="19"/>
      <c r="O24" s="19"/>
      <c r="P24" s="19"/>
      <c r="Q24" s="19"/>
      <c r="R24" s="8"/>
      <c r="S24" s="8"/>
      <c r="T24" s="5" t="s">
        <v>65</v>
      </c>
    </row>
    <row r="25" spans="1:20" ht="19.95" customHeight="1" x14ac:dyDescent="0.3">
      <c r="A25" s="10" t="s">
        <v>26</v>
      </c>
      <c r="B25" s="38" t="s">
        <v>39</v>
      </c>
      <c r="C25" s="18"/>
      <c r="D25" s="16">
        <v>33.6</v>
      </c>
      <c r="E25" s="99">
        <v>25</v>
      </c>
      <c r="F25" s="26"/>
      <c r="G25" s="26"/>
      <c r="H25" s="19"/>
      <c r="I25" s="20"/>
      <c r="J25" s="19"/>
      <c r="K25" s="19"/>
      <c r="L25" s="19"/>
      <c r="M25" s="19"/>
      <c r="N25" s="19"/>
      <c r="O25" s="19"/>
      <c r="P25" s="19"/>
      <c r="Q25" s="19"/>
      <c r="R25" s="8"/>
      <c r="S25" s="8"/>
      <c r="T25" s="5" t="s">
        <v>65</v>
      </c>
    </row>
    <row r="26" spans="1:20" ht="19.95" customHeight="1" x14ac:dyDescent="0.3">
      <c r="A26" s="10" t="s">
        <v>27</v>
      </c>
      <c r="B26" s="38" t="s">
        <v>40</v>
      </c>
      <c r="C26" s="18"/>
      <c r="D26" s="21">
        <v>25</v>
      </c>
      <c r="E26" s="98">
        <v>25</v>
      </c>
      <c r="F26" s="26"/>
      <c r="G26" s="26"/>
      <c r="H26" s="19"/>
      <c r="I26" s="20"/>
      <c r="J26" s="19"/>
      <c r="K26" s="19"/>
      <c r="L26" s="19"/>
      <c r="M26" s="19"/>
      <c r="N26" s="19"/>
      <c r="O26" s="19"/>
      <c r="P26" s="19"/>
      <c r="Q26" s="19"/>
      <c r="R26" s="8"/>
      <c r="S26" s="8"/>
      <c r="T26" s="5" t="s">
        <v>65</v>
      </c>
    </row>
    <row r="27" spans="1:20" ht="13.95" customHeight="1" x14ac:dyDescent="0.3">
      <c r="A27" s="10" t="s">
        <v>28</v>
      </c>
      <c r="B27" s="38" t="s">
        <v>41</v>
      </c>
      <c r="C27" s="18"/>
      <c r="D27" s="21">
        <v>380</v>
      </c>
      <c r="E27" s="19"/>
      <c r="F27" s="19"/>
      <c r="G27" s="19"/>
      <c r="H27" s="19"/>
      <c r="I27" s="20"/>
      <c r="J27" s="19"/>
      <c r="K27" s="19"/>
      <c r="L27" s="19"/>
      <c r="M27" s="19"/>
      <c r="N27" s="19"/>
      <c r="O27" s="19"/>
      <c r="P27" s="19"/>
      <c r="Q27" s="19"/>
      <c r="R27" s="8"/>
      <c r="S27" s="8"/>
      <c r="T27" s="5" t="s">
        <v>66</v>
      </c>
    </row>
    <row r="28" spans="1:20" ht="13.95" customHeight="1" x14ac:dyDescent="0.3">
      <c r="A28" s="82" t="s">
        <v>29</v>
      </c>
      <c r="B28" s="38" t="s">
        <v>42</v>
      </c>
      <c r="C28" s="18"/>
      <c r="D28" s="21">
        <v>400</v>
      </c>
      <c r="E28" s="19"/>
      <c r="F28" s="19"/>
      <c r="G28" s="19"/>
      <c r="H28" s="19"/>
      <c r="I28" s="20"/>
      <c r="J28" s="19"/>
      <c r="K28" s="19"/>
      <c r="L28" s="19"/>
      <c r="M28" s="19"/>
      <c r="N28" s="19"/>
      <c r="O28" s="19"/>
      <c r="P28" s="19"/>
      <c r="Q28" s="19"/>
      <c r="R28" s="8"/>
      <c r="S28" s="8"/>
      <c r="T28" s="5" t="s">
        <v>66</v>
      </c>
    </row>
    <row r="29" spans="1:20" ht="13.95" customHeight="1" x14ac:dyDescent="0.3">
      <c r="A29" s="82" t="s">
        <v>100</v>
      </c>
      <c r="B29" s="83" t="s">
        <v>43</v>
      </c>
      <c r="C29" s="18"/>
      <c r="D29" s="22">
        <v>1000</v>
      </c>
      <c r="E29" s="19"/>
      <c r="F29" s="19"/>
      <c r="G29" s="19"/>
      <c r="H29" s="19"/>
      <c r="I29" s="20"/>
      <c r="J29" s="19"/>
      <c r="K29" s="19"/>
      <c r="L29" s="19"/>
      <c r="M29" s="19"/>
      <c r="N29" s="19"/>
      <c r="O29" s="19"/>
      <c r="P29" s="19"/>
      <c r="Q29" s="19"/>
      <c r="R29" s="8"/>
      <c r="S29" s="8"/>
      <c r="T29" s="5" t="s">
        <v>66</v>
      </c>
    </row>
    <row r="30" spans="1:20" ht="13.95" customHeight="1" x14ac:dyDescent="0.3">
      <c r="A30" s="10" t="s">
        <v>57</v>
      </c>
      <c r="B30" s="38" t="s">
        <v>44</v>
      </c>
      <c r="C30" s="18"/>
      <c r="D30" s="21">
        <v>50</v>
      </c>
      <c r="E30" s="170" t="s">
        <v>48</v>
      </c>
      <c r="F30" s="170"/>
      <c r="G30" s="170"/>
      <c r="H30" s="170"/>
      <c r="I30" s="20"/>
      <c r="J30" s="19"/>
      <c r="K30" s="19"/>
      <c r="L30" s="19"/>
      <c r="M30" s="19"/>
      <c r="N30" s="19"/>
      <c r="O30" s="19"/>
      <c r="P30" s="19"/>
      <c r="Q30" s="19"/>
      <c r="R30" s="8"/>
      <c r="S30" s="8"/>
      <c r="T30" s="5" t="s">
        <v>66</v>
      </c>
    </row>
    <row r="31" spans="1:20" ht="13.95" customHeight="1" x14ac:dyDescent="0.3">
      <c r="A31" s="23"/>
      <c r="B31" s="24"/>
      <c r="C31" s="18"/>
      <c r="D31" s="25"/>
      <c r="E31" s="26"/>
      <c r="F31" s="26"/>
      <c r="G31" s="26"/>
      <c r="H31" s="26"/>
      <c r="I31" s="20"/>
      <c r="J31" s="19"/>
      <c r="K31" s="19"/>
      <c r="L31" s="19"/>
      <c r="M31" s="19"/>
      <c r="N31" s="19"/>
      <c r="O31" s="19"/>
      <c r="P31" s="19"/>
      <c r="Q31" s="19"/>
      <c r="R31" s="8"/>
      <c r="S31" s="8"/>
    </row>
    <row r="32" spans="1:20" ht="13.95" customHeight="1" x14ac:dyDescent="0.3">
      <c r="A32" s="11" t="s">
        <v>36</v>
      </c>
      <c r="B32" s="171" t="s">
        <v>45</v>
      </c>
      <c r="C32" s="171"/>
      <c r="D32" s="171"/>
      <c r="E32" s="171"/>
      <c r="F32" s="21">
        <v>50</v>
      </c>
      <c r="G32" s="170" t="s">
        <v>47</v>
      </c>
      <c r="H32" s="170"/>
      <c r="I32" s="36"/>
      <c r="J32" s="36"/>
      <c r="K32" s="25"/>
      <c r="L32" s="172"/>
      <c r="M32" s="172"/>
      <c r="N32" s="19"/>
      <c r="O32" s="19"/>
      <c r="P32" s="19"/>
      <c r="Q32" s="19"/>
      <c r="R32" s="8"/>
      <c r="S32" s="8"/>
    </row>
    <row r="33" spans="1:19" ht="13.95" customHeight="1" x14ac:dyDescent="0.3">
      <c r="A33" s="11" t="s">
        <v>37</v>
      </c>
      <c r="B33" s="171" t="s">
        <v>46</v>
      </c>
      <c r="C33" s="171"/>
      <c r="D33" s="171"/>
      <c r="E33" s="171"/>
      <c r="F33" s="21">
        <v>500</v>
      </c>
      <c r="G33" s="170"/>
      <c r="H33" s="170"/>
      <c r="I33" s="36"/>
      <c r="J33" s="36"/>
      <c r="K33" s="25"/>
      <c r="L33" s="172"/>
      <c r="M33" s="172"/>
      <c r="N33" s="8"/>
      <c r="O33" s="8"/>
      <c r="P33" s="8"/>
      <c r="Q33" s="8"/>
      <c r="R33" s="8"/>
      <c r="S33" s="8"/>
    </row>
    <row r="34" spans="1:19" x14ac:dyDescent="0.3">
      <c r="A34" s="23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ht="15.6" x14ac:dyDescent="0.3">
      <c r="A35" s="23"/>
      <c r="B35" s="168"/>
      <c r="C35" s="168"/>
      <c r="D35" s="168"/>
      <c r="E35" s="8"/>
      <c r="F35" s="8"/>
      <c r="G35" s="8"/>
      <c r="H35" s="8"/>
      <c r="I35" s="8"/>
      <c r="J35" s="8"/>
      <c r="K35" s="8"/>
      <c r="L35" s="164" t="s">
        <v>56</v>
      </c>
      <c r="M35" s="164"/>
      <c r="N35" s="164"/>
      <c r="O35" s="8"/>
      <c r="P35" s="8"/>
      <c r="Q35" s="8"/>
      <c r="R35" s="8"/>
      <c r="S35" s="8"/>
    </row>
    <row r="36" spans="1:19" x14ac:dyDescent="0.3">
      <c r="A36" s="23"/>
      <c r="B36" s="8"/>
      <c r="C36" s="8"/>
      <c r="D36" s="8"/>
      <c r="E36" s="8"/>
      <c r="F36" s="165"/>
      <c r="G36" s="165"/>
      <c r="H36" s="165"/>
      <c r="I36" s="37"/>
      <c r="J36" s="37"/>
      <c r="K36" s="8"/>
      <c r="L36" s="8"/>
      <c r="M36" s="8"/>
      <c r="N36" s="8"/>
      <c r="O36" s="8"/>
      <c r="P36" s="8"/>
      <c r="Q36" s="8"/>
      <c r="R36" s="8"/>
      <c r="S36" s="8"/>
    </row>
    <row r="37" spans="1:19" x14ac:dyDescent="0.3">
      <c r="A37" s="166"/>
      <c r="B37" s="166"/>
      <c r="C37" s="166"/>
      <c r="D37" s="166"/>
      <c r="E37" s="166"/>
      <c r="F37" s="165"/>
      <c r="G37" s="165"/>
      <c r="H37" s="165"/>
      <c r="I37" s="37"/>
      <c r="J37" s="37"/>
      <c r="K37" s="8"/>
      <c r="L37" s="8"/>
      <c r="M37" s="8"/>
      <c r="N37" s="8"/>
      <c r="O37" s="8"/>
      <c r="P37" s="8"/>
      <c r="Q37" s="8"/>
      <c r="R37" s="8"/>
      <c r="S37" s="8"/>
    </row>
    <row r="38" spans="1:19" x14ac:dyDescent="0.3">
      <c r="A38" s="166"/>
      <c r="B38" s="166"/>
      <c r="C38" s="166"/>
      <c r="D38" s="166"/>
      <c r="E38" s="166"/>
      <c r="F38" s="167"/>
      <c r="G38" s="167"/>
      <c r="H38" s="167"/>
      <c r="I38" s="167"/>
      <c r="J38" s="167"/>
      <c r="K38" s="8"/>
      <c r="L38" s="8"/>
      <c r="M38" s="8"/>
      <c r="N38" s="8"/>
      <c r="O38" s="8"/>
      <c r="P38" s="8"/>
      <c r="Q38" s="8"/>
      <c r="R38" s="8"/>
      <c r="S38" s="8"/>
    </row>
    <row r="39" spans="1:19" x14ac:dyDescent="0.3">
      <c r="A39" s="23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1:19" x14ac:dyDescent="0.3">
      <c r="A40" s="23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</sheetData>
  <mergeCells count="31">
    <mergeCell ref="F36:H36"/>
    <mergeCell ref="A37:E37"/>
    <mergeCell ref="F37:H37"/>
    <mergeCell ref="A38:E38"/>
    <mergeCell ref="F38:J38"/>
    <mergeCell ref="B35:D35"/>
    <mergeCell ref="L35:N35"/>
    <mergeCell ref="N10:N11"/>
    <mergeCell ref="O10:O11"/>
    <mergeCell ref="P10:P11"/>
    <mergeCell ref="D10:E10"/>
    <mergeCell ref="E30:H30"/>
    <mergeCell ref="B32:E32"/>
    <mergeCell ref="G32:H33"/>
    <mergeCell ref="L32:M33"/>
    <mergeCell ref="B33:E33"/>
    <mergeCell ref="Q10:Q11"/>
    <mergeCell ref="R10:R11"/>
    <mergeCell ref="F11:G11"/>
    <mergeCell ref="H11:I11"/>
    <mergeCell ref="J11:K11"/>
    <mergeCell ref="L11:M11"/>
    <mergeCell ref="F10:G10"/>
    <mergeCell ref="H10:I10"/>
    <mergeCell ref="J10:K10"/>
    <mergeCell ref="L10:M10"/>
    <mergeCell ref="A1:B7"/>
    <mergeCell ref="D2:M3"/>
    <mergeCell ref="D9:M9"/>
    <mergeCell ref="N9:P9"/>
    <mergeCell ref="Q9:R9"/>
  </mergeCells>
  <pageMargins left="0.7" right="0.7" top="0.75" bottom="0.75" header="0.3" footer="0.3"/>
  <pageSetup paperSize="9" scale="6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56E05-BCC6-4A2D-BB8D-793F9ED572E8}">
  <sheetPr>
    <pageSetUpPr fitToPage="1"/>
  </sheetPr>
  <dimension ref="A1:T40"/>
  <sheetViews>
    <sheetView topLeftCell="A15" workbookViewId="0">
      <selection activeCell="A35" sqref="A35:J40"/>
    </sheetView>
  </sheetViews>
  <sheetFormatPr baseColWidth="10" defaultColWidth="8.88671875" defaultRowHeight="14.4" x14ac:dyDescent="0.3"/>
  <cols>
    <col min="1" max="1" width="12.77734375" style="6" customWidth="1"/>
    <col min="2" max="2" width="36.77734375" style="5" customWidth="1"/>
    <col min="3" max="3" width="10.77734375" style="5" customWidth="1"/>
    <col min="4" max="13" width="8.77734375" style="5" customWidth="1"/>
    <col min="14" max="18" width="8.88671875" style="5" customWidth="1"/>
    <col min="19" max="16384" width="8.88671875" style="5"/>
  </cols>
  <sheetData>
    <row r="1" spans="1:20" x14ac:dyDescent="0.3">
      <c r="A1" s="164"/>
      <c r="B1" s="164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20" x14ac:dyDescent="0.3">
      <c r="A2" s="164"/>
      <c r="B2" s="164"/>
      <c r="C2" s="8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8"/>
      <c r="O2" s="8"/>
      <c r="P2" s="8"/>
      <c r="Q2" s="8"/>
      <c r="R2" s="8"/>
      <c r="S2" s="8"/>
    </row>
    <row r="3" spans="1:20" x14ac:dyDescent="0.3">
      <c r="A3" s="164"/>
      <c r="B3" s="164"/>
      <c r="C3" s="8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8"/>
      <c r="O3" s="8"/>
      <c r="P3" s="8"/>
      <c r="Q3" s="8"/>
      <c r="R3" s="8"/>
      <c r="S3" s="8"/>
    </row>
    <row r="4" spans="1:20" x14ac:dyDescent="0.3">
      <c r="A4" s="164"/>
      <c r="B4" s="164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0" x14ac:dyDescent="0.3">
      <c r="A5" s="164"/>
      <c r="B5" s="16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20" x14ac:dyDescent="0.3">
      <c r="A6" s="164"/>
      <c r="B6" s="164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20" x14ac:dyDescent="0.3">
      <c r="A7" s="164"/>
      <c r="B7" s="164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20" ht="14.4" customHeight="1" x14ac:dyDescent="0.3">
      <c r="A8" s="8"/>
      <c r="B8" s="8"/>
      <c r="C8" s="8"/>
      <c r="D8" s="7"/>
      <c r="E8" s="7"/>
      <c r="F8" s="7"/>
      <c r="G8" s="7"/>
      <c r="H8" s="7"/>
      <c r="I8" s="7"/>
      <c r="J8" s="7"/>
      <c r="K8" s="7"/>
      <c r="L8" s="7"/>
      <c r="M8" s="7"/>
      <c r="N8" s="8"/>
      <c r="O8" s="8"/>
      <c r="P8" s="8"/>
      <c r="Q8" s="8"/>
      <c r="R8" s="8"/>
      <c r="S8" s="8"/>
    </row>
    <row r="9" spans="1:20" ht="14.4" customHeight="1" x14ac:dyDescent="0.3">
      <c r="A9" s="9"/>
      <c r="B9" s="4"/>
      <c r="C9" s="1"/>
      <c r="D9" s="169" t="s">
        <v>0</v>
      </c>
      <c r="E9" s="169"/>
      <c r="F9" s="169"/>
      <c r="G9" s="169"/>
      <c r="H9" s="169"/>
      <c r="I9" s="169"/>
      <c r="J9" s="169"/>
      <c r="K9" s="169"/>
      <c r="L9" s="169"/>
      <c r="M9" s="169"/>
      <c r="N9" s="177" t="s">
        <v>1</v>
      </c>
      <c r="O9" s="178"/>
      <c r="P9" s="178"/>
      <c r="Q9" s="178" t="s">
        <v>2</v>
      </c>
      <c r="R9" s="178"/>
      <c r="S9" s="8"/>
    </row>
    <row r="10" spans="1:20" ht="25.95" customHeight="1" x14ac:dyDescent="0.3">
      <c r="A10" s="9"/>
      <c r="B10" s="4"/>
      <c r="C10" s="1"/>
      <c r="D10" s="169" t="s">
        <v>4</v>
      </c>
      <c r="E10" s="169"/>
      <c r="F10" s="174" t="s">
        <v>55</v>
      </c>
      <c r="G10" s="174"/>
      <c r="H10" s="174" t="s">
        <v>52</v>
      </c>
      <c r="I10" s="174"/>
      <c r="J10" s="174" t="s">
        <v>53</v>
      </c>
      <c r="K10" s="174"/>
      <c r="L10" s="175" t="s">
        <v>54</v>
      </c>
      <c r="M10" s="175"/>
      <c r="N10" s="169" t="s">
        <v>5</v>
      </c>
      <c r="O10" s="169" t="s">
        <v>6</v>
      </c>
      <c r="P10" s="169" t="s">
        <v>7</v>
      </c>
      <c r="Q10" s="169" t="s">
        <v>8</v>
      </c>
      <c r="R10" s="169" t="s">
        <v>9</v>
      </c>
      <c r="S10" s="8"/>
    </row>
    <row r="11" spans="1:20" ht="28.8" x14ac:dyDescent="0.3">
      <c r="A11" s="10" t="s">
        <v>12</v>
      </c>
      <c r="B11" s="3" t="s">
        <v>3</v>
      </c>
      <c r="C11" s="2" t="s">
        <v>50</v>
      </c>
      <c r="D11" s="2" t="s">
        <v>10</v>
      </c>
      <c r="E11" s="2" t="s">
        <v>11</v>
      </c>
      <c r="F11" s="173">
        <v>0.45</v>
      </c>
      <c r="G11" s="173"/>
      <c r="H11" s="173">
        <v>0.45</v>
      </c>
      <c r="I11" s="173"/>
      <c r="J11" s="173">
        <v>0.5</v>
      </c>
      <c r="K11" s="173"/>
      <c r="L11" s="173">
        <v>0.56000000000000005</v>
      </c>
      <c r="M11" s="173"/>
      <c r="N11" s="169"/>
      <c r="O11" s="169"/>
      <c r="P11" s="169"/>
      <c r="Q11" s="169"/>
      <c r="R11" s="169"/>
      <c r="S11" s="8"/>
      <c r="T11" s="5" t="s">
        <v>63</v>
      </c>
    </row>
    <row r="12" spans="1:20" ht="19.95" customHeight="1" x14ac:dyDescent="0.3">
      <c r="A12" s="10" t="s">
        <v>13</v>
      </c>
      <c r="B12" s="38" t="s">
        <v>101</v>
      </c>
      <c r="C12" s="80" t="s">
        <v>30</v>
      </c>
      <c r="D12" s="12">
        <v>1.8</v>
      </c>
      <c r="E12" s="13">
        <f>D12*N12</f>
        <v>79.2</v>
      </c>
      <c r="F12" s="12">
        <f>($D12*(1-$F$11))</f>
        <v>0.9900000000000001</v>
      </c>
      <c r="G12" s="13">
        <f>ROUND($D12*(1-$F$11)*$N12,0)</f>
        <v>44</v>
      </c>
      <c r="H12" s="12">
        <f>($D12*(1-$H$11))</f>
        <v>0.9900000000000001</v>
      </c>
      <c r="I12" s="13">
        <f>ROUND($D12*(1-$H$11)*$N12,0)</f>
        <v>44</v>
      </c>
      <c r="J12" s="12">
        <f>($D12*(1-$J$11))</f>
        <v>0.9</v>
      </c>
      <c r="K12" s="13">
        <f>ROUND($D12*(1-$J$11)*$N12,0)</f>
        <v>40</v>
      </c>
      <c r="L12" s="12">
        <f>($D12*(1-$L$11))</f>
        <v>0.79199999999999993</v>
      </c>
      <c r="M12" s="13">
        <f>ROUND($D12*(1-$L$11)*$N12,0)</f>
        <v>35</v>
      </c>
      <c r="N12" s="33">
        <f>O12/P12</f>
        <v>44</v>
      </c>
      <c r="O12" s="33">
        <v>264</v>
      </c>
      <c r="P12" s="34">
        <v>6</v>
      </c>
      <c r="Q12" s="14">
        <v>4.4000000000000004</v>
      </c>
      <c r="R12" s="14">
        <f>Q12*O12+30</f>
        <v>1191.6000000000001</v>
      </c>
      <c r="S12" s="8"/>
      <c r="T12" s="5" t="s">
        <v>64</v>
      </c>
    </row>
    <row r="13" spans="1:20" ht="19.95" customHeight="1" x14ac:dyDescent="0.3">
      <c r="A13" s="10" t="s">
        <v>14</v>
      </c>
      <c r="B13" s="38" t="s">
        <v>102</v>
      </c>
      <c r="C13" s="80" t="s">
        <v>30</v>
      </c>
      <c r="D13" s="12">
        <v>2.15</v>
      </c>
      <c r="E13" s="13">
        <f t="shared" ref="E13:E20" si="0">D13*N13</f>
        <v>94.6</v>
      </c>
      <c r="F13" s="12">
        <f t="shared" ref="F13:F20" si="1">($D13*(1-$F$11))</f>
        <v>1.1825000000000001</v>
      </c>
      <c r="G13" s="13">
        <f>ROUND($D13*(1-$F$11)*$N13,0)</f>
        <v>52</v>
      </c>
      <c r="H13" s="12">
        <f t="shared" ref="H13:H20" si="2">($D13*(1-$H$11))</f>
        <v>1.1825000000000001</v>
      </c>
      <c r="I13" s="13">
        <f t="shared" ref="I13:I20" si="3">ROUND($D13*(1-$H$11)*$N13,0)</f>
        <v>52</v>
      </c>
      <c r="J13" s="12">
        <f t="shared" ref="J13:J20" si="4">($D13*(1-$J$11))</f>
        <v>1.075</v>
      </c>
      <c r="K13" s="13">
        <f t="shared" ref="K13:K20" si="5">ROUND($D13*(1-$J$11)*$N13,0)</f>
        <v>47</v>
      </c>
      <c r="L13" s="12">
        <f t="shared" ref="L13:L20" si="6">($D13*(1-$L$11))</f>
        <v>0.94599999999999984</v>
      </c>
      <c r="M13" s="13">
        <f t="shared" ref="M13:M20" si="7">ROUND($D13*(1-$L$11)*$N13,0)</f>
        <v>42</v>
      </c>
      <c r="N13" s="33">
        <f t="shared" ref="N13:N18" si="8">O13/P13</f>
        <v>44</v>
      </c>
      <c r="O13" s="33">
        <v>220</v>
      </c>
      <c r="P13" s="34">
        <v>5</v>
      </c>
      <c r="Q13" s="14">
        <v>5.2</v>
      </c>
      <c r="R13" s="14">
        <f t="shared" ref="R13:R22" si="9">Q13*O13+30</f>
        <v>1174</v>
      </c>
      <c r="S13" s="8"/>
      <c r="T13" s="5" t="s">
        <v>64</v>
      </c>
    </row>
    <row r="14" spans="1:20" ht="19.95" customHeight="1" x14ac:dyDescent="0.3">
      <c r="A14" s="10" t="s">
        <v>15</v>
      </c>
      <c r="B14" s="38" t="s">
        <v>103</v>
      </c>
      <c r="C14" s="80" t="s">
        <v>30</v>
      </c>
      <c r="D14" s="12">
        <v>2.4</v>
      </c>
      <c r="E14" s="13">
        <f t="shared" si="0"/>
        <v>105.6</v>
      </c>
      <c r="F14" s="12">
        <f t="shared" si="1"/>
        <v>1.32</v>
      </c>
      <c r="G14" s="13">
        <f>ROUND($D14*(1-$F$11)*$N14,0)</f>
        <v>58</v>
      </c>
      <c r="H14" s="12">
        <f t="shared" si="2"/>
        <v>1.32</v>
      </c>
      <c r="I14" s="13">
        <f t="shared" si="3"/>
        <v>58</v>
      </c>
      <c r="J14" s="12">
        <f t="shared" si="4"/>
        <v>1.2</v>
      </c>
      <c r="K14" s="13">
        <f t="shared" si="5"/>
        <v>53</v>
      </c>
      <c r="L14" s="12">
        <f t="shared" si="6"/>
        <v>1.0559999999999998</v>
      </c>
      <c r="M14" s="13">
        <f t="shared" si="7"/>
        <v>46</v>
      </c>
      <c r="N14" s="33">
        <f t="shared" si="8"/>
        <v>44</v>
      </c>
      <c r="O14" s="33">
        <v>220</v>
      </c>
      <c r="P14" s="34">
        <v>5</v>
      </c>
      <c r="Q14" s="14">
        <v>5.2</v>
      </c>
      <c r="R14" s="14">
        <f t="shared" si="9"/>
        <v>1174</v>
      </c>
      <c r="S14" s="8"/>
      <c r="T14" s="5" t="s">
        <v>64</v>
      </c>
    </row>
    <row r="15" spans="1:20" ht="19.95" customHeight="1" x14ac:dyDescent="0.3">
      <c r="A15" s="10" t="s">
        <v>16</v>
      </c>
      <c r="B15" s="38" t="s">
        <v>108</v>
      </c>
      <c r="C15" s="80" t="s">
        <v>31</v>
      </c>
      <c r="D15" s="12">
        <v>3.39</v>
      </c>
      <c r="E15" s="13">
        <f t="shared" si="0"/>
        <v>149.16</v>
      </c>
      <c r="F15" s="12">
        <f t="shared" si="1"/>
        <v>1.8645000000000003</v>
      </c>
      <c r="G15" s="13">
        <f>ROUND($D15*(1-$F$11)*$N15,0)</f>
        <v>82</v>
      </c>
      <c r="H15" s="12">
        <f t="shared" si="2"/>
        <v>1.8645000000000003</v>
      </c>
      <c r="I15" s="13">
        <f t="shared" si="3"/>
        <v>82</v>
      </c>
      <c r="J15" s="12">
        <f t="shared" si="4"/>
        <v>1.6950000000000001</v>
      </c>
      <c r="K15" s="13">
        <f t="shared" si="5"/>
        <v>75</v>
      </c>
      <c r="L15" s="12">
        <f t="shared" si="6"/>
        <v>1.4915999999999998</v>
      </c>
      <c r="M15" s="13">
        <f t="shared" si="7"/>
        <v>66</v>
      </c>
      <c r="N15" s="33">
        <f t="shared" si="8"/>
        <v>44</v>
      </c>
      <c r="O15" s="33">
        <v>264</v>
      </c>
      <c r="P15" s="34">
        <v>6</v>
      </c>
      <c r="Q15" s="14">
        <v>3.2</v>
      </c>
      <c r="R15" s="14">
        <f t="shared" si="9"/>
        <v>874.80000000000007</v>
      </c>
      <c r="S15" s="8"/>
      <c r="T15" s="5" t="s">
        <v>64</v>
      </c>
    </row>
    <row r="16" spans="1:20" ht="19.95" customHeight="1" x14ac:dyDescent="0.3">
      <c r="A16" s="10" t="s">
        <v>17</v>
      </c>
      <c r="B16" s="38" t="s">
        <v>110</v>
      </c>
      <c r="C16" s="80" t="s">
        <v>32</v>
      </c>
      <c r="D16" s="12">
        <v>2.61</v>
      </c>
      <c r="E16" s="13">
        <f t="shared" si="0"/>
        <v>78.3</v>
      </c>
      <c r="F16" s="12">
        <f t="shared" si="1"/>
        <v>1.4355</v>
      </c>
      <c r="G16" s="13">
        <f t="shared" ref="G16:G20" si="10">ROUND($D16*(1-$F$11)*$N16,0)</f>
        <v>43</v>
      </c>
      <c r="H16" s="12">
        <f t="shared" si="2"/>
        <v>1.4355</v>
      </c>
      <c r="I16" s="13">
        <f t="shared" si="3"/>
        <v>43</v>
      </c>
      <c r="J16" s="12">
        <f t="shared" si="4"/>
        <v>1.3049999999999999</v>
      </c>
      <c r="K16" s="13">
        <f t="shared" si="5"/>
        <v>39</v>
      </c>
      <c r="L16" s="12">
        <f t="shared" si="6"/>
        <v>1.1483999999999999</v>
      </c>
      <c r="M16" s="13">
        <f t="shared" si="7"/>
        <v>34</v>
      </c>
      <c r="N16" s="33">
        <f t="shared" si="8"/>
        <v>30</v>
      </c>
      <c r="O16" s="33">
        <v>150</v>
      </c>
      <c r="P16" s="34">
        <v>5</v>
      </c>
      <c r="Q16" s="14">
        <v>7.8</v>
      </c>
      <c r="R16" s="14">
        <f t="shared" si="9"/>
        <v>1200</v>
      </c>
      <c r="S16" s="8"/>
      <c r="T16" s="5" t="s">
        <v>64</v>
      </c>
    </row>
    <row r="17" spans="1:20" ht="19.95" customHeight="1" x14ac:dyDescent="0.3">
      <c r="A17" s="10" t="s">
        <v>18</v>
      </c>
      <c r="B17" s="38" t="s">
        <v>102</v>
      </c>
      <c r="C17" s="80" t="s">
        <v>32</v>
      </c>
      <c r="D17" s="12">
        <v>3.16</v>
      </c>
      <c r="E17" s="13">
        <f t="shared" si="0"/>
        <v>94.800000000000011</v>
      </c>
      <c r="F17" s="12">
        <f t="shared" si="1"/>
        <v>1.7380000000000002</v>
      </c>
      <c r="G17" s="13">
        <f t="shared" si="10"/>
        <v>52</v>
      </c>
      <c r="H17" s="12">
        <f t="shared" si="2"/>
        <v>1.7380000000000002</v>
      </c>
      <c r="I17" s="13">
        <f t="shared" si="3"/>
        <v>52</v>
      </c>
      <c r="J17" s="12">
        <f t="shared" si="4"/>
        <v>1.58</v>
      </c>
      <c r="K17" s="13">
        <f t="shared" si="5"/>
        <v>47</v>
      </c>
      <c r="L17" s="12">
        <f t="shared" si="6"/>
        <v>1.3903999999999999</v>
      </c>
      <c r="M17" s="13">
        <f t="shared" si="7"/>
        <v>42</v>
      </c>
      <c r="N17" s="33">
        <f t="shared" si="8"/>
        <v>30</v>
      </c>
      <c r="O17" s="33">
        <v>120</v>
      </c>
      <c r="P17" s="34">
        <v>4</v>
      </c>
      <c r="Q17" s="14">
        <v>9</v>
      </c>
      <c r="R17" s="14">
        <f t="shared" si="9"/>
        <v>1110</v>
      </c>
      <c r="S17" s="8"/>
      <c r="T17" s="5" t="s">
        <v>64</v>
      </c>
    </row>
    <row r="18" spans="1:20" ht="19.95" customHeight="1" x14ac:dyDescent="0.3">
      <c r="A18" s="10" t="s">
        <v>19</v>
      </c>
      <c r="B18" s="38" t="s">
        <v>103</v>
      </c>
      <c r="C18" s="80" t="s">
        <v>32</v>
      </c>
      <c r="D18" s="12">
        <v>3.52</v>
      </c>
      <c r="E18" s="13">
        <f t="shared" si="0"/>
        <v>105.6</v>
      </c>
      <c r="F18" s="12">
        <f t="shared" si="1"/>
        <v>1.9360000000000002</v>
      </c>
      <c r="G18" s="13">
        <f t="shared" si="10"/>
        <v>58</v>
      </c>
      <c r="H18" s="12">
        <f t="shared" si="2"/>
        <v>1.9360000000000002</v>
      </c>
      <c r="I18" s="13">
        <f t="shared" si="3"/>
        <v>58</v>
      </c>
      <c r="J18" s="12">
        <f t="shared" si="4"/>
        <v>1.76</v>
      </c>
      <c r="K18" s="13">
        <f t="shared" si="5"/>
        <v>53</v>
      </c>
      <c r="L18" s="12">
        <f t="shared" si="6"/>
        <v>1.5487999999999997</v>
      </c>
      <c r="M18" s="13">
        <f t="shared" si="7"/>
        <v>46</v>
      </c>
      <c r="N18" s="33">
        <f t="shared" si="8"/>
        <v>30</v>
      </c>
      <c r="O18" s="33">
        <v>120</v>
      </c>
      <c r="P18" s="34">
        <v>4</v>
      </c>
      <c r="Q18" s="14">
        <v>9</v>
      </c>
      <c r="R18" s="14">
        <f t="shared" si="9"/>
        <v>1110</v>
      </c>
      <c r="S18" s="8"/>
      <c r="T18" s="5" t="s">
        <v>64</v>
      </c>
    </row>
    <row r="19" spans="1:20" ht="19.95" customHeight="1" x14ac:dyDescent="0.3">
      <c r="A19" s="10" t="s">
        <v>20</v>
      </c>
      <c r="B19" s="38" t="s">
        <v>104</v>
      </c>
      <c r="C19" s="80" t="s">
        <v>33</v>
      </c>
      <c r="D19" s="12">
        <v>4.97</v>
      </c>
      <c r="E19" s="13">
        <f t="shared" si="0"/>
        <v>149.1</v>
      </c>
      <c r="F19" s="12">
        <f t="shared" si="1"/>
        <v>2.7335000000000003</v>
      </c>
      <c r="G19" s="13">
        <f t="shared" si="10"/>
        <v>82</v>
      </c>
      <c r="H19" s="12">
        <f t="shared" si="2"/>
        <v>2.7335000000000003</v>
      </c>
      <c r="I19" s="13">
        <f t="shared" si="3"/>
        <v>82</v>
      </c>
      <c r="J19" s="12">
        <f t="shared" si="4"/>
        <v>2.4849999999999999</v>
      </c>
      <c r="K19" s="13">
        <f t="shared" si="5"/>
        <v>75</v>
      </c>
      <c r="L19" s="12">
        <f t="shared" si="6"/>
        <v>2.1867999999999994</v>
      </c>
      <c r="M19" s="13">
        <f t="shared" si="7"/>
        <v>66</v>
      </c>
      <c r="N19" s="33">
        <f>O19/P19</f>
        <v>30</v>
      </c>
      <c r="O19" s="33">
        <v>180</v>
      </c>
      <c r="P19" s="34">
        <v>6</v>
      </c>
      <c r="Q19" s="14">
        <v>5.5</v>
      </c>
      <c r="R19" s="14">
        <f t="shared" si="9"/>
        <v>1020</v>
      </c>
      <c r="S19" s="8"/>
      <c r="T19" s="5" t="s">
        <v>64</v>
      </c>
    </row>
    <row r="20" spans="1:20" ht="19.95" customHeight="1" x14ac:dyDescent="0.3">
      <c r="A20" s="10" t="s">
        <v>21</v>
      </c>
      <c r="B20" s="38" t="s">
        <v>105</v>
      </c>
      <c r="C20" s="80" t="s">
        <v>34</v>
      </c>
      <c r="D20" s="12">
        <v>1.8</v>
      </c>
      <c r="E20" s="13">
        <f t="shared" si="0"/>
        <v>57.6</v>
      </c>
      <c r="F20" s="12">
        <f t="shared" si="1"/>
        <v>0.9900000000000001</v>
      </c>
      <c r="G20" s="13">
        <f t="shared" si="10"/>
        <v>32</v>
      </c>
      <c r="H20" s="12">
        <f t="shared" si="2"/>
        <v>0.9900000000000001</v>
      </c>
      <c r="I20" s="13">
        <f t="shared" si="3"/>
        <v>32</v>
      </c>
      <c r="J20" s="12">
        <f t="shared" si="4"/>
        <v>0.9</v>
      </c>
      <c r="K20" s="13">
        <f t="shared" si="5"/>
        <v>29</v>
      </c>
      <c r="L20" s="12">
        <f t="shared" si="6"/>
        <v>0.79199999999999993</v>
      </c>
      <c r="M20" s="13">
        <f t="shared" si="7"/>
        <v>25</v>
      </c>
      <c r="N20" s="33">
        <f t="shared" ref="N20:N21" si="11">O20/P20</f>
        <v>32</v>
      </c>
      <c r="O20" s="33">
        <v>800</v>
      </c>
      <c r="P20" s="34">
        <v>25</v>
      </c>
      <c r="Q20" s="14">
        <v>1</v>
      </c>
      <c r="R20" s="14">
        <f t="shared" si="9"/>
        <v>830</v>
      </c>
      <c r="S20" s="8"/>
      <c r="T20" s="5" t="s">
        <v>64</v>
      </c>
    </row>
    <row r="21" spans="1:20" ht="25.95" customHeight="1" x14ac:dyDescent="0.3">
      <c r="A21" s="10" t="s">
        <v>22</v>
      </c>
      <c r="B21" s="81" t="s">
        <v>106</v>
      </c>
      <c r="C21" s="80" t="s">
        <v>34</v>
      </c>
      <c r="D21" s="12">
        <v>25</v>
      </c>
      <c r="E21" s="15" t="s">
        <v>49</v>
      </c>
      <c r="F21" s="12">
        <f t="shared" ref="F21" si="12">D21*0.55</f>
        <v>13.750000000000002</v>
      </c>
      <c r="G21" s="12" t="s">
        <v>49</v>
      </c>
      <c r="H21" s="12">
        <f t="shared" ref="H21" si="13">D21*0.55</f>
        <v>13.750000000000002</v>
      </c>
      <c r="I21" s="12" t="s">
        <v>49</v>
      </c>
      <c r="J21" s="12">
        <f t="shared" ref="J21" si="14">D21*0.5</f>
        <v>12.5</v>
      </c>
      <c r="K21" s="12" t="s">
        <v>49</v>
      </c>
      <c r="L21" s="12">
        <f t="shared" ref="L21" si="15">D21*0.44</f>
        <v>11</v>
      </c>
      <c r="M21" s="12" t="s">
        <v>49</v>
      </c>
      <c r="N21" s="33">
        <f t="shared" si="11"/>
        <v>2.68</v>
      </c>
      <c r="O21" s="33">
        <v>67</v>
      </c>
      <c r="P21" s="34">
        <v>25</v>
      </c>
      <c r="Q21" s="14">
        <v>12</v>
      </c>
      <c r="R21" s="14">
        <f t="shared" si="9"/>
        <v>834</v>
      </c>
      <c r="S21" s="8"/>
      <c r="T21" s="5" t="s">
        <v>64</v>
      </c>
    </row>
    <row r="22" spans="1:20" ht="19.95" customHeight="1" x14ac:dyDescent="0.3">
      <c r="A22" s="10" t="s">
        <v>23</v>
      </c>
      <c r="B22" s="38" t="s">
        <v>105</v>
      </c>
      <c r="C22" s="80" t="s">
        <v>35</v>
      </c>
      <c r="D22" s="16">
        <v>2.9</v>
      </c>
      <c r="E22" s="13">
        <f>D22*N22</f>
        <v>87</v>
      </c>
      <c r="F22" s="12">
        <f>($D22*(1-$F$11))</f>
        <v>1.595</v>
      </c>
      <c r="G22" s="13">
        <f>ROUND($D22*(1-$F$11)*$N22,0)</f>
        <v>48</v>
      </c>
      <c r="H22" s="12">
        <f>($D22*(1-$H$11))</f>
        <v>1.595</v>
      </c>
      <c r="I22" s="13">
        <f>ROUND($D22*(1-$H$11)*$N22,0)</f>
        <v>48</v>
      </c>
      <c r="J22" s="12">
        <f>($D22*(1-$J$11))</f>
        <v>1.45</v>
      </c>
      <c r="K22" s="13">
        <f>ROUND($D22*(1-$J$11)*$N22,0)</f>
        <v>44</v>
      </c>
      <c r="L22" s="12">
        <f>($D22*(1-$L$11))</f>
        <v>1.2759999999999998</v>
      </c>
      <c r="M22" s="13">
        <f>ROUND($D22*(1-$L$11)*$N22,0)</f>
        <v>38</v>
      </c>
      <c r="N22" s="33">
        <f>O22/P22</f>
        <v>30</v>
      </c>
      <c r="O22" s="35">
        <v>750</v>
      </c>
      <c r="P22" s="34">
        <v>25</v>
      </c>
      <c r="Q22" s="17">
        <v>1.4</v>
      </c>
      <c r="R22" s="14">
        <f t="shared" si="9"/>
        <v>1080</v>
      </c>
      <c r="S22" s="8"/>
      <c r="T22" s="5" t="s">
        <v>64</v>
      </c>
    </row>
    <row r="23" spans="1:20" ht="19.95" customHeight="1" x14ac:dyDescent="0.3">
      <c r="A23" s="10" t="s">
        <v>24</v>
      </c>
      <c r="B23" s="38" t="s">
        <v>38</v>
      </c>
      <c r="C23" s="18"/>
      <c r="D23" s="16">
        <v>45.5</v>
      </c>
      <c r="E23" s="98">
        <v>3.5</v>
      </c>
      <c r="F23" s="26"/>
      <c r="G23" s="26"/>
      <c r="H23" s="19"/>
      <c r="I23" s="20"/>
      <c r="J23" s="19"/>
      <c r="K23" s="19"/>
      <c r="L23" s="19"/>
      <c r="M23" s="19"/>
      <c r="N23" s="19"/>
      <c r="O23" s="19"/>
      <c r="P23" s="19"/>
      <c r="Q23" s="19"/>
      <c r="R23" s="8"/>
      <c r="S23" s="8"/>
      <c r="T23" s="5" t="s">
        <v>65</v>
      </c>
    </row>
    <row r="24" spans="1:20" ht="19.95" customHeight="1" x14ac:dyDescent="0.3">
      <c r="A24" s="10" t="s">
        <v>25</v>
      </c>
      <c r="B24" s="38" t="s">
        <v>38</v>
      </c>
      <c r="C24" s="18"/>
      <c r="D24" s="21">
        <v>324</v>
      </c>
      <c r="E24" s="98">
        <v>25</v>
      </c>
      <c r="F24" s="26"/>
      <c r="G24" s="26"/>
      <c r="H24" s="19"/>
      <c r="I24" s="20"/>
      <c r="J24" s="19"/>
      <c r="K24" s="19"/>
      <c r="L24" s="19"/>
      <c r="M24" s="19"/>
      <c r="N24" s="19"/>
      <c r="O24" s="19"/>
      <c r="P24" s="19"/>
      <c r="Q24" s="19"/>
      <c r="R24" s="8"/>
      <c r="S24" s="8"/>
      <c r="T24" s="5" t="s">
        <v>65</v>
      </c>
    </row>
    <row r="25" spans="1:20" ht="19.95" customHeight="1" x14ac:dyDescent="0.3">
      <c r="A25" s="10" t="s">
        <v>26</v>
      </c>
      <c r="B25" s="38" t="s">
        <v>39</v>
      </c>
      <c r="C25" s="18"/>
      <c r="D25" s="16">
        <v>33.6</v>
      </c>
      <c r="E25" s="99">
        <v>25</v>
      </c>
      <c r="F25" s="26"/>
      <c r="G25" s="26"/>
      <c r="H25" s="19"/>
      <c r="I25" s="20"/>
      <c r="J25" s="19"/>
      <c r="K25" s="19"/>
      <c r="L25" s="19"/>
      <c r="M25" s="19"/>
      <c r="N25" s="19"/>
      <c r="O25" s="19"/>
      <c r="P25" s="19"/>
      <c r="Q25" s="19"/>
      <c r="R25" s="8"/>
      <c r="S25" s="8"/>
      <c r="T25" s="5" t="s">
        <v>65</v>
      </c>
    </row>
    <row r="26" spans="1:20" ht="19.95" customHeight="1" x14ac:dyDescent="0.3">
      <c r="A26" s="10" t="s">
        <v>27</v>
      </c>
      <c r="B26" s="38" t="s">
        <v>40</v>
      </c>
      <c r="C26" s="18"/>
      <c r="D26" s="21">
        <v>25</v>
      </c>
      <c r="E26" s="98">
        <v>25</v>
      </c>
      <c r="F26" s="26"/>
      <c r="G26" s="26"/>
      <c r="H26" s="19"/>
      <c r="I26" s="20"/>
      <c r="J26" s="19"/>
      <c r="K26" s="19"/>
      <c r="L26" s="19"/>
      <c r="M26" s="19"/>
      <c r="N26" s="19"/>
      <c r="O26" s="19"/>
      <c r="P26" s="19"/>
      <c r="Q26" s="19"/>
      <c r="R26" s="8"/>
      <c r="S26" s="8"/>
      <c r="T26" s="5" t="s">
        <v>65</v>
      </c>
    </row>
    <row r="27" spans="1:20" ht="13.95" customHeight="1" x14ac:dyDescent="0.3">
      <c r="A27" s="10" t="s">
        <v>28</v>
      </c>
      <c r="B27" s="38" t="s">
        <v>41</v>
      </c>
      <c r="C27" s="18"/>
      <c r="D27" s="21">
        <v>380</v>
      </c>
      <c r="E27" s="19"/>
      <c r="F27" s="19"/>
      <c r="G27" s="19"/>
      <c r="H27" s="19"/>
      <c r="I27" s="20"/>
      <c r="J27" s="19"/>
      <c r="K27" s="19"/>
      <c r="L27" s="19"/>
      <c r="M27" s="19"/>
      <c r="N27" s="19"/>
      <c r="O27" s="19"/>
      <c r="P27" s="19"/>
      <c r="Q27" s="19"/>
      <c r="R27" s="8"/>
      <c r="S27" s="8"/>
      <c r="T27" s="5" t="s">
        <v>66</v>
      </c>
    </row>
    <row r="28" spans="1:20" ht="13.95" customHeight="1" x14ac:dyDescent="0.3">
      <c r="A28" s="82" t="s">
        <v>29</v>
      </c>
      <c r="B28" s="38" t="s">
        <v>42</v>
      </c>
      <c r="C28" s="18"/>
      <c r="D28" s="21">
        <v>400</v>
      </c>
      <c r="E28" s="19"/>
      <c r="F28" s="19"/>
      <c r="G28" s="19"/>
      <c r="H28" s="19"/>
      <c r="I28" s="20"/>
      <c r="J28" s="19"/>
      <c r="K28" s="19"/>
      <c r="L28" s="19"/>
      <c r="M28" s="19"/>
      <c r="N28" s="19"/>
      <c r="O28" s="19"/>
      <c r="P28" s="19"/>
      <c r="Q28" s="19"/>
      <c r="R28" s="8"/>
      <c r="S28" s="8"/>
      <c r="T28" s="5" t="s">
        <v>66</v>
      </c>
    </row>
    <row r="29" spans="1:20" ht="13.95" customHeight="1" x14ac:dyDescent="0.3">
      <c r="A29" s="82" t="s">
        <v>100</v>
      </c>
      <c r="B29" s="83" t="s">
        <v>43</v>
      </c>
      <c r="C29" s="18"/>
      <c r="D29" s="22">
        <v>1000</v>
      </c>
      <c r="E29" s="19"/>
      <c r="F29" s="19"/>
      <c r="G29" s="19"/>
      <c r="H29" s="19"/>
      <c r="I29" s="20"/>
      <c r="J29" s="19"/>
      <c r="K29" s="19"/>
      <c r="L29" s="19"/>
      <c r="M29" s="19"/>
      <c r="N29" s="19"/>
      <c r="O29" s="19"/>
      <c r="P29" s="19"/>
      <c r="Q29" s="19"/>
      <c r="R29" s="8"/>
      <c r="S29" s="8"/>
      <c r="T29" s="5" t="s">
        <v>66</v>
      </c>
    </row>
    <row r="30" spans="1:20" ht="13.95" customHeight="1" x14ac:dyDescent="0.3">
      <c r="A30" s="10" t="s">
        <v>57</v>
      </c>
      <c r="B30" s="38" t="s">
        <v>44</v>
      </c>
      <c r="C30" s="18"/>
      <c r="D30" s="21">
        <v>50</v>
      </c>
      <c r="E30" s="170" t="s">
        <v>48</v>
      </c>
      <c r="F30" s="170"/>
      <c r="G30" s="170"/>
      <c r="H30" s="170"/>
      <c r="I30" s="20"/>
      <c r="J30" s="19"/>
      <c r="K30" s="19"/>
      <c r="L30" s="19"/>
      <c r="M30" s="19"/>
      <c r="N30" s="19"/>
      <c r="O30" s="19"/>
      <c r="P30" s="19"/>
      <c r="Q30" s="19"/>
      <c r="R30" s="8"/>
      <c r="S30" s="8"/>
      <c r="T30" s="5" t="s">
        <v>66</v>
      </c>
    </row>
    <row r="31" spans="1:20" ht="13.95" customHeight="1" x14ac:dyDescent="0.3">
      <c r="A31" s="23"/>
      <c r="B31" s="24"/>
      <c r="C31" s="18"/>
      <c r="D31" s="25"/>
      <c r="E31" s="26"/>
      <c r="F31" s="26"/>
      <c r="G31" s="26"/>
      <c r="H31" s="26"/>
      <c r="I31" s="20"/>
      <c r="J31" s="19"/>
      <c r="K31" s="19"/>
      <c r="L31" s="19"/>
      <c r="M31" s="19"/>
      <c r="N31" s="19"/>
      <c r="O31" s="19"/>
      <c r="P31" s="19"/>
      <c r="Q31" s="19"/>
      <c r="R31" s="8"/>
      <c r="S31" s="8"/>
    </row>
    <row r="32" spans="1:20" ht="13.95" customHeight="1" x14ac:dyDescent="0.3">
      <c r="A32" s="11" t="s">
        <v>36</v>
      </c>
      <c r="B32" s="171" t="s">
        <v>45</v>
      </c>
      <c r="C32" s="171"/>
      <c r="D32" s="171"/>
      <c r="E32" s="171"/>
      <c r="F32" s="21">
        <v>50</v>
      </c>
      <c r="G32" s="170" t="s">
        <v>47</v>
      </c>
      <c r="H32" s="170"/>
      <c r="I32" s="36"/>
      <c r="J32" s="36"/>
      <c r="K32" s="25"/>
      <c r="L32" s="172"/>
      <c r="M32" s="172"/>
      <c r="N32" s="19"/>
      <c r="O32" s="19"/>
      <c r="P32" s="19"/>
      <c r="Q32" s="19"/>
      <c r="R32" s="8"/>
      <c r="S32" s="8"/>
    </row>
    <row r="33" spans="1:19" ht="13.95" customHeight="1" x14ac:dyDescent="0.3">
      <c r="A33" s="11" t="s">
        <v>37</v>
      </c>
      <c r="B33" s="171" t="s">
        <v>46</v>
      </c>
      <c r="C33" s="171"/>
      <c r="D33" s="171"/>
      <c r="E33" s="171"/>
      <c r="F33" s="21">
        <v>500</v>
      </c>
      <c r="G33" s="170"/>
      <c r="H33" s="170"/>
      <c r="I33" s="36"/>
      <c r="J33" s="36"/>
      <c r="K33" s="25"/>
      <c r="L33" s="172"/>
      <c r="M33" s="172"/>
      <c r="N33" s="8"/>
      <c r="O33" s="8"/>
      <c r="P33" s="8"/>
      <c r="Q33" s="8"/>
      <c r="R33" s="8"/>
      <c r="S33" s="8"/>
    </row>
    <row r="34" spans="1:19" x14ac:dyDescent="0.3">
      <c r="A34" s="23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ht="15.6" x14ac:dyDescent="0.3">
      <c r="A35" s="23"/>
      <c r="B35" s="168"/>
      <c r="C35" s="168"/>
      <c r="D35" s="168"/>
      <c r="E35" s="8"/>
      <c r="F35" s="8"/>
      <c r="G35" s="8"/>
      <c r="H35" s="8"/>
      <c r="I35" s="8"/>
      <c r="J35" s="8"/>
      <c r="K35" s="8"/>
      <c r="L35" s="164" t="s">
        <v>56</v>
      </c>
      <c r="M35" s="164"/>
      <c r="N35" s="164"/>
      <c r="O35" s="8"/>
      <c r="P35" s="8"/>
      <c r="Q35" s="8"/>
      <c r="R35" s="8"/>
      <c r="S35" s="8"/>
    </row>
    <row r="36" spans="1:19" x14ac:dyDescent="0.3">
      <c r="A36" s="23"/>
      <c r="B36" s="8"/>
      <c r="C36" s="8"/>
      <c r="D36" s="8"/>
      <c r="E36" s="8"/>
      <c r="F36" s="165"/>
      <c r="G36" s="165"/>
      <c r="H36" s="165"/>
      <c r="I36" s="37"/>
      <c r="J36" s="37"/>
      <c r="K36" s="8"/>
      <c r="L36" s="8"/>
      <c r="M36" s="8"/>
      <c r="N36" s="8"/>
      <c r="O36" s="8"/>
      <c r="P36" s="8"/>
      <c r="Q36" s="8"/>
      <c r="R36" s="8"/>
      <c r="S36" s="8"/>
    </row>
    <row r="37" spans="1:19" x14ac:dyDescent="0.3">
      <c r="A37" s="166"/>
      <c r="B37" s="166"/>
      <c r="C37" s="166"/>
      <c r="D37" s="166"/>
      <c r="E37" s="166"/>
      <c r="F37" s="165"/>
      <c r="G37" s="165"/>
      <c r="H37" s="165"/>
      <c r="I37" s="37"/>
      <c r="J37" s="37"/>
      <c r="K37" s="8"/>
      <c r="L37" s="8"/>
      <c r="M37" s="8"/>
      <c r="N37" s="8"/>
      <c r="O37" s="8"/>
      <c r="P37" s="8"/>
      <c r="Q37" s="8"/>
      <c r="R37" s="8"/>
      <c r="S37" s="8"/>
    </row>
    <row r="38" spans="1:19" x14ac:dyDescent="0.3">
      <c r="A38" s="166"/>
      <c r="B38" s="166"/>
      <c r="C38" s="166"/>
      <c r="D38" s="166"/>
      <c r="E38" s="166"/>
      <c r="F38" s="167"/>
      <c r="G38" s="167"/>
      <c r="H38" s="167"/>
      <c r="I38" s="167"/>
      <c r="J38" s="167"/>
      <c r="K38" s="8"/>
      <c r="L38" s="8"/>
      <c r="M38" s="8"/>
      <c r="N38" s="8"/>
      <c r="O38" s="8"/>
      <c r="P38" s="8"/>
      <c r="Q38" s="8"/>
      <c r="R38" s="8"/>
      <c r="S38" s="8"/>
    </row>
    <row r="39" spans="1:19" x14ac:dyDescent="0.3">
      <c r="A39" s="23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1:19" x14ac:dyDescent="0.3">
      <c r="A40" s="23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</sheetData>
  <mergeCells count="31">
    <mergeCell ref="F36:H36"/>
    <mergeCell ref="A37:E37"/>
    <mergeCell ref="F37:H37"/>
    <mergeCell ref="A38:E38"/>
    <mergeCell ref="F38:J38"/>
    <mergeCell ref="B35:D35"/>
    <mergeCell ref="L35:N35"/>
    <mergeCell ref="N10:N11"/>
    <mergeCell ref="O10:O11"/>
    <mergeCell ref="P10:P11"/>
    <mergeCell ref="D10:E10"/>
    <mergeCell ref="E30:H30"/>
    <mergeCell ref="B32:E32"/>
    <mergeCell ref="G32:H33"/>
    <mergeCell ref="L32:M33"/>
    <mergeCell ref="B33:E33"/>
    <mergeCell ref="Q10:Q11"/>
    <mergeCell ref="R10:R11"/>
    <mergeCell ref="F11:G11"/>
    <mergeCell ref="H11:I11"/>
    <mergeCell ref="J11:K11"/>
    <mergeCell ref="L11:M11"/>
    <mergeCell ref="F10:G10"/>
    <mergeCell ref="H10:I10"/>
    <mergeCell ref="J10:K10"/>
    <mergeCell ref="L10:M10"/>
    <mergeCell ref="A1:B7"/>
    <mergeCell ref="D2:M3"/>
    <mergeCell ref="D9:M9"/>
    <mergeCell ref="N9:P9"/>
    <mergeCell ref="Q9:R9"/>
  </mergeCells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DEVIS</vt:lpstr>
      <vt:lpstr>TARIF global</vt:lpstr>
      <vt:lpstr>tarif client</vt:lpstr>
      <vt:lpstr>tarif partenaire</vt:lpstr>
      <vt:lpstr>tarif métropole</vt:lpstr>
      <vt:lpstr>tarif antilles</vt:lpstr>
      <vt:lpstr>code_et_briques</vt:lpstr>
      <vt:lpstr>liste_briques</vt:lpstr>
      <vt:lpstr>liste_code</vt:lpstr>
      <vt:lpstr>nombre_de_palettes</vt:lpstr>
      <vt:lpstr>type</vt:lpstr>
      <vt:lpstr>DEVIS!Zone_d_impression</vt:lpstr>
      <vt:lpstr>'tarif antilles'!Zone_d_impression</vt:lpstr>
      <vt:lpstr>'tarif client'!Zone_d_impression</vt:lpstr>
      <vt:lpstr>'TARIF global'!Zone_d_impression</vt:lpstr>
      <vt:lpstr>'tarif métropole'!Zone_d_impression</vt:lpstr>
      <vt:lpstr>'tarif partenaire'!Zone_d_impression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2022-12-22T17:53:57Z</cp:lastPrinted>
  <dcterms:created xsi:type="dcterms:W3CDTF">2015-06-05T18:19:34Z</dcterms:created>
  <dcterms:modified xsi:type="dcterms:W3CDTF">2022-12-23T11:44:12Z</dcterms:modified>
</cp:coreProperties>
</file>