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groupeavril.sharepoint.com/sites/avril-services-paie-team/Shared Documents/SOCIETE/TELLUS_FORCE CENTRE_4500_4511/PAIE/TEL_RH_PAIE/TABLEAUX SUIVI DES HEURES ET DES ABSENCES/Accès managers tableaux suivi des heures et absences/"/>
    </mc:Choice>
  </mc:AlternateContent>
  <xr:revisionPtr revIDLastSave="109" documentId="8_{6C658DF3-FB3D-461A-8C3E-8EEB370AA845}" xr6:coauthVersionLast="47" xr6:coauthVersionMax="47" xr10:uidLastSave="{2EAC58FC-33A2-4F23-A52D-A9DA556733D8}"/>
  <bookViews>
    <workbookView xWindow="28680" yWindow="-120" windowWidth="29040" windowHeight="15720" tabRatio="656" activeTab="5" xr2:uid="{00000000-000D-0000-FFFF-FFFF00000000}"/>
  </bookViews>
  <sheets>
    <sheet name="JUIN" sheetId="75" r:id="rId1"/>
    <sheet name="JUIL" sheetId="74" r:id="rId2"/>
    <sheet name="AOUT" sheetId="76" r:id="rId3"/>
    <sheet name="EVP" sheetId="43" state="hidden" r:id="rId4"/>
    <sheet name="Listes" sheetId="37" r:id="rId5"/>
    <sheet name="Compteurs" sheetId="13" r:id="rId6"/>
  </sheets>
  <definedNames>
    <definedName name="_xlnm._FilterDatabase" localSheetId="2" hidden="1">AOUT!$A$6:$BH$37</definedName>
    <definedName name="_xlnm._FilterDatabase" localSheetId="5" hidden="1">Compteurs!$A$1:$H$2</definedName>
    <definedName name="_xlnm._FilterDatabase" localSheetId="3" hidden="1">EVP!$A$6:$Q$60</definedName>
    <definedName name="_xlnm._FilterDatabase" localSheetId="1" hidden="1">JUIL!$A$6:$BH$37</definedName>
    <definedName name="_xlnm._FilterDatabase" localSheetId="0" hidden="1">JUIN!$A$6:$Y$37</definedName>
    <definedName name="_xlnm._FilterDatabase" localSheetId="4" hidden="1">Listes!$Q$2:$V$55</definedName>
    <definedName name="_xleta.AND" hidden="1" xlm="1">#NAME?</definedName>
    <definedName name="_xleta.COUNTIFS" hidden="1" xlm="1">#NAME?</definedName>
    <definedName name="_xleta.INDEX" hidden="1" xlm="1">#NAME?</definedName>
    <definedName name="_xleta.N" hidden="1" xlm="1">#NAME?</definedName>
    <definedName name="_xleta.OR" hidden="1" xlm="1">#NAME?</definedName>
    <definedName name="_xleta.SHEET" hidden="1" xlm="1">#NAME?</definedName>
    <definedName name="_xleta.T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37" l="1"/>
  <c r="C3" i="37"/>
  <c r="H7" i="75"/>
  <c r="D7" i="75"/>
  <c r="C7" i="75" a="1"/>
  <c r="C7" i="75" s="1"/>
  <c r="H2" i="13"/>
  <c r="D2" i="13" l="1"/>
  <c r="C2" i="13"/>
  <c r="H7" i="76"/>
  <c r="H8" i="76" s="1"/>
  <c r="H9" i="76" s="1"/>
  <c r="H10" i="76" s="1"/>
  <c r="H11" i="76" s="1"/>
  <c r="H12" i="76" s="1"/>
  <c r="H13" i="76" s="1"/>
  <c r="H14" i="76" s="1"/>
  <c r="H15" i="76" s="1"/>
  <c r="H16" i="76" s="1"/>
  <c r="H17" i="76" s="1"/>
  <c r="H18" i="76" s="1"/>
  <c r="H19" i="76" s="1"/>
  <c r="H20" i="76" s="1"/>
  <c r="H21" i="76" s="1"/>
  <c r="H22" i="76" s="1"/>
  <c r="H23" i="76" s="1"/>
  <c r="H24" i="76" s="1"/>
  <c r="H25" i="76" s="1"/>
  <c r="H26" i="76" s="1"/>
  <c r="H27" i="76" s="1"/>
  <c r="H28" i="76" s="1"/>
  <c r="H29" i="76" s="1"/>
  <c r="H30" i="76" s="1"/>
  <c r="H31" i="76" s="1"/>
  <c r="H32" i="76" s="1"/>
  <c r="H33" i="76" s="1"/>
  <c r="H34" i="76" s="1"/>
  <c r="H35" i="76" s="1"/>
  <c r="H36" i="76" s="1"/>
  <c r="H37" i="76" s="1"/>
  <c r="D7" i="76"/>
  <c r="BU37" i="76"/>
  <c r="BS37" i="76"/>
  <c r="BT37" i="76" s="1"/>
  <c r="BE37" i="76"/>
  <c r="BA37" i="76"/>
  <c r="AE37" i="76"/>
  <c r="AB37" i="76"/>
  <c r="AA37" i="76"/>
  <c r="Z37" i="76" s="1"/>
  <c r="X37" i="76"/>
  <c r="W37" i="76" s="1"/>
  <c r="V37" i="76"/>
  <c r="U37" i="76"/>
  <c r="S37" i="76"/>
  <c r="R37" i="76"/>
  <c r="P37" i="76"/>
  <c r="O37" i="76"/>
  <c r="N37" i="76"/>
  <c r="M37" i="76"/>
  <c r="BF37" i="76" s="1"/>
  <c r="K37" i="76"/>
  <c r="J37" i="76"/>
  <c r="C37" i="76" a="1"/>
  <c r="C37" i="76" s="1"/>
  <c r="A37" i="76"/>
  <c r="BU36" i="76"/>
  <c r="BS36" i="76"/>
  <c r="BT36" i="76" s="1"/>
  <c r="BA36" i="76"/>
  <c r="AE36" i="76"/>
  <c r="AA36" i="76"/>
  <c r="Z36" i="76"/>
  <c r="X36" i="76"/>
  <c r="V36" i="76"/>
  <c r="U36" i="76"/>
  <c r="S36" i="76"/>
  <c r="R36" i="76"/>
  <c r="P36" i="76"/>
  <c r="W36" i="76" s="1"/>
  <c r="O36" i="76"/>
  <c r="M36" i="76"/>
  <c r="BF36" i="76" s="1"/>
  <c r="K36" i="76"/>
  <c r="J36" i="76"/>
  <c r="C36" i="76"/>
  <c r="AZ36" i="76" s="1"/>
  <c r="BI36" i="76" s="1"/>
  <c r="C36" i="76" a="1"/>
  <c r="A36" i="76"/>
  <c r="BU35" i="76"/>
  <c r="BS35" i="76"/>
  <c r="BT35" i="76" s="1"/>
  <c r="BF35" i="76"/>
  <c r="BA35" i="76"/>
  <c r="AZ35" i="76"/>
  <c r="BI35" i="76" s="1"/>
  <c r="AE35" i="76"/>
  <c r="Z35" i="76" s="1"/>
  <c r="AA35" i="76"/>
  <c r="X35" i="76"/>
  <c r="W35" i="76" s="1"/>
  <c r="V35" i="76"/>
  <c r="U35" i="76"/>
  <c r="S35" i="76"/>
  <c r="R35" i="76"/>
  <c r="P35" i="76"/>
  <c r="O35" i="76"/>
  <c r="N35" i="76"/>
  <c r="M35" i="76"/>
  <c r="BE35" i="76" s="1"/>
  <c r="K35" i="76"/>
  <c r="J35" i="76"/>
  <c r="AB35" i="76" s="1"/>
  <c r="D35" i="76"/>
  <c r="C35" i="76"/>
  <c r="C35" i="76" a="1"/>
  <c r="A35" i="76"/>
  <c r="BU34" i="76"/>
  <c r="BS34" i="76"/>
  <c r="BT34" i="76" s="1"/>
  <c r="BA34" i="76"/>
  <c r="AE34" i="76"/>
  <c r="AA34" i="76"/>
  <c r="Z34" i="76" s="1"/>
  <c r="X34" i="76"/>
  <c r="V34" i="76"/>
  <c r="U34" i="76"/>
  <c r="R34" i="76"/>
  <c r="BF34" i="76" s="1"/>
  <c r="P34" i="76"/>
  <c r="O34" i="76"/>
  <c r="N34" i="76"/>
  <c r="M34" i="76"/>
  <c r="BE34" i="76" s="1"/>
  <c r="K34" i="76"/>
  <c r="J34" i="76"/>
  <c r="C34" i="76" a="1"/>
  <c r="C34" i="76" s="1"/>
  <c r="A34" i="76"/>
  <c r="BU33" i="76"/>
  <c r="BS33" i="76"/>
  <c r="BT33" i="76" s="1"/>
  <c r="BE33" i="76"/>
  <c r="BA33" i="76"/>
  <c r="AE33" i="76"/>
  <c r="AB33" i="76"/>
  <c r="AA33" i="76"/>
  <c r="Z33" i="76" s="1"/>
  <c r="X33" i="76"/>
  <c r="W33" i="76" s="1"/>
  <c r="V33" i="76"/>
  <c r="U33" i="76"/>
  <c r="S33" i="76"/>
  <c r="R33" i="76"/>
  <c r="BF33" i="76" s="1"/>
  <c r="P33" i="76"/>
  <c r="O33" i="76"/>
  <c r="N33" i="76"/>
  <c r="M33" i="76"/>
  <c r="K33" i="76"/>
  <c r="J33" i="76"/>
  <c r="C33" i="76" a="1"/>
  <c r="C33" i="76" s="1"/>
  <c r="A33" i="76"/>
  <c r="BS32" i="76"/>
  <c r="BT32" i="76" s="1"/>
  <c r="BA32" i="76"/>
  <c r="AE32" i="76"/>
  <c r="AA32" i="76"/>
  <c r="Z32" i="76" s="1"/>
  <c r="X32" i="76"/>
  <c r="W32" i="76"/>
  <c r="V32" i="76"/>
  <c r="U32" i="76"/>
  <c r="S32" i="76"/>
  <c r="R32" i="76"/>
  <c r="P32" i="76"/>
  <c r="O32" i="76"/>
  <c r="M32" i="76"/>
  <c r="K32" i="76"/>
  <c r="AB32" i="76" s="1"/>
  <c r="J32" i="76"/>
  <c r="C32" i="76" a="1"/>
  <c r="C32" i="76" s="1"/>
  <c r="A32" i="76"/>
  <c r="BS31" i="76"/>
  <c r="BT31" i="76" s="1"/>
  <c r="BA31" i="76"/>
  <c r="AE31" i="76"/>
  <c r="AA31" i="76"/>
  <c r="Z31" i="76"/>
  <c r="X31" i="76"/>
  <c r="V31" i="76"/>
  <c r="U31" i="76"/>
  <c r="S31" i="76"/>
  <c r="R31" i="76"/>
  <c r="P31" i="76"/>
  <c r="O31" i="76"/>
  <c r="W31" i="76" s="1"/>
  <c r="M31" i="76"/>
  <c r="BF31" i="76" s="1"/>
  <c r="K31" i="76"/>
  <c r="AB31" i="76" s="1"/>
  <c r="J31" i="76"/>
  <c r="C31" i="76"/>
  <c r="AZ31" i="76" s="1"/>
  <c r="BI31" i="76" s="1"/>
  <c r="C31" i="76" a="1"/>
  <c r="A31" i="76"/>
  <c r="BS30" i="76"/>
  <c r="BT30" i="76" s="1"/>
  <c r="BF30" i="76"/>
  <c r="BE30" i="76"/>
  <c r="BA30" i="76"/>
  <c r="AE30" i="76"/>
  <c r="AA30" i="76"/>
  <c r="Z30" i="76"/>
  <c r="X30" i="76"/>
  <c r="V30" i="76"/>
  <c r="U30" i="76"/>
  <c r="S30" i="76"/>
  <c r="R30" i="76"/>
  <c r="P30" i="76"/>
  <c r="O30" i="76"/>
  <c r="M30" i="76"/>
  <c r="N30" i="76" s="1"/>
  <c r="K30" i="76"/>
  <c r="J30" i="76"/>
  <c r="AB30" i="76" s="1"/>
  <c r="C30" i="76"/>
  <c r="AZ30" i="76" s="1"/>
  <c r="BI30" i="76" s="1"/>
  <c r="C30" i="76" a="1"/>
  <c r="A30" i="76"/>
  <c r="BS29" i="76"/>
  <c r="BT29" i="76" s="1"/>
  <c r="BA29" i="76"/>
  <c r="AE29" i="76"/>
  <c r="Z29" i="76" s="1"/>
  <c r="AA29" i="76"/>
  <c r="X29" i="76"/>
  <c r="W29" i="76" s="1"/>
  <c r="V29" i="76"/>
  <c r="U29" i="76"/>
  <c r="S29" i="76"/>
  <c r="R29" i="76"/>
  <c r="P29" i="76"/>
  <c r="O29" i="76"/>
  <c r="N29" i="76"/>
  <c r="M29" i="76"/>
  <c r="K29" i="76"/>
  <c r="J29" i="76"/>
  <c r="AB29" i="76" s="1"/>
  <c r="C29" i="76"/>
  <c r="D29" i="76" s="1"/>
  <c r="C29" i="76" a="1"/>
  <c r="A29" i="76"/>
  <c r="BS28" i="76"/>
  <c r="BT28" i="76" s="1"/>
  <c r="BA28" i="76"/>
  <c r="AZ28" i="76"/>
  <c r="BI28" i="76" s="1"/>
  <c r="AE28" i="76"/>
  <c r="AA28" i="76"/>
  <c r="Z28" i="76" s="1"/>
  <c r="X28" i="76"/>
  <c r="V28" i="76"/>
  <c r="U28" i="76"/>
  <c r="R28" i="76"/>
  <c r="S28" i="76" s="1"/>
  <c r="P28" i="76"/>
  <c r="O28" i="76"/>
  <c r="N28" i="76"/>
  <c r="M28" i="76"/>
  <c r="BF28" i="76" s="1"/>
  <c r="K28" i="76"/>
  <c r="J28" i="76"/>
  <c r="D28" i="76"/>
  <c r="C28" i="76"/>
  <c r="C28" i="76" a="1"/>
  <c r="A28" i="76"/>
  <c r="BS27" i="76"/>
  <c r="BT27" i="76" s="1"/>
  <c r="BA27" i="76"/>
  <c r="AE27" i="76"/>
  <c r="AA27" i="76"/>
  <c r="X27" i="76"/>
  <c r="V27" i="76"/>
  <c r="U27" i="76"/>
  <c r="R27" i="76"/>
  <c r="S27" i="76" s="1"/>
  <c r="P27" i="76"/>
  <c r="O27" i="76"/>
  <c r="N27" i="76"/>
  <c r="M27" i="76"/>
  <c r="K27" i="76"/>
  <c r="J27" i="76"/>
  <c r="C27" i="76" a="1"/>
  <c r="C27" i="76" s="1"/>
  <c r="A27" i="76"/>
  <c r="BS26" i="76"/>
  <c r="BT26" i="76" s="1"/>
  <c r="BF26" i="76"/>
  <c r="BA26" i="76"/>
  <c r="AZ26" i="76"/>
  <c r="BI26" i="76" s="1"/>
  <c r="AE26" i="76"/>
  <c r="AA26" i="76"/>
  <c r="Z26" i="76" s="1"/>
  <c r="X26" i="76"/>
  <c r="V26" i="76"/>
  <c r="U26" i="76"/>
  <c r="R26" i="76"/>
  <c r="BE26" i="76" s="1"/>
  <c r="P26" i="76"/>
  <c r="O26" i="76"/>
  <c r="N26" i="76"/>
  <c r="M26" i="76"/>
  <c r="K26" i="76"/>
  <c r="J26" i="76"/>
  <c r="D26" i="76"/>
  <c r="C26" i="76" a="1"/>
  <c r="C26" i="76" s="1"/>
  <c r="A26" i="76"/>
  <c r="BS25" i="76"/>
  <c r="BT25" i="76" s="1"/>
  <c r="BE25" i="76"/>
  <c r="BA25" i="76"/>
  <c r="AE25" i="76"/>
  <c r="AB25" i="76"/>
  <c r="AA25" i="76"/>
  <c r="Z25" i="76" s="1"/>
  <c r="X25" i="76"/>
  <c r="W25" i="76" s="1"/>
  <c r="V25" i="76"/>
  <c r="U25" i="76"/>
  <c r="S25" i="76"/>
  <c r="R25" i="76"/>
  <c r="BF25" i="76" s="1"/>
  <c r="P25" i="76"/>
  <c r="O25" i="76"/>
  <c r="N25" i="76"/>
  <c r="M25" i="76"/>
  <c r="K25" i="76"/>
  <c r="J25" i="76"/>
  <c r="C25" i="76" a="1"/>
  <c r="C25" i="76" s="1"/>
  <c r="A25" i="76"/>
  <c r="BS24" i="76"/>
  <c r="BT24" i="76" s="1"/>
  <c r="BE24" i="76"/>
  <c r="BA24" i="76"/>
  <c r="AE24" i="76"/>
  <c r="AA24" i="76"/>
  <c r="X24" i="76"/>
  <c r="V24" i="76"/>
  <c r="U24" i="76"/>
  <c r="S24" i="76"/>
  <c r="R24" i="76"/>
  <c r="P24" i="76"/>
  <c r="O24" i="76"/>
  <c r="M24" i="76"/>
  <c r="K24" i="76"/>
  <c r="AB24" i="76" s="1"/>
  <c r="J24" i="76"/>
  <c r="C24" i="76" a="1"/>
  <c r="C24" i="76" s="1"/>
  <c r="A24" i="76"/>
  <c r="BS23" i="76"/>
  <c r="BT23" i="76" s="1"/>
  <c r="BA23" i="76"/>
  <c r="AE23" i="76"/>
  <c r="Z23" i="76" s="1"/>
  <c r="AA23" i="76"/>
  <c r="X23" i="76"/>
  <c r="V23" i="76"/>
  <c r="U23" i="76"/>
  <c r="S23" i="76"/>
  <c r="R23" i="76"/>
  <c r="P23" i="76"/>
  <c r="W23" i="76" s="1"/>
  <c r="O23" i="76"/>
  <c r="M23" i="76"/>
  <c r="K23" i="76"/>
  <c r="J23" i="76"/>
  <c r="C23" i="76"/>
  <c r="C23" i="76" a="1"/>
  <c r="A23" i="76"/>
  <c r="BS22" i="76"/>
  <c r="BT22" i="76" s="1"/>
  <c r="BF22" i="76"/>
  <c r="BE22" i="76"/>
  <c r="BA22" i="76"/>
  <c r="AE22" i="76"/>
  <c r="AA22" i="76"/>
  <c r="Z22" i="76"/>
  <c r="X22" i="76"/>
  <c r="V22" i="76"/>
  <c r="U22" i="76"/>
  <c r="S22" i="76"/>
  <c r="R22" i="76"/>
  <c r="P22" i="76"/>
  <c r="O22" i="76"/>
  <c r="M22" i="76"/>
  <c r="N22" i="76" s="1"/>
  <c r="K22" i="76"/>
  <c r="J22" i="76"/>
  <c r="AB22" i="76" s="1"/>
  <c r="C22" i="76" a="1"/>
  <c r="C22" i="76" s="1"/>
  <c r="A22" i="76"/>
  <c r="BS21" i="76"/>
  <c r="BT21" i="76" s="1"/>
  <c r="BA21" i="76"/>
  <c r="AE21" i="76"/>
  <c r="Z21" i="76" s="1"/>
  <c r="AA21" i="76"/>
  <c r="X21" i="76"/>
  <c r="W21" i="76" s="1"/>
  <c r="V21" i="76"/>
  <c r="U21" i="76"/>
  <c r="S21" i="76"/>
  <c r="R21" i="76"/>
  <c r="P21" i="76"/>
  <c r="O21" i="76"/>
  <c r="N21" i="76"/>
  <c r="M21" i="76"/>
  <c r="BE21" i="76" s="1"/>
  <c r="K21" i="76"/>
  <c r="J21" i="76"/>
  <c r="AB21" i="76" s="1"/>
  <c r="C21" i="76"/>
  <c r="AZ21" i="76" s="1"/>
  <c r="BI21" i="76" s="1"/>
  <c r="C21" i="76" a="1"/>
  <c r="A21" i="76"/>
  <c r="BS20" i="76"/>
  <c r="BT20" i="76" s="1"/>
  <c r="BA20" i="76"/>
  <c r="AZ20" i="76"/>
  <c r="BI20" i="76" s="1"/>
  <c r="AE20" i="76"/>
  <c r="AA20" i="76"/>
  <c r="X20" i="76"/>
  <c r="V20" i="76"/>
  <c r="U20" i="76"/>
  <c r="R20" i="76"/>
  <c r="S20" i="76" s="1"/>
  <c r="P20" i="76"/>
  <c r="AB20" i="76" s="1"/>
  <c r="O20" i="76"/>
  <c r="N20" i="76"/>
  <c r="M20" i="76"/>
  <c r="K20" i="76"/>
  <c r="J20" i="76"/>
  <c r="D20" i="76"/>
  <c r="C20" i="76"/>
  <c r="C20" i="76" a="1"/>
  <c r="A20" i="76"/>
  <c r="BS19" i="76"/>
  <c r="BT19" i="76" s="1"/>
  <c r="BA19" i="76"/>
  <c r="AE19" i="76"/>
  <c r="AA19" i="76"/>
  <c r="Z19" i="76" s="1"/>
  <c r="X19" i="76"/>
  <c r="V19" i="76"/>
  <c r="U19" i="76"/>
  <c r="R19" i="76"/>
  <c r="S19" i="76" s="1"/>
  <c r="P19" i="76"/>
  <c r="O19" i="76"/>
  <c r="M19" i="76"/>
  <c r="N19" i="76" s="1"/>
  <c r="K19" i="76"/>
  <c r="J19" i="76"/>
  <c r="C19" i="76" a="1"/>
  <c r="C19" i="76" s="1"/>
  <c r="A19" i="76"/>
  <c r="BS18" i="76"/>
  <c r="BT18" i="76" s="1"/>
  <c r="BF18" i="76"/>
  <c r="BA18" i="76"/>
  <c r="AE18" i="76"/>
  <c r="AA18" i="76"/>
  <c r="Z18" i="76" s="1"/>
  <c r="X18" i="76"/>
  <c r="W18" i="76" s="1"/>
  <c r="V18" i="76"/>
  <c r="U18" i="76"/>
  <c r="R18" i="76"/>
  <c r="BE18" i="76" s="1"/>
  <c r="P18" i="76"/>
  <c r="O18" i="76"/>
  <c r="N18" i="76"/>
  <c r="M18" i="76"/>
  <c r="K18" i="76"/>
  <c r="J18" i="76"/>
  <c r="C18" i="76" a="1"/>
  <c r="C18" i="76" s="1"/>
  <c r="AZ18" i="76" s="1"/>
  <c r="BI18" i="76" s="1"/>
  <c r="A18" i="76"/>
  <c r="BS17" i="76"/>
  <c r="BT17" i="76" s="1"/>
  <c r="BA17" i="76"/>
  <c r="AZ17" i="76"/>
  <c r="BI17" i="76" s="1"/>
  <c r="AE17" i="76"/>
  <c r="AB17" i="76"/>
  <c r="AA17" i="76"/>
  <c r="Z17" i="76" s="1"/>
  <c r="X17" i="76"/>
  <c r="V17" i="76"/>
  <c r="U17" i="76"/>
  <c r="S17" i="76"/>
  <c r="R17" i="76"/>
  <c r="BF17" i="76" s="1"/>
  <c r="P17" i="76"/>
  <c r="O17" i="76"/>
  <c r="N17" i="76"/>
  <c r="M17" i="76"/>
  <c r="K17" i="76"/>
  <c r="J17" i="76"/>
  <c r="D17" i="76"/>
  <c r="C17" i="76" a="1"/>
  <c r="C17" i="76" s="1"/>
  <c r="A17" i="76"/>
  <c r="BS16" i="76"/>
  <c r="BT16" i="76" s="1"/>
  <c r="BA16" i="76"/>
  <c r="AZ16" i="76"/>
  <c r="BI16" i="76" s="1"/>
  <c r="AE16" i="76"/>
  <c r="AA16" i="76"/>
  <c r="X16" i="76"/>
  <c r="W16" i="76" s="1"/>
  <c r="V16" i="76"/>
  <c r="U16" i="76"/>
  <c r="S16" i="76"/>
  <c r="R16" i="76"/>
  <c r="P16" i="76"/>
  <c r="O16" i="76"/>
  <c r="N16" i="76"/>
  <c r="M16" i="76"/>
  <c r="K16" i="76"/>
  <c r="AB16" i="76" s="1"/>
  <c r="J16" i="76"/>
  <c r="C16" i="76"/>
  <c r="D16" i="76" s="1"/>
  <c r="C16" i="76" a="1"/>
  <c r="A16" i="76"/>
  <c r="BS15" i="76"/>
  <c r="BT15" i="76" s="1"/>
  <c r="BA15" i="76"/>
  <c r="AE15" i="76"/>
  <c r="AA15" i="76"/>
  <c r="Z15" i="76"/>
  <c r="X15" i="76"/>
  <c r="V15" i="76"/>
  <c r="U15" i="76"/>
  <c r="S15" i="76"/>
  <c r="R15" i="76"/>
  <c r="P15" i="76"/>
  <c r="W15" i="76" s="1"/>
  <c r="O15" i="76"/>
  <c r="M15" i="76"/>
  <c r="BE15" i="76" s="1"/>
  <c r="K15" i="76"/>
  <c r="J15" i="76"/>
  <c r="C15" i="76" a="1"/>
  <c r="C15" i="76" s="1"/>
  <c r="A15" i="76"/>
  <c r="BS14" i="76"/>
  <c r="BT14" i="76" s="1"/>
  <c r="BA14" i="76"/>
  <c r="AE14" i="76"/>
  <c r="Z14" i="76" s="1"/>
  <c r="AB14" i="76"/>
  <c r="AA14" i="76"/>
  <c r="X14" i="76"/>
  <c r="V14" i="76"/>
  <c r="U14" i="76"/>
  <c r="S14" i="76"/>
  <c r="R14" i="76"/>
  <c r="P14" i="76"/>
  <c r="O14" i="76"/>
  <c r="M14" i="76"/>
  <c r="N14" i="76" s="1"/>
  <c r="K14" i="76"/>
  <c r="J14" i="76"/>
  <c r="W14" i="76" s="1"/>
  <c r="C14" i="76"/>
  <c r="C14" i="76" a="1"/>
  <c r="A14" i="76"/>
  <c r="BS13" i="76"/>
  <c r="BT13" i="76" s="1"/>
  <c r="BF13" i="76"/>
  <c r="BA13" i="76"/>
  <c r="AZ13" i="76"/>
  <c r="BI13" i="76" s="1"/>
  <c r="AE13" i="76"/>
  <c r="AA13" i="76"/>
  <c r="Z13" i="76"/>
  <c r="X13" i="76"/>
  <c r="W13" i="76" s="1"/>
  <c r="V13" i="76"/>
  <c r="U13" i="76"/>
  <c r="S13" i="76"/>
  <c r="R13" i="76"/>
  <c r="P13" i="76"/>
  <c r="AB13" i="76" s="1"/>
  <c r="O13" i="76"/>
  <c r="N13" i="76"/>
  <c r="M13" i="76"/>
  <c r="BE13" i="76" s="1"/>
  <c r="K13" i="76"/>
  <c r="J13" i="76"/>
  <c r="D13" i="76"/>
  <c r="C13" i="76"/>
  <c r="C13" i="76" a="1"/>
  <c r="A13" i="76"/>
  <c r="BS12" i="76"/>
  <c r="BT12" i="76" s="1"/>
  <c r="BA12" i="76"/>
  <c r="AE12" i="76"/>
  <c r="AA12" i="76"/>
  <c r="Z12" i="76" s="1"/>
  <c r="X12" i="76"/>
  <c r="V12" i="76"/>
  <c r="U12" i="76"/>
  <c r="W12" i="76" s="1"/>
  <c r="R12" i="76"/>
  <c r="S12" i="76" s="1"/>
  <c r="P12" i="76"/>
  <c r="O12" i="76"/>
  <c r="M12" i="76"/>
  <c r="BE12" i="76" s="1"/>
  <c r="K12" i="76"/>
  <c r="J12" i="76"/>
  <c r="AB12" i="76" s="1"/>
  <c r="C12" i="76"/>
  <c r="AZ12" i="76" s="1"/>
  <c r="BI12" i="76" s="1"/>
  <c r="C12" i="76" a="1"/>
  <c r="A12" i="76"/>
  <c r="BS11" i="76"/>
  <c r="BT11" i="76" s="1"/>
  <c r="BA11" i="76"/>
  <c r="AE11" i="76"/>
  <c r="AA11" i="76"/>
  <c r="Z11" i="76" s="1"/>
  <c r="V11" i="76"/>
  <c r="U11" i="76"/>
  <c r="R11" i="76"/>
  <c r="S11" i="76" s="1"/>
  <c r="X11" i="76" s="1"/>
  <c r="W11" i="76" s="1"/>
  <c r="P11" i="76"/>
  <c r="O11" i="76"/>
  <c r="M11" i="76"/>
  <c r="N11" i="76" s="1"/>
  <c r="K11" i="76"/>
  <c r="J11" i="76"/>
  <c r="AB11" i="76" s="1"/>
  <c r="C11" i="76"/>
  <c r="AZ11" i="76" s="1"/>
  <c r="BI11" i="76" s="1"/>
  <c r="C11" i="76" a="1"/>
  <c r="A11" i="76"/>
  <c r="BS10" i="76"/>
  <c r="BT10" i="76" s="1"/>
  <c r="BA10" i="76"/>
  <c r="AE10" i="76"/>
  <c r="AA10" i="76"/>
  <c r="Z10" i="76" s="1"/>
  <c r="V10" i="76"/>
  <c r="U10" i="76"/>
  <c r="R10" i="76"/>
  <c r="S10" i="76" s="1"/>
  <c r="X10" i="76" s="1"/>
  <c r="W10" i="76" s="1"/>
  <c r="P10" i="76"/>
  <c r="O10" i="76"/>
  <c r="M10" i="76"/>
  <c r="BE10" i="76" s="1"/>
  <c r="K10" i="76"/>
  <c r="J10" i="76"/>
  <c r="AB10" i="76" s="1"/>
  <c r="C10" i="76"/>
  <c r="AZ10" i="76" s="1"/>
  <c r="BI10" i="76" s="1"/>
  <c r="C10" i="76" a="1"/>
  <c r="A10" i="76"/>
  <c r="BS9" i="76"/>
  <c r="BT9" i="76" s="1"/>
  <c r="BA9" i="76"/>
  <c r="AE9" i="76"/>
  <c r="AA9" i="76"/>
  <c r="Z9" i="76" s="1"/>
  <c r="X9" i="76"/>
  <c r="W9" i="76"/>
  <c r="V9" i="76"/>
  <c r="U9" i="76"/>
  <c r="R9" i="76"/>
  <c r="S9" i="76" s="1"/>
  <c r="P9" i="76"/>
  <c r="O9" i="76"/>
  <c r="M9" i="76"/>
  <c r="N9" i="76" s="1"/>
  <c r="K9" i="76"/>
  <c r="J9" i="76"/>
  <c r="AB9" i="76" s="1"/>
  <c r="C9" i="76"/>
  <c r="AZ9" i="76" s="1"/>
  <c r="BI9" i="76" s="1"/>
  <c r="C9" i="76" a="1"/>
  <c r="A9" i="76"/>
  <c r="BS8" i="76"/>
  <c r="BT8" i="76" s="1"/>
  <c r="BA8" i="76"/>
  <c r="AE8" i="76"/>
  <c r="AB8" i="76"/>
  <c r="AA8" i="76"/>
  <c r="Z8" i="76" s="1"/>
  <c r="X8" i="76"/>
  <c r="V8" i="76"/>
  <c r="U8" i="76"/>
  <c r="W8" i="76" s="1"/>
  <c r="R8" i="76"/>
  <c r="S8" i="76" s="1"/>
  <c r="P8" i="76"/>
  <c r="O8" i="76"/>
  <c r="M8" i="76"/>
  <c r="BE8" i="76" s="1"/>
  <c r="K8" i="76"/>
  <c r="J8" i="76"/>
  <c r="C8" i="76"/>
  <c r="AZ8" i="76" s="1"/>
  <c r="BI8" i="76" s="1"/>
  <c r="C8" i="76" a="1"/>
  <c r="B8" i="76"/>
  <c r="A8" i="76"/>
  <c r="BS7" i="76"/>
  <c r="BT7" i="76" s="1"/>
  <c r="BL7" i="76" a="1"/>
  <c r="BL7" i="76" s="1"/>
  <c r="BN7" i="76" s="1"/>
  <c r="BA7" i="76"/>
  <c r="AE7" i="76"/>
  <c r="AB7" i="76"/>
  <c r="AA7" i="76"/>
  <c r="Z7" i="76" s="1"/>
  <c r="X7" i="76"/>
  <c r="W7" i="76"/>
  <c r="V7" i="76"/>
  <c r="U7" i="76"/>
  <c r="R7" i="76"/>
  <c r="S7" i="76" s="1"/>
  <c r="P7" i="76"/>
  <c r="O7" i="76"/>
  <c r="M7" i="76"/>
  <c r="N7" i="76" s="1"/>
  <c r="K7" i="76"/>
  <c r="J7" i="76"/>
  <c r="C7" i="76"/>
  <c r="AZ7" i="76" s="1"/>
  <c r="BI7" i="76" s="1"/>
  <c r="C7" i="76" a="1"/>
  <c r="B7" i="76"/>
  <c r="A7" i="76"/>
  <c r="D6" i="76"/>
  <c r="C6" i="76"/>
  <c r="AQ5" i="76"/>
  <c r="AR5" i="76" s="1"/>
  <c r="AS5" i="76" s="1"/>
  <c r="AT5" i="76" s="1"/>
  <c r="AU5" i="76" s="1"/>
  <c r="AV5" i="76" s="1"/>
  <c r="AW5" i="76" s="1"/>
  <c r="AX5" i="76" s="1"/>
  <c r="AY5" i="76" s="1"/>
  <c r="AP5" i="76"/>
  <c r="V3" i="76"/>
  <c r="X37" i="75"/>
  <c r="W37" i="75" s="1"/>
  <c r="V37" i="75"/>
  <c r="U37" i="75"/>
  <c r="R37" i="75"/>
  <c r="S37" i="75" s="1"/>
  <c r="P37" i="75"/>
  <c r="O37" i="75"/>
  <c r="N37" i="75"/>
  <c r="M37" i="75"/>
  <c r="K37" i="75"/>
  <c r="J37" i="75"/>
  <c r="C37" i="75" a="1"/>
  <c r="C37" i="75" s="1"/>
  <c r="D37" i="75" s="1"/>
  <c r="A37" i="75"/>
  <c r="X36" i="75"/>
  <c r="V36" i="75"/>
  <c r="U36" i="75"/>
  <c r="S36" i="75"/>
  <c r="R36" i="75"/>
  <c r="P36" i="75"/>
  <c r="O36" i="75"/>
  <c r="M36" i="75"/>
  <c r="N36" i="75" s="1"/>
  <c r="K36" i="75"/>
  <c r="J36" i="75"/>
  <c r="C36" i="75" a="1"/>
  <c r="C36" i="75" s="1"/>
  <c r="D36" i="75" s="1"/>
  <c r="A36" i="75"/>
  <c r="X35" i="75"/>
  <c r="W35" i="75" s="1"/>
  <c r="V35" i="75"/>
  <c r="U35" i="75"/>
  <c r="S35" i="75"/>
  <c r="R35" i="75"/>
  <c r="P35" i="75"/>
  <c r="O35" i="75"/>
  <c r="N35" i="75"/>
  <c r="M35" i="75"/>
  <c r="K35" i="75"/>
  <c r="J35" i="75"/>
  <c r="C35" i="75" a="1"/>
  <c r="C35" i="75" s="1"/>
  <c r="D35" i="75" s="1"/>
  <c r="A35" i="75"/>
  <c r="X34" i="75"/>
  <c r="V34" i="75"/>
  <c r="U34" i="75"/>
  <c r="S34" i="75"/>
  <c r="R34" i="75"/>
  <c r="P34" i="75"/>
  <c r="O34" i="75"/>
  <c r="N34" i="75"/>
  <c r="M34" i="75"/>
  <c r="K34" i="75"/>
  <c r="J34" i="75"/>
  <c r="C34" i="75" a="1"/>
  <c r="C34" i="75" s="1"/>
  <c r="A34" i="75"/>
  <c r="X33" i="75"/>
  <c r="V33" i="75"/>
  <c r="U33" i="75"/>
  <c r="R33" i="75"/>
  <c r="S33" i="75" s="1"/>
  <c r="P33" i="75"/>
  <c r="W33" i="75" s="1"/>
  <c r="O33" i="75"/>
  <c r="M33" i="75"/>
  <c r="N33" i="75" s="1"/>
  <c r="K33" i="75"/>
  <c r="J33" i="75"/>
  <c r="C33" i="75" a="1"/>
  <c r="C33" i="75" s="1"/>
  <c r="D33" i="75" s="1"/>
  <c r="A33" i="75"/>
  <c r="X32" i="75"/>
  <c r="V32" i="75"/>
  <c r="U32" i="75"/>
  <c r="R32" i="75"/>
  <c r="S32" i="75" s="1"/>
  <c r="P32" i="75"/>
  <c r="O32" i="75"/>
  <c r="W32" i="75" s="1"/>
  <c r="M32" i="75"/>
  <c r="K32" i="75"/>
  <c r="J32" i="75"/>
  <c r="C32" i="75" a="1"/>
  <c r="C32" i="75" s="1"/>
  <c r="D32" i="75" s="1"/>
  <c r="A32" i="75"/>
  <c r="X31" i="75"/>
  <c r="V31" i="75"/>
  <c r="U31" i="75"/>
  <c r="R31" i="75"/>
  <c r="S31" i="75" s="1"/>
  <c r="P31" i="75"/>
  <c r="O31" i="75"/>
  <c r="M31" i="75"/>
  <c r="N31" i="75" s="1"/>
  <c r="K31" i="75"/>
  <c r="J31" i="75"/>
  <c r="C31" i="75" a="1"/>
  <c r="C31" i="75" s="1"/>
  <c r="D31" i="75" s="1"/>
  <c r="A31" i="75"/>
  <c r="X30" i="75"/>
  <c r="V30" i="75"/>
  <c r="U30" i="75"/>
  <c r="R30" i="75"/>
  <c r="P30" i="75"/>
  <c r="O30" i="75"/>
  <c r="M30" i="75"/>
  <c r="N30" i="75" s="1"/>
  <c r="K30" i="75"/>
  <c r="J30" i="75"/>
  <c r="C30" i="75" a="1"/>
  <c r="C30" i="75" s="1"/>
  <c r="A30" i="75"/>
  <c r="X29" i="75"/>
  <c r="V29" i="75"/>
  <c r="U29" i="75"/>
  <c r="S29" i="75"/>
  <c r="R29" i="75"/>
  <c r="P29" i="75"/>
  <c r="O29" i="75"/>
  <c r="N29" i="75"/>
  <c r="M29" i="75"/>
  <c r="K29" i="75"/>
  <c r="J29" i="75"/>
  <c r="C29" i="75" a="1"/>
  <c r="C29" i="75" s="1"/>
  <c r="A29" i="75"/>
  <c r="X28" i="75"/>
  <c r="V28" i="75"/>
  <c r="U28" i="75"/>
  <c r="R28" i="75"/>
  <c r="S28" i="75" s="1"/>
  <c r="P28" i="75"/>
  <c r="O28" i="75"/>
  <c r="M28" i="75"/>
  <c r="N28" i="75" s="1"/>
  <c r="K28" i="75"/>
  <c r="J28" i="75"/>
  <c r="C28" i="75"/>
  <c r="D28" i="75" s="1"/>
  <c r="C28" i="75" a="1"/>
  <c r="A28" i="75"/>
  <c r="X27" i="75"/>
  <c r="V27" i="75"/>
  <c r="U27" i="75"/>
  <c r="S27" i="75"/>
  <c r="R27" i="75"/>
  <c r="P27" i="75"/>
  <c r="O27" i="75"/>
  <c r="M27" i="75"/>
  <c r="N27" i="75" s="1"/>
  <c r="K27" i="75"/>
  <c r="J27" i="75"/>
  <c r="C27" i="75" a="1"/>
  <c r="C27" i="75" s="1"/>
  <c r="A27" i="75"/>
  <c r="X26" i="75"/>
  <c r="V26" i="75"/>
  <c r="U26" i="75"/>
  <c r="R26" i="75"/>
  <c r="S26" i="75" s="1"/>
  <c r="P26" i="75"/>
  <c r="O26" i="75"/>
  <c r="M26" i="75"/>
  <c r="N26" i="75" s="1"/>
  <c r="K26" i="75"/>
  <c r="W26" i="75" s="1"/>
  <c r="J26" i="75"/>
  <c r="C26" i="75" a="1"/>
  <c r="C26" i="75" s="1"/>
  <c r="D26" i="75" s="1"/>
  <c r="A26" i="75"/>
  <c r="X25" i="75"/>
  <c r="V25" i="75"/>
  <c r="U25" i="75"/>
  <c r="S25" i="75"/>
  <c r="R25" i="75"/>
  <c r="P25" i="75"/>
  <c r="O25" i="75"/>
  <c r="M25" i="75"/>
  <c r="N25" i="75" s="1"/>
  <c r="K25" i="75"/>
  <c r="J25" i="75"/>
  <c r="C25" i="75" a="1"/>
  <c r="C25" i="75" s="1"/>
  <c r="D25" i="75" s="1"/>
  <c r="A25" i="75"/>
  <c r="X24" i="75"/>
  <c r="V24" i="75"/>
  <c r="U24" i="75"/>
  <c r="R24" i="75"/>
  <c r="S24" i="75" s="1"/>
  <c r="P24" i="75"/>
  <c r="O24" i="75"/>
  <c r="M24" i="75"/>
  <c r="K24" i="75"/>
  <c r="J24" i="75"/>
  <c r="C24" i="75" a="1"/>
  <c r="C24" i="75" s="1"/>
  <c r="D24" i="75" s="1"/>
  <c r="A24" i="75"/>
  <c r="X23" i="75"/>
  <c r="V23" i="75"/>
  <c r="U23" i="75"/>
  <c r="R23" i="75"/>
  <c r="P23" i="75"/>
  <c r="O23" i="75"/>
  <c r="N23" i="75"/>
  <c r="M23" i="75"/>
  <c r="K23" i="75"/>
  <c r="J23" i="75"/>
  <c r="D23" i="75"/>
  <c r="C23" i="75" a="1"/>
  <c r="C23" i="75" s="1"/>
  <c r="A23" i="75"/>
  <c r="X22" i="75"/>
  <c r="V22" i="75"/>
  <c r="U22" i="75"/>
  <c r="R22" i="75"/>
  <c r="P22" i="75"/>
  <c r="O22" i="75"/>
  <c r="M22" i="75"/>
  <c r="N22" i="75" s="1"/>
  <c r="K22" i="75"/>
  <c r="J22" i="75"/>
  <c r="C22" i="75" a="1"/>
  <c r="C22" i="75" s="1"/>
  <c r="A22" i="75"/>
  <c r="X21" i="75"/>
  <c r="W21" i="75"/>
  <c r="V21" i="75"/>
  <c r="U21" i="75"/>
  <c r="R21" i="75"/>
  <c r="S21" i="75" s="1"/>
  <c r="P21" i="75"/>
  <c r="O21" i="75"/>
  <c r="M21" i="75"/>
  <c r="N21" i="75" s="1"/>
  <c r="K21" i="75"/>
  <c r="J21" i="75"/>
  <c r="C21" i="75" a="1"/>
  <c r="C21" i="75" s="1"/>
  <c r="A21" i="75"/>
  <c r="X20" i="75"/>
  <c r="V20" i="75"/>
  <c r="U20" i="75"/>
  <c r="R20" i="75"/>
  <c r="S20" i="75" s="1"/>
  <c r="P20" i="75"/>
  <c r="O20" i="75"/>
  <c r="M20" i="75"/>
  <c r="K20" i="75"/>
  <c r="J20" i="75"/>
  <c r="C20" i="75" a="1"/>
  <c r="C20" i="75" s="1"/>
  <c r="D20" i="75" s="1"/>
  <c r="A20" i="75"/>
  <c r="X19" i="75"/>
  <c r="V19" i="75"/>
  <c r="U19" i="75"/>
  <c r="S19" i="75"/>
  <c r="R19" i="75"/>
  <c r="P19" i="75"/>
  <c r="O19" i="75"/>
  <c r="M19" i="75"/>
  <c r="N19" i="75" s="1"/>
  <c r="K19" i="75"/>
  <c r="J19" i="75"/>
  <c r="C19" i="75"/>
  <c r="C19" i="75" a="1"/>
  <c r="A19" i="75"/>
  <c r="X18" i="75"/>
  <c r="V18" i="75"/>
  <c r="U18" i="75"/>
  <c r="R18" i="75"/>
  <c r="S18" i="75" s="1"/>
  <c r="P18" i="75"/>
  <c r="O18" i="75"/>
  <c r="N18" i="75"/>
  <c r="M18" i="75"/>
  <c r="K18" i="75"/>
  <c r="J18" i="75"/>
  <c r="C18" i="75"/>
  <c r="D18" i="75" s="1"/>
  <c r="C18" i="75" a="1"/>
  <c r="A18" i="75"/>
  <c r="X17" i="75"/>
  <c r="V17" i="75"/>
  <c r="U17" i="75"/>
  <c r="S17" i="75"/>
  <c r="R17" i="75"/>
  <c r="P17" i="75"/>
  <c r="O17" i="75"/>
  <c r="N17" i="75"/>
  <c r="M17" i="75"/>
  <c r="K17" i="75"/>
  <c r="J17" i="75"/>
  <c r="C17" i="75" a="1"/>
  <c r="C17" i="75" s="1"/>
  <c r="D17" i="75" s="1"/>
  <c r="A17" i="75"/>
  <c r="X16" i="75"/>
  <c r="V16" i="75"/>
  <c r="U16" i="75"/>
  <c r="R16" i="75"/>
  <c r="S16" i="75" s="1"/>
  <c r="P16" i="75"/>
  <c r="O16" i="75"/>
  <c r="M16" i="75"/>
  <c r="N16" i="75" s="1"/>
  <c r="K16" i="75"/>
  <c r="J16" i="75"/>
  <c r="C16" i="75"/>
  <c r="D16" i="75" s="1"/>
  <c r="C16" i="75" a="1"/>
  <c r="A16" i="75"/>
  <c r="X15" i="75"/>
  <c r="V15" i="75"/>
  <c r="U15" i="75"/>
  <c r="R15" i="75"/>
  <c r="P15" i="75"/>
  <c r="O15" i="75"/>
  <c r="N15" i="75"/>
  <c r="M15" i="75"/>
  <c r="K15" i="75"/>
  <c r="J15" i="75"/>
  <c r="C15" i="75"/>
  <c r="D15" i="75" s="1"/>
  <c r="C15" i="75" a="1"/>
  <c r="A15" i="75"/>
  <c r="X14" i="75"/>
  <c r="V14" i="75"/>
  <c r="U14" i="75"/>
  <c r="R14" i="75"/>
  <c r="S14" i="75" s="1"/>
  <c r="P14" i="75"/>
  <c r="O14" i="75"/>
  <c r="M14" i="75"/>
  <c r="N14" i="75" s="1"/>
  <c r="K14" i="75"/>
  <c r="J14" i="75"/>
  <c r="C14" i="75" a="1"/>
  <c r="C14" i="75" s="1"/>
  <c r="A14" i="75"/>
  <c r="X13" i="75"/>
  <c r="W13" i="75" s="1"/>
  <c r="V13" i="75"/>
  <c r="U13" i="75"/>
  <c r="R13" i="75"/>
  <c r="S13" i="75" s="1"/>
  <c r="P13" i="75"/>
  <c r="O13" i="75"/>
  <c r="M13" i="75"/>
  <c r="N13" i="75" s="1"/>
  <c r="K13" i="75"/>
  <c r="J13" i="75"/>
  <c r="C13" i="75" a="1"/>
  <c r="C13" i="75" s="1"/>
  <c r="D13" i="75" s="1"/>
  <c r="A13" i="75"/>
  <c r="X12" i="75"/>
  <c r="V12" i="75"/>
  <c r="U12" i="75"/>
  <c r="R12" i="75"/>
  <c r="S12" i="75" s="1"/>
  <c r="P12" i="75"/>
  <c r="O12" i="75"/>
  <c r="N12" i="75"/>
  <c r="M12" i="75"/>
  <c r="K12" i="75"/>
  <c r="J12" i="75"/>
  <c r="C12" i="75"/>
  <c r="D12" i="75" s="1"/>
  <c r="C12" i="75" a="1"/>
  <c r="A12" i="75"/>
  <c r="V11" i="75"/>
  <c r="U11" i="75"/>
  <c r="S11" i="75"/>
  <c r="X11" i="75" s="1"/>
  <c r="R11" i="75"/>
  <c r="P11" i="75"/>
  <c r="O11" i="75"/>
  <c r="M11" i="75"/>
  <c r="K11" i="75"/>
  <c r="J11" i="75"/>
  <c r="C11" i="75" a="1"/>
  <c r="C11" i="75" s="1"/>
  <c r="D11" i="75" s="1"/>
  <c r="A11" i="75"/>
  <c r="V10" i="75"/>
  <c r="U10" i="75"/>
  <c r="R10" i="75"/>
  <c r="S10" i="75" s="1"/>
  <c r="X10" i="75" s="1"/>
  <c r="P10" i="75"/>
  <c r="O10" i="75"/>
  <c r="M10" i="75"/>
  <c r="K10" i="75"/>
  <c r="J10" i="75"/>
  <c r="C10" i="75"/>
  <c r="D10" i="75" s="1"/>
  <c r="C10" i="75" a="1"/>
  <c r="A10" i="75"/>
  <c r="X9" i="75"/>
  <c r="W9" i="75" s="1"/>
  <c r="V9" i="75"/>
  <c r="U9" i="75"/>
  <c r="R9" i="75"/>
  <c r="S9" i="75" s="1"/>
  <c r="P9" i="75"/>
  <c r="O9" i="75"/>
  <c r="M9" i="75"/>
  <c r="K9" i="75"/>
  <c r="J9" i="75"/>
  <c r="C9" i="75" a="1"/>
  <c r="C9" i="75" s="1"/>
  <c r="D9" i="75" s="1"/>
  <c r="A9" i="75"/>
  <c r="X8" i="75"/>
  <c r="W8" i="75" s="1"/>
  <c r="V8" i="75"/>
  <c r="U8" i="75"/>
  <c r="R8" i="75"/>
  <c r="S8" i="75" s="1"/>
  <c r="P8" i="75"/>
  <c r="O8" i="75"/>
  <c r="M8" i="75"/>
  <c r="K8" i="75"/>
  <c r="J8" i="75"/>
  <c r="C8" i="75"/>
  <c r="C8" i="75" a="1"/>
  <c r="A8" i="75"/>
  <c r="X7" i="75"/>
  <c r="W7" i="75"/>
  <c r="V7" i="75"/>
  <c r="U7" i="75"/>
  <c r="R7" i="75"/>
  <c r="P7" i="75"/>
  <c r="O7" i="75"/>
  <c r="M7" i="75"/>
  <c r="N7" i="75" s="1"/>
  <c r="K7" i="75"/>
  <c r="J7" i="75"/>
  <c r="B7" i="75"/>
  <c r="B8" i="75" s="1"/>
  <c r="A7" i="75"/>
  <c r="D6" i="75"/>
  <c r="C6" i="75"/>
  <c r="BU37" i="74"/>
  <c r="BS37" i="74"/>
  <c r="BT37" i="74" s="1"/>
  <c r="BA37" i="74"/>
  <c r="AZ37" i="74"/>
  <c r="BI37" i="74" s="1"/>
  <c r="AE37" i="74"/>
  <c r="AA37" i="74"/>
  <c r="Z37" i="74" s="1"/>
  <c r="X37" i="74"/>
  <c r="V37" i="74"/>
  <c r="U37" i="74"/>
  <c r="R37" i="74"/>
  <c r="S37" i="74" s="1"/>
  <c r="P37" i="74"/>
  <c r="O37" i="74"/>
  <c r="N37" i="74"/>
  <c r="M37" i="74"/>
  <c r="K37" i="74"/>
  <c r="J37" i="74"/>
  <c r="D37" i="74"/>
  <c r="C37" i="74"/>
  <c r="C37" i="74" a="1"/>
  <c r="A37" i="74"/>
  <c r="BU36" i="74"/>
  <c r="BS36" i="74"/>
  <c r="BT36" i="74" s="1"/>
  <c r="BF36" i="74"/>
  <c r="BA36" i="74"/>
  <c r="AE36" i="74"/>
  <c r="AA36" i="74"/>
  <c r="Z36" i="74" s="1"/>
  <c r="X36" i="74"/>
  <c r="W36" i="74" s="1"/>
  <c r="V36" i="74"/>
  <c r="U36" i="74"/>
  <c r="S36" i="74"/>
  <c r="R36" i="74"/>
  <c r="P36" i="74"/>
  <c r="O36" i="74"/>
  <c r="N36" i="74"/>
  <c r="M36" i="74"/>
  <c r="BE36" i="74" s="1"/>
  <c r="K36" i="74"/>
  <c r="J36" i="74"/>
  <c r="C36" i="74" a="1"/>
  <c r="C36" i="74" s="1"/>
  <c r="AZ36" i="74" s="1"/>
  <c r="BI36" i="74" s="1"/>
  <c r="A36" i="74"/>
  <c r="BU35" i="74"/>
  <c r="BS35" i="74"/>
  <c r="BT35" i="74" s="1"/>
  <c r="BA35" i="74"/>
  <c r="AE35" i="74"/>
  <c r="AA35" i="74"/>
  <c r="Z35" i="74" s="1"/>
  <c r="X35" i="74"/>
  <c r="V35" i="74"/>
  <c r="U35" i="74"/>
  <c r="S35" i="74"/>
  <c r="R35" i="74"/>
  <c r="P35" i="74"/>
  <c r="O35" i="74"/>
  <c r="M35" i="74"/>
  <c r="BE35" i="74" s="1"/>
  <c r="K35" i="74"/>
  <c r="AB35" i="74" s="1"/>
  <c r="J35" i="74"/>
  <c r="C35" i="74" a="1"/>
  <c r="C35" i="74" s="1"/>
  <c r="A35" i="74"/>
  <c r="BU34" i="74"/>
  <c r="BS34" i="74"/>
  <c r="BT34" i="74" s="1"/>
  <c r="BF34" i="74"/>
  <c r="BE34" i="74"/>
  <c r="BA34" i="74"/>
  <c r="AE34" i="74"/>
  <c r="AA34" i="74"/>
  <c r="Z34" i="74"/>
  <c r="X34" i="74"/>
  <c r="V34" i="74"/>
  <c r="U34" i="74"/>
  <c r="S34" i="74"/>
  <c r="R34" i="74"/>
  <c r="P34" i="74"/>
  <c r="AB34" i="74" s="1"/>
  <c r="O34" i="74"/>
  <c r="N34" i="74"/>
  <c r="M34" i="74"/>
  <c r="K34" i="74"/>
  <c r="J34" i="74"/>
  <c r="C34" i="74" a="1"/>
  <c r="C34" i="74" s="1"/>
  <c r="A34" i="74"/>
  <c r="BU33" i="74"/>
  <c r="BS33" i="74"/>
  <c r="BT33" i="74" s="1"/>
  <c r="BA33" i="74"/>
  <c r="AZ33" i="74"/>
  <c r="BI33" i="74" s="1"/>
  <c r="AE33" i="74"/>
  <c r="AA33" i="74"/>
  <c r="Z33" i="74" s="1"/>
  <c r="X33" i="74"/>
  <c r="V33" i="74"/>
  <c r="U33" i="74"/>
  <c r="R33" i="74"/>
  <c r="S33" i="74" s="1"/>
  <c r="P33" i="74"/>
  <c r="O33" i="74"/>
  <c r="N33" i="74"/>
  <c r="M33" i="74"/>
  <c r="K33" i="74"/>
  <c r="J33" i="74"/>
  <c r="D33" i="74"/>
  <c r="C33" i="74"/>
  <c r="C33" i="74" a="1"/>
  <c r="A33" i="74"/>
  <c r="BS32" i="74"/>
  <c r="BT32" i="74" s="1"/>
  <c r="BF32" i="74"/>
  <c r="BA32" i="74"/>
  <c r="AE32" i="74"/>
  <c r="AA32" i="74"/>
  <c r="Z32" i="74" s="1"/>
  <c r="X32" i="74"/>
  <c r="V32" i="74"/>
  <c r="U32" i="74"/>
  <c r="R32" i="74"/>
  <c r="S32" i="74" s="1"/>
  <c r="P32" i="74"/>
  <c r="O32" i="74"/>
  <c r="M32" i="74"/>
  <c r="BE32" i="74" s="1"/>
  <c r="K32" i="74"/>
  <c r="J32" i="74"/>
  <c r="C32" i="74" a="1"/>
  <c r="C32" i="74" s="1"/>
  <c r="A32" i="74"/>
  <c r="BS31" i="74"/>
  <c r="BT31" i="74" s="1"/>
  <c r="BF31" i="74"/>
  <c r="BE31" i="74"/>
  <c r="BA31" i="74"/>
  <c r="AE31" i="74"/>
  <c r="AA31" i="74"/>
  <c r="Z31" i="74" s="1"/>
  <c r="X31" i="74"/>
  <c r="V31" i="74"/>
  <c r="U31" i="74"/>
  <c r="S31" i="74"/>
  <c r="R31" i="74"/>
  <c r="P31" i="74"/>
  <c r="O31" i="74"/>
  <c r="N31" i="74"/>
  <c r="M31" i="74"/>
  <c r="K31" i="74"/>
  <c r="J31" i="74"/>
  <c r="D31" i="74"/>
  <c r="C31" i="74" a="1"/>
  <c r="C31" i="74" s="1"/>
  <c r="AZ31" i="74" s="1"/>
  <c r="BI31" i="74" s="1"/>
  <c r="A31" i="74"/>
  <c r="BS30" i="74"/>
  <c r="BT30" i="74" s="1"/>
  <c r="BE30" i="74"/>
  <c r="BA30" i="74"/>
  <c r="AZ30" i="74"/>
  <c r="BI30" i="74" s="1"/>
  <c r="AE30" i="74"/>
  <c r="AA30" i="74"/>
  <c r="Z30" i="74" s="1"/>
  <c r="X30" i="74"/>
  <c r="V30" i="74"/>
  <c r="U30" i="74"/>
  <c r="S30" i="74"/>
  <c r="R30" i="74"/>
  <c r="P30" i="74"/>
  <c r="O30" i="74"/>
  <c r="AB30" i="74" s="1"/>
  <c r="N30" i="74"/>
  <c r="M30" i="74"/>
  <c r="BF30" i="74" s="1"/>
  <c r="K30" i="74"/>
  <c r="J30" i="74"/>
  <c r="D30" i="74"/>
  <c r="C30" i="74"/>
  <c r="C30" i="74" a="1"/>
  <c r="A30" i="74"/>
  <c r="BS29" i="74"/>
  <c r="BT29" i="74" s="1"/>
  <c r="BE29" i="74"/>
  <c r="BA29" i="74"/>
  <c r="AE29" i="74"/>
  <c r="AB29" i="74"/>
  <c r="AA29" i="74"/>
  <c r="Z29" i="74" s="1"/>
  <c r="X29" i="74"/>
  <c r="V29" i="74"/>
  <c r="U29" i="74"/>
  <c r="S29" i="74"/>
  <c r="R29" i="74"/>
  <c r="P29" i="74"/>
  <c r="O29" i="74"/>
  <c r="M29" i="74"/>
  <c r="K29" i="74"/>
  <c r="W29" i="74" s="1"/>
  <c r="J29" i="74"/>
  <c r="C29" i="74"/>
  <c r="C29" i="74" a="1"/>
  <c r="A29" i="74"/>
  <c r="BS28" i="74"/>
  <c r="BT28" i="74" s="1"/>
  <c r="BA28" i="74"/>
  <c r="AE28" i="74"/>
  <c r="Z28" i="74" s="1"/>
  <c r="AA28" i="74"/>
  <c r="X28" i="74"/>
  <c r="V28" i="74"/>
  <c r="U28" i="74"/>
  <c r="R28" i="74"/>
  <c r="S28" i="74" s="1"/>
  <c r="P28" i="74"/>
  <c r="W28" i="74" s="1"/>
  <c r="O28" i="74"/>
  <c r="M28" i="74"/>
  <c r="K28" i="74"/>
  <c r="J28" i="74"/>
  <c r="C28" i="74"/>
  <c r="C28" i="74" a="1"/>
  <c r="A28" i="74"/>
  <c r="BS27" i="74"/>
  <c r="BT27" i="74" s="1"/>
  <c r="BF27" i="74"/>
  <c r="BE27" i="74"/>
  <c r="BA27" i="74"/>
  <c r="AE27" i="74"/>
  <c r="AB27" i="74"/>
  <c r="AA27" i="74"/>
  <c r="Z27" i="74"/>
  <c r="X27" i="74"/>
  <c r="W27" i="74" s="1"/>
  <c r="V27" i="74"/>
  <c r="U27" i="74"/>
  <c r="S27" i="74"/>
  <c r="R27" i="74"/>
  <c r="P27" i="74"/>
  <c r="O27" i="74"/>
  <c r="N27" i="74"/>
  <c r="M27" i="74"/>
  <c r="K27" i="74"/>
  <c r="J27" i="74"/>
  <c r="C27" i="74" a="1"/>
  <c r="C27" i="74" s="1"/>
  <c r="A27" i="74"/>
  <c r="BS26" i="74"/>
  <c r="BT26" i="74" s="1"/>
  <c r="BF26" i="74"/>
  <c r="BA26" i="74"/>
  <c r="AZ26" i="74"/>
  <c r="BI26" i="74" s="1"/>
  <c r="AE26" i="74"/>
  <c r="AA26" i="74"/>
  <c r="Z26" i="74" s="1"/>
  <c r="X26" i="74"/>
  <c r="W26" i="74" s="1"/>
  <c r="V26" i="74"/>
  <c r="U26" i="74"/>
  <c r="S26" i="74"/>
  <c r="R26" i="74"/>
  <c r="P26" i="74"/>
  <c r="O26" i="74"/>
  <c r="N26" i="74"/>
  <c r="M26" i="74"/>
  <c r="BE26" i="74" s="1"/>
  <c r="K26" i="74"/>
  <c r="J26" i="74"/>
  <c r="AB26" i="74" s="1"/>
  <c r="C26" i="74"/>
  <c r="D26" i="74" s="1"/>
  <c r="C26" i="74" a="1"/>
  <c r="A26" i="74"/>
  <c r="BS25" i="74"/>
  <c r="BT25" i="74" s="1"/>
  <c r="BA25" i="74"/>
  <c r="AZ25" i="74"/>
  <c r="BI25" i="74" s="1"/>
  <c r="AE25" i="74"/>
  <c r="Z25" i="74" s="1"/>
  <c r="AA25" i="74"/>
  <c r="X25" i="74"/>
  <c r="W25" i="74" s="1"/>
  <c r="V25" i="74"/>
  <c r="U25" i="74"/>
  <c r="R25" i="74"/>
  <c r="S25" i="74" s="1"/>
  <c r="P25" i="74"/>
  <c r="O25" i="74"/>
  <c r="M25" i="74"/>
  <c r="K25" i="74"/>
  <c r="J25" i="74"/>
  <c r="D25" i="74"/>
  <c r="C25" i="74"/>
  <c r="C25" i="74" a="1"/>
  <c r="A25" i="74"/>
  <c r="BS24" i="74"/>
  <c r="BT24" i="74" s="1"/>
  <c r="BF24" i="74"/>
  <c r="BA24" i="74"/>
  <c r="AE24" i="74"/>
  <c r="AA24" i="74"/>
  <c r="Z24" i="74"/>
  <c r="X24" i="74"/>
  <c r="V24" i="74"/>
  <c r="U24" i="74"/>
  <c r="R24" i="74"/>
  <c r="P24" i="74"/>
  <c r="O24" i="74"/>
  <c r="M24" i="74"/>
  <c r="N24" i="74" s="1"/>
  <c r="K24" i="74"/>
  <c r="J24" i="74"/>
  <c r="C24" i="74" a="1"/>
  <c r="C24" i="74" s="1"/>
  <c r="A24" i="74"/>
  <c r="BS23" i="74"/>
  <c r="BT23" i="74" s="1"/>
  <c r="BF23" i="74"/>
  <c r="BA23" i="74"/>
  <c r="AE23" i="74"/>
  <c r="Z23" i="74" s="1"/>
  <c r="AA23" i="74"/>
  <c r="X23" i="74"/>
  <c r="W23" i="74" s="1"/>
  <c r="V23" i="74"/>
  <c r="U23" i="74"/>
  <c r="S23" i="74"/>
  <c r="R23" i="74"/>
  <c r="P23" i="74"/>
  <c r="O23" i="74"/>
  <c r="N23" i="74"/>
  <c r="M23" i="74"/>
  <c r="BE23" i="74" s="1"/>
  <c r="K23" i="74"/>
  <c r="J23" i="74"/>
  <c r="D23" i="74"/>
  <c r="C23" i="74" a="1"/>
  <c r="C23" i="74" s="1"/>
  <c r="AZ23" i="74" s="1"/>
  <c r="BI23" i="74" s="1"/>
  <c r="A23" i="74"/>
  <c r="BS22" i="74"/>
  <c r="BT22" i="74" s="1"/>
  <c r="BA22" i="74"/>
  <c r="AZ22" i="74"/>
  <c r="BI22" i="74" s="1"/>
  <c r="AE22" i="74"/>
  <c r="AB22" i="74"/>
  <c r="AA22" i="74"/>
  <c r="X22" i="74"/>
  <c r="W22" i="74" s="1"/>
  <c r="V22" i="74"/>
  <c r="U22" i="74"/>
  <c r="R22" i="74"/>
  <c r="BE22" i="74" s="1"/>
  <c r="P22" i="74"/>
  <c r="O22" i="74"/>
  <c r="N22" i="74"/>
  <c r="M22" i="74"/>
  <c r="K22" i="74"/>
  <c r="J22" i="74"/>
  <c r="D22" i="74"/>
  <c r="C22" i="74"/>
  <c r="C22" i="74" a="1"/>
  <c r="A22" i="74"/>
  <c r="BS21" i="74"/>
  <c r="BT21" i="74" s="1"/>
  <c r="BA21" i="74"/>
  <c r="AE21" i="74"/>
  <c r="AB21" i="74"/>
  <c r="AA21" i="74"/>
  <c r="Z21" i="74" s="1"/>
  <c r="X21" i="74"/>
  <c r="V21" i="74"/>
  <c r="U21" i="74"/>
  <c r="S21" i="74"/>
  <c r="R21" i="74"/>
  <c r="P21" i="74"/>
  <c r="O21" i="74"/>
  <c r="M21" i="74"/>
  <c r="K21" i="74"/>
  <c r="W21" i="74" s="1"/>
  <c r="J21" i="74"/>
  <c r="C21" i="74" a="1"/>
  <c r="C21" i="74" s="1"/>
  <c r="A21" i="74"/>
  <c r="BS20" i="74"/>
  <c r="BT20" i="74" s="1"/>
  <c r="BA20" i="74"/>
  <c r="AE20" i="74"/>
  <c r="Z20" i="74" s="1"/>
  <c r="AA20" i="74"/>
  <c r="X20" i="74"/>
  <c r="V20" i="74"/>
  <c r="U20" i="74"/>
  <c r="R20" i="74"/>
  <c r="S20" i="74" s="1"/>
  <c r="P20" i="74"/>
  <c r="O20" i="74"/>
  <c r="M20" i="74"/>
  <c r="K20" i="74"/>
  <c r="W20" i="74" s="1"/>
  <c r="J20" i="74"/>
  <c r="C20" i="74"/>
  <c r="C20" i="74" a="1"/>
  <c r="A20" i="74"/>
  <c r="BS19" i="74"/>
  <c r="BT19" i="74" s="1"/>
  <c r="BF19" i="74"/>
  <c r="BE19" i="74"/>
  <c r="BA19" i="74"/>
  <c r="AE19" i="74"/>
  <c r="AB19" i="74"/>
  <c r="AA19" i="74"/>
  <c r="Z19" i="74"/>
  <c r="X19" i="74"/>
  <c r="W19" i="74" s="1"/>
  <c r="V19" i="74"/>
  <c r="U19" i="74"/>
  <c r="S19" i="74"/>
  <c r="R19" i="74"/>
  <c r="P19" i="74"/>
  <c r="O19" i="74"/>
  <c r="N19" i="74"/>
  <c r="M19" i="74"/>
  <c r="K19" i="74"/>
  <c r="J19" i="74"/>
  <c r="C19" i="74" a="1"/>
  <c r="C19" i="74" s="1"/>
  <c r="A19" i="74"/>
  <c r="BS18" i="74"/>
  <c r="BT18" i="74" s="1"/>
  <c r="BA18" i="74"/>
  <c r="AE18" i="74"/>
  <c r="AB18" i="74"/>
  <c r="AA18" i="74"/>
  <c r="Z18" i="74" s="1"/>
  <c r="X18" i="74"/>
  <c r="W18" i="74"/>
  <c r="V18" i="74"/>
  <c r="U18" i="74"/>
  <c r="S18" i="74"/>
  <c r="R18" i="74"/>
  <c r="P18" i="74"/>
  <c r="O18" i="74"/>
  <c r="M18" i="74"/>
  <c r="BE18" i="74" s="1"/>
  <c r="K18" i="74"/>
  <c r="J18" i="74"/>
  <c r="C18" i="74" a="1"/>
  <c r="C18" i="74" s="1"/>
  <c r="A18" i="74"/>
  <c r="BS17" i="74"/>
  <c r="BT17" i="74" s="1"/>
  <c r="BE17" i="74"/>
  <c r="BA17" i="74"/>
  <c r="AZ17" i="74"/>
  <c r="BI17" i="74" s="1"/>
  <c r="AE17" i="74"/>
  <c r="Z17" i="74" s="1"/>
  <c r="AA17" i="74"/>
  <c r="X17" i="74"/>
  <c r="W17" i="74" s="1"/>
  <c r="V17" i="74"/>
  <c r="U17" i="74"/>
  <c r="R17" i="74"/>
  <c r="S17" i="74" s="1"/>
  <c r="P17" i="74"/>
  <c r="O17" i="74"/>
  <c r="AB17" i="74" s="1"/>
  <c r="N17" i="74"/>
  <c r="M17" i="74"/>
  <c r="K17" i="74"/>
  <c r="J17" i="74"/>
  <c r="D17" i="74"/>
  <c r="C17" i="74"/>
  <c r="C17" i="74" a="1"/>
  <c r="A17" i="74"/>
  <c r="BS16" i="74"/>
  <c r="BT16" i="74" s="1"/>
  <c r="BA16" i="74"/>
  <c r="AE16" i="74"/>
  <c r="Z16" i="74" s="1"/>
  <c r="AB16" i="74"/>
  <c r="AA16" i="74"/>
  <c r="X16" i="74"/>
  <c r="V16" i="74"/>
  <c r="U16" i="74"/>
  <c r="S16" i="74"/>
  <c r="R16" i="74"/>
  <c r="P16" i="74"/>
  <c r="O16" i="74"/>
  <c r="M16" i="74"/>
  <c r="N16" i="74" s="1"/>
  <c r="K16" i="74"/>
  <c r="J16" i="74"/>
  <c r="W16" i="74" s="1"/>
  <c r="C16" i="74" a="1"/>
  <c r="C16" i="74" s="1"/>
  <c r="A16" i="74"/>
  <c r="BS15" i="74"/>
  <c r="BT15" i="74" s="1"/>
  <c r="BE15" i="74"/>
  <c r="BA15" i="74"/>
  <c r="AE15" i="74"/>
  <c r="Z15" i="74" s="1"/>
  <c r="AA15" i="74"/>
  <c r="X15" i="74"/>
  <c r="W15" i="74"/>
  <c r="V15" i="74"/>
  <c r="U15" i="74"/>
  <c r="S15" i="74"/>
  <c r="R15" i="74"/>
  <c r="P15" i="74"/>
  <c r="O15" i="74"/>
  <c r="M15" i="74"/>
  <c r="N15" i="74" s="1"/>
  <c r="K15" i="74"/>
  <c r="J15" i="74"/>
  <c r="AB15" i="74" s="1"/>
  <c r="C15" i="74" a="1"/>
  <c r="C15" i="74" s="1"/>
  <c r="A15" i="74"/>
  <c r="BS14" i="74"/>
  <c r="BT14" i="74" s="1"/>
  <c r="BF14" i="74"/>
  <c r="BA14" i="74"/>
  <c r="AE14" i="74"/>
  <c r="AA14" i="74"/>
  <c r="Z14" i="74"/>
  <c r="X14" i="74"/>
  <c r="V14" i="74"/>
  <c r="U14" i="74"/>
  <c r="W14" i="74" s="1"/>
  <c r="S14" i="74"/>
  <c r="R14" i="74"/>
  <c r="P14" i="74"/>
  <c r="O14" i="74"/>
  <c r="M14" i="74"/>
  <c r="BE14" i="74" s="1"/>
  <c r="K14" i="74"/>
  <c r="J14" i="74"/>
  <c r="AB14" i="74" s="1"/>
  <c r="C14" i="74"/>
  <c r="AZ14" i="74" s="1"/>
  <c r="BI14" i="74" s="1"/>
  <c r="C14" i="74" a="1"/>
  <c r="A14" i="74"/>
  <c r="BS13" i="74"/>
  <c r="BT13" i="74" s="1"/>
  <c r="BA13" i="74"/>
  <c r="AE13" i="74"/>
  <c r="AB13" i="74"/>
  <c r="AA13" i="74"/>
  <c r="X13" i="74"/>
  <c r="V13" i="74"/>
  <c r="U13" i="74"/>
  <c r="R13" i="74"/>
  <c r="P13" i="74"/>
  <c r="W13" i="74" s="1"/>
  <c r="O13" i="74"/>
  <c r="M13" i="74"/>
  <c r="N13" i="74" s="1"/>
  <c r="K13" i="74"/>
  <c r="J13" i="74"/>
  <c r="C13" i="74" a="1"/>
  <c r="C13" i="74" s="1"/>
  <c r="A13" i="74"/>
  <c r="BS12" i="74"/>
  <c r="BT12" i="74" s="1"/>
  <c r="BF12" i="74"/>
  <c r="BA12" i="74"/>
  <c r="AE12" i="74"/>
  <c r="AA12" i="74"/>
  <c r="Z12" i="74" s="1"/>
  <c r="X12" i="74"/>
  <c r="V12" i="74"/>
  <c r="U12" i="74"/>
  <c r="R12" i="74"/>
  <c r="S12" i="74" s="1"/>
  <c r="P12" i="74"/>
  <c r="O12" i="74"/>
  <c r="M12" i="74"/>
  <c r="BE12" i="74" s="1"/>
  <c r="K12" i="74"/>
  <c r="J12" i="74"/>
  <c r="C12" i="74" a="1"/>
  <c r="C12" i="74" s="1"/>
  <c r="A12" i="74"/>
  <c r="BS11" i="74"/>
  <c r="BT11" i="74" s="1"/>
  <c r="BF11" i="74"/>
  <c r="BE11" i="74"/>
  <c r="BA11" i="74"/>
  <c r="AZ11" i="74"/>
  <c r="BI11" i="74" s="1"/>
  <c r="AE11" i="74"/>
  <c r="Z11" i="74" s="1"/>
  <c r="AA11" i="74"/>
  <c r="V11" i="74"/>
  <c r="U11" i="74"/>
  <c r="S11" i="74"/>
  <c r="X11" i="74" s="1"/>
  <c r="R11" i="74"/>
  <c r="P11" i="74"/>
  <c r="O11" i="74"/>
  <c r="N11" i="74"/>
  <c r="M11" i="74"/>
  <c r="K11" i="74"/>
  <c r="J11" i="74"/>
  <c r="AB11" i="74" s="1"/>
  <c r="D11" i="74"/>
  <c r="C11" i="74"/>
  <c r="C11" i="74" a="1"/>
  <c r="A11" i="74"/>
  <c r="BS10" i="74"/>
  <c r="BT10" i="74" s="1"/>
  <c r="BE10" i="74"/>
  <c r="BA10" i="74"/>
  <c r="AE10" i="74"/>
  <c r="AA10" i="74"/>
  <c r="Z10" i="74" s="1"/>
  <c r="X10" i="74"/>
  <c r="V10" i="74"/>
  <c r="U10" i="74"/>
  <c r="S10" i="74"/>
  <c r="R10" i="74"/>
  <c r="P10" i="74"/>
  <c r="O10" i="74"/>
  <c r="N10" i="74"/>
  <c r="BF10" i="74" s="1"/>
  <c r="M10" i="74"/>
  <c r="K10" i="74"/>
  <c r="J10" i="74"/>
  <c r="AB10" i="74" s="1"/>
  <c r="C10" i="74" a="1"/>
  <c r="C10" i="74" s="1"/>
  <c r="A10" i="74"/>
  <c r="BS9" i="74"/>
  <c r="BT9" i="74" s="1"/>
  <c r="BF9" i="74"/>
  <c r="BE9" i="74"/>
  <c r="BA9" i="74"/>
  <c r="AZ9" i="74"/>
  <c r="BI9" i="74" s="1"/>
  <c r="AE9" i="74"/>
  <c r="AA9" i="74"/>
  <c r="Z9" i="74" s="1"/>
  <c r="X9" i="74"/>
  <c r="W9" i="74" s="1"/>
  <c r="V9" i="74"/>
  <c r="U9" i="74"/>
  <c r="S9" i="74"/>
  <c r="R9" i="74"/>
  <c r="P9" i="74"/>
  <c r="O9" i="74"/>
  <c r="N9" i="74"/>
  <c r="M9" i="74"/>
  <c r="K9" i="74"/>
  <c r="J9" i="74"/>
  <c r="AB9" i="74" s="1"/>
  <c r="D9" i="74"/>
  <c r="C9" i="74"/>
  <c r="C9" i="74" a="1"/>
  <c r="A9" i="74"/>
  <c r="BS8" i="74"/>
  <c r="BT8" i="74" s="1"/>
  <c r="BF8" i="74"/>
  <c r="BE8" i="74"/>
  <c r="BA8" i="74"/>
  <c r="AZ8" i="74"/>
  <c r="BI8" i="74" s="1"/>
  <c r="AE8" i="74"/>
  <c r="AB8" i="74"/>
  <c r="AA8" i="74"/>
  <c r="Z8" i="74" s="1"/>
  <c r="X8" i="74"/>
  <c r="W8" i="74" s="1"/>
  <c r="V8" i="74"/>
  <c r="U8" i="74"/>
  <c r="S8" i="74"/>
  <c r="R8" i="74"/>
  <c r="P8" i="74"/>
  <c r="O8" i="74"/>
  <c r="N8" i="74"/>
  <c r="M8" i="74"/>
  <c r="K8" i="74"/>
  <c r="J8" i="74"/>
  <c r="D8" i="74"/>
  <c r="C8" i="74"/>
  <c r="C8" i="74" a="1"/>
  <c r="A8" i="74"/>
  <c r="BS7" i="74"/>
  <c r="BT7" i="74" s="1"/>
  <c r="BF7" i="74"/>
  <c r="BE7" i="74"/>
  <c r="BA7" i="74"/>
  <c r="AZ7" i="74"/>
  <c r="BI7" i="74" s="1"/>
  <c r="AE7" i="74"/>
  <c r="AB7" i="74"/>
  <c r="AA7" i="74"/>
  <c r="Z7" i="74" s="1"/>
  <c r="X7" i="74"/>
  <c r="W7" i="74" s="1"/>
  <c r="V7" i="74"/>
  <c r="U7" i="74"/>
  <c r="S7" i="74"/>
  <c r="R7" i="74"/>
  <c r="P7" i="74"/>
  <c r="O7" i="74"/>
  <c r="N7" i="74"/>
  <c r="M7" i="74"/>
  <c r="K7" i="74"/>
  <c r="J7" i="74"/>
  <c r="H7" i="74"/>
  <c r="D7" i="74"/>
  <c r="C7" i="74"/>
  <c r="C7" i="74" a="1"/>
  <c r="B7" i="74"/>
  <c r="A7" i="74"/>
  <c r="D6" i="74"/>
  <c r="C6" i="74"/>
  <c r="AP5" i="74"/>
  <c r="AQ5" i="74" s="1"/>
  <c r="AR5" i="74" s="1"/>
  <c r="AS5" i="74" s="1"/>
  <c r="AT5" i="74" s="1"/>
  <c r="AU5" i="74" s="1"/>
  <c r="AV5" i="74" s="1"/>
  <c r="AW5" i="74" s="1"/>
  <c r="AX5" i="74" s="1"/>
  <c r="AY5" i="74" s="1"/>
  <c r="V3" i="74"/>
  <c r="F2" i="13"/>
  <c r="E2" i="13"/>
  <c r="G2" i="13"/>
  <c r="W10" i="75" l="1"/>
  <c r="W18" i="75"/>
  <c r="W30" i="75"/>
  <c r="W25" i="75"/>
  <c r="W34" i="75"/>
  <c r="W12" i="75"/>
  <c r="W27" i="75"/>
  <c r="G7" i="75"/>
  <c r="W31" i="75"/>
  <c r="W36" i="75"/>
  <c r="W23" i="75"/>
  <c r="G8" i="76"/>
  <c r="AC8" i="76" s="1"/>
  <c r="AZ15" i="76"/>
  <c r="BI15" i="76" s="1"/>
  <c r="D15" i="76"/>
  <c r="AZ32" i="76"/>
  <c r="BI32" i="76" s="1"/>
  <c r="D32" i="76"/>
  <c r="AZ24" i="76"/>
  <c r="BI24" i="76" s="1"/>
  <c r="D24" i="76"/>
  <c r="AD7" i="76"/>
  <c r="E7" i="76"/>
  <c r="G7" i="76"/>
  <c r="AC7" i="76" s="1"/>
  <c r="BC7" i="76"/>
  <c r="BB7" i="76"/>
  <c r="F7" i="76"/>
  <c r="BF8" i="76"/>
  <c r="BF16" i="76"/>
  <c r="W20" i="76"/>
  <c r="D21" i="76"/>
  <c r="AB23" i="76"/>
  <c r="BE27" i="76"/>
  <c r="Z27" i="76"/>
  <c r="AB15" i="76"/>
  <c r="AB19" i="76"/>
  <c r="BF20" i="76"/>
  <c r="Z20" i="76"/>
  <c r="AZ22" i="76"/>
  <c r="BI22" i="76" s="1"/>
  <c r="D22" i="76"/>
  <c r="BF23" i="76"/>
  <c r="BE23" i="76"/>
  <c r="N23" i="76"/>
  <c r="W24" i="76"/>
  <c r="BL8" i="76" a="1"/>
  <c r="BL8" i="76" s="1"/>
  <c r="BN8" i="76" s="1"/>
  <c r="BE7" i="76"/>
  <c r="D8" i="76"/>
  <c r="N8" i="76"/>
  <c r="BE9" i="76"/>
  <c r="D10" i="76"/>
  <c r="N10" i="76"/>
  <c r="BF10" i="76" s="1"/>
  <c r="BE11" i="76"/>
  <c r="D12" i="76"/>
  <c r="N12" i="76"/>
  <c r="BE16" i="76"/>
  <c r="W17" i="76"/>
  <c r="BE17" i="76"/>
  <c r="D18" i="76"/>
  <c r="BF19" i="76"/>
  <c r="BF21" i="76"/>
  <c r="N24" i="76"/>
  <c r="BF24" i="76"/>
  <c r="AB28" i="76"/>
  <c r="AZ29" i="76"/>
  <c r="BI29" i="76" s="1"/>
  <c r="AB36" i="76"/>
  <c r="BF12" i="76"/>
  <c r="W19" i="76"/>
  <c r="BF7" i="76"/>
  <c r="BM8" i="76" a="1"/>
  <c r="BM8" i="76" s="1"/>
  <c r="B9" i="76"/>
  <c r="BF9" i="76"/>
  <c r="BF11" i="76"/>
  <c r="AZ14" i="76"/>
  <c r="BI14" i="76" s="1"/>
  <c r="D14" i="76"/>
  <c r="BE14" i="76"/>
  <c r="Z16" i="76"/>
  <c r="BM7" i="76" s="1" a="1"/>
  <c r="BM7" i="76" s="1"/>
  <c r="W22" i="76"/>
  <c r="Z24" i="76"/>
  <c r="AB26" i="76"/>
  <c r="W28" i="76"/>
  <c r="AZ34" i="76"/>
  <c r="BI34" i="76" s="1"/>
  <c r="D34" i="76"/>
  <c r="AZ37" i="76"/>
  <c r="BI37" i="76" s="1"/>
  <c r="D37" i="76"/>
  <c r="W27" i="76"/>
  <c r="BF14" i="76"/>
  <c r="AB18" i="76"/>
  <c r="AZ23" i="76"/>
  <c r="BI23" i="76" s="1"/>
  <c r="D23" i="76"/>
  <c r="W26" i="76"/>
  <c r="AZ27" i="76"/>
  <c r="BI27" i="76" s="1"/>
  <c r="D27" i="76"/>
  <c r="W30" i="76"/>
  <c r="AB34" i="76"/>
  <c r="BF15" i="76"/>
  <c r="N15" i="76"/>
  <c r="AZ33" i="76"/>
  <c r="BI33" i="76" s="1"/>
  <c r="D33" i="76"/>
  <c r="W34" i="76"/>
  <c r="D9" i="76"/>
  <c r="D11" i="76"/>
  <c r="AZ19" i="76"/>
  <c r="BI19" i="76" s="1"/>
  <c r="D19" i="76"/>
  <c r="AZ25" i="76"/>
  <c r="BI25" i="76" s="1"/>
  <c r="D25" i="76"/>
  <c r="AB27" i="76"/>
  <c r="BF27" i="76"/>
  <c r="BF29" i="76"/>
  <c r="BE29" i="76"/>
  <c r="BE32" i="76"/>
  <c r="N32" i="76"/>
  <c r="BF32" i="76"/>
  <c r="BE19" i="76"/>
  <c r="D31" i="76"/>
  <c r="N31" i="76"/>
  <c r="S34" i="76"/>
  <c r="D36" i="76"/>
  <c r="N36" i="76"/>
  <c r="BE20" i="76"/>
  <c r="BE28" i="76"/>
  <c r="BE31" i="76"/>
  <c r="BE36" i="76"/>
  <c r="S18" i="76"/>
  <c r="S26" i="76"/>
  <c r="D30" i="76"/>
  <c r="D29" i="75"/>
  <c r="B9" i="75"/>
  <c r="D21" i="75"/>
  <c r="W29" i="75"/>
  <c r="S30" i="75"/>
  <c r="W15" i="75"/>
  <c r="W16" i="75"/>
  <c r="N11" i="75"/>
  <c r="N8" i="75"/>
  <c r="W11" i="75"/>
  <c r="W14" i="75"/>
  <c r="W17" i="75"/>
  <c r="W20" i="75"/>
  <c r="D22" i="75"/>
  <c r="W28" i="75"/>
  <c r="D34" i="75"/>
  <c r="S7" i="75"/>
  <c r="W24" i="75"/>
  <c r="D27" i="75"/>
  <c r="N9" i="75"/>
  <c r="N10" i="75"/>
  <c r="N20" i="75"/>
  <c r="S22" i="75"/>
  <c r="D8" i="75"/>
  <c r="S15" i="75"/>
  <c r="W22" i="75"/>
  <c r="N24" i="75"/>
  <c r="D19" i="75"/>
  <c r="D14" i="75"/>
  <c r="W19" i="75"/>
  <c r="D30" i="75"/>
  <c r="N32" i="75"/>
  <c r="S23" i="75"/>
  <c r="AZ16" i="74"/>
  <c r="BI16" i="74" s="1"/>
  <c r="D16" i="74"/>
  <c r="AZ10" i="74"/>
  <c r="BI10" i="74" s="1"/>
  <c r="D10" i="74"/>
  <c r="W11" i="74"/>
  <c r="AZ13" i="74"/>
  <c r="BI13" i="74" s="1"/>
  <c r="D13" i="74"/>
  <c r="BB7" i="74"/>
  <c r="F7" i="74"/>
  <c r="E7" i="74"/>
  <c r="AD7" i="74"/>
  <c r="BC7" i="74"/>
  <c r="G7" i="74"/>
  <c r="AC7" i="74" s="1"/>
  <c r="W12" i="74"/>
  <c r="Z13" i="74"/>
  <c r="BE13" i="74"/>
  <c r="S13" i="74"/>
  <c r="AZ15" i="74"/>
  <c r="BI15" i="74" s="1"/>
  <c r="D15" i="74"/>
  <c r="AZ18" i="74"/>
  <c r="BI18" i="74" s="1"/>
  <c r="D18" i="74"/>
  <c r="BL7" i="74" a="1"/>
  <c r="BL7" i="74" s="1"/>
  <c r="BN7" i="74" s="1"/>
  <c r="B8" i="74"/>
  <c r="BM7" i="74" a="1"/>
  <c r="BM7" i="74" s="1"/>
  <c r="W10" i="74"/>
  <c r="AZ12" i="74"/>
  <c r="BI12" i="74" s="1"/>
  <c r="D12" i="74"/>
  <c r="AZ21" i="74"/>
  <c r="BI21" i="74" s="1"/>
  <c r="D21" i="74"/>
  <c r="AZ35" i="74"/>
  <c r="BI35" i="74" s="1"/>
  <c r="D35" i="74"/>
  <c r="N12" i="74"/>
  <c r="D14" i="74"/>
  <c r="N14" i="74"/>
  <c r="BE16" i="74"/>
  <c r="BF18" i="74"/>
  <c r="BF21" i="74"/>
  <c r="N21" i="74"/>
  <c r="Z22" i="74"/>
  <c r="AB23" i="74"/>
  <c r="BF29" i="74"/>
  <c r="N29" i="74"/>
  <c r="AB36" i="74"/>
  <c r="BF16" i="74"/>
  <c r="AB20" i="74"/>
  <c r="AB32" i="74"/>
  <c r="W35" i="74"/>
  <c r="AZ28" i="74"/>
  <c r="BI28" i="74" s="1"/>
  <c r="D28" i="74"/>
  <c r="AZ34" i="74"/>
  <c r="BI34" i="74" s="1"/>
  <c r="D34" i="74"/>
  <c r="BF35" i="74"/>
  <c r="N35" i="74"/>
  <c r="BF13" i="74"/>
  <c r="BF15" i="74"/>
  <c r="BF17" i="74"/>
  <c r="N20" i="74"/>
  <c r="BF20" i="74"/>
  <c r="BE20" i="74"/>
  <c r="S22" i="74"/>
  <c r="AZ24" i="74"/>
  <c r="BI24" i="74" s="1"/>
  <c r="D24" i="74"/>
  <c r="BE24" i="74"/>
  <c r="S24" i="74"/>
  <c r="AZ27" i="74"/>
  <c r="BI27" i="74" s="1"/>
  <c r="D27" i="74"/>
  <c r="W24" i="74"/>
  <c r="AZ29" i="74"/>
  <c r="BI29" i="74" s="1"/>
  <c r="D29" i="74"/>
  <c r="W30" i="74"/>
  <c r="AB31" i="74"/>
  <c r="AB37" i="74"/>
  <c r="AB12" i="74"/>
  <c r="AB25" i="74"/>
  <c r="AB28" i="74"/>
  <c r="AB33" i="74"/>
  <c r="W33" i="74"/>
  <c r="W37" i="74"/>
  <c r="AZ20" i="74"/>
  <c r="BI20" i="74" s="1"/>
  <c r="D20" i="74"/>
  <c r="BF22" i="74"/>
  <c r="AB24" i="74"/>
  <c r="BF25" i="74"/>
  <c r="BE25" i="74"/>
  <c r="W31" i="74"/>
  <c r="BF33" i="74"/>
  <c r="D36" i="74"/>
  <c r="BF37" i="74"/>
  <c r="N18" i="74"/>
  <c r="AZ19" i="74"/>
  <c r="BI19" i="74" s="1"/>
  <c r="D19" i="74"/>
  <c r="BE21" i="74"/>
  <c r="N25" i="74"/>
  <c r="N28" i="74"/>
  <c r="BF28" i="74"/>
  <c r="BE28" i="74"/>
  <c r="AZ32" i="74"/>
  <c r="BI32" i="74" s="1"/>
  <c r="D32" i="74"/>
  <c r="W32" i="74"/>
  <c r="W34" i="74"/>
  <c r="BE33" i="74"/>
  <c r="BE37" i="74"/>
  <c r="N32" i="74"/>
  <c r="C17" i="37"/>
  <c r="E7" i="75" l="1"/>
  <c r="H8" i="75"/>
  <c r="G8" i="75" s="1"/>
  <c r="F7" i="75"/>
  <c r="BC8" i="76"/>
  <c r="E8" i="76"/>
  <c r="F8" i="76"/>
  <c r="BB8" i="76"/>
  <c r="AD8" i="76"/>
  <c r="BU7" i="76"/>
  <c r="BO7" i="76"/>
  <c r="BO8" i="76"/>
  <c r="BU8" i="76" s="1"/>
  <c r="Y8" i="76"/>
  <c r="BL9" i="76" a="1"/>
  <c r="BL9" i="76" s="1"/>
  <c r="BN9" i="76" s="1"/>
  <c r="B10" i="76"/>
  <c r="BM9" i="76" a="1"/>
  <c r="BM9" i="76" s="1"/>
  <c r="Y7" i="76"/>
  <c r="Y7" i="75"/>
  <c r="B10" i="75"/>
  <c r="H8" i="74"/>
  <c r="BL8" i="74" a="1"/>
  <c r="BL8" i="74" s="1"/>
  <c r="BN8" i="74" s="1"/>
  <c r="BM8" i="74" a="1"/>
  <c r="BM8" i="74" s="1"/>
  <c r="B9" i="74"/>
  <c r="BO7" i="74"/>
  <c r="BU7" i="74" s="1"/>
  <c r="Y7" i="74"/>
  <c r="E8" i="75" l="1"/>
  <c r="F8" i="75"/>
  <c r="H9" i="75"/>
  <c r="E9" i="75" s="1"/>
  <c r="BO9" i="76"/>
  <c r="BU9" i="76" s="1"/>
  <c r="B11" i="76"/>
  <c r="BL10" i="76" a="1"/>
  <c r="BL10" i="76" s="1"/>
  <c r="BN10" i="76" s="1"/>
  <c r="AD9" i="76"/>
  <c r="G9" i="76"/>
  <c r="E9" i="76"/>
  <c r="BC9" i="76"/>
  <c r="BB9" i="76"/>
  <c r="F9" i="76"/>
  <c r="B11" i="75"/>
  <c r="Y8" i="75"/>
  <c r="B10" i="74"/>
  <c r="BM9" i="74" a="1"/>
  <c r="BM9" i="74" s="1"/>
  <c r="BL9" i="74" a="1"/>
  <c r="BL9" i="74" s="1"/>
  <c r="BN9" i="74" s="1"/>
  <c r="H9" i="74"/>
  <c r="BO8" i="74"/>
  <c r="BU8" i="74"/>
  <c r="AD8" i="74"/>
  <c r="BC8" i="74"/>
  <c r="G8" i="74"/>
  <c r="BB8" i="74"/>
  <c r="F8" i="74"/>
  <c r="E8" i="74"/>
  <c r="V40" i="37"/>
  <c r="V41" i="37"/>
  <c r="V42" i="37"/>
  <c r="V43" i="37"/>
  <c r="V44" i="37"/>
  <c r="V45" i="37"/>
  <c r="V46" i="37"/>
  <c r="V47" i="37"/>
  <c r="V48" i="37"/>
  <c r="V49" i="37"/>
  <c r="V50" i="37"/>
  <c r="V51" i="37"/>
  <c r="V52" i="37"/>
  <c r="V53" i="37"/>
  <c r="V54" i="37"/>
  <c r="V55" i="37"/>
  <c r="G9" i="75" l="1"/>
  <c r="Y9" i="75" s="1"/>
  <c r="F9" i="75"/>
  <c r="H10" i="75"/>
  <c r="H11" i="75" s="1"/>
  <c r="AC9" i="76"/>
  <c r="Y9" i="76"/>
  <c r="BB10" i="76"/>
  <c r="F10" i="76"/>
  <c r="G10" i="76"/>
  <c r="E10" i="76"/>
  <c r="BC10" i="76"/>
  <c r="AD10" i="76"/>
  <c r="B12" i="76"/>
  <c r="BL11" i="76" a="1"/>
  <c r="BL11" i="76" s="1"/>
  <c r="BN11" i="76" s="1"/>
  <c r="B12" i="75"/>
  <c r="BO9" i="74"/>
  <c r="BU9" i="74" s="1"/>
  <c r="BB9" i="74"/>
  <c r="F9" i="74"/>
  <c r="E9" i="74"/>
  <c r="AD9" i="74"/>
  <c r="BC9" i="74"/>
  <c r="G9" i="74"/>
  <c r="AC8" i="74"/>
  <c r="Y8" i="74"/>
  <c r="H10" i="74"/>
  <c r="BL10" i="74" a="1"/>
  <c r="BL10" i="74" s="1"/>
  <c r="BN10" i="74" s="1"/>
  <c r="B11" i="74"/>
  <c r="E10" i="75" l="1"/>
  <c r="F10" i="75"/>
  <c r="G10" i="75"/>
  <c r="Y10" i="75" s="1"/>
  <c r="AC10" i="76"/>
  <c r="Y10" i="76"/>
  <c r="AD11" i="76"/>
  <c r="BC11" i="76"/>
  <c r="G11" i="76"/>
  <c r="BB11" i="76"/>
  <c r="F11" i="76"/>
  <c r="E11" i="76"/>
  <c r="BM12" i="76" a="1"/>
  <c r="BM12" i="76" s="1"/>
  <c r="B13" i="76"/>
  <c r="BL12" i="76" a="1"/>
  <c r="BL12" i="76" s="1"/>
  <c r="F11" i="75"/>
  <c r="E11" i="75"/>
  <c r="G11" i="75"/>
  <c r="H12" i="75"/>
  <c r="B13" i="75"/>
  <c r="AC9" i="74"/>
  <c r="Y9" i="74"/>
  <c r="B12" i="74"/>
  <c r="BL11" i="74" a="1"/>
  <c r="BL11" i="74" s="1"/>
  <c r="BN11" i="74" s="1"/>
  <c r="H11" i="74"/>
  <c r="AD10" i="74"/>
  <c r="BC10" i="74"/>
  <c r="G10" i="74"/>
  <c r="BB10" i="74"/>
  <c r="F10" i="74"/>
  <c r="E10" i="74"/>
  <c r="AC11" i="76" l="1"/>
  <c r="Y11" i="76"/>
  <c r="BM13" i="76" a="1"/>
  <c r="BM13" i="76" s="1"/>
  <c r="BL13" i="76" a="1"/>
  <c r="BL13" i="76" s="1"/>
  <c r="B14" i="76"/>
  <c r="BO12" i="76"/>
  <c r="BU12" i="76" s="1"/>
  <c r="BB12" i="76"/>
  <c r="F12" i="76"/>
  <c r="BC12" i="76"/>
  <c r="E12" i="76"/>
  <c r="G12" i="76"/>
  <c r="AD12" i="76"/>
  <c r="Y11" i="75"/>
  <c r="H13" i="75"/>
  <c r="B14" i="75"/>
  <c r="G12" i="75"/>
  <c r="E12" i="75"/>
  <c r="F12" i="75"/>
  <c r="BB11" i="74"/>
  <c r="F11" i="74"/>
  <c r="E11" i="74"/>
  <c r="AD11" i="74"/>
  <c r="BC11" i="74"/>
  <c r="G11" i="74"/>
  <c r="H12" i="74"/>
  <c r="B13" i="74"/>
  <c r="BL12" i="74" a="1"/>
  <c r="BL12" i="74" s="1"/>
  <c r="BM12" i="74" a="1"/>
  <c r="BM12" i="74" s="1"/>
  <c r="AC10" i="74"/>
  <c r="Y10" i="74"/>
  <c r="V21" i="37"/>
  <c r="V6" i="37"/>
  <c r="V22" i="37"/>
  <c r="V24" i="37"/>
  <c r="V12" i="37"/>
  <c r="V13" i="37"/>
  <c r="V4" i="37"/>
  <c r="V19" i="37"/>
  <c r="V3" i="37"/>
  <c r="V14" i="37"/>
  <c r="V23" i="37"/>
  <c r="V11" i="37"/>
  <c r="V27" i="37"/>
  <c r="V39" i="37"/>
  <c r="V15" i="37"/>
  <c r="V37" i="37"/>
  <c r="V20" i="37"/>
  <c r="V18" i="37"/>
  <c r="V17" i="37"/>
  <c r="V16" i="37"/>
  <c r="V28" i="37"/>
  <c r="V31" i="37"/>
  <c r="V33" i="37"/>
  <c r="V34" i="37"/>
  <c r="V32" i="37"/>
  <c r="V26" i="37"/>
  <c r="V38" i="37"/>
  <c r="V7" i="37"/>
  <c r="AC12" i="76" l="1"/>
  <c r="Y12" i="76"/>
  <c r="B15" i="76"/>
  <c r="BL14" i="76" a="1"/>
  <c r="BL14" i="76" s="1"/>
  <c r="BM14" i="76" a="1"/>
  <c r="BM14" i="76" s="1"/>
  <c r="BC13" i="76"/>
  <c r="E13" i="76"/>
  <c r="AD13" i="76"/>
  <c r="BB13" i="76"/>
  <c r="G13" i="76"/>
  <c r="F13" i="76"/>
  <c r="BO13" i="76"/>
  <c r="BU13" i="76" s="1"/>
  <c r="B15" i="75"/>
  <c r="H14" i="75"/>
  <c r="G13" i="75"/>
  <c r="F13" i="75"/>
  <c r="E13" i="75"/>
  <c r="Y12" i="75"/>
  <c r="AC11" i="74"/>
  <c r="Y11" i="74"/>
  <c r="BU12" i="74"/>
  <c r="BO12" i="74"/>
  <c r="AD12" i="74"/>
  <c r="G12" i="74"/>
  <c r="F12" i="74"/>
  <c r="BC12" i="74"/>
  <c r="BB12" i="74"/>
  <c r="E12" i="74"/>
  <c r="BM13" i="74" a="1"/>
  <c r="BM13" i="74" s="1"/>
  <c r="B14" i="74"/>
  <c r="BL13" i="74" a="1"/>
  <c r="BL13" i="74" s="1"/>
  <c r="H13" i="74"/>
  <c r="B3" i="37"/>
  <c r="H13" i="37"/>
  <c r="H12" i="37"/>
  <c r="H11" i="37"/>
  <c r="H10" i="37"/>
  <c r="H9" i="37"/>
  <c r="H6" i="37"/>
  <c r="H5" i="37"/>
  <c r="H4" i="37"/>
  <c r="H8" i="37" s="1"/>
  <c r="H3" i="37"/>
  <c r="BO14" i="76" l="1"/>
  <c r="BU14" i="76" s="1"/>
  <c r="BC14" i="76"/>
  <c r="G14" i="76"/>
  <c r="E14" i="76"/>
  <c r="BB14" i="76"/>
  <c r="AD14" i="76"/>
  <c r="F14" i="76"/>
  <c r="AC13" i="76"/>
  <c r="Y13" i="76"/>
  <c r="B16" i="76"/>
  <c r="BM15" i="76" a="1"/>
  <c r="BM15" i="76" s="1"/>
  <c r="BL15" i="76" a="1"/>
  <c r="BL15" i="76" s="1"/>
  <c r="E14" i="75"/>
  <c r="F14" i="75"/>
  <c r="G14" i="75"/>
  <c r="H15" i="75"/>
  <c r="B16" i="75"/>
  <c r="Y13" i="75"/>
  <c r="E13" i="74"/>
  <c r="AD13" i="74"/>
  <c r="BC13" i="74"/>
  <c r="F13" i="74"/>
  <c r="BB13" i="74"/>
  <c r="G13" i="74"/>
  <c r="BM14" i="74" a="1"/>
  <c r="BM14" i="74" s="1"/>
  <c r="B15" i="74"/>
  <c r="BL14" i="74" a="1"/>
  <c r="BL14" i="74" s="1"/>
  <c r="H14" i="74"/>
  <c r="BO13" i="74"/>
  <c r="BU13" i="74" s="1"/>
  <c r="AC12" i="74"/>
  <c r="Y12" i="74"/>
  <c r="B4" i="37"/>
  <c r="H7" i="37"/>
  <c r="AC14" i="76" l="1"/>
  <c r="Y14" i="76"/>
  <c r="BM16" i="76" a="1"/>
  <c r="BM16" i="76" s="1"/>
  <c r="BL16" i="76" a="1"/>
  <c r="BL16" i="76" s="1"/>
  <c r="B17" i="76"/>
  <c r="BC15" i="76"/>
  <c r="AD15" i="76"/>
  <c r="E15" i="76"/>
  <c r="G15" i="76"/>
  <c r="BB15" i="76"/>
  <c r="F15" i="76"/>
  <c r="BO15" i="76"/>
  <c r="BU15" i="76" s="1"/>
  <c r="Y14" i="75"/>
  <c r="H16" i="75"/>
  <c r="B17" i="75"/>
  <c r="G15" i="75"/>
  <c r="F15" i="75"/>
  <c r="E15" i="75"/>
  <c r="BM15" i="74" a="1"/>
  <c r="BM15" i="74" s="1"/>
  <c r="B16" i="74"/>
  <c r="BL15" i="74" a="1"/>
  <c r="BL15" i="74" s="1"/>
  <c r="H15" i="74"/>
  <c r="BO14" i="74"/>
  <c r="BU14" i="74" s="1"/>
  <c r="AC13" i="74"/>
  <c r="Y13" i="74"/>
  <c r="AD14" i="74"/>
  <c r="F14" i="74"/>
  <c r="BC14" i="74"/>
  <c r="G14" i="74"/>
  <c r="BB14" i="74"/>
  <c r="E14" i="74"/>
  <c r="D4" i="37"/>
  <c r="B5" i="37"/>
  <c r="C18" i="43"/>
  <c r="C19" i="43"/>
  <c r="C20" i="43"/>
  <c r="C21" i="43"/>
  <c r="C22" i="43"/>
  <c r="C23" i="43"/>
  <c r="C24" i="43"/>
  <c r="C25" i="43"/>
  <c r="C26" i="43"/>
  <c r="C27" i="43"/>
  <c r="C28" i="43"/>
  <c r="C29" i="43"/>
  <c r="C30" i="43"/>
  <c r="C31" i="43"/>
  <c r="C32" i="43"/>
  <c r="C33" i="43"/>
  <c r="C34" i="43"/>
  <c r="C35" i="43"/>
  <c r="C36" i="43"/>
  <c r="C37" i="43"/>
  <c r="C38" i="43"/>
  <c r="C39" i="43"/>
  <c r="C40" i="43"/>
  <c r="C41" i="43"/>
  <c r="C42" i="43"/>
  <c r="C43" i="43"/>
  <c r="C44" i="43"/>
  <c r="C45" i="43"/>
  <c r="C46" i="43"/>
  <c r="C47" i="43"/>
  <c r="C48" i="43"/>
  <c r="C49" i="43"/>
  <c r="C50" i="43"/>
  <c r="C51" i="43"/>
  <c r="C52" i="43"/>
  <c r="C53" i="43"/>
  <c r="C54" i="43"/>
  <c r="C55" i="43"/>
  <c r="C56" i="43"/>
  <c r="C57" i="43"/>
  <c r="C58" i="43"/>
  <c r="C59" i="43"/>
  <c r="C60" i="43"/>
  <c r="BL17" i="76" l="1" a="1"/>
  <c r="BL17" i="76" s="1"/>
  <c r="BM17" i="76" a="1"/>
  <c r="BM17" i="76" s="1"/>
  <c r="B18" i="76"/>
  <c r="BB16" i="76"/>
  <c r="F16" i="76"/>
  <c r="AD16" i="76"/>
  <c r="G16" i="76"/>
  <c r="E16" i="76"/>
  <c r="BC16" i="76"/>
  <c r="BO16" i="76"/>
  <c r="BU16" i="76" s="1"/>
  <c r="AC15" i="76"/>
  <c r="Y15" i="76"/>
  <c r="B18" i="75"/>
  <c r="H17" i="75"/>
  <c r="F16" i="75"/>
  <c r="E16" i="75"/>
  <c r="G16" i="75"/>
  <c r="Y15" i="75"/>
  <c r="AC14" i="74"/>
  <c r="Y14" i="74"/>
  <c r="BC15" i="74"/>
  <c r="G15" i="74"/>
  <c r="F15" i="74"/>
  <c r="AD15" i="74"/>
  <c r="BB15" i="74"/>
  <c r="E15" i="74"/>
  <c r="BM16" i="74" a="1"/>
  <c r="BM16" i="74" s="1"/>
  <c r="B17" i="74"/>
  <c r="BL16" i="74" a="1"/>
  <c r="BL16" i="74" s="1"/>
  <c r="H16" i="74"/>
  <c r="BO15" i="74"/>
  <c r="BU15" i="74"/>
  <c r="D5" i="37"/>
  <c r="B6" i="37"/>
  <c r="C8" i="43"/>
  <c r="AC16" i="76" l="1"/>
  <c r="Y16" i="76"/>
  <c r="BL18" i="76" a="1"/>
  <c r="BL18" i="76" s="1"/>
  <c r="B19" i="76"/>
  <c r="BM18" i="76" a="1"/>
  <c r="BM18" i="76" s="1"/>
  <c r="AD17" i="76"/>
  <c r="BB17" i="76"/>
  <c r="F17" i="76"/>
  <c r="G17" i="76"/>
  <c r="E17" i="76"/>
  <c r="BC17" i="76"/>
  <c r="BO17" i="76"/>
  <c r="BU17" i="76" s="1"/>
  <c r="E17" i="75"/>
  <c r="G17" i="75"/>
  <c r="F17" i="75"/>
  <c r="H18" i="75"/>
  <c r="B19" i="75"/>
  <c r="Y16" i="75"/>
  <c r="AC15" i="74"/>
  <c r="Y15" i="74"/>
  <c r="BC16" i="74"/>
  <c r="G16" i="74"/>
  <c r="BB16" i="74"/>
  <c r="AD16" i="74"/>
  <c r="F16" i="74"/>
  <c r="E16" i="74"/>
  <c r="BL17" i="74" a="1"/>
  <c r="BL17" i="74" s="1"/>
  <c r="B18" i="74"/>
  <c r="BM17" i="74" a="1"/>
  <c r="BM17" i="74" s="1"/>
  <c r="H17" i="74"/>
  <c r="BO16" i="74"/>
  <c r="BU16" i="74"/>
  <c r="D6" i="37"/>
  <c r="B7" i="37"/>
  <c r="BC18" i="76" l="1"/>
  <c r="G18" i="76"/>
  <c r="BB18" i="76"/>
  <c r="F18" i="76"/>
  <c r="E18" i="76"/>
  <c r="AD18" i="76"/>
  <c r="AC17" i="76"/>
  <c r="Y17" i="76"/>
  <c r="BO18" i="76"/>
  <c r="BU18" i="76"/>
  <c r="BM19" i="76" a="1"/>
  <c r="BM19" i="76" s="1"/>
  <c r="B20" i="76"/>
  <c r="BL19" i="76" a="1"/>
  <c r="BL19" i="76" s="1"/>
  <c r="G18" i="75"/>
  <c r="F18" i="75"/>
  <c r="E18" i="75"/>
  <c r="Y17" i="75"/>
  <c r="B20" i="75"/>
  <c r="H19" i="75"/>
  <c r="AC16" i="74"/>
  <c r="Y16" i="74"/>
  <c r="BO17" i="74"/>
  <c r="BU17" i="74" s="1"/>
  <c r="AD17" i="74"/>
  <c r="G17" i="74"/>
  <c r="F17" i="74"/>
  <c r="BC17" i="74"/>
  <c r="E17" i="74"/>
  <c r="BB17" i="74"/>
  <c r="BM18" i="74" a="1"/>
  <c r="BM18" i="74" s="1"/>
  <c r="B19" i="74"/>
  <c r="H18" i="74"/>
  <c r="BL18" i="74" a="1"/>
  <c r="BL18" i="74" s="1"/>
  <c r="D7" i="37"/>
  <c r="B8" i="37"/>
  <c r="C9" i="43"/>
  <c r="E19" i="76" l="1"/>
  <c r="AD19" i="76"/>
  <c r="F19" i="76"/>
  <c r="BC19" i="76"/>
  <c r="BB19" i="76"/>
  <c r="G19" i="76"/>
  <c r="BL20" i="76" a="1"/>
  <c r="BL20" i="76" s="1"/>
  <c r="BM20" i="76" a="1"/>
  <c r="BM20" i="76" s="1"/>
  <c r="B21" i="76"/>
  <c r="BO19" i="76"/>
  <c r="BU19" i="76" s="1"/>
  <c r="AC18" i="76"/>
  <c r="Y18" i="76"/>
  <c r="G19" i="75"/>
  <c r="E19" i="75"/>
  <c r="F19" i="75"/>
  <c r="B21" i="75"/>
  <c r="H20" i="75"/>
  <c r="Y18" i="75"/>
  <c r="AC17" i="74"/>
  <c r="Y17" i="74"/>
  <c r="B20" i="74"/>
  <c r="BL19" i="74" a="1"/>
  <c r="BL19" i="74" s="1"/>
  <c r="H19" i="74"/>
  <c r="BM19" i="74" a="1"/>
  <c r="BM19" i="74" s="1"/>
  <c r="BO18" i="74"/>
  <c r="BU18" i="74" s="1"/>
  <c r="AD18" i="74"/>
  <c r="BC18" i="74"/>
  <c r="G18" i="74"/>
  <c r="BB18" i="74"/>
  <c r="F18" i="74"/>
  <c r="E18" i="74"/>
  <c r="D8" i="37"/>
  <c r="B9" i="37"/>
  <c r="C10" i="43"/>
  <c r="AD20" i="76" l="1"/>
  <c r="E20" i="76"/>
  <c r="BB20" i="76"/>
  <c r="G20" i="76"/>
  <c r="F20" i="76"/>
  <c r="BC20" i="76"/>
  <c r="BO20" i="76"/>
  <c r="BU20" i="76" s="1"/>
  <c r="AC19" i="76"/>
  <c r="Y19" i="76"/>
  <c r="BM21" i="76" a="1"/>
  <c r="BM21" i="76" s="1"/>
  <c r="BL21" i="76" a="1"/>
  <c r="BL21" i="76" s="1"/>
  <c r="B22" i="76"/>
  <c r="E20" i="75"/>
  <c r="G20" i="75"/>
  <c r="F20" i="75"/>
  <c r="H21" i="75"/>
  <c r="H22" i="75" s="1"/>
  <c r="B22" i="75"/>
  <c r="Y19" i="75"/>
  <c r="BO19" i="74"/>
  <c r="BU19" i="74" s="1"/>
  <c r="BC19" i="74"/>
  <c r="G19" i="74"/>
  <c r="AD19" i="74"/>
  <c r="BB19" i="74"/>
  <c r="F19" i="74"/>
  <c r="E19" i="74"/>
  <c r="AC18" i="74"/>
  <c r="Y18" i="74"/>
  <c r="B21" i="74"/>
  <c r="H20" i="74"/>
  <c r="BM20" i="74" a="1"/>
  <c r="BM20" i="74" s="1"/>
  <c r="BL20" i="74" a="1"/>
  <c r="BL20" i="74" s="1"/>
  <c r="D9" i="37"/>
  <c r="B10" i="37"/>
  <c r="C11" i="43"/>
  <c r="BM22" i="76" l="1" a="1"/>
  <c r="BM22" i="76" s="1"/>
  <c r="B23" i="76"/>
  <c r="BL22" i="76" a="1"/>
  <c r="BL22" i="76" s="1"/>
  <c r="BO21" i="76"/>
  <c r="BU21" i="76" s="1"/>
  <c r="AC20" i="76"/>
  <c r="Y20" i="76"/>
  <c r="BC21" i="76"/>
  <c r="G21" i="76"/>
  <c r="BB21" i="76"/>
  <c r="F21" i="76"/>
  <c r="E21" i="76"/>
  <c r="AD21" i="76"/>
  <c r="B23" i="75"/>
  <c r="G21" i="75"/>
  <c r="F21" i="75"/>
  <c r="E21" i="75"/>
  <c r="Y20" i="75"/>
  <c r="BO20" i="74"/>
  <c r="BU20" i="74"/>
  <c r="AC19" i="74"/>
  <c r="Y19" i="74"/>
  <c r="BC20" i="74"/>
  <c r="G20" i="74"/>
  <c r="E20" i="74"/>
  <c r="AD20" i="74"/>
  <c r="BB20" i="74"/>
  <c r="F20" i="74"/>
  <c r="BM21" i="74" a="1"/>
  <c r="BM21" i="74" s="1"/>
  <c r="B22" i="74"/>
  <c r="H21" i="74"/>
  <c r="BL21" i="74" a="1"/>
  <c r="BL21" i="74" s="1"/>
  <c r="D10" i="37"/>
  <c r="B11" i="37"/>
  <c r="C12" i="43"/>
  <c r="B24" i="76" l="1"/>
  <c r="BM23" i="76" a="1"/>
  <c r="BM23" i="76" s="1"/>
  <c r="BL23" i="76" a="1"/>
  <c r="BL23" i="76" s="1"/>
  <c r="BO22" i="76"/>
  <c r="BU22" i="76" s="1"/>
  <c r="AC21" i="76"/>
  <c r="Y21" i="76"/>
  <c r="E22" i="76"/>
  <c r="AD22" i="76"/>
  <c r="BC22" i="76"/>
  <c r="G22" i="76"/>
  <c r="BB22" i="76"/>
  <c r="F22" i="76"/>
  <c r="Y21" i="75"/>
  <c r="F22" i="75"/>
  <c r="E22" i="75"/>
  <c r="G22" i="75"/>
  <c r="H23" i="75"/>
  <c r="B24" i="75"/>
  <c r="BB21" i="74"/>
  <c r="F21" i="74"/>
  <c r="E21" i="74"/>
  <c r="BC21" i="74"/>
  <c r="G21" i="74"/>
  <c r="AD21" i="74"/>
  <c r="BL22" i="74" a="1"/>
  <c r="BL22" i="74" s="1"/>
  <c r="B23" i="74"/>
  <c r="H22" i="74"/>
  <c r="BM22" i="74" a="1"/>
  <c r="BM22" i="74" s="1"/>
  <c r="AC20" i="74"/>
  <c r="Y20" i="74"/>
  <c r="BO21" i="74"/>
  <c r="BU21" i="74"/>
  <c r="D11" i="37"/>
  <c r="B12" i="37"/>
  <c r="C13" i="43"/>
  <c r="AC22" i="76" l="1"/>
  <c r="Y22" i="76"/>
  <c r="BO23" i="76"/>
  <c r="BU23" i="76" s="1"/>
  <c r="BM24" i="76" a="1"/>
  <c r="BM24" i="76" s="1"/>
  <c r="B25" i="76"/>
  <c r="BL24" i="76" a="1"/>
  <c r="BL24" i="76" s="1"/>
  <c r="AD23" i="76"/>
  <c r="BC23" i="76"/>
  <c r="G23" i="76"/>
  <c r="F23" i="76"/>
  <c r="E23" i="76"/>
  <c r="BB23" i="76"/>
  <c r="H24" i="75"/>
  <c r="B25" i="75"/>
  <c r="G23" i="75"/>
  <c r="E23" i="75"/>
  <c r="F23" i="75"/>
  <c r="Y22" i="75"/>
  <c r="BL23" i="74" a="1"/>
  <c r="BL23" i="74" s="1"/>
  <c r="H23" i="74"/>
  <c r="BM23" i="74" a="1"/>
  <c r="BM23" i="74" s="1"/>
  <c r="B24" i="74"/>
  <c r="AC21" i="74"/>
  <c r="Y21" i="74"/>
  <c r="BO22" i="74"/>
  <c r="BU22" i="74" s="1"/>
  <c r="BB22" i="74"/>
  <c r="F22" i="74"/>
  <c r="AD22" i="74"/>
  <c r="BC22" i="74"/>
  <c r="G22" i="74"/>
  <c r="E22" i="74"/>
  <c r="D12" i="37"/>
  <c r="B13" i="37"/>
  <c r="C14" i="43"/>
  <c r="AC23" i="76" l="1"/>
  <c r="Y23" i="76"/>
  <c r="BC24" i="76"/>
  <c r="G24" i="76"/>
  <c r="BB24" i="76"/>
  <c r="F24" i="76"/>
  <c r="E24" i="76"/>
  <c r="AD24" i="76"/>
  <c r="B26" i="76"/>
  <c r="BL25" i="76" a="1"/>
  <c r="BL25" i="76" s="1"/>
  <c r="BM25" i="76" a="1"/>
  <c r="BM25" i="76" s="1"/>
  <c r="BO24" i="76"/>
  <c r="BU24" i="76"/>
  <c r="Y23" i="75"/>
  <c r="B26" i="75"/>
  <c r="H25" i="75"/>
  <c r="G24" i="75"/>
  <c r="F24" i="75"/>
  <c r="E24" i="75"/>
  <c r="AC22" i="74"/>
  <c r="Y22" i="74"/>
  <c r="H24" i="74"/>
  <c r="BM24" i="74" a="1"/>
  <c r="BM24" i="74" s="1"/>
  <c r="B25" i="74"/>
  <c r="BL24" i="74" a="1"/>
  <c r="BL24" i="74" s="1"/>
  <c r="BO23" i="74"/>
  <c r="BU23" i="74"/>
  <c r="BC23" i="74"/>
  <c r="G23" i="74"/>
  <c r="BB23" i="74"/>
  <c r="F23" i="74"/>
  <c r="E23" i="74"/>
  <c r="AD23" i="74"/>
  <c r="D13" i="37"/>
  <c r="B14" i="37"/>
  <c r="C15" i="43"/>
  <c r="BL26" i="76" l="1" a="1"/>
  <c r="BL26" i="76" s="1"/>
  <c r="BM26" i="76" a="1"/>
  <c r="BM26" i="76" s="1"/>
  <c r="B27" i="76"/>
  <c r="BO25" i="76"/>
  <c r="BU25" i="76" s="1"/>
  <c r="AD25" i="76"/>
  <c r="BB25" i="76"/>
  <c r="F25" i="76"/>
  <c r="BC25" i="76"/>
  <c r="G25" i="76"/>
  <c r="E25" i="76"/>
  <c r="AC24" i="76"/>
  <c r="Y24" i="76"/>
  <c r="Y24" i="75"/>
  <c r="E25" i="75"/>
  <c r="G25" i="75"/>
  <c r="F25" i="75"/>
  <c r="H26" i="75"/>
  <c r="B27" i="75"/>
  <c r="BM25" i="74" a="1"/>
  <c r="BM25" i="74" s="1"/>
  <c r="H25" i="74"/>
  <c r="BL25" i="74" a="1"/>
  <c r="BL25" i="74" s="1"/>
  <c r="B26" i="74"/>
  <c r="BO24" i="74"/>
  <c r="BU24" i="74" s="1"/>
  <c r="E24" i="74"/>
  <c r="BC24" i="74"/>
  <c r="AD24" i="74"/>
  <c r="BB24" i="74"/>
  <c r="G24" i="74"/>
  <c r="F24" i="74"/>
  <c r="AC23" i="74"/>
  <c r="Y23" i="74"/>
  <c r="D14" i="37"/>
  <c r="C16" i="43"/>
  <c r="C17" i="43"/>
  <c r="AC25" i="76" l="1"/>
  <c r="Y25" i="76"/>
  <c r="BM27" i="76" a="1"/>
  <c r="BM27" i="76" s="1"/>
  <c r="B28" i="76"/>
  <c r="BL27" i="76" a="1"/>
  <c r="BL27" i="76" s="1"/>
  <c r="BO26" i="76"/>
  <c r="BU26" i="76"/>
  <c r="BC26" i="76"/>
  <c r="G26" i="76"/>
  <c r="BB26" i="76"/>
  <c r="F26" i="76"/>
  <c r="AD26" i="76"/>
  <c r="E26" i="76"/>
  <c r="B28" i="75"/>
  <c r="H27" i="75"/>
  <c r="G26" i="75"/>
  <c r="F26" i="75"/>
  <c r="E26" i="75"/>
  <c r="Y25" i="75"/>
  <c r="BM26" i="74" a="1"/>
  <c r="BM26" i="74" s="1"/>
  <c r="B27" i="74"/>
  <c r="BL26" i="74" a="1"/>
  <c r="BL26" i="74" s="1"/>
  <c r="H26" i="74"/>
  <c r="AC24" i="74"/>
  <c r="Y24" i="74"/>
  <c r="E25" i="74"/>
  <c r="AD25" i="74"/>
  <c r="F25" i="74"/>
  <c r="BC25" i="74"/>
  <c r="BB25" i="74"/>
  <c r="G25" i="74"/>
  <c r="BO25" i="74"/>
  <c r="BU25" i="74" s="1"/>
  <c r="BB27" i="76" l="1"/>
  <c r="F27" i="76"/>
  <c r="E27" i="76"/>
  <c r="BC27" i="76"/>
  <c r="G27" i="76"/>
  <c r="AD27" i="76"/>
  <c r="BL28" i="76" a="1"/>
  <c r="BL28" i="76" s="1"/>
  <c r="BM28" i="76" a="1"/>
  <c r="BM28" i="76" s="1"/>
  <c r="B29" i="76"/>
  <c r="BU27" i="76"/>
  <c r="BO27" i="76"/>
  <c r="AC26" i="76"/>
  <c r="Y26" i="76"/>
  <c r="Y26" i="75"/>
  <c r="G27" i="75"/>
  <c r="F27" i="75"/>
  <c r="E27" i="75"/>
  <c r="B29" i="75"/>
  <c r="H28" i="75"/>
  <c r="AD26" i="74"/>
  <c r="BC26" i="74"/>
  <c r="G26" i="74"/>
  <c r="BB26" i="74"/>
  <c r="F26" i="74"/>
  <c r="E26" i="74"/>
  <c r="AC25" i="74"/>
  <c r="Y25" i="74"/>
  <c r="B28" i="74"/>
  <c r="BL27" i="74" a="1"/>
  <c r="BL27" i="74" s="1"/>
  <c r="H27" i="74"/>
  <c r="BM27" i="74" a="1"/>
  <c r="BM27" i="74" s="1"/>
  <c r="BO26" i="74"/>
  <c r="BU26" i="74" s="1"/>
  <c r="BO28" i="76" l="1"/>
  <c r="BU28" i="76" s="1"/>
  <c r="AD28" i="76"/>
  <c r="E28" i="76"/>
  <c r="BC28" i="76"/>
  <c r="BB28" i="76"/>
  <c r="G28" i="76"/>
  <c r="F28" i="76"/>
  <c r="AC27" i="76"/>
  <c r="Y27" i="76"/>
  <c r="BM29" i="76" a="1"/>
  <c r="BM29" i="76" s="1"/>
  <c r="BL29" i="76" a="1"/>
  <c r="BL29" i="76" s="1"/>
  <c r="B30" i="76"/>
  <c r="G28" i="75"/>
  <c r="F28" i="75"/>
  <c r="E28" i="75"/>
  <c r="H29" i="75"/>
  <c r="B30" i="75"/>
  <c r="Y27" i="75"/>
  <c r="BO27" i="74"/>
  <c r="BU27" i="74" s="1"/>
  <c r="AC26" i="74"/>
  <c r="Y26" i="74"/>
  <c r="BC27" i="74"/>
  <c r="G27" i="74"/>
  <c r="AD27" i="74"/>
  <c r="F27" i="74"/>
  <c r="E27" i="74"/>
  <c r="BB27" i="74"/>
  <c r="B29" i="74"/>
  <c r="H28" i="74"/>
  <c r="BM28" i="74" a="1"/>
  <c r="BM28" i="74" s="1"/>
  <c r="BL28" i="74" a="1"/>
  <c r="BL28" i="74" s="1"/>
  <c r="AC28" i="76" l="1"/>
  <c r="Y28" i="76"/>
  <c r="BM30" i="76" a="1"/>
  <c r="BM30" i="76" s="1"/>
  <c r="B31" i="76"/>
  <c r="BL30" i="76" a="1"/>
  <c r="BL30" i="76" s="1"/>
  <c r="BO29" i="76"/>
  <c r="BU29" i="76" s="1"/>
  <c r="BC29" i="76"/>
  <c r="G29" i="76"/>
  <c r="BB29" i="76"/>
  <c r="F29" i="76"/>
  <c r="E29" i="76"/>
  <c r="AD29" i="76"/>
  <c r="B31" i="75"/>
  <c r="H30" i="75"/>
  <c r="G29" i="75"/>
  <c r="F29" i="75"/>
  <c r="E29" i="75"/>
  <c r="Y28" i="75"/>
  <c r="AC27" i="74"/>
  <c r="Y27" i="74"/>
  <c r="BO28" i="74"/>
  <c r="BU28" i="74" s="1"/>
  <c r="AD28" i="74"/>
  <c r="BC28" i="74"/>
  <c r="G28" i="74"/>
  <c r="BB28" i="74"/>
  <c r="F28" i="74"/>
  <c r="E28" i="74"/>
  <c r="BM29" i="74" a="1"/>
  <c r="BM29" i="74" s="1"/>
  <c r="B30" i="74"/>
  <c r="H29" i="74"/>
  <c r="BL29" i="74" a="1"/>
  <c r="BL29" i="74" s="1"/>
  <c r="BB30" i="76" l="1"/>
  <c r="F30" i="76"/>
  <c r="E30" i="76"/>
  <c r="AD30" i="76"/>
  <c r="BC30" i="76"/>
  <c r="G30" i="76"/>
  <c r="BL31" i="76" a="1"/>
  <c r="BL31" i="76" s="1"/>
  <c r="B32" i="76"/>
  <c r="BM31" i="76" a="1"/>
  <c r="BM31" i="76" s="1"/>
  <c r="BO30" i="76"/>
  <c r="BU30" i="76" s="1"/>
  <c r="AC29" i="76"/>
  <c r="Y29" i="76"/>
  <c r="Y29" i="75"/>
  <c r="F30" i="75"/>
  <c r="E30" i="75"/>
  <c r="G30" i="75"/>
  <c r="H31" i="75"/>
  <c r="B32" i="75"/>
  <c r="AC28" i="74"/>
  <c r="Y28" i="74"/>
  <c r="BC29" i="74"/>
  <c r="G29" i="74"/>
  <c r="BB29" i="74"/>
  <c r="F29" i="74"/>
  <c r="E29" i="74"/>
  <c r="AD29" i="74"/>
  <c r="B31" i="74"/>
  <c r="BL30" i="74" a="1"/>
  <c r="BL30" i="74" s="1"/>
  <c r="BM30" i="74" a="1"/>
  <c r="BM30" i="74" s="1"/>
  <c r="H30" i="74"/>
  <c r="BO29" i="74"/>
  <c r="BU29" i="74"/>
  <c r="AD31" i="76" l="1"/>
  <c r="BC31" i="76"/>
  <c r="G31" i="76"/>
  <c r="BB31" i="76"/>
  <c r="F31" i="76"/>
  <c r="E31" i="76"/>
  <c r="AC30" i="76"/>
  <c r="Y30" i="76"/>
  <c r="BO31" i="76"/>
  <c r="BU31" i="76" s="1"/>
  <c r="BM32" i="76" a="1"/>
  <c r="BM32" i="76" s="1"/>
  <c r="B33" i="76"/>
  <c r="BL32" i="76" a="1"/>
  <c r="BL32" i="76" s="1"/>
  <c r="H32" i="75"/>
  <c r="B33" i="75"/>
  <c r="G31" i="75"/>
  <c r="F31" i="75"/>
  <c r="E31" i="75"/>
  <c r="Y30" i="75"/>
  <c r="AC29" i="74"/>
  <c r="Y29" i="74"/>
  <c r="BO30" i="74"/>
  <c r="BU30" i="74" s="1"/>
  <c r="BB30" i="74"/>
  <c r="F30" i="74"/>
  <c r="AD30" i="74"/>
  <c r="E30" i="74"/>
  <c r="BC30" i="74"/>
  <c r="G30" i="74"/>
  <c r="BL31" i="74" a="1"/>
  <c r="BL31" i="74" s="1"/>
  <c r="H31" i="74"/>
  <c r="B32" i="74"/>
  <c r="BM31" i="74" a="1"/>
  <c r="BM31" i="74" s="1"/>
  <c r="B34" i="76" l="1"/>
  <c r="BO32" i="76"/>
  <c r="BU32" i="76" s="1"/>
  <c r="AC31" i="76"/>
  <c r="Y31" i="76"/>
  <c r="BC32" i="76"/>
  <c r="G32" i="76"/>
  <c r="BB32" i="76"/>
  <c r="F32" i="76"/>
  <c r="E32" i="76"/>
  <c r="AD32" i="76"/>
  <c r="Y31" i="75"/>
  <c r="H33" i="75"/>
  <c r="B34" i="75"/>
  <c r="G32" i="75"/>
  <c r="F32" i="75"/>
  <c r="E32" i="75"/>
  <c r="BO31" i="74"/>
  <c r="BU31" i="74"/>
  <c r="H32" i="74"/>
  <c r="BM32" i="74" a="1"/>
  <c r="BM32" i="74" s="1"/>
  <c r="B33" i="74"/>
  <c r="BL32" i="74" a="1"/>
  <c r="BL32" i="74" s="1"/>
  <c r="BC31" i="74"/>
  <c r="G31" i="74"/>
  <c r="BB31" i="74"/>
  <c r="F31" i="74"/>
  <c r="E31" i="74"/>
  <c r="AD31" i="74"/>
  <c r="AC30" i="74"/>
  <c r="Y30" i="74"/>
  <c r="AC32" i="76" l="1"/>
  <c r="Y32" i="76"/>
  <c r="E33" i="76"/>
  <c r="AD33" i="76"/>
  <c r="BC33" i="76"/>
  <c r="G33" i="76"/>
  <c r="BB33" i="76"/>
  <c r="F33" i="76"/>
  <c r="B35" i="76"/>
  <c r="Y32" i="75"/>
  <c r="B35" i="75"/>
  <c r="H34" i="75"/>
  <c r="E33" i="75"/>
  <c r="G33" i="75"/>
  <c r="F33" i="75"/>
  <c r="AC31" i="74"/>
  <c r="Y31" i="74"/>
  <c r="H33" i="74"/>
  <c r="B34" i="74"/>
  <c r="BU32" i="74"/>
  <c r="BO32" i="74"/>
  <c r="BB32" i="74"/>
  <c r="F32" i="74"/>
  <c r="E32" i="74"/>
  <c r="BC32" i="74"/>
  <c r="AD32" i="74"/>
  <c r="G32" i="74"/>
  <c r="AC33" i="76" l="1"/>
  <c r="Y33" i="76"/>
  <c r="BC34" i="76"/>
  <c r="G34" i="76"/>
  <c r="BB34" i="76"/>
  <c r="F34" i="76"/>
  <c r="E34" i="76"/>
  <c r="AD34" i="76"/>
  <c r="B36" i="76"/>
  <c r="Y33" i="75"/>
  <c r="G34" i="75"/>
  <c r="F34" i="75"/>
  <c r="E34" i="75"/>
  <c r="H35" i="75"/>
  <c r="B36" i="75"/>
  <c r="AC32" i="74"/>
  <c r="Y32" i="74"/>
  <c r="B35" i="74"/>
  <c r="H34" i="74"/>
  <c r="E33" i="74"/>
  <c r="AD33" i="74"/>
  <c r="BC33" i="74"/>
  <c r="F33" i="74"/>
  <c r="BB33" i="74"/>
  <c r="G33" i="74"/>
  <c r="BC35" i="76" l="1"/>
  <c r="G35" i="76"/>
  <c r="BB35" i="76"/>
  <c r="F35" i="76"/>
  <c r="E35" i="76"/>
  <c r="AD35" i="76"/>
  <c r="AC34" i="76"/>
  <c r="Y34" i="76"/>
  <c r="B37" i="76"/>
  <c r="H36" i="75"/>
  <c r="B37" i="75"/>
  <c r="G35" i="75"/>
  <c r="F35" i="75"/>
  <c r="E35" i="75"/>
  <c r="Y34" i="75"/>
  <c r="BC34" i="74"/>
  <c r="G34" i="74"/>
  <c r="E34" i="74"/>
  <c r="AD34" i="74"/>
  <c r="BB34" i="74"/>
  <c r="F34" i="74"/>
  <c r="B36" i="74"/>
  <c r="H35" i="74"/>
  <c r="AC33" i="74"/>
  <c r="Y33" i="74"/>
  <c r="V5" i="37"/>
  <c r="V10" i="37"/>
  <c r="V36" i="37"/>
  <c r="V35" i="37"/>
  <c r="V8" i="37"/>
  <c r="V25" i="37"/>
  <c r="V9" i="37"/>
  <c r="V29" i="37"/>
  <c r="V30" i="37"/>
  <c r="G1" i="37"/>
  <c r="E37" i="76" l="1"/>
  <c r="AC35" i="76"/>
  <c r="Y35" i="76"/>
  <c r="AD36" i="76"/>
  <c r="BC36" i="76"/>
  <c r="G36" i="76"/>
  <c r="E36" i="76"/>
  <c r="F36" i="76"/>
  <c r="BB36" i="76"/>
  <c r="H37" i="75"/>
  <c r="E37" i="75" s="1"/>
  <c r="Y35" i="75"/>
  <c r="G36" i="75"/>
  <c r="F36" i="75"/>
  <c r="E36" i="75"/>
  <c r="BC35" i="74"/>
  <c r="G35" i="74"/>
  <c r="BB35" i="74"/>
  <c r="F35" i="74"/>
  <c r="E35" i="74"/>
  <c r="AD35" i="74"/>
  <c r="H36" i="74"/>
  <c r="B37" i="74"/>
  <c r="AC34" i="74"/>
  <c r="Y34" i="74"/>
  <c r="H17" i="37"/>
  <c r="H16" i="37"/>
  <c r="H15" i="37"/>
  <c r="H14" i="37"/>
  <c r="H20" i="37"/>
  <c r="F37" i="76" l="1"/>
  <c r="BB37" i="76"/>
  <c r="G37" i="76"/>
  <c r="AC37" i="76" s="1"/>
  <c r="BC37" i="76"/>
  <c r="AD37" i="76"/>
  <c r="BM11" i="76" s="1" a="1"/>
  <c r="BM11" i="76" s="1"/>
  <c r="BO11" i="76" s="1"/>
  <c r="BU11" i="76" s="1"/>
  <c r="AC36" i="76"/>
  <c r="Y36" i="76"/>
  <c r="G37" i="75"/>
  <c r="F37" i="75"/>
  <c r="Y36" i="75"/>
  <c r="BC36" i="74"/>
  <c r="G36" i="74"/>
  <c r="BB36" i="74"/>
  <c r="F36" i="74"/>
  <c r="E36" i="74"/>
  <c r="AD36" i="74"/>
  <c r="H37" i="74"/>
  <c r="AC35" i="74"/>
  <c r="Y35" i="74"/>
  <c r="H19" i="37"/>
  <c r="C6" i="37" s="1"/>
  <c r="H18" i="37"/>
  <c r="C7" i="37" s="1"/>
  <c r="H26" i="37"/>
  <c r="BM10" i="76" l="1" a="1"/>
  <c r="BM10" i="76" s="1"/>
  <c r="BO10" i="76" s="1"/>
  <c r="BU10" i="76" s="1"/>
  <c r="Y37" i="76"/>
  <c r="Y37" i="75"/>
  <c r="E37" i="74"/>
  <c r="AD37" i="74"/>
  <c r="BM11" i="74" s="1" a="1"/>
  <c r="BM11" i="74" s="1"/>
  <c r="BC37" i="74"/>
  <c r="F37" i="74"/>
  <c r="BB37" i="74"/>
  <c r="G37" i="74"/>
  <c r="AC36" i="74"/>
  <c r="Y36" i="74"/>
  <c r="C4" i="37"/>
  <c r="C10" i="37"/>
  <c r="C9" i="37"/>
  <c r="C12" i="37"/>
  <c r="C11" i="37"/>
  <c r="C8" i="37"/>
  <c r="C14" i="37"/>
  <c r="C13" i="37"/>
  <c r="C5" i="37"/>
  <c r="H27" i="37"/>
  <c r="AC37" i="74" l="1"/>
  <c r="BM10" i="74" s="1" a="1"/>
  <c r="BM10" i="74" s="1"/>
  <c r="Y37" i="74"/>
  <c r="BO11" i="74"/>
  <c r="BU11" i="74" s="1"/>
  <c r="H28" i="37"/>
  <c r="BO10" i="74" l="1"/>
  <c r="BU10" i="74" s="1"/>
  <c r="H29" i="37"/>
  <c r="H30" i="37" l="1"/>
  <c r="H31" i="37" l="1"/>
  <c r="H32" i="37" l="1"/>
  <c r="H33" i="37" l="1"/>
  <c r="H34" i="37" l="1"/>
  <c r="H35" i="37" l="1"/>
  <c r="H36" i="37" l="1"/>
  <c r="G27" i="37"/>
  <c r="G26" i="37"/>
  <c r="G25" i="37"/>
  <c r="C7" i="43" l="1"/>
  <c r="A7" i="43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O7" i="43"/>
  <c r="P7" i="43" s="1"/>
  <c r="O8" i="43"/>
  <c r="P8" i="43" s="1"/>
  <c r="O9" i="43"/>
  <c r="P9" i="43" s="1"/>
  <c r="O10" i="43"/>
  <c r="P10" i="43" s="1"/>
  <c r="O11" i="43"/>
  <c r="P11" i="43" s="1"/>
  <c r="O12" i="43"/>
  <c r="P12" i="43" s="1"/>
  <c r="O13" i="43"/>
  <c r="P13" i="43" s="1"/>
  <c r="O14" i="43"/>
  <c r="P14" i="43" s="1"/>
  <c r="O15" i="43"/>
  <c r="P15" i="43" s="1"/>
  <c r="O16" i="43"/>
  <c r="P16" i="43" s="1"/>
  <c r="O17" i="43"/>
  <c r="P17" i="43" s="1"/>
  <c r="O18" i="43"/>
  <c r="P18" i="43" s="1"/>
  <c r="O19" i="43"/>
  <c r="P19" i="43" s="1"/>
  <c r="O20" i="43"/>
  <c r="P20" i="43" s="1"/>
  <c r="O21" i="43"/>
  <c r="P21" i="43" s="1"/>
  <c r="G28" i="37" l="1"/>
  <c r="O22" i="43"/>
  <c r="P22" i="43" s="1"/>
  <c r="A23" i="43"/>
  <c r="G29" i="37" l="1"/>
  <c r="O23" i="43"/>
  <c r="P23" i="43" s="1"/>
  <c r="A24" i="43"/>
  <c r="G30" i="37" l="1"/>
  <c r="O24" i="43"/>
  <c r="P24" i="43" s="1"/>
  <c r="A25" i="43"/>
  <c r="G31" i="37" l="1"/>
  <c r="O25" i="43"/>
  <c r="P25" i="43" s="1"/>
  <c r="A26" i="43"/>
  <c r="G32" i="37" l="1"/>
  <c r="O26" i="43"/>
  <c r="P26" i="43"/>
  <c r="A27" i="43"/>
  <c r="G33" i="37" l="1"/>
  <c r="O27" i="43"/>
  <c r="P27" i="43"/>
  <c r="A28" i="43"/>
  <c r="G34" i="37" l="1"/>
  <c r="O28" i="43"/>
  <c r="P28" i="43" s="1"/>
  <c r="A29" i="43"/>
  <c r="G35" i="37" l="1"/>
  <c r="O29" i="43"/>
  <c r="P29" i="43" s="1"/>
  <c r="A30" i="43"/>
  <c r="O30" i="43"/>
  <c r="P30" i="43" s="1"/>
  <c r="A31" i="43"/>
  <c r="O31" i="43"/>
  <c r="P31" i="43" s="1"/>
  <c r="A32" i="43"/>
  <c r="O32" i="43"/>
  <c r="P32" i="43" s="1"/>
  <c r="A33" i="43"/>
  <c r="O33" i="43"/>
  <c r="P33" i="43" s="1"/>
  <c r="A34" i="43"/>
  <c r="O34" i="43"/>
  <c r="P34" i="43" s="1"/>
  <c r="A35" i="43"/>
  <c r="O35" i="43"/>
  <c r="P35" i="43" s="1"/>
  <c r="A36" i="43"/>
  <c r="O36" i="43"/>
  <c r="P36" i="43"/>
  <c r="A37" i="43"/>
  <c r="O37" i="43"/>
  <c r="P37" i="43" s="1"/>
  <c r="A38" i="43"/>
  <c r="O38" i="43"/>
  <c r="P38" i="43" s="1"/>
  <c r="A39" i="43"/>
  <c r="J39" i="43"/>
  <c r="Q39" i="43" s="1"/>
  <c r="O39" i="43"/>
  <c r="P39" i="43"/>
  <c r="A40" i="43"/>
  <c r="J40" i="43"/>
  <c r="Q40" i="43" s="1"/>
  <c r="O40" i="43"/>
  <c r="P40" i="43"/>
  <c r="A41" i="43"/>
  <c r="J41" i="43"/>
  <c r="Q41" i="43" s="1"/>
  <c r="O41" i="43"/>
  <c r="P41" i="43"/>
  <c r="A42" i="43"/>
  <c r="J42" i="43"/>
  <c r="Q42" i="43" s="1"/>
  <c r="O42" i="43"/>
  <c r="P42" i="43" s="1"/>
  <c r="A43" i="43"/>
  <c r="J43" i="43"/>
  <c r="Q43" i="43" s="1"/>
  <c r="O43" i="43"/>
  <c r="P43" i="43" s="1"/>
  <c r="A44" i="43"/>
  <c r="J44" i="43"/>
  <c r="Q44" i="43" s="1"/>
  <c r="O44" i="43"/>
  <c r="P44" i="43" s="1"/>
  <c r="A45" i="43"/>
  <c r="J45" i="43"/>
  <c r="Q45" i="43" s="1"/>
  <c r="O45" i="43"/>
  <c r="P45" i="43"/>
  <c r="A46" i="43"/>
  <c r="J46" i="43"/>
  <c r="Q46" i="43" s="1"/>
  <c r="O46" i="43"/>
  <c r="P46" i="43" s="1"/>
  <c r="A47" i="43"/>
  <c r="J47" i="43"/>
  <c r="Q47" i="43" s="1"/>
  <c r="O47" i="43"/>
  <c r="P47" i="43" s="1"/>
  <c r="A48" i="43"/>
  <c r="J48" i="43"/>
  <c r="Q48" i="43" s="1"/>
  <c r="O48" i="43"/>
  <c r="P48" i="43" s="1"/>
  <c r="A49" i="43"/>
  <c r="J49" i="43"/>
  <c r="Q49" i="43" s="1"/>
  <c r="O49" i="43"/>
  <c r="P49" i="43"/>
  <c r="A50" i="43"/>
  <c r="J50" i="43"/>
  <c r="Q50" i="43" s="1"/>
  <c r="O50" i="43"/>
  <c r="P50" i="43" s="1"/>
  <c r="A51" i="43"/>
  <c r="J51" i="43"/>
  <c r="Q51" i="43" s="1"/>
  <c r="O51" i="43"/>
  <c r="P51" i="43"/>
  <c r="A52" i="43"/>
  <c r="J52" i="43"/>
  <c r="Q52" i="43" s="1"/>
  <c r="O52" i="43"/>
  <c r="P52" i="43" s="1"/>
  <c r="A53" i="43"/>
  <c r="J53" i="43"/>
  <c r="Q53" i="43" s="1"/>
  <c r="O53" i="43"/>
  <c r="P53" i="43" s="1"/>
  <c r="A54" i="43"/>
  <c r="J54" i="43"/>
  <c r="Q54" i="43" s="1"/>
  <c r="O54" i="43"/>
  <c r="P54" i="43" s="1"/>
  <c r="A55" i="43"/>
  <c r="J55" i="43"/>
  <c r="Q55" i="43" s="1"/>
  <c r="O55" i="43"/>
  <c r="P55" i="43" s="1"/>
  <c r="A56" i="43"/>
  <c r="J56" i="43"/>
  <c r="Q56" i="43" s="1"/>
  <c r="O56" i="43"/>
  <c r="P56" i="43"/>
  <c r="A57" i="43"/>
  <c r="J57" i="43"/>
  <c r="Q57" i="43" s="1"/>
  <c r="O57" i="43"/>
  <c r="P57" i="43"/>
  <c r="A58" i="43"/>
  <c r="J58" i="43"/>
  <c r="Q58" i="43" s="1"/>
  <c r="O58" i="43"/>
  <c r="P58" i="43"/>
  <c r="A59" i="43"/>
  <c r="J59" i="43"/>
  <c r="Q59" i="43" s="1"/>
  <c r="O59" i="43"/>
  <c r="P59" i="43"/>
  <c r="A60" i="43"/>
  <c r="J60" i="43"/>
  <c r="Q60" i="43" s="1"/>
  <c r="O60" i="43"/>
  <c r="P60" i="43" s="1"/>
  <c r="G6" i="43"/>
  <c r="G7" i="43" s="1"/>
  <c r="G8" i="43" s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 s="1"/>
  <c r="G22" i="43" s="1"/>
  <c r="G23" i="43" s="1"/>
  <c r="G24" i="43" s="1"/>
  <c r="G25" i="43" s="1"/>
  <c r="G26" i="43" s="1"/>
  <c r="G27" i="43" s="1"/>
  <c r="G28" i="43" s="1"/>
  <c r="G29" i="43" s="1"/>
  <c r="G30" i="43" s="1"/>
  <c r="G31" i="43" s="1"/>
  <c r="G32" i="43" s="1"/>
  <c r="G33" i="43" s="1"/>
  <c r="G34" i="43" s="1"/>
  <c r="G35" i="43" s="1"/>
  <c r="G36" i="43" s="1"/>
  <c r="G37" i="43" s="1"/>
  <c r="G38" i="43" s="1"/>
  <c r="G39" i="43" s="1"/>
  <c r="G40" i="43" s="1"/>
  <c r="G41" i="43" s="1"/>
  <c r="G42" i="43" s="1"/>
  <c r="G43" i="43" s="1"/>
  <c r="G44" i="43" s="1"/>
  <c r="G45" i="43" s="1"/>
  <c r="G46" i="43" s="1"/>
  <c r="G47" i="43" s="1"/>
  <c r="G48" i="43" s="1"/>
  <c r="G49" i="43" s="1"/>
  <c r="G50" i="43" s="1"/>
  <c r="G51" i="43" s="1"/>
  <c r="G52" i="43" s="1"/>
  <c r="G53" i="43" s="1"/>
  <c r="G54" i="43" s="1"/>
  <c r="G55" i="43" s="1"/>
  <c r="G56" i="43" s="1"/>
  <c r="G57" i="43" s="1"/>
  <c r="G58" i="43" s="1"/>
  <c r="G59" i="43" s="1"/>
  <c r="G60" i="43" s="1"/>
  <c r="G11" i="37"/>
  <c r="G9" i="37" l="1"/>
  <c r="G12" i="37"/>
  <c r="G13" i="37"/>
  <c r="G5" i="37"/>
  <c r="G10" i="37"/>
  <c r="G36" i="37"/>
  <c r="G6" i="37" l="1"/>
  <c r="G8" i="37"/>
  <c r="G4" i="37"/>
  <c r="G7" i="37"/>
  <c r="G14" i="37"/>
  <c r="G20" i="37"/>
  <c r="G3" i="37"/>
  <c r="G16" i="37" l="1"/>
  <c r="G17" i="37"/>
  <c r="G15" i="37"/>
  <c r="G19" i="37" l="1"/>
  <c r="G18" i="37"/>
  <c r="J37" i="43" l="1"/>
  <c r="J38" i="43"/>
  <c r="Q37" i="43" l="1"/>
  <c r="Q38" i="43"/>
  <c r="J17" i="43"/>
  <c r="J22" i="43"/>
  <c r="J25" i="43"/>
  <c r="J27" i="43"/>
  <c r="J16" i="43"/>
  <c r="J15" i="43"/>
  <c r="J23" i="43"/>
  <c r="J11" i="43"/>
  <c r="J13" i="43"/>
  <c r="J19" i="43"/>
  <c r="J20" i="43"/>
  <c r="J33" i="43"/>
  <c r="J28" i="43"/>
  <c r="J12" i="43"/>
  <c r="J32" i="43"/>
  <c r="J29" i="43"/>
  <c r="J7" i="43"/>
  <c r="J21" i="43"/>
  <c r="J14" i="43"/>
  <c r="J10" i="43"/>
  <c r="J26" i="43"/>
  <c r="J34" i="43"/>
  <c r="J24" i="43"/>
  <c r="J8" i="43"/>
  <c r="J35" i="43"/>
  <c r="J30" i="43"/>
  <c r="J9" i="43"/>
  <c r="J18" i="43"/>
  <c r="J31" i="43"/>
  <c r="J36" i="43"/>
  <c r="Q36" i="43" l="1"/>
  <c r="Q33" i="43"/>
  <c r="Q35" i="43"/>
  <c r="Q34" i="43"/>
  <c r="Q32" i="43"/>
  <c r="Q23" i="43"/>
  <c r="Q26" i="43"/>
  <c r="Q10" i="43"/>
  <c r="Q16" i="43"/>
  <c r="Q14" i="43"/>
  <c r="Q21" i="43"/>
  <c r="Q19" i="43"/>
  <c r="Q25" i="43"/>
  <c r="Q8" i="43"/>
  <c r="Q28" i="43"/>
  <c r="Q24" i="43"/>
  <c r="Q9" i="43"/>
  <c r="Q27" i="43"/>
  <c r="Q7" i="43"/>
  <c r="Q13" i="43"/>
  <c r="Q22" i="43"/>
  <c r="Q12" i="43"/>
  <c r="Q15" i="43"/>
  <c r="Q18" i="43"/>
  <c r="Q30" i="43"/>
  <c r="Q20" i="43"/>
  <c r="Q29" i="43"/>
  <c r="Q11" i="43"/>
  <c r="Q17" i="43"/>
  <c r="Q31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NOISETTE ELODIE</author>
  </authors>
  <commentList>
    <comment ref="Q25" authorId="0" shapeId="0" xr:uid="{71A80385-8E92-4D2D-AA85-BE61257426FA}">
      <text>
        <r>
          <rPr>
            <sz val="8"/>
            <color indexed="81"/>
            <rFont val="Tahoma"/>
            <family val="2"/>
          </rPr>
          <t>Jour férié travaillé non payé mais entre dans le D/C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<sst xmlns="http://schemas.openxmlformats.org/spreadsheetml/2006/main" count="942" uniqueCount="325">
  <si>
    <t>DECLARATION DES HEURES DE TRAVAIL DANS LE CADRE DE L'HORAIRE NORMAL</t>
  </si>
  <si>
    <t>Etirer les formules jusqu'à la dernière ligne</t>
  </si>
  <si>
    <t>AVRIL</t>
  </si>
  <si>
    <t>Filtrer &lt;&gt; vide pour effectuer l'import et copier valeur</t>
  </si>
  <si>
    <t>Nombre</t>
  </si>
  <si>
    <t>Heures</t>
  </si>
  <si>
    <r>
      <t xml:space="preserve">Sélectionner la </t>
    </r>
    <r>
      <rPr>
        <b/>
        <sz val="14"/>
        <rFont val="Verdana"/>
        <family val="2"/>
      </rPr>
      <t xml:space="preserve">semaine OU/ET le jour </t>
    </r>
    <r>
      <rPr>
        <sz val="11"/>
        <rFont val="Verdana"/>
        <family val="2"/>
      </rPr>
      <t>pour compléter</t>
    </r>
  </si>
  <si>
    <t>Compléter le code journée</t>
  </si>
  <si>
    <t>Modifier les heures travaillées si besoin</t>
  </si>
  <si>
    <t>Renseigner si absence</t>
  </si>
  <si>
    <t>MATIN</t>
  </si>
  <si>
    <t>Renseigner si demi journée d'absence</t>
  </si>
  <si>
    <t>Renseigner le nombre d'heures d'absences pour les absences horaire</t>
  </si>
  <si>
    <t>APRES-MIDI</t>
  </si>
  <si>
    <t>Hors débit/crédit</t>
  </si>
  <si>
    <t>TRESTO</t>
  </si>
  <si>
    <t>PANIJ</t>
  </si>
  <si>
    <t>MAJN3</t>
  </si>
  <si>
    <t>MAJDIM</t>
  </si>
  <si>
    <t>HDIMAN</t>
  </si>
  <si>
    <t>PRCHR</t>
  </si>
  <si>
    <t>PVRAC</t>
  </si>
  <si>
    <t>MA200</t>
  </si>
  <si>
    <t>PRAS3</t>
  </si>
  <si>
    <t>HG100</t>
  </si>
  <si>
    <t>HG150</t>
  </si>
  <si>
    <t>Matricule</t>
  </si>
  <si>
    <t>Motif de l’absence</t>
  </si>
  <si>
    <t>Date début</t>
  </si>
  <si>
    <t>Date fin</t>
  </si>
  <si>
    <t>Type de l’absence</t>
  </si>
  <si>
    <t>Périodicité</t>
  </si>
  <si>
    <t>Nombre d’heures</t>
  </si>
  <si>
    <t>Heure de début</t>
  </si>
  <si>
    <t>Heure de fin</t>
  </si>
  <si>
    <t>Manager</t>
  </si>
  <si>
    <t>Ordre</t>
  </si>
  <si>
    <t>MOIS</t>
  </si>
  <si>
    <t>SEMAINE N°</t>
  </si>
  <si>
    <t>Jour</t>
  </si>
  <si>
    <t>Date</t>
  </si>
  <si>
    <r>
      <t xml:space="preserve">Code Journée :                   </t>
    </r>
    <r>
      <rPr>
        <b/>
        <u/>
        <sz val="11"/>
        <rFont val="Verdana"/>
        <family val="2"/>
      </rPr>
      <t xml:space="preserve"> </t>
    </r>
    <r>
      <rPr>
        <b/>
        <sz val="11"/>
        <rFont val="Verdana"/>
        <family val="2"/>
      </rPr>
      <t>M :matin                                  A : après midi                          J : journée                               N : Nuit</t>
    </r>
  </si>
  <si>
    <t>Heures début</t>
  </si>
  <si>
    <t>Heures fin</t>
  </si>
  <si>
    <t>Si absent =&gt; Motif</t>
  </si>
  <si>
    <t>type</t>
  </si>
  <si>
    <t>Nombre d'heures d'absence</t>
  </si>
  <si>
    <r>
      <t xml:space="preserve">Temps Trajet en </t>
    </r>
    <r>
      <rPr>
        <b/>
        <sz val="11"/>
        <color rgb="FFFF0000"/>
        <rFont val="Verdana"/>
        <family val="2"/>
      </rPr>
      <t>hh</t>
    </r>
    <r>
      <rPr>
        <b/>
        <sz val="11"/>
        <rFont val="Verdana"/>
        <family val="2"/>
      </rPr>
      <t>:</t>
    </r>
    <r>
      <rPr>
        <b/>
        <sz val="11"/>
        <color rgb="FFFF0000"/>
        <rFont val="Verdana"/>
        <family val="2"/>
      </rPr>
      <t>mm</t>
    </r>
  </si>
  <si>
    <t>30 min de pause chauffeur</t>
  </si>
  <si>
    <t>Théorique</t>
  </si>
  <si>
    <t>nombre d'heures Effectuées</t>
  </si>
  <si>
    <t>Heures absences impactantes</t>
  </si>
  <si>
    <t>Débit/Crédit</t>
  </si>
  <si>
    <t>Ticket Restau</t>
  </si>
  <si>
    <t>Panier Jour</t>
  </si>
  <si>
    <t>Heures de nuit à 30%</t>
  </si>
  <si>
    <t>Dimanche Majo à 100%</t>
  </si>
  <si>
    <t>Férié Majo à 100%</t>
  </si>
  <si>
    <t>Repas Chauffeur</t>
  </si>
  <si>
    <t>Prime reprise</t>
  </si>
  <si>
    <t>Heures Intervention Astreinte</t>
  </si>
  <si>
    <t>Dont heures intervention de nuit</t>
  </si>
  <si>
    <t>Prime Astreinte</t>
  </si>
  <si>
    <t xml:space="preserve">Heures de garde à taux normal
</t>
  </si>
  <si>
    <t>Heures de garde à 150%</t>
  </si>
  <si>
    <t>MMAT</t>
  </si>
  <si>
    <t>MMOTIF</t>
  </si>
  <si>
    <t>DDEB</t>
  </si>
  <si>
    <t>DFIN</t>
  </si>
  <si>
    <t>TYPE1</t>
  </si>
  <si>
    <t>TYPE</t>
  </si>
  <si>
    <t>NBH</t>
  </si>
  <si>
    <t>HDEB</t>
  </si>
  <si>
    <t>HFIN</t>
  </si>
  <si>
    <t>MATRICULE</t>
  </si>
  <si>
    <t>RUBRIQUE</t>
  </si>
  <si>
    <t>BASE</t>
  </si>
  <si>
    <t>TAUX</t>
  </si>
  <si>
    <t>MONTANT</t>
  </si>
  <si>
    <t>DATE DEBUT</t>
  </si>
  <si>
    <t>DATE FIN</t>
  </si>
  <si>
    <t>$std</t>
  </si>
  <si>
    <t xml:space="preserve"> </t>
  </si>
  <si>
    <t>AP7_12-19</t>
  </si>
  <si>
    <t>MALAD</t>
  </si>
  <si>
    <t>MALAP</t>
  </si>
  <si>
    <t>CONGP</t>
  </si>
  <si>
    <t>$jour</t>
  </si>
  <si>
    <t>N7_21-04</t>
  </si>
  <si>
    <t>M7_05-12</t>
  </si>
  <si>
    <t>AP7_10-17</t>
  </si>
  <si>
    <t>M8_04-12</t>
  </si>
  <si>
    <t>Heures de nuit</t>
  </si>
  <si>
    <t>juin</t>
  </si>
  <si>
    <t>Date de début:</t>
  </si>
  <si>
    <t>CLIENT</t>
  </si>
  <si>
    <t>A IMPORTER</t>
  </si>
  <si>
    <t>CODE</t>
  </si>
  <si>
    <t>Libellé</t>
  </si>
  <si>
    <t>type1</t>
  </si>
  <si>
    <t>type2</t>
  </si>
  <si>
    <t>Impact Heures/Jours</t>
  </si>
  <si>
    <t>Code journée</t>
  </si>
  <si>
    <t>Matin</t>
  </si>
  <si>
    <t>Après-midi</t>
  </si>
  <si>
    <t>Nbre d'heures</t>
  </si>
  <si>
    <t>Paniers</t>
  </si>
  <si>
    <t>Liste salariés</t>
  </si>
  <si>
    <t>Mois</t>
  </si>
  <si>
    <t>Fériés sur la période</t>
  </si>
  <si>
    <t>date</t>
  </si>
  <si>
    <t>ABCET</t>
  </si>
  <si>
    <t>Absence CET</t>
  </si>
  <si>
    <t>$demi</t>
  </si>
  <si>
    <t>$demi2</t>
  </si>
  <si>
    <t>non</t>
  </si>
  <si>
    <t>Heures Début</t>
  </si>
  <si>
    <t>Haures fin</t>
  </si>
  <si>
    <t>Début</t>
  </si>
  <si>
    <t>Fin</t>
  </si>
  <si>
    <t>Nouvel An</t>
  </si>
  <si>
    <t>ABNAH</t>
  </si>
  <si>
    <t>Absence non autorisée en heures</t>
  </si>
  <si>
    <t>$horaire</t>
  </si>
  <si>
    <t>oui</t>
  </si>
  <si>
    <t>Oui</t>
  </si>
  <si>
    <t>Pâques</t>
  </si>
  <si>
    <t>ABNAU</t>
  </si>
  <si>
    <t>Absence non autorisée en jour(s)</t>
  </si>
  <si>
    <t>Fête du travail</t>
  </si>
  <si>
    <t>ABNRH</t>
  </si>
  <si>
    <t>Absence autorisée non rémunérée en heure(s)</t>
  </si>
  <si>
    <t>AP8_13-21</t>
  </si>
  <si>
    <t>Victoire 1945</t>
  </si>
  <si>
    <t>ABRCN</t>
  </si>
  <si>
    <t>RCN (repos compensateur de nuit)</t>
  </si>
  <si>
    <t>AP825_12-2015</t>
  </si>
  <si>
    <t>Ascension</t>
  </si>
  <si>
    <t>ABRTT</t>
  </si>
  <si>
    <t>RTT</t>
  </si>
  <si>
    <t>AP850_12-2115</t>
  </si>
  <si>
    <t>Pentecôte</t>
  </si>
  <si>
    <t>APEXR</t>
  </si>
  <si>
    <t>Absence Congé pour la préparation des examens</t>
  </si>
  <si>
    <t>APCH</t>
  </si>
  <si>
    <t>Fête Nationnale</t>
  </si>
  <si>
    <t>ARTT</t>
  </si>
  <si>
    <t>Absence journée de solidarité RTT</t>
  </si>
  <si>
    <t>HG_JF_AuvP</t>
  </si>
  <si>
    <t>Assomption</t>
  </si>
  <si>
    <t>ATRAJ</t>
  </si>
  <si>
    <t>Accident de trajet</t>
  </si>
  <si>
    <t>J7_08-15</t>
  </si>
  <si>
    <t>MAT1</t>
  </si>
  <si>
    <t>1er Novembre</t>
  </si>
  <si>
    <t>ATRAV</t>
  </si>
  <si>
    <t>Accident de travail</t>
  </si>
  <si>
    <t>J7_08-16</t>
  </si>
  <si>
    <t>Non</t>
  </si>
  <si>
    <t>MAT2</t>
  </si>
  <si>
    <t>11 Novembre</t>
  </si>
  <si>
    <t>AUTNR</t>
  </si>
  <si>
    <t>Absence autorisée non rémunérée en jour(s)</t>
  </si>
  <si>
    <t>J7_08-1630</t>
  </si>
  <si>
    <t>MAT3</t>
  </si>
  <si>
    <t>Noel</t>
  </si>
  <si>
    <t>AUTPA</t>
  </si>
  <si>
    <t>Absence autorisée payée en jour(s)</t>
  </si>
  <si>
    <t>J7_08-17</t>
  </si>
  <si>
    <t>MAT4</t>
  </si>
  <si>
    <t>AUTPH</t>
  </si>
  <si>
    <t>Absence autorisée payée en heure(s)</t>
  </si>
  <si>
    <t>J7_0830-1730</t>
  </si>
  <si>
    <t>MAT5</t>
  </si>
  <si>
    <t>Congés payés</t>
  </si>
  <si>
    <t>J7_09-16</t>
  </si>
  <si>
    <t>MAT6</t>
  </si>
  <si>
    <t>CPJS</t>
  </si>
  <si>
    <t>Absence journée solidarité CP</t>
  </si>
  <si>
    <t>J7_09-17</t>
  </si>
  <si>
    <t>MAT7</t>
  </si>
  <si>
    <t>CRECL</t>
  </si>
  <si>
    <t>Absence congé reclassement</t>
  </si>
  <si>
    <t>J7_09-1730</t>
  </si>
  <si>
    <t>MAT8</t>
  </si>
  <si>
    <t>DELCE</t>
  </si>
  <si>
    <t>Absence Délégation CE</t>
  </si>
  <si>
    <t>J750_08-17</t>
  </si>
  <si>
    <t>MAT9</t>
  </si>
  <si>
    <t>ECOL</t>
  </si>
  <si>
    <t>Absence Ecole</t>
  </si>
  <si>
    <t>J750_0830-17</t>
  </si>
  <si>
    <t>MAT10</t>
  </si>
  <si>
    <t>ENFMA</t>
  </si>
  <si>
    <t>Enfant malade</t>
  </si>
  <si>
    <t>J8_0730-12</t>
  </si>
  <si>
    <t>MAT11</t>
  </si>
  <si>
    <t>Amplitude jour</t>
  </si>
  <si>
    <t>EVFAM</t>
  </si>
  <si>
    <t>Evenements familiaux</t>
  </si>
  <si>
    <t>J8_0730-1530</t>
  </si>
  <si>
    <t>MAT12</t>
  </si>
  <si>
    <t>HFOR</t>
  </si>
  <si>
    <t>Formation (Heures)</t>
  </si>
  <si>
    <t>J8_08-17</t>
  </si>
  <si>
    <t>MAT13</t>
  </si>
  <si>
    <t>JFOR</t>
  </si>
  <si>
    <t>Formation (Jours)</t>
  </si>
  <si>
    <t>J9_0730-1630</t>
  </si>
  <si>
    <t>MAT14</t>
  </si>
  <si>
    <t>code rubrique</t>
  </si>
  <si>
    <t>valeur</t>
  </si>
  <si>
    <t>Maladie</t>
  </si>
  <si>
    <t>J9_08-17</t>
  </si>
  <si>
    <t>MAT15</t>
  </si>
  <si>
    <t>Maladie professionnelle</t>
  </si>
  <si>
    <t>JFHT0</t>
  </si>
  <si>
    <t>MAT16</t>
  </si>
  <si>
    <t>MAPNC</t>
  </si>
  <si>
    <t>Absence Mise à pied conservatoire non rémunérée</t>
  </si>
  <si>
    <t>M_05-12_CH</t>
  </si>
  <si>
    <t>MAT17</t>
  </si>
  <si>
    <t>MAPND</t>
  </si>
  <si>
    <t>Absence Mise à pied disciplinaire</t>
  </si>
  <si>
    <t>M_06-13_CH</t>
  </si>
  <si>
    <t>MAREN</t>
  </si>
  <si>
    <t>Mariage enfants</t>
  </si>
  <si>
    <t>MARSA</t>
  </si>
  <si>
    <t>Mariage salariés</t>
  </si>
  <si>
    <t>M7_0515-1215</t>
  </si>
  <si>
    <t>NAISS</t>
  </si>
  <si>
    <t>Naissance</t>
  </si>
  <si>
    <t>PACSS</t>
  </si>
  <si>
    <t>PACS salariés</t>
  </si>
  <si>
    <t>M8_05-13</t>
  </si>
  <si>
    <t>PRNEP</t>
  </si>
  <si>
    <t>Préavis non effectué payé</t>
  </si>
  <si>
    <t>M825_04-1215</t>
  </si>
  <si>
    <t>RECTT</t>
  </si>
  <si>
    <t>Récup Temps trajet</t>
  </si>
  <si>
    <t>M825_0445-13</t>
  </si>
  <si>
    <t>RECUP</t>
  </si>
  <si>
    <t>Récupération jour</t>
  </si>
  <si>
    <t>M9</t>
  </si>
  <si>
    <t>REHE</t>
  </si>
  <si>
    <t>Récupération heures</t>
  </si>
  <si>
    <t>SCCPA</t>
  </si>
  <si>
    <t>Suspension congé parental</t>
  </si>
  <si>
    <t>N8_21-05</t>
  </si>
  <si>
    <t>SCIN1</t>
  </si>
  <si>
    <t>Suspension congé invalidité catégorie 1</t>
  </si>
  <si>
    <t>N825_20-0415</t>
  </si>
  <si>
    <t>SCIN2</t>
  </si>
  <si>
    <t>Suspension congé invalidité catégorie 2</t>
  </si>
  <si>
    <t>NCH</t>
  </si>
  <si>
    <t>SCRC</t>
  </si>
  <si>
    <t>Suspension du congé de reclassement</t>
  </si>
  <si>
    <t>TT</t>
  </si>
  <si>
    <t>Infos mensuelles</t>
  </si>
  <si>
    <t>NOM-PRENOM</t>
  </si>
  <si>
    <t>JUIN</t>
  </si>
  <si>
    <t>JUIL</t>
  </si>
  <si>
    <t>AOUT</t>
  </si>
  <si>
    <t>HORAIRE THEORIQUE</t>
  </si>
  <si>
    <t>Droit</t>
  </si>
  <si>
    <t>Choix de période</t>
  </si>
  <si>
    <t>mois complet strict</t>
  </si>
  <si>
    <t>Nb jours ouvrés</t>
  </si>
  <si>
    <t>Nb jours calendaires</t>
  </si>
  <si>
    <t>Mois de paie</t>
  </si>
  <si>
    <t>JCH</t>
  </si>
  <si>
    <t>MCLI</t>
  </si>
  <si>
    <t>MCONTRAT</t>
  </si>
  <si>
    <t>MRUB</t>
  </si>
  <si>
    <t>N</t>
  </si>
  <si>
    <t>T1</t>
  </si>
  <si>
    <t>M1</t>
  </si>
  <si>
    <t>T2</t>
  </si>
  <si>
    <t>M2</t>
  </si>
  <si>
    <t>MAT18</t>
  </si>
  <si>
    <t>MAT19</t>
  </si>
  <si>
    <t>MAT20</t>
  </si>
  <si>
    <t>MAT21</t>
  </si>
  <si>
    <t>MAT22</t>
  </si>
  <si>
    <t>MAT23</t>
  </si>
  <si>
    <t>MAT24</t>
  </si>
  <si>
    <t>MAT25</t>
  </si>
  <si>
    <t>MAT26</t>
  </si>
  <si>
    <t>MAT27</t>
  </si>
  <si>
    <t>MAT28</t>
  </si>
  <si>
    <t>MAT29</t>
  </si>
  <si>
    <t>MAT30</t>
  </si>
  <si>
    <t>Matricule 1</t>
  </si>
  <si>
    <t>Matricule 2</t>
  </si>
  <si>
    <t>Matricule 3</t>
  </si>
  <si>
    <t>Matricule 4</t>
  </si>
  <si>
    <t>Matricule 5</t>
  </si>
  <si>
    <t>Matricule 6</t>
  </si>
  <si>
    <t>Matricule 7</t>
  </si>
  <si>
    <t>Matricule 8</t>
  </si>
  <si>
    <t>Matricule 9</t>
  </si>
  <si>
    <t>Matricule 10</t>
  </si>
  <si>
    <t>Matricule 11</t>
  </si>
  <si>
    <t>Matricule 12</t>
  </si>
  <si>
    <t>Matricule 13</t>
  </si>
  <si>
    <t>Matricule 14</t>
  </si>
  <si>
    <t>Matricule 15</t>
  </si>
  <si>
    <t>Matricule 16</t>
  </si>
  <si>
    <t>Matricule 17</t>
  </si>
  <si>
    <t>Matricule 18</t>
  </si>
  <si>
    <t>Matricule 19</t>
  </si>
  <si>
    <t>Matricule 20</t>
  </si>
  <si>
    <t>Matricule 21</t>
  </si>
  <si>
    <t>Matricule 22</t>
  </si>
  <si>
    <t>Matricule 23</t>
  </si>
  <si>
    <t>Matricule 24</t>
  </si>
  <si>
    <t>Matricule 25</t>
  </si>
  <si>
    <t>Matricule 26</t>
  </si>
  <si>
    <t>Matricule 27</t>
  </si>
  <si>
    <t>Matricule 28</t>
  </si>
  <si>
    <t>Matricule 29</t>
  </si>
  <si>
    <t>Matricule 30</t>
  </si>
  <si>
    <t>MANAGER</t>
  </si>
  <si>
    <t>SI(B7=1;RECHERCHEV(FEUILLE();Listes!$F:$H;3;0);SI(TEXTE(H6+1;"mmmm")&lt;&gt;TEXTE(H6;"mmmm");"";H6+1))</t>
  </si>
  <si>
    <t>je cherche une formule moins energivore (Formule non volatile)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</si>
</sst>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dd/mm/yy;@"/>
    <numFmt numFmtId="166" formatCode="[$-40C]mmm\-yy;@"/>
  </numFmts>
  <fonts count="28">
    <font>
      <sz val="10"/>
      <name val="Arial"/>
      <family val="2"/>
    </font>
    <font>
      <sz val="8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10"/>
      <name val="Arial"/>
      <family val="2"/>
    </font>
    <font>
      <b/>
      <sz val="11"/>
      <color indexed="9"/>
      <name val="Calibri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Klein Bold"/>
    </font>
    <font>
      <b/>
      <sz val="11"/>
      <color rgb="FFDAA600"/>
      <name val="Verdana"/>
      <family val="2"/>
    </font>
    <font>
      <b/>
      <sz val="11"/>
      <color theme="0"/>
      <name val="Verdana Pro Semibold"/>
      <family val="2"/>
    </font>
    <font>
      <sz val="11"/>
      <color theme="0"/>
      <name val="Verdana Pro Semibold"/>
      <family val="2"/>
    </font>
    <font>
      <b/>
      <sz val="11"/>
      <color rgb="FFFF000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2"/>
      <color rgb="FFFF0000"/>
      <name val="Verdana"/>
      <family val="2"/>
    </font>
    <font>
      <b/>
      <sz val="14"/>
      <name val="Verdana"/>
      <family val="2"/>
    </font>
    <font>
      <sz val="8"/>
      <color indexed="81"/>
      <name val="Tahoma"/>
      <family val="2"/>
    </font>
    <font>
      <b/>
      <sz val="12"/>
      <name val="Verdana"/>
      <family val="2"/>
    </font>
    <font>
      <sz val="11"/>
      <color rgb="FF9C0006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D200"/>
        <bgColor indexed="64"/>
      </patternFill>
    </fill>
    <fill>
      <patternFill patternType="solid">
        <fgColor rgb="FFE6B2AC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1D2CF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1D2CF"/>
        <bgColor indexed="64"/>
      </patternFill>
    </fill>
    <fill>
      <patternFill patternType="solid">
        <fgColor rgb="FFE6B2AC"/>
        <bgColor indexed="64"/>
      </patternFill>
    </fill>
    <fill>
      <patternFill patternType="solid">
        <fgColor indexed="54"/>
      </patternFill>
    </fill>
    <fill>
      <patternFill patternType="solid">
        <fgColor rgb="FFFFFFFF" tint="0.749992370372631"/>
        <bgColor indexed="65"/>
      </patternFill>
    </fill>
    <fill>
      <patternFill patternType="solid">
        <fgColor rgb="FFB24034"/>
        <bgColor theme="4" tint="0.79998168889431442"/>
      </patternFill>
    </fill>
    <fill>
      <patternFill patternType="solid">
        <fgColor rgb="FFFFD200"/>
        <bgColor theme="4" tint="0.79998168889431442"/>
      </patternFill>
    </fill>
    <fill>
      <patternFill patternType="solid">
        <fgColor rgb="FFDDDDDD"/>
        <bgColor indexed="64"/>
      </patternFill>
    </fill>
    <fill>
      <patternFill patternType="solid">
        <fgColor rgb="FFD5D5E3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dotted">
        <color theme="0"/>
      </right>
      <top style="dotted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0" fontId="13" fillId="0" borderId="0"/>
    <xf numFmtId="0" fontId="8" fillId="0" borderId="0"/>
    <xf numFmtId="0" fontId="27" fillId="17" borderId="0" applyNumberFormat="0" applyBorder="0" applyAlignment="0" applyProtection="0"/>
  </cellStyleXfs>
  <cellXfs count="186">
    <xf numFmtId="0" fontId="0" fillId="0" borderId="0" xfId="0"/>
    <xf numFmtId="0" fontId="2" fillId="0" borderId="0" xfId="0" applyFont="1" applyAlignment="1">
      <alignment horizontal="left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/>
    <xf numFmtId="14" fontId="10" fillId="2" borderId="0" xfId="0" applyNumberFormat="1" applyFont="1" applyFill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 applyProtection="1">
      <alignment vertical="center"/>
      <protection locked="0"/>
    </xf>
    <xf numFmtId="0" fontId="10" fillId="0" borderId="2" xfId="2" applyFont="1" applyBorder="1"/>
    <xf numFmtId="0" fontId="10" fillId="0" borderId="8" xfId="0" applyFont="1" applyBorder="1"/>
    <xf numFmtId="0" fontId="10" fillId="0" borderId="2" xfId="0" applyFont="1" applyBorder="1"/>
    <xf numFmtId="0" fontId="14" fillId="12" borderId="0" xfId="1" applyFont="1" applyFill="1"/>
    <xf numFmtId="2" fontId="10" fillId="0" borderId="2" xfId="0" applyNumberFormat="1" applyFont="1" applyBorder="1"/>
    <xf numFmtId="14" fontId="10" fillId="0" borderId="2" xfId="0" applyNumberFormat="1" applyFont="1" applyBorder="1"/>
    <xf numFmtId="0" fontId="10" fillId="0" borderId="0" xfId="0" applyFont="1" applyProtection="1">
      <protection locked="0"/>
    </xf>
    <xf numFmtId="0" fontId="10" fillId="0" borderId="10" xfId="0" applyFont="1" applyBorder="1"/>
    <xf numFmtId="0" fontId="10" fillId="0" borderId="1" xfId="0" applyFont="1" applyBorder="1"/>
    <xf numFmtId="14" fontId="10" fillId="0" borderId="1" xfId="0" applyNumberFormat="1" applyFont="1" applyBorder="1"/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10" fillId="0" borderId="3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0" xfId="0" applyFont="1" applyAlignment="1" applyProtection="1">
      <alignment horizontal="left" vertical="center"/>
      <protection locked="0"/>
    </xf>
    <xf numFmtId="0" fontId="10" fillId="10" borderId="0" xfId="0" applyFont="1" applyFill="1"/>
    <xf numFmtId="2" fontId="2" fillId="8" borderId="6" xfId="0" applyNumberFormat="1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vertical="center"/>
      <protection locked="0"/>
    </xf>
    <xf numFmtId="0" fontId="7" fillId="13" borderId="6" xfId="0" applyFont="1" applyFill="1" applyBorder="1" applyAlignment="1" applyProtection="1">
      <alignment horizontal="left" vertical="center"/>
      <protection locked="0"/>
    </xf>
    <xf numFmtId="0" fontId="5" fillId="6" borderId="11" xfId="0" applyFont="1" applyFill="1" applyBorder="1" applyAlignment="1" applyProtection="1">
      <alignment horizontal="left" vertical="center" wrapText="1"/>
      <protection locked="0"/>
    </xf>
    <xf numFmtId="0" fontId="5" fillId="4" borderId="11" xfId="0" applyFont="1" applyFill="1" applyBorder="1" applyAlignment="1" applyProtection="1">
      <alignment horizontal="left" vertical="center" wrapText="1"/>
      <protection locked="0"/>
    </xf>
    <xf numFmtId="0" fontId="5" fillId="7" borderId="11" xfId="0" applyFont="1" applyFill="1" applyBorder="1" applyAlignment="1" applyProtection="1">
      <alignment horizontal="left" vertical="center" wrapText="1"/>
      <protection locked="0"/>
    </xf>
    <xf numFmtId="0" fontId="4" fillId="7" borderId="11" xfId="0" applyFont="1" applyFill="1" applyBorder="1" applyAlignment="1" applyProtection="1">
      <alignment horizontal="left" vertical="center" wrapText="1"/>
      <protection locked="0"/>
    </xf>
    <xf numFmtId="1" fontId="9" fillId="11" borderId="11" xfId="0" applyNumberFormat="1" applyFont="1" applyFill="1" applyBorder="1" applyAlignment="1" applyProtection="1">
      <alignment horizontal="center"/>
      <protection locked="0"/>
    </xf>
    <xf numFmtId="2" fontId="9" fillId="11" borderId="11" xfId="0" applyNumberFormat="1" applyFont="1" applyFill="1" applyBorder="1" applyAlignment="1" applyProtection="1">
      <alignment horizontal="center"/>
      <protection locked="0"/>
    </xf>
    <xf numFmtId="165" fontId="9" fillId="11" borderId="11" xfId="0" applyNumberFormat="1" applyFont="1" applyFill="1" applyBorder="1" applyAlignment="1" applyProtection="1">
      <alignment horizontal="center"/>
      <protection locked="0"/>
    </xf>
    <xf numFmtId="0" fontId="9" fillId="11" borderId="11" xfId="0" applyFont="1" applyFill="1" applyBorder="1" applyAlignment="1" applyProtection="1">
      <alignment horizontal="center"/>
      <protection locked="0"/>
    </xf>
    <xf numFmtId="0" fontId="5" fillId="7" borderId="16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20" fontId="4" fillId="9" borderId="4" xfId="0" applyNumberFormat="1" applyFont="1" applyFill="1" applyBorder="1" applyAlignment="1" applyProtection="1">
      <alignment horizontal="left" vertical="center"/>
      <protection locked="0"/>
    </xf>
    <xf numFmtId="20" fontId="4" fillId="10" borderId="5" xfId="0" applyNumberFormat="1" applyFont="1" applyFill="1" applyBorder="1" applyAlignment="1" applyProtection="1">
      <alignment horizontal="left" vertical="center"/>
      <protection locked="0"/>
    </xf>
    <xf numFmtId="2" fontId="4" fillId="0" borderId="5" xfId="0" applyNumberFormat="1" applyFont="1" applyBorder="1" applyAlignment="1" applyProtection="1">
      <alignment horizontal="left" vertical="center"/>
      <protection locked="0"/>
    </xf>
    <xf numFmtId="164" fontId="4" fillId="10" borderId="5" xfId="0" applyNumberFormat="1" applyFont="1" applyFill="1" applyBorder="1" applyAlignment="1" applyProtection="1">
      <alignment horizontal="left" vertical="center"/>
      <protection locked="0"/>
    </xf>
    <xf numFmtId="164" fontId="5" fillId="4" borderId="11" xfId="0" applyNumberFormat="1" applyFont="1" applyFill="1" applyBorder="1" applyAlignment="1" applyProtection="1">
      <alignment horizontal="left" vertical="center" wrapText="1"/>
      <protection locked="0"/>
    </xf>
    <xf numFmtId="164" fontId="4" fillId="10" borderId="4" xfId="0" applyNumberFormat="1" applyFont="1" applyFill="1" applyBorder="1" applyAlignment="1" applyProtection="1">
      <alignment horizontal="left" vertical="center"/>
      <protection locked="0"/>
    </xf>
    <xf numFmtId="2" fontId="5" fillId="6" borderId="11" xfId="0" applyNumberFormat="1" applyFont="1" applyFill="1" applyBorder="1" applyAlignment="1" applyProtection="1">
      <alignment horizontal="left" vertical="center" wrapText="1"/>
      <protection locked="0"/>
    </xf>
    <xf numFmtId="2" fontId="4" fillId="9" borderId="4" xfId="0" applyNumberFormat="1" applyFont="1" applyFill="1" applyBorder="1" applyAlignment="1" applyProtection="1">
      <alignment horizontal="left" vertical="center"/>
      <protection locked="0"/>
    </xf>
    <xf numFmtId="0" fontId="23" fillId="6" borderId="11" xfId="0" applyFont="1" applyFill="1" applyBorder="1" applyAlignment="1" applyProtection="1">
      <alignment horizontal="left" vertical="center" wrapText="1"/>
      <protection locked="0"/>
    </xf>
    <xf numFmtId="0" fontId="5" fillId="14" borderId="16" xfId="0" applyFont="1" applyFill="1" applyBorder="1" applyAlignment="1" applyProtection="1">
      <alignment horizontal="left" vertical="center" wrapText="1"/>
      <protection locked="0"/>
    </xf>
    <xf numFmtId="0" fontId="17" fillId="13" borderId="0" xfId="0" applyFont="1" applyFill="1" applyAlignment="1">
      <alignment horizontal="left" vertical="center"/>
    </xf>
    <xf numFmtId="0" fontId="17" fillId="13" borderId="0" xfId="0" applyFont="1" applyFill="1" applyAlignment="1">
      <alignment vertical="center" wrapText="1"/>
    </xf>
    <xf numFmtId="0" fontId="18" fillId="13" borderId="0" xfId="0" applyFont="1" applyFill="1" applyAlignment="1">
      <alignment vertical="center" wrapText="1"/>
    </xf>
    <xf numFmtId="0" fontId="4" fillId="5" borderId="0" xfId="0" applyFont="1" applyFill="1" applyAlignment="1">
      <alignment horizontal="left" vertical="center"/>
    </xf>
    <xf numFmtId="2" fontId="4" fillId="5" borderId="0" xfId="0" applyNumberFormat="1" applyFont="1" applyFill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165" fontId="4" fillId="5" borderId="0" xfId="0" applyNumberFormat="1" applyFont="1" applyFill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1" fontId="4" fillId="5" borderId="0" xfId="0" applyNumberFormat="1" applyFont="1" applyFill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8" borderId="17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left" vertical="center" wrapText="1"/>
    </xf>
    <xf numFmtId="0" fontId="16" fillId="3" borderId="18" xfId="0" applyFont="1" applyFill="1" applyBorder="1" applyAlignment="1">
      <alignment horizontal="left" vertical="center" wrapText="1"/>
    </xf>
    <xf numFmtId="1" fontId="9" fillId="11" borderId="11" xfId="0" applyNumberFormat="1" applyFont="1" applyFill="1" applyBorder="1" applyAlignment="1">
      <alignment horizontal="center"/>
    </xf>
    <xf numFmtId="2" fontId="9" fillId="11" borderId="11" xfId="0" applyNumberFormat="1" applyFont="1" applyFill="1" applyBorder="1" applyAlignment="1">
      <alignment horizontal="center"/>
    </xf>
    <xf numFmtId="165" fontId="9" fillId="11" borderId="11" xfId="0" applyNumberFormat="1" applyFont="1" applyFill="1" applyBorder="1" applyAlignment="1">
      <alignment horizontal="center"/>
    </xf>
    <xf numFmtId="0" fontId="9" fillId="11" borderId="11" xfId="0" applyFont="1" applyFill="1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left" vertical="center"/>
    </xf>
    <xf numFmtId="2" fontId="4" fillId="0" borderId="5" xfId="0" applyNumberFormat="1" applyFont="1" applyBorder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20" fontId="4" fillId="0" borderId="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20" fontId="4" fillId="0" borderId="1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6" fontId="4" fillId="0" borderId="4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left" vertical="center"/>
    </xf>
    <xf numFmtId="20" fontId="4" fillId="0" borderId="4" xfId="0" applyNumberFormat="1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left" vertical="center"/>
    </xf>
    <xf numFmtId="164" fontId="17" fillId="13" borderId="0" xfId="0" applyNumberFormat="1" applyFont="1" applyFill="1" applyAlignment="1" applyProtection="1">
      <alignment vertical="center" wrapText="1"/>
      <protection locked="0"/>
    </xf>
    <xf numFmtId="0" fontId="17" fillId="13" borderId="0" xfId="0" applyFont="1" applyFill="1" applyAlignment="1" applyProtection="1">
      <alignment vertical="center" wrapText="1"/>
      <protection locked="0"/>
    </xf>
    <xf numFmtId="0" fontId="4" fillId="5" borderId="0" xfId="0" applyFont="1" applyFill="1" applyAlignment="1" applyProtection="1">
      <alignment horizontal="left" vertical="center"/>
      <protection locked="0"/>
    </xf>
    <xf numFmtId="0" fontId="21" fillId="3" borderId="16" xfId="0" applyFont="1" applyFill="1" applyBorder="1" applyAlignment="1" applyProtection="1">
      <alignment horizontal="center" vertical="center" wrapText="1"/>
      <protection locked="0"/>
    </xf>
    <xf numFmtId="164" fontId="20" fillId="10" borderId="16" xfId="0" applyNumberFormat="1" applyFont="1" applyFill="1" applyBorder="1" applyAlignment="1" applyProtection="1">
      <alignment vertical="center" wrapText="1"/>
      <protection locked="0"/>
    </xf>
    <xf numFmtId="0" fontId="20" fillId="10" borderId="16" xfId="0" applyFont="1" applyFill="1" applyBorder="1" applyAlignment="1" applyProtection="1">
      <alignment vertical="center" wrapText="1"/>
      <protection locked="0"/>
    </xf>
    <xf numFmtId="0" fontId="5" fillId="9" borderId="16" xfId="0" applyFont="1" applyFill="1" applyBorder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2" fontId="4" fillId="5" borderId="0" xfId="0" applyNumberFormat="1" applyFont="1" applyFill="1" applyAlignment="1" applyProtection="1">
      <alignment horizontal="left" vertical="center"/>
      <protection locked="0"/>
    </xf>
    <xf numFmtId="2" fontId="16" fillId="3" borderId="7" xfId="0" applyNumberFormat="1" applyFont="1" applyFill="1" applyBorder="1" applyAlignment="1" applyProtection="1">
      <alignment horizontal="left" vertical="center" wrapText="1"/>
      <protection locked="0"/>
    </xf>
    <xf numFmtId="2" fontId="4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/>
    <xf numFmtId="0" fontId="3" fillId="8" borderId="6" xfId="0" applyFont="1" applyFill="1" applyBorder="1"/>
    <xf numFmtId="0" fontId="2" fillId="8" borderId="6" xfId="0" applyFont="1" applyFill="1" applyBorder="1"/>
    <xf numFmtId="20" fontId="2" fillId="3" borderId="6" xfId="0" applyNumberFormat="1" applyFont="1" applyFill="1" applyBorder="1"/>
    <xf numFmtId="0" fontId="2" fillId="3" borderId="6" xfId="0" applyFont="1" applyFill="1" applyBorder="1"/>
    <xf numFmtId="0" fontId="3" fillId="5" borderId="11" xfId="0" applyFont="1" applyFill="1" applyBorder="1" applyAlignment="1">
      <alignment horizontal="left"/>
    </xf>
    <xf numFmtId="0" fontId="3" fillId="8" borderId="11" xfId="0" applyFont="1" applyFill="1" applyBorder="1"/>
    <xf numFmtId="0" fontId="2" fillId="8" borderId="11" xfId="0" applyFont="1" applyFill="1" applyBorder="1" applyAlignment="1">
      <alignment horizontal="left"/>
    </xf>
    <xf numFmtId="0" fontId="5" fillId="9" borderId="16" xfId="0" applyFont="1" applyFill="1" applyBorder="1" applyAlignment="1" applyProtection="1">
      <alignment vertical="center" wrapText="1"/>
      <protection locked="0"/>
    </xf>
    <xf numFmtId="1" fontId="9" fillId="11" borderId="5" xfId="0" applyNumberFormat="1" applyFont="1" applyFill="1" applyBorder="1" applyAlignment="1" applyProtection="1">
      <alignment horizontal="center"/>
      <protection locked="0"/>
    </xf>
    <xf numFmtId="1" fontId="9" fillId="16" borderId="0" xfId="0" applyNumberFormat="1" applyFont="1" applyFill="1" applyAlignment="1" applyProtection="1">
      <alignment horizontal="center"/>
      <protection locked="0"/>
    </xf>
    <xf numFmtId="0" fontId="3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center"/>
    </xf>
    <xf numFmtId="0" fontId="16" fillId="3" borderId="0" xfId="0" applyFont="1" applyFill="1" applyAlignment="1">
      <alignment horizontal="left" vertical="center" wrapText="1"/>
    </xf>
    <xf numFmtId="1" fontId="4" fillId="0" borderId="5" xfId="0" applyNumberFormat="1" applyFont="1" applyBorder="1" applyAlignment="1">
      <alignment horizontal="left" vertical="center"/>
    </xf>
    <xf numFmtId="0" fontId="2" fillId="3" borderId="12" xfId="0" applyFont="1" applyFill="1" applyBorder="1"/>
    <xf numFmtId="166" fontId="2" fillId="8" borderId="12" xfId="0" applyNumberFormat="1" applyFont="1" applyFill="1" applyBorder="1" applyAlignment="1">
      <alignment horizontal="left"/>
    </xf>
    <xf numFmtId="0" fontId="2" fillId="8" borderId="0" xfId="0" applyFont="1" applyFill="1"/>
    <xf numFmtId="0" fontId="26" fillId="5" borderId="16" xfId="0" applyFont="1" applyFill="1" applyBorder="1" applyAlignment="1" applyProtection="1">
      <alignment vertical="top" wrapText="1"/>
      <protection locked="0"/>
    </xf>
    <xf numFmtId="164" fontId="4" fillId="9" borderId="4" xfId="0" applyNumberFormat="1" applyFont="1" applyFill="1" applyBorder="1" applyAlignment="1" applyProtection="1">
      <alignment horizontal="left" vertical="center"/>
      <protection locked="0"/>
    </xf>
    <xf numFmtId="2" fontId="4" fillId="5" borderId="0" xfId="0" applyNumberFormat="1" applyFont="1" applyFill="1" applyAlignment="1" applyProtection="1">
      <alignment horizontal="left" vertical="center" wrapText="1"/>
      <protection locked="0"/>
    </xf>
    <xf numFmtId="0" fontId="5" fillId="7" borderId="11" xfId="0" applyFont="1" applyFill="1" applyBorder="1" applyAlignment="1">
      <alignment horizontal="left" vertical="center" wrapText="1"/>
    </xf>
    <xf numFmtId="2" fontId="4" fillId="0" borderId="0" xfId="0" applyNumberFormat="1" applyFont="1" applyAlignment="1">
      <alignment horizontal="left" vertical="center"/>
    </xf>
    <xf numFmtId="0" fontId="5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top"/>
    </xf>
    <xf numFmtId="0" fontId="4" fillId="7" borderId="11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2" fillId="0" borderId="0" xfId="0" applyNumberFormat="1" applyFont="1" applyAlignment="1" applyProtection="1">
      <alignment horizontal="left" vertical="center"/>
      <protection locked="0"/>
    </xf>
    <xf numFmtId="2" fontId="2" fillId="8" borderId="12" xfId="0" applyNumberFormat="1" applyFont="1" applyFill="1" applyBorder="1" applyAlignment="1">
      <alignment horizontal="left" wrapText="1"/>
    </xf>
    <xf numFmtId="2" fontId="2" fillId="8" borderId="12" xfId="0" applyNumberFormat="1" applyFont="1" applyFill="1" applyBorder="1" applyAlignment="1">
      <alignment horizontal="left"/>
    </xf>
    <xf numFmtId="0" fontId="3" fillId="0" borderId="6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5" borderId="11" xfId="0" applyFont="1" applyFill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3" borderId="11" xfId="0" applyFont="1" applyFill="1" applyBorder="1"/>
    <xf numFmtId="0" fontId="2" fillId="0" borderId="12" xfId="0" applyFont="1" applyBorder="1"/>
    <xf numFmtId="166" fontId="2" fillId="0" borderId="12" xfId="0" applyNumberFormat="1" applyFont="1" applyBorder="1" applyAlignment="1">
      <alignment horizontal="left"/>
    </xf>
    <xf numFmtId="14" fontId="2" fillId="3" borderId="12" xfId="0" applyNumberFormat="1" applyFont="1" applyFill="1" applyBorder="1"/>
    <xf numFmtId="14" fontId="15" fillId="8" borderId="12" xfId="0" applyNumberFormat="1" applyFont="1" applyFill="1" applyBorder="1" applyAlignment="1" applyProtection="1">
      <alignment horizontal="center" vertical="center"/>
      <protection locked="0"/>
    </xf>
    <xf numFmtId="0" fontId="2" fillId="8" borderId="12" xfId="0" applyFont="1" applyFill="1" applyBorder="1" applyAlignment="1">
      <alignment horizontal="left"/>
    </xf>
    <xf numFmtId="0" fontId="2" fillId="15" borderId="12" xfId="0" applyFont="1" applyFill="1" applyBorder="1"/>
    <xf numFmtId="0" fontId="3" fillId="8" borderId="12" xfId="0" applyFont="1" applyFill="1" applyBorder="1"/>
    <xf numFmtId="0" fontId="3" fillId="8" borderId="12" xfId="0" applyFont="1" applyFill="1" applyBorder="1" applyAlignment="1">
      <alignment horizontal="left"/>
    </xf>
    <xf numFmtId="0" fontId="3" fillId="0" borderId="12" xfId="0" applyFont="1" applyBorder="1"/>
    <xf numFmtId="0" fontId="2" fillId="8" borderId="12" xfId="0" applyFont="1" applyFill="1" applyBorder="1"/>
    <xf numFmtId="16" fontId="15" fillId="8" borderId="12" xfId="0" applyNumberFormat="1" applyFont="1" applyFill="1" applyBorder="1"/>
    <xf numFmtId="0" fontId="15" fillId="8" borderId="12" xfId="0" applyFont="1" applyFill="1" applyBorder="1"/>
    <xf numFmtId="14" fontId="15" fillId="8" borderId="12" xfId="0" applyNumberFormat="1" applyFont="1" applyFill="1" applyBorder="1" applyAlignment="1">
      <alignment horizontal="left"/>
    </xf>
    <xf numFmtId="49" fontId="15" fillId="8" borderId="12" xfId="0" applyNumberFormat="1" applyFont="1" applyFill="1" applyBorder="1"/>
    <xf numFmtId="2" fontId="2" fillId="3" borderId="12" xfId="0" applyNumberFormat="1" applyFont="1" applyFill="1" applyBorder="1"/>
    <xf numFmtId="164" fontId="15" fillId="8" borderId="12" xfId="0" applyNumberFormat="1" applyFont="1" applyFill="1" applyBorder="1"/>
    <xf numFmtId="164" fontId="15" fillId="8" borderId="12" xfId="0" applyNumberFormat="1" applyFont="1" applyFill="1" applyBorder="1" applyAlignment="1">
      <alignment horizontal="left"/>
    </xf>
    <xf numFmtId="164" fontId="15" fillId="3" borderId="12" xfId="0" applyNumberFormat="1" applyFont="1" applyFill="1" applyBorder="1"/>
    <xf numFmtId="164" fontId="15" fillId="3" borderId="12" xfId="0" applyNumberFormat="1" applyFont="1" applyFill="1" applyBorder="1" applyAlignment="1">
      <alignment horizontal="left"/>
    </xf>
    <xf numFmtId="14" fontId="2" fillId="0" borderId="12" xfId="0" applyNumberFormat="1" applyFont="1" applyBorder="1"/>
    <xf numFmtId="0" fontId="2" fillId="0" borderId="12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2" fontId="2" fillId="0" borderId="12" xfId="0" applyNumberFormat="1" applyFont="1" applyBorder="1" applyAlignment="1">
      <alignment horizontal="left"/>
    </xf>
    <xf numFmtId="2" fontId="2" fillId="0" borderId="12" xfId="0" applyNumberFormat="1" applyFont="1" applyBorder="1"/>
    <xf numFmtId="2" fontId="2" fillId="8" borderId="12" xfId="0" applyNumberFormat="1" applyFont="1" applyFill="1" applyBorder="1"/>
    <xf numFmtId="14" fontId="2" fillId="3" borderId="12" xfId="0" applyNumberFormat="1" applyFont="1" applyFill="1" applyBorder="1" applyAlignment="1">
      <alignment horizontal="left"/>
    </xf>
    <xf numFmtId="0" fontId="2" fillId="0" borderId="19" xfId="0" applyFont="1" applyBorder="1"/>
    <xf numFmtId="166" fontId="2" fillId="0" borderId="19" xfId="0" applyNumberFormat="1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15" borderId="19" xfId="0" applyFont="1" applyFill="1" applyBorder="1"/>
    <xf numFmtId="0" fontId="2" fillId="8" borderId="19" xfId="0" applyFont="1" applyFill="1" applyBorder="1"/>
    <xf numFmtId="0" fontId="2" fillId="8" borderId="7" xfId="0" applyFont="1" applyFill="1" applyBorder="1"/>
    <xf numFmtId="20" fontId="2" fillId="3" borderId="7" xfId="0" applyNumberFormat="1" applyFont="1" applyFill="1" applyBorder="1"/>
    <xf numFmtId="0" fontId="2" fillId="3" borderId="7" xfId="0" applyFont="1" applyFill="1" applyBorder="1"/>
    <xf numFmtId="2" fontId="2" fillId="8" borderId="7" xfId="0" applyNumberFormat="1" applyFont="1" applyFill="1" applyBorder="1" applyAlignment="1" applyProtection="1">
      <alignment horizontal="left" vertical="center"/>
      <protection locked="0"/>
    </xf>
    <xf numFmtId="166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2" fillId="0" borderId="0" xfId="0" applyFont="1"/>
    <xf numFmtId="14" fontId="27" fillId="17" borderId="0" xfId="3" applyNumberFormat="1" applyAlignment="1">
      <alignment horizontal="left" vertical="center"/>
    </xf>
    <xf numFmtId="0" fontId="27" fillId="17" borderId="0" xfId="3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13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horizontal="left" vertical="center"/>
    </xf>
    <xf numFmtId="2" fontId="2" fillId="18" borderId="1" xfId="0" applyNumberFormat="1" applyFont="1" applyFill="1" applyBorder="1" applyAlignment="1">
      <alignment horizontal="left" vertical="center"/>
    </xf>
    <xf numFmtId="0" fontId="2" fillId="18" borderId="0" xfId="0" applyFont="1" applyFill="1" applyAlignment="1">
      <alignment horizontal="left" vertical="center"/>
    </xf>
    <xf numFmtId="0" fontId="21" fillId="18" borderId="16" xfId="0" applyFont="1" applyFill="1" applyBorder="1" applyAlignment="1" applyProtection="1">
      <alignment horizontal="center" vertical="center" wrapText="1"/>
      <protection locked="0"/>
    </xf>
    <xf numFmtId="0" fontId="5" fillId="19" borderId="16" xfId="0" applyFont="1" applyFill="1" applyBorder="1" applyAlignment="1" applyProtection="1">
      <alignment horizontal="left" vertical="center" wrapText="1"/>
      <protection locked="0"/>
    </xf>
    <xf numFmtId="20" fontId="4" fillId="18" borderId="4" xfId="0" applyNumberFormat="1" applyFont="1" applyFill="1" applyBorder="1" applyAlignment="1" applyProtection="1">
      <alignment horizontal="left" vertical="center"/>
      <protection locked="0"/>
    </xf>
    <xf numFmtId="0" fontId="4" fillId="18" borderId="0" xfId="0" applyFont="1" applyFill="1" applyAlignment="1" applyProtection="1">
      <alignment horizontal="left" vertical="center"/>
      <protection locked="0"/>
    </xf>
    <xf numFmtId="0" fontId="17" fillId="19" borderId="0" xfId="0" applyFont="1" applyFill="1" applyAlignment="1" applyProtection="1">
      <alignment vertical="center" wrapText="1"/>
      <protection locked="0"/>
    </xf>
    <xf numFmtId="0" fontId="20" fillId="18" borderId="16" xfId="0" applyFont="1" applyFill="1" applyBorder="1" applyAlignment="1" applyProtection="1">
      <alignment vertical="center" wrapText="1"/>
      <protection locked="0"/>
    </xf>
    <xf numFmtId="0" fontId="5" fillId="19" borderId="11" xfId="0" applyFont="1" applyFill="1" applyBorder="1" applyAlignment="1" applyProtection="1">
      <alignment horizontal="left" vertical="center" wrapText="1"/>
      <protection locked="0"/>
    </xf>
    <xf numFmtId="20" fontId="4" fillId="18" borderId="5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164" fontId="4" fillId="0" borderId="0" xfId="0" applyNumberFormat="1" applyFont="1" applyFill="1" applyAlignment="1" applyProtection="1">
      <alignment horizontal="left" vertical="center"/>
      <protection locked="0"/>
    </xf>
  </cellXfs>
  <cellStyles count="4">
    <cellStyle name="Insatisfaisant" xfId="3" builtinId="27"/>
    <cellStyle name="Normal" xfId="0" builtinId="0"/>
    <cellStyle name="Normal_Feuil3 2" xfId="2" xr:uid="{A6DB0964-CFE4-45D3-8D8A-0A3CA1B377B0}"/>
    <cellStyle name="Normal_Feuil4" xfId="1" xr:uid="{3A210C44-5AC3-41FC-A4DA-EB65A6F70423}"/>
  </cellStyles>
  <dxfs count="11"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D200"/>
        </patternFill>
      </fill>
    </dxf>
    <dxf>
      <fill>
        <patternFill>
          <bgColor rgb="FFFFD200"/>
        </patternFill>
      </fill>
    </dxf>
    <dxf>
      <fill>
        <patternFill>
          <bgColor theme="0" tint="-0.24994659260841701"/>
        </patternFill>
      </fill>
    </dxf>
    <dxf>
      <fill>
        <patternFill>
          <bgColor rgb="FFFFD200"/>
        </patternFill>
      </fill>
    </dxf>
    <dxf>
      <fill>
        <patternFill>
          <bgColor rgb="FFFFD200"/>
        </patternFill>
      </fill>
    </dxf>
    <dxf>
      <fill>
        <patternFill>
          <bgColor theme="0" tint="-0.24994659260841701"/>
        </patternFill>
      </fill>
    </dxf>
    <dxf>
      <fill>
        <patternFill>
          <bgColor rgb="FFFFD200"/>
        </patternFill>
      </fill>
    </dxf>
    <dxf>
      <fill>
        <patternFill>
          <bgColor rgb="FFFFD2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24034"/>
      <color rgb="FFF1D2CF"/>
      <color rgb="FFFFD200"/>
      <color rgb="FFDDDDDD"/>
      <color rgb="FFF8EAE8"/>
      <color rgb="FFDAA600"/>
      <color rgb="FFE6B2AC"/>
      <color rgb="FFC64B3E"/>
      <color rgb="FFD7807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412750</xdr:colOff>
      <xdr:row>4</xdr:row>
      <xdr:rowOff>645584</xdr:rowOff>
    </xdr:from>
    <xdr:to>
      <xdr:col>8</xdr:col>
      <xdr:colOff>719667</xdr:colOff>
      <xdr:row>5</xdr:row>
      <xdr:rowOff>15875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8C680A37-276A-4B6F-B789-4731F2BE553F}"/>
            </a:ext>
          </a:extLst>
        </xdr:cNvPr>
        <xdr:cNvSpPr/>
      </xdr:nvSpPr>
      <xdr:spPr>
        <a:xfrm>
          <a:off x="9309100" y="1902884"/>
          <a:ext cx="306917" cy="513291"/>
        </a:xfrm>
        <a:prstGeom prst="downArrow">
          <a:avLst/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571499</xdr:colOff>
      <xdr:row>2</xdr:row>
      <xdr:rowOff>654842</xdr:rowOff>
    </xdr:from>
    <xdr:to>
      <xdr:col>52</xdr:col>
      <xdr:colOff>1083469</xdr:colOff>
      <xdr:row>3</xdr:row>
      <xdr:rowOff>144969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321617FD-0EB9-4B6E-9AE7-4ECB6B3034DB}"/>
            </a:ext>
          </a:extLst>
        </xdr:cNvPr>
        <xdr:cNvSpPr/>
      </xdr:nvSpPr>
      <xdr:spPr>
        <a:xfrm>
          <a:off x="50415824" y="1083467"/>
          <a:ext cx="511970" cy="14735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578183B5-3B2E-4656-B639-8AD8E5B95D67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B6B0AA69-3132-49E3-9C41-9DF48CF8181F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AF15774B-3E5A-4152-9D9D-0BEDF9AFC9CE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412750</xdr:colOff>
      <xdr:row>4</xdr:row>
      <xdr:rowOff>645584</xdr:rowOff>
    </xdr:from>
    <xdr:to>
      <xdr:col>8</xdr:col>
      <xdr:colOff>719667</xdr:colOff>
      <xdr:row>5</xdr:row>
      <xdr:rowOff>15875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CB17DF1F-DA63-434B-916F-3DD7F9F7F39D}"/>
            </a:ext>
          </a:extLst>
        </xdr:cNvPr>
        <xdr:cNvSpPr/>
      </xdr:nvSpPr>
      <xdr:spPr>
        <a:xfrm>
          <a:off x="9309100" y="1902884"/>
          <a:ext cx="306917" cy="513291"/>
        </a:xfrm>
        <a:prstGeom prst="downArrow">
          <a:avLst/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571499</xdr:colOff>
      <xdr:row>2</xdr:row>
      <xdr:rowOff>654842</xdr:rowOff>
    </xdr:from>
    <xdr:to>
      <xdr:col>52</xdr:col>
      <xdr:colOff>1083469</xdr:colOff>
      <xdr:row>3</xdr:row>
      <xdr:rowOff>144969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93004A2C-D38A-4D27-B2B3-6AF4B37601F8}"/>
            </a:ext>
          </a:extLst>
        </xdr:cNvPr>
        <xdr:cNvSpPr/>
      </xdr:nvSpPr>
      <xdr:spPr>
        <a:xfrm>
          <a:off x="50415824" y="1083467"/>
          <a:ext cx="511970" cy="147352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F8212E65-7401-4A75-90EF-DE43F25CF778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0272CBB2-3775-4976-988B-61F8B09D601F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425980</xdr:colOff>
      <xdr:row>4</xdr:row>
      <xdr:rowOff>369094</xdr:rowOff>
    </xdr:from>
    <xdr:to>
      <xdr:col>6</xdr:col>
      <xdr:colOff>619125</xdr:colOff>
      <xdr:row>4</xdr:row>
      <xdr:rowOff>963085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D7CFEF74-0914-4BA3-AF62-FD4B99D0B7D4}"/>
            </a:ext>
          </a:extLst>
        </xdr:cNvPr>
        <xdr:cNvSpPr/>
      </xdr:nvSpPr>
      <xdr:spPr>
        <a:xfrm>
          <a:off x="6036205" y="1626394"/>
          <a:ext cx="1250420" cy="593991"/>
        </a:xfrm>
        <a:prstGeom prst="downArrow">
          <a:avLst>
            <a:gd name="adj1" fmla="val 50000"/>
            <a:gd name="adj2" fmla="val 47351"/>
          </a:avLst>
        </a:prstGeom>
        <a:solidFill>
          <a:srgbClr val="E6B2AC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E59A-86EC-43A5-8176-63741D7B9110}">
  <sheetPr codeName="Feuil25">
    <tabColor rgb="FFFFD200"/>
  </sheetPr>
  <dimension ref="A1:Y37"/>
  <sheetViews>
    <sheetView showZeros="0" topLeftCell="B1" zoomScale="70" zoomScaleNormal="70" workbookViewId="0">
      <pane ySplit="6" topLeftCell="A7" activePane="bottomLeft" state="frozen"/>
      <selection activeCell="B6" sqref="B6"/>
      <selection pane="bottomLeft" activeCell="H7" sqref="H7"/>
    </sheetView>
  </sheetViews>
  <sheetFormatPr baseColWidth="10" defaultColWidth="11.42578125" defaultRowHeight="18" customHeight="1" outlineLevelRow="1" outlineLevelCol="2"/>
  <cols>
    <col min="1" max="1" width="12.42578125" style="55" customWidth="1"/>
    <col min="2" max="3" width="17" style="55" customWidth="1"/>
    <col min="4" max="4" width="25.28515625" style="55" customWidth="1"/>
    <col min="5" max="5" width="12.42578125" style="55" bestFit="1" customWidth="1"/>
    <col min="6" max="6" width="15.85546875" style="55" customWidth="1"/>
    <col min="7" max="8" width="16.7109375" style="55" customWidth="1"/>
    <col min="9" max="9" width="22.28515625" style="90" customWidth="1" outlineLevel="1"/>
    <col min="10" max="10" width="13.85546875" style="90" customWidth="1" outlineLevel="1"/>
    <col min="11" max="11" width="14.140625" style="90" customWidth="1" outlineLevel="1"/>
    <col min="12" max="12" width="15.5703125" style="184" customWidth="1" outlineLevel="1"/>
    <col min="13" max="13" width="13.85546875" style="184" customWidth="1" outlineLevel="1"/>
    <col min="14" max="14" width="14.140625" style="184" customWidth="1" outlineLevel="1"/>
    <col min="15" max="15" width="13.42578125" style="185" customWidth="1" outlineLevel="1"/>
    <col min="16" max="16" width="12.5703125" style="185" customWidth="1" outlineLevel="1"/>
    <col min="17" max="17" width="15.5703125" style="184" customWidth="1" outlineLevel="1"/>
    <col min="18" max="18" width="13.85546875" style="184" customWidth="1" outlineLevel="1"/>
    <col min="19" max="19" width="14.140625" style="90" customWidth="1" outlineLevel="1"/>
    <col min="20" max="20" width="13.28515625" style="90" customWidth="1" outlineLevel="1"/>
    <col min="21" max="21" width="16.28515625" style="90" customWidth="1" outlineLevel="2"/>
    <col min="22" max="22" width="19.85546875" style="55" customWidth="1" outlineLevel="1"/>
    <col min="23" max="24" width="15.85546875" style="55" customWidth="1" outlineLevel="1"/>
    <col min="25" max="25" width="17" style="116" customWidth="1" outlineLevel="1"/>
    <col min="26" max="16384" width="11.42578125" style="55"/>
  </cols>
  <sheetData>
    <row r="1" spans="1:25" ht="58.5" customHeight="1">
      <c r="A1" s="26" t="s">
        <v>0</v>
      </c>
      <c r="B1" s="47"/>
      <c r="C1" s="47"/>
      <c r="D1" s="48"/>
      <c r="E1" s="48"/>
      <c r="F1" s="48"/>
      <c r="G1" s="49"/>
      <c r="H1" s="49"/>
      <c r="I1" s="83"/>
      <c r="J1" s="83"/>
      <c r="K1" s="83"/>
      <c r="L1" s="180"/>
      <c r="M1" s="180"/>
      <c r="N1" s="83"/>
      <c r="O1" s="82"/>
      <c r="P1" s="82"/>
      <c r="Q1" s="180"/>
      <c r="R1" s="180"/>
      <c r="S1" s="83"/>
      <c r="T1" s="83"/>
      <c r="U1" s="83"/>
      <c r="V1" s="50"/>
      <c r="W1" s="50"/>
      <c r="X1" s="50"/>
      <c r="Y1" s="50"/>
    </row>
    <row r="2" spans="1:25" ht="13.5" customHeight="1">
      <c r="A2" s="56"/>
      <c r="B2" s="56"/>
      <c r="C2" s="56"/>
      <c r="D2" s="50"/>
      <c r="E2" s="50"/>
      <c r="F2" s="117"/>
      <c r="G2" s="50"/>
      <c r="H2" s="50"/>
      <c r="I2" s="84"/>
      <c r="J2" s="84"/>
      <c r="K2" s="84"/>
      <c r="L2" s="179"/>
      <c r="M2" s="179"/>
      <c r="N2" s="84"/>
      <c r="O2" s="84"/>
      <c r="P2" s="84"/>
      <c r="Q2" s="179"/>
      <c r="R2" s="179"/>
      <c r="S2" s="84"/>
      <c r="T2" s="84"/>
      <c r="U2" s="84"/>
      <c r="V2" s="50"/>
      <c r="W2" s="50"/>
      <c r="X2" s="50"/>
      <c r="Y2" s="51"/>
    </row>
    <row r="3" spans="1:25" ht="13.5" customHeight="1">
      <c r="A3" s="56"/>
      <c r="B3" s="56"/>
      <c r="C3" s="56"/>
      <c r="D3" s="50"/>
      <c r="E3" s="50"/>
      <c r="F3" s="117"/>
      <c r="G3" s="50"/>
      <c r="H3" s="50"/>
      <c r="I3" s="84"/>
      <c r="J3" s="84"/>
      <c r="K3" s="84"/>
      <c r="L3" s="179"/>
      <c r="M3" s="179"/>
      <c r="N3" s="84"/>
      <c r="O3" s="84"/>
      <c r="P3" s="84"/>
      <c r="Q3" s="179"/>
      <c r="R3" s="179"/>
      <c r="S3" s="84"/>
      <c r="T3" s="84"/>
      <c r="U3" s="84"/>
      <c r="V3" s="50"/>
      <c r="W3" s="50"/>
      <c r="X3" s="50"/>
      <c r="Y3" s="51"/>
    </row>
    <row r="4" spans="1:25" ht="13.5" customHeight="1" outlineLevel="1">
      <c r="A4" s="56"/>
      <c r="B4" s="56"/>
      <c r="C4" s="56"/>
      <c r="D4" s="50"/>
      <c r="E4" s="50"/>
      <c r="F4" s="117"/>
      <c r="G4" s="50"/>
      <c r="H4" s="50"/>
      <c r="I4" s="84"/>
      <c r="J4" s="84"/>
      <c r="K4" s="84"/>
      <c r="L4" s="179"/>
      <c r="M4" s="179"/>
      <c r="N4" s="84"/>
      <c r="O4" s="84"/>
      <c r="P4" s="84"/>
      <c r="Q4" s="179"/>
      <c r="R4" s="179"/>
      <c r="S4" s="84"/>
      <c r="T4" s="84"/>
      <c r="U4" s="84"/>
      <c r="V4" s="50"/>
      <c r="W4" s="50"/>
      <c r="X4" s="50"/>
      <c r="Y4" s="51"/>
    </row>
    <row r="5" spans="1:25" s="121" customFormat="1" ht="90" customHeight="1">
      <c r="A5" s="58"/>
      <c r="B5" s="58"/>
      <c r="C5" s="58"/>
      <c r="D5" s="58"/>
      <c r="E5" s="59"/>
      <c r="F5" s="118"/>
      <c r="G5" s="60"/>
      <c r="H5" s="60"/>
      <c r="I5" s="112"/>
      <c r="J5" s="87" t="s">
        <v>8</v>
      </c>
      <c r="K5" s="87" t="s">
        <v>9</v>
      </c>
      <c r="L5" s="176" t="s">
        <v>10</v>
      </c>
      <c r="M5" s="181" t="s">
        <v>11</v>
      </c>
      <c r="N5" s="87" t="s">
        <v>12</v>
      </c>
      <c r="O5" s="86" t="s">
        <v>8</v>
      </c>
      <c r="P5" s="86" t="s">
        <v>9</v>
      </c>
      <c r="Q5" s="176" t="s">
        <v>13</v>
      </c>
      <c r="R5" s="181" t="s">
        <v>11</v>
      </c>
      <c r="S5" s="87" t="s">
        <v>12</v>
      </c>
      <c r="T5" s="102" t="s">
        <v>14</v>
      </c>
      <c r="U5" s="88"/>
      <c r="V5" s="61"/>
      <c r="W5" s="62"/>
      <c r="X5" s="62"/>
      <c r="Y5" s="62"/>
    </row>
    <row r="6" spans="1:25" s="36" customFormat="1" ht="113.25" customHeight="1">
      <c r="A6" s="30" t="s">
        <v>35</v>
      </c>
      <c r="B6" s="30" t="s">
        <v>36</v>
      </c>
      <c r="C6" s="30" t="str">
        <f>Listes!Z1</f>
        <v>Matricule</v>
      </c>
      <c r="D6" s="30" t="str">
        <f>Listes!AA1</f>
        <v>Liste salariés</v>
      </c>
      <c r="E6" s="30" t="s">
        <v>37</v>
      </c>
      <c r="F6" s="119" t="s">
        <v>38</v>
      </c>
      <c r="G6" s="35" t="s">
        <v>39</v>
      </c>
      <c r="H6" s="35" t="s">
        <v>40</v>
      </c>
      <c r="I6" s="27" t="s">
        <v>41</v>
      </c>
      <c r="J6" s="28" t="s">
        <v>42</v>
      </c>
      <c r="K6" s="28" t="s">
        <v>43</v>
      </c>
      <c r="L6" s="177" t="s">
        <v>44</v>
      </c>
      <c r="M6" s="182" t="s">
        <v>45</v>
      </c>
      <c r="N6" s="28" t="s">
        <v>46</v>
      </c>
      <c r="O6" s="41" t="s">
        <v>42</v>
      </c>
      <c r="P6" s="41" t="s">
        <v>43</v>
      </c>
      <c r="Q6" s="177" t="s">
        <v>44</v>
      </c>
      <c r="R6" s="182" t="s">
        <v>45</v>
      </c>
      <c r="S6" s="28" t="s">
        <v>46</v>
      </c>
      <c r="T6" s="27" t="s">
        <v>47</v>
      </c>
      <c r="U6" s="45" t="s">
        <v>48</v>
      </c>
      <c r="V6" s="29" t="s">
        <v>49</v>
      </c>
      <c r="W6" s="29" t="s">
        <v>50</v>
      </c>
      <c r="X6" s="29" t="s">
        <v>51</v>
      </c>
      <c r="Y6" s="115" t="s">
        <v>52</v>
      </c>
    </row>
    <row r="7" spans="1:25" ht="18" customHeight="1">
      <c r="A7" s="69" t="str">
        <f>Listes!$AD$2</f>
        <v>MANAGER</v>
      </c>
      <c r="B7" s="108">
        <f>IF(B6="ordre",Listes!$F$25,B6+1)</f>
        <v>1</v>
      </c>
      <c r="C7" s="69" t="str" cm="1">
        <f t="array" ref="C7">INDEX(Listes!$Z$2:$Z$31,1+(ROW()-7)/31+INT((ROW()-7)/(31*30)))</f>
        <v>MAT1</v>
      </c>
      <c r="D7" s="69" t="str">
        <f>IFERROR(INDEX(Listes!Z:AA,MATCH(C7,Listes!Z:Z,0),2),"")</f>
        <v>Matricule 1</v>
      </c>
      <c r="E7" s="69" t="str">
        <f t="shared" ref="E7:E37" ca="1" si="0">(TEXT(H7,"mmmm"))</f>
        <v>juin</v>
      </c>
      <c r="F7" s="120">
        <f ca="1">IF(H7="","",_xlfn.ISOWEEKNUM(H7))</f>
        <v>22</v>
      </c>
      <c r="G7" s="78" t="str">
        <f t="shared" ref="G7:G37" ca="1" si="1">TEXT(H7,"jjjj")</f>
        <v>samedi</v>
      </c>
      <c r="H7" s="78">
        <f ca="1">IF(B7=1,VLOOKUP(_xlfn.SHEET(),Listes!$F:$H,3,0),IF(TEXT(H6+1,"mmmm")&lt;&gt;TEXT(H6,"mmmm"),"",H6+1))</f>
        <v>45444</v>
      </c>
      <c r="I7" s="37"/>
      <c r="J7" s="38">
        <f>IF(OR(I7=0,LEFT(I7,1)="A"),0,INDEX(Listes!Q:V,MATCH(I7,Listes!Q:Q,0),2))</f>
        <v>0</v>
      </c>
      <c r="K7" s="38">
        <f>IF(OR(I7=0,LEFT(I7,1)="A"),0,INDEX(Listes!Q:V,MATCH(I7,Listes!Q:Q,0),3))</f>
        <v>0</v>
      </c>
      <c r="L7" s="178"/>
      <c r="M7" s="183">
        <f>IF(L7=0,0,IF(AND(LEFT(I7,1)="M",L7&lt;&gt;0),INDEX(Listes!J:O,MATCH(L7,Listes!J:J,1),3),IF(AND(LEFT(I7,1)="N",L7&lt;&gt;0),INDEX(Listes!J:O,MATCH(L7,Listes!J:J,1),3),IF(AND(LEFT(I7,1)="A",L7&lt;&gt;0),INDEX(Listes!J:O,MATCH(L7,Listes!J:J,1),3),IF(AND(LEFT(I7,1)="J",L7&lt;&gt;0),INDEX(Listes!J:O,MATCH(L7,Listes!J:J,1),3),IF(AND(LEFT(I7,1)="T",L7&lt;&gt;0),INDEX(Listes!J:O,MATCH(L7,Listes!J:J,1),3),"horaire"))))))</f>
        <v>0</v>
      </c>
      <c r="N7" s="38">
        <f>IFERROR(IF(M7="$horaire","à compléter",IF(AND(M7="$DEMI",INDEX(Listes!J:O,MATCH(L7,Listes!J:J,1),6)="oui"),(K7-J7),0)),0)</f>
        <v>0</v>
      </c>
      <c r="O7" s="40">
        <f>IF(OR(I7=0,LEFT(I7,1)="A"),0,INDEX(Listes!Q:V,MATCH(I7,Listes!Q:Q,0),4))</f>
        <v>0</v>
      </c>
      <c r="P7" s="42">
        <f>IF(OR(I7=0,LEFT(I7,1)="A"),0,INDEX(Listes!Q:V,MATCH(I7,Listes!Q:Q,0),5))</f>
        <v>0</v>
      </c>
      <c r="Q7" s="178"/>
      <c r="R7" s="183">
        <f>IF(Q7=0,0,IF(AND(LEFT(I7,1)="M",Q7&lt;&gt;0),INDEX(Listes!J:O,MATCH(Q7,Listes!J:J,1),3),IF(AND(LEFT(I7,1)="N",Q7&lt;&gt;0),INDEX(Listes!J:O,MATCH(Q7,Listes!J:J,1),3),IF(AND(LEFT(I7,1)="A",Q7&lt;&gt;0),INDEX(Listes!J:O,MATCH(Q7,Listes!J:J,1),3),IF(AND(LEFT(I7,1)="J",Q7&lt;&gt;0),INDEX(Listes!J:O,MATCH(Q7,Listes!J:J,1),3),IF(AND(LEFT(I7,1)="T",Q7&lt;&gt;0),INDEX(Listes!J:O,MATCH(Q7,Listes!J:J,1),3),"horaire"))))))</f>
        <v>0</v>
      </c>
      <c r="S7" s="38">
        <f>IFERROR(IF(R7="$horaire","à compléter",IF(AND(R7="$DEMI",VLOOKUP(Q7,Listes!$J:$O,6,0)="oui"),(P7-O7),0)),0)</f>
        <v>0</v>
      </c>
      <c r="T7" s="37"/>
      <c r="U7" s="37">
        <f t="shared" ref="U7:U37" si="2">IF(RIGHT(I7,2)="CH","00:30",0)</f>
        <v>0</v>
      </c>
      <c r="V7" s="70">
        <f>IF(I7=0,0,INDEX(Listes!Q:V,MATCH(I7,Listes!Q:Q,1),6))</f>
        <v>0</v>
      </c>
      <c r="W7" s="71">
        <f>IF(I7=0,0,IF(AND(LEFT(I7,1)="A",O7&lt;=P7),(P7-O7)*24,IF(J7&lt;=K7,(K7-J7)*24,((Listes!$H$21-J7)*24+(K7-Listes!$H$21)*24))+IF(O7&lt;=P7,(P7-O7)*24,(Listes!$H$21-O7)*24+(P7-Listes!$G$21)*24)))-X7+(U7*24)</f>
        <v>0</v>
      </c>
      <c r="X7" s="70">
        <f>IFERROR(IF(IFERROR(VLOOKUP(L7,Listes!$J:$O,6,0),0)="oui",N7*24,0),0)+IFERROR(IF(IFERROR(VLOOKUP(Q7,Listes!$J:$O,6,0),0)="oui",S7*24,0),0)</f>
        <v>0</v>
      </c>
      <c r="Y7" s="70">
        <f t="shared" ref="Y7:Y12" ca="1" si="3">W7-V7+IF(OR(G7="samedi",G7="dimanche"),W7,0)</f>
        <v>0</v>
      </c>
    </row>
    <row r="8" spans="1:25" ht="18" customHeight="1">
      <c r="A8" s="69" t="str">
        <f>Listes!$AD$2</f>
        <v>MANAGER</v>
      </c>
      <c r="B8" s="75">
        <f>IF(B7=31,1,B7+1)</f>
        <v>2</v>
      </c>
      <c r="C8" s="69" t="str" cm="1">
        <f t="array" ref="C8">INDEX(Listes!$Z$2:$Z$31,1+(ROW()-7)/31+INT((ROW()-7)/(31*30)))</f>
        <v>MAT1</v>
      </c>
      <c r="D8" s="69" t="str">
        <f>IFERROR(INDEX(Listes!Z:AA,MATCH(C8,Listes!Z:Z,0),2),"")</f>
        <v>Matricule 1</v>
      </c>
      <c r="E8" s="75" t="str">
        <f t="shared" ca="1" si="0"/>
        <v>juin</v>
      </c>
      <c r="F8" s="120">
        <f t="shared" ref="F8:F37" ca="1" si="4">IF(H8="","",_xlfn.ISOWEEKNUM(H8))</f>
        <v>22</v>
      </c>
      <c r="G8" s="78" t="str">
        <f t="shared" ca="1" si="1"/>
        <v>dimanche</v>
      </c>
      <c r="H8" s="78">
        <f ca="1">IF(B8=1,VLOOKUP(_xlfn.SHEET(),Listes!$F:$H,3,0),IF(TEXT(H7+1,"mmmm")&lt;&gt;TEXT(H7,"mmmm"),"",H7+1))</f>
        <v>45445</v>
      </c>
      <c r="I8" s="37"/>
      <c r="J8" s="38">
        <f>IF(OR(I8=0,LEFT(I8,1)="A"),0,INDEX(Listes!Q:V,MATCH(I8,Listes!Q:Q,0),2))</f>
        <v>0</v>
      </c>
      <c r="K8" s="38">
        <f>IF(OR(I8=0,LEFT(I8,1)="A"),0,INDEX(Listes!Q:V,MATCH(I8,Listes!Q:Q,0),3))</f>
        <v>0</v>
      </c>
      <c r="L8" s="178"/>
      <c r="M8" s="183">
        <f>IF(L8=0,0,IF(AND(LEFT(I8,1)="M",L8&lt;&gt;0),INDEX(Listes!J:O,MATCH(L8,Listes!J:J,1),3),IF(AND(LEFT(I8,1)="N",L8&lt;&gt;0),INDEX(Listes!J:O,MATCH(L8,Listes!J:J,1),3),IF(AND(LEFT(I8,1)="A",L8&lt;&gt;0),INDEX(Listes!J:O,MATCH(L8,Listes!J:J,1),3),IF(AND(LEFT(I8,1)="J",L8&lt;&gt;0),INDEX(Listes!J:O,MATCH(L8,Listes!J:J,1),3),IF(AND(LEFT(I8,1)="T",L8&lt;&gt;0),INDEX(Listes!J:O,MATCH(L8,Listes!J:J,1),3),"horaire"))))))</f>
        <v>0</v>
      </c>
      <c r="N8" s="38">
        <f>IFERROR(IF(M8="$horaire","à compléter",IF(AND(M8="$DEMI",INDEX(Listes!J:O,MATCH(L8,Listes!J:J,1),6)="oui"),(K8-J8),0)),0)</f>
        <v>0</v>
      </c>
      <c r="O8" s="40">
        <f>IF(OR(I8=0,LEFT(I8,1)="A"),0,INDEX(Listes!Q:V,MATCH(I8,Listes!Q:Q,0),4))</f>
        <v>0</v>
      </c>
      <c r="P8" s="42">
        <f>IF(OR(I8=0,LEFT(I8,1)="A"),0,INDEX(Listes!Q:V,MATCH(I8,Listes!Q:Q,0),5))</f>
        <v>0</v>
      </c>
      <c r="Q8" s="178"/>
      <c r="R8" s="183">
        <f>IF(Q8=0,0,IF(AND(LEFT(I8,1)="M",Q8&lt;&gt;0),INDEX(Listes!J:O,MATCH(Q8,Listes!J:J,1),3),IF(AND(LEFT(I8,1)="N",Q8&lt;&gt;0),INDEX(Listes!J:O,MATCH(Q8,Listes!J:J,1),3),IF(AND(LEFT(I8,1)="A",Q8&lt;&gt;0),INDEX(Listes!J:O,MATCH(Q8,Listes!J:J,1),3),IF(AND(LEFT(I8,1)="J",Q8&lt;&gt;0),INDEX(Listes!J:O,MATCH(Q8,Listes!J:J,1),3),IF(AND(LEFT(I8,1)="T",Q8&lt;&gt;0),INDEX(Listes!J:O,MATCH(Q8,Listes!J:J,1),3),"horaire"))))))</f>
        <v>0</v>
      </c>
      <c r="S8" s="38">
        <f>IFERROR(IF(R8="$horaire","à compléter",IF(AND(R8="$DEMI",VLOOKUP(Q8,Listes!$J:$O,6,0)="oui"),(P8-O8),0)),0)</f>
        <v>0</v>
      </c>
      <c r="T8" s="37"/>
      <c r="U8" s="37">
        <f t="shared" si="2"/>
        <v>0</v>
      </c>
      <c r="V8" s="70">
        <f>IF(I8=0,0,INDEX(Listes!Q:V,MATCH(I8,Listes!Q:Q,1),6))</f>
        <v>0</v>
      </c>
      <c r="W8" s="71">
        <f>IF(I8=0,0,IF(AND(LEFT(I8,1)="A",O8&lt;=P8),(P8-O8)*24,IF(J8&lt;=K8,(K8-J8)*24,((Listes!$H$21-J8)*24+(K8-Listes!$H$21)*24))+IF(O8&lt;=P8,(P8-O8)*24,(Listes!$H$21-O8)*24+(P8-Listes!$G$21)*24)))-X8+(U8*24)</f>
        <v>0</v>
      </c>
      <c r="X8" s="70">
        <f>IFERROR(IF(IFERROR(VLOOKUP(L8,Listes!$J:$O,6,0),0)="oui",N8*24,0),0)+IFERROR(IF(IFERROR(VLOOKUP(Q8,Listes!$J:$O,6,0),0)="oui",S8*24,0),0)</f>
        <v>0</v>
      </c>
      <c r="Y8" s="70">
        <f t="shared" ca="1" si="3"/>
        <v>0</v>
      </c>
    </row>
    <row r="9" spans="1:25" ht="18" customHeight="1">
      <c r="A9" s="69" t="str">
        <f>Listes!$AD$2</f>
        <v>MANAGER</v>
      </c>
      <c r="B9" s="75">
        <f t="shared" ref="B9:B37" si="5">IF(B8=31,1,B8+1)</f>
        <v>3</v>
      </c>
      <c r="C9" s="69" t="str" cm="1">
        <f t="array" ref="C9">INDEX(Listes!$Z$2:$Z$31,1+(ROW()-7)/31+INT((ROW()-7)/(31*30)))</f>
        <v>MAT1</v>
      </c>
      <c r="D9" s="69" t="str">
        <f>IFERROR(INDEX(Listes!Z:AA,MATCH(C9,Listes!Z:Z,0),2),"")</f>
        <v>Matricule 1</v>
      </c>
      <c r="E9" s="77" t="str">
        <f t="shared" ca="1" si="0"/>
        <v>juin</v>
      </c>
      <c r="F9" s="120">
        <f t="shared" ca="1" si="4"/>
        <v>23</v>
      </c>
      <c r="G9" s="78" t="str">
        <f t="shared" ca="1" si="1"/>
        <v>lundi</v>
      </c>
      <c r="H9" s="78">
        <f ca="1">IF(B9=1,VLOOKUP(_xlfn.SHEET(),Listes!$F:$H,3,0),IF(TEXT(H8+1,"mmmm")&lt;&gt;TEXT(H8,"mmmm"),"",H8+1))</f>
        <v>45446</v>
      </c>
      <c r="I9" s="37" t="s">
        <v>187</v>
      </c>
      <c r="J9" s="38">
        <f>IF(OR(I9=0,LEFT(I9,1)="A"),0,INDEX(Listes!Q:V,MATCH(I9,Listes!Q:Q,0),2))</f>
        <v>0.33333333333333331</v>
      </c>
      <c r="K9" s="38">
        <f>IF(OR(I9=0,LEFT(I9,1)="A"),0,INDEX(Listes!Q:V,MATCH(I9,Listes!Q:Q,0),3))</f>
        <v>0.5</v>
      </c>
      <c r="L9" s="178" t="s">
        <v>86</v>
      </c>
      <c r="M9" s="183" t="str">
        <f>IF(L9=0,0,IF(AND(LEFT(I9,1)="M",L9&lt;&gt;0),INDEX(Listes!J:O,MATCH(L9,Listes!J:J,1),3),IF(AND(LEFT(I9,1)="N",L9&lt;&gt;0),INDEX(Listes!J:O,MATCH(L9,Listes!J:J,1),3),IF(AND(LEFT(I9,1)="A",L9&lt;&gt;0),INDEX(Listes!J:O,MATCH(L9,Listes!J:J,1),3),IF(AND(LEFT(I9,1)="J",L9&lt;&gt;0),INDEX(Listes!J:O,MATCH(L9,Listes!J:J,1),3),IF(AND(LEFT(I9,1)="T",L9&lt;&gt;0),INDEX(Listes!J:O,MATCH(L9,Listes!J:J,1),3),"horaire"))))))</f>
        <v>$jour</v>
      </c>
      <c r="N9" s="38">
        <f>IFERROR(IF(M9="$horaire","à compléter",IF(AND(M9="$DEMI",INDEX(Listes!J:O,MATCH(L9,Listes!J:J,1),6)="oui"),(K9-J9),0)),0)</f>
        <v>0</v>
      </c>
      <c r="O9" s="40">
        <f>IF(OR(I9=0,LEFT(I9,1)="A"),0,INDEX(Listes!Q:V,MATCH(I9,Listes!Q:Q,0),4))</f>
        <v>0.5625</v>
      </c>
      <c r="P9" s="42">
        <f>IF(OR(I9=0,LEFT(I9,1)="A"),0,INDEX(Listes!Q:V,MATCH(I9,Listes!Q:Q,0),5))</f>
        <v>0.70833333333333337</v>
      </c>
      <c r="Q9" s="178" t="s">
        <v>86</v>
      </c>
      <c r="R9" s="183" t="str">
        <f>IF(Q9=0,0,IF(AND(LEFT(I9,1)="M",Q9&lt;&gt;0),INDEX(Listes!J:O,MATCH(Q9,Listes!J:J,1),3),IF(AND(LEFT(I9,1)="N",Q9&lt;&gt;0),INDEX(Listes!J:O,MATCH(Q9,Listes!J:J,1),3),IF(AND(LEFT(I9,1)="A",Q9&lt;&gt;0),INDEX(Listes!J:O,MATCH(Q9,Listes!J:J,1),3),IF(AND(LEFT(I9,1)="J",Q9&lt;&gt;0),INDEX(Listes!J:O,MATCH(Q9,Listes!J:J,1),3),IF(AND(LEFT(I9,1)="T",Q9&lt;&gt;0),INDEX(Listes!J:O,MATCH(Q9,Listes!J:J,1),3),"horaire"))))))</f>
        <v>$jour</v>
      </c>
      <c r="S9" s="38">
        <f>IFERROR(IF(R9="$horaire","à compléter",IF(AND(R9="$DEMI",VLOOKUP(Q9,Listes!$J:$O,6,0)="oui"),(P9-O9),0)),0)</f>
        <v>0</v>
      </c>
      <c r="T9" s="37"/>
      <c r="U9" s="37">
        <f t="shared" si="2"/>
        <v>0</v>
      </c>
      <c r="V9" s="70">
        <f>IF(I9=0,0,INDEX(Listes!Q:V,MATCH(I9,Listes!Q:Q,1),6))</f>
        <v>7.5000000000000009</v>
      </c>
      <c r="W9" s="71">
        <f>IF(I9=0,0,IF(AND(LEFT(I9,1)="A",O9&lt;=P9),(P9-O9)*24,IF(J9&lt;=K9,(K9-J9)*24,((Listes!$H$21-J9)*24+(K9-Listes!$H$21)*24))+IF(O9&lt;=P9,(P9-O9)*24,(Listes!$H$21-O9)*24+(P9-Listes!$G$21)*24)))-X9+(U9*24)</f>
        <v>7.5000000000000009</v>
      </c>
      <c r="X9" s="70">
        <f>IFERROR(IF(IFERROR(VLOOKUP(L9,Listes!$J:$O,6,0),0)="oui",N9*24,0),0)+IFERROR(IF(IFERROR(VLOOKUP(Q9,Listes!$J:$O,6,0),0)="oui",S9*24,0),0)</f>
        <v>0</v>
      </c>
      <c r="Y9" s="70">
        <f t="shared" ca="1" si="3"/>
        <v>0</v>
      </c>
    </row>
    <row r="10" spans="1:25" ht="18" customHeight="1">
      <c r="A10" s="69" t="str">
        <f>Listes!$AD$2</f>
        <v>MANAGER</v>
      </c>
      <c r="B10" s="75">
        <f t="shared" si="5"/>
        <v>4</v>
      </c>
      <c r="C10" s="69" t="str" cm="1">
        <f t="array" ref="C10">INDEX(Listes!$Z$2:$Z$31,1+(ROW()-7)/31+INT((ROW()-7)/(31*30)))</f>
        <v>MAT1</v>
      </c>
      <c r="D10" s="69" t="str">
        <f>IFERROR(INDEX(Listes!Z:AA,MATCH(C10,Listes!Z:Z,0),2),"")</f>
        <v>Matricule 1</v>
      </c>
      <c r="E10" s="77" t="str">
        <f t="shared" ca="1" si="0"/>
        <v>juin</v>
      </c>
      <c r="F10" s="120">
        <f t="shared" ca="1" si="4"/>
        <v>23</v>
      </c>
      <c r="G10" s="78" t="str">
        <f t="shared" ca="1" si="1"/>
        <v>mardi</v>
      </c>
      <c r="H10" s="78">
        <f ca="1">IF(B10=1,VLOOKUP(_xlfn.SHEET(),Listes!$F:$H,3,0),IF(TEXT(H9+1,"mmmm")&lt;&gt;TEXT(H9,"mmmm"),"",H9+1))</f>
        <v>45447</v>
      </c>
      <c r="I10" s="37" t="s">
        <v>187</v>
      </c>
      <c r="J10" s="38">
        <f>IF(OR(I10=0,LEFT(I10,1)="A"),0,INDEX(Listes!Q:V,MATCH(I10,Listes!Q:Q,0),2))</f>
        <v>0.33333333333333331</v>
      </c>
      <c r="K10" s="38">
        <f>IF(OR(I10=0,LEFT(I10,1)="A"),0,INDEX(Listes!Q:V,MATCH(I10,Listes!Q:Q,0),3))</f>
        <v>0.5</v>
      </c>
      <c r="L10" s="178" t="s">
        <v>238</v>
      </c>
      <c r="M10" s="183" t="str">
        <f>IF(L10=0,0,IF(AND(LEFT(I10,1)="M",L10&lt;&gt;0),INDEX(Listes!J:O,MATCH(L10,Listes!J:J,1),3),IF(AND(LEFT(I10,1)="N",L10&lt;&gt;0),INDEX(Listes!J:O,MATCH(L10,Listes!J:J,1),3),IF(AND(LEFT(I10,1)="A",L10&lt;&gt;0),INDEX(Listes!J:O,MATCH(L10,Listes!J:J,1),3),IF(AND(LEFT(I10,1)="J",L10&lt;&gt;0),INDEX(Listes!J:O,MATCH(L10,Listes!J:J,1),3),IF(AND(LEFT(I10,1)="T",L10&lt;&gt;0),INDEX(Listes!J:O,MATCH(L10,Listes!J:J,1),3),"horaire"))))))</f>
        <v>$horaire</v>
      </c>
      <c r="N10" s="38" t="str">
        <f>IFERROR(IF(M10="$horaire","à compléter",IF(AND(M10="$DEMI",INDEX(Listes!J:O,MATCH(L10,Listes!J:J,1),6)="oui"),(K10-J10),0)),0)</f>
        <v>à compléter</v>
      </c>
      <c r="O10" s="40">
        <f>IF(OR(I10=0,LEFT(I10,1)="A"),0,INDEX(Listes!Q:V,MATCH(I10,Listes!Q:Q,0),4))</f>
        <v>0.5625</v>
      </c>
      <c r="P10" s="42">
        <f>IF(OR(I10=0,LEFT(I10,1)="A"),0,INDEX(Listes!Q:V,MATCH(I10,Listes!Q:Q,0),5))</f>
        <v>0.70833333333333337</v>
      </c>
      <c r="Q10" s="178" t="s">
        <v>241</v>
      </c>
      <c r="R10" s="183" t="str">
        <f>IF(Q10=0,0,IF(AND(LEFT(I10,1)="M",Q10&lt;&gt;0),INDEX(Listes!J:O,MATCH(Q10,Listes!J:J,1),3),IF(AND(LEFT(I10,1)="N",Q10&lt;&gt;0),INDEX(Listes!J:O,MATCH(Q10,Listes!J:J,1),3),IF(AND(LEFT(I10,1)="A",Q10&lt;&gt;0),INDEX(Listes!J:O,MATCH(Q10,Listes!J:J,1),3),IF(AND(LEFT(I10,1)="J",Q10&lt;&gt;0),INDEX(Listes!J:O,MATCH(Q10,Listes!J:J,1),3),IF(AND(LEFT(I10,1)="T",Q10&lt;&gt;0),INDEX(Listes!J:O,MATCH(Q10,Listes!J:J,1),3),"horaire"))))))</f>
        <v>$jour</v>
      </c>
      <c r="S10" s="38">
        <f>IFERROR(IF(R10="$horaire","à compléter",IF(AND(R10="$DEMI2",INDEX(Listes!J:O,MATCH(Q10,Listes!J:J,1),6)="oui"),(P10-O10),0)),0)</f>
        <v>0</v>
      </c>
      <c r="T10" s="37"/>
      <c r="U10" s="37">
        <f t="shared" si="2"/>
        <v>0</v>
      </c>
      <c r="V10" s="70">
        <f>IF(I10=0,0,INDEX(Listes!Q:V,MATCH(I10,Listes!Q:Q,1),6))</f>
        <v>7.5000000000000009</v>
      </c>
      <c r="W10" s="71">
        <f>IF(I10=0,0,IF(AND(LEFT(I10,1)="A",O10&lt;=P10),(P10-O10)*24,IF(J10&lt;=K10,(K10-J10)*24,((Listes!$H$21-J10)*24+(K10-Listes!$H$21)*24))+IF(O10&lt;=P10,(P10-O10)*24,(Listes!$H$21-O10)*24+(P10-Listes!$G$21)*24)))-X10+(U10*24)</f>
        <v>7.5000000000000009</v>
      </c>
      <c r="X10" s="70">
        <f>IFERROR(IF(IFERROR(INDEX(Listes!J:O,MATCH(L10,Listes!J:J,1),6),0)="oui",N10*24,0),0)+IFERROR(IF(IFERROR(INDEX(Listes!J:O,MATCH(Q10,Listes!J:J,1),6),0)="oui",S10*24,0),0)</f>
        <v>0</v>
      </c>
      <c r="Y10" s="70">
        <f t="shared" ca="1" si="3"/>
        <v>0</v>
      </c>
    </row>
    <row r="11" spans="1:25" ht="18" customHeight="1">
      <c r="A11" s="69" t="str">
        <f>Listes!$AD$2</f>
        <v>MANAGER</v>
      </c>
      <c r="B11" s="75">
        <f t="shared" si="5"/>
        <v>5</v>
      </c>
      <c r="C11" s="69" t="str" cm="1">
        <f t="array" ref="C11">INDEX(Listes!$Z$2:$Z$31,1+(ROW()-7)/31+INT((ROW()-7)/(31*30)))</f>
        <v>MAT1</v>
      </c>
      <c r="D11" s="69" t="str">
        <f>IFERROR(INDEX(Listes!Z:AA,MATCH(C11,Listes!Z:Z,0),2),"")</f>
        <v>Matricule 1</v>
      </c>
      <c r="E11" s="77" t="str">
        <f t="shared" ca="1" si="0"/>
        <v>juin</v>
      </c>
      <c r="F11" s="120">
        <f t="shared" ca="1" si="4"/>
        <v>23</v>
      </c>
      <c r="G11" s="78" t="str">
        <f t="shared" ca="1" si="1"/>
        <v>mercredi</v>
      </c>
      <c r="H11" s="78">
        <f ca="1">IF(B11=1,VLOOKUP(_xlfn.SHEET(),Listes!$F:$H,3,0),IF(TEXT(H10+1,"mmmm")&lt;&gt;TEXT(H10,"mmmm"),"",H10+1))</f>
        <v>45448</v>
      </c>
      <c r="I11" s="37" t="s">
        <v>187</v>
      </c>
      <c r="J11" s="38">
        <f>IF(OR(I11=0,LEFT(I11,1)="A"),0,INDEX(Listes!Q:V,MATCH(I11,Listes!Q:Q,0),2))</f>
        <v>0.33333333333333331</v>
      </c>
      <c r="K11" s="38">
        <f>IF(OR(I11=0,LEFT(I11,1)="A"),0,INDEX(Listes!Q:V,MATCH(I11,Listes!Q:Q,0),3))</f>
        <v>0.5</v>
      </c>
      <c r="L11" s="178"/>
      <c r="M11" s="183">
        <f>IF(L11=0,0,IF(AND(LEFT(I11,1)="M",L11&lt;&gt;0),INDEX(Listes!J:O,MATCH(L11,Listes!J:J,1),3),IF(AND(LEFT(I11,1)="N",L11&lt;&gt;0),INDEX(Listes!J:O,MATCH(L11,Listes!J:J,1),3),IF(AND(LEFT(I11,1)="A",L11&lt;&gt;0),INDEX(Listes!J:O,MATCH(L11,Listes!J:J,1),3),IF(AND(LEFT(I11,1)="J",L11&lt;&gt;0),INDEX(Listes!J:O,MATCH(L11,Listes!J:J,1),3),IF(AND(LEFT(I11,1)="T",L11&lt;&gt;0),INDEX(Listes!J:O,MATCH(L11,Listes!J:J,1),3),"horaire"))))))</f>
        <v>0</v>
      </c>
      <c r="N11" s="38">
        <f>IFERROR(IF(M11="$horaire","à compléter",IF(AND(M11="$DEMI",INDEX(Listes!J:O,MATCH(L11,Listes!J:J,1),6)="oui"),(K11-J11),0)),0)</f>
        <v>0</v>
      </c>
      <c r="O11" s="40">
        <f>IF(OR(I11=0,LEFT(I11,1)="A"),0,INDEX(Listes!Q:V,MATCH(I11,Listes!Q:Q,0),4))</f>
        <v>0.5625</v>
      </c>
      <c r="P11" s="42">
        <f>IF(OR(I11=0,LEFT(I11,1)="A"),0,INDEX(Listes!Q:V,MATCH(I11,Listes!Q:Q,0),5))</f>
        <v>0.70833333333333337</v>
      </c>
      <c r="Q11" s="178" t="s">
        <v>244</v>
      </c>
      <c r="R11" s="183" t="str">
        <f>IF(Q11=0,0,IF(AND(LEFT(I11,1)="M",Q11&lt;&gt;0),INDEX(Listes!J:O,MATCH(Q11,Listes!J:J,1),3),IF(AND(LEFT(I11,1)="N",Q11&lt;&gt;0),INDEX(Listes!J:O,MATCH(Q11,Listes!J:J,1),3),IF(AND(LEFT(I11,1)="A",Q11&lt;&gt;0),INDEX(Listes!J:O,MATCH(Q11,Listes!J:J,1),3),IF(AND(LEFT(I11,1)="J",Q11&lt;&gt;0),INDEX(Listes!J:O,MATCH(Q11,Listes!J:J,1),3),IF(AND(LEFT(I11,1)="T",Q11&lt;&gt;0),INDEX(Listes!J:O,MATCH(Q11,Listes!J:J,1),3),"horaire"))))))</f>
        <v>$horaire</v>
      </c>
      <c r="S11" s="38" t="str">
        <f>IFERROR(IF(R11="$horaire","à compléter",IF(AND(R11="$DEMI2",INDEX(Listes!J:O,MATCH(Q11,Listes!J:J,1),6)="oui"),(P11-O11),0)),0)</f>
        <v>à compléter</v>
      </c>
      <c r="T11" s="37"/>
      <c r="U11" s="37">
        <f t="shared" si="2"/>
        <v>0</v>
      </c>
      <c r="V11" s="70">
        <f>IF(I11=0,0,INDEX(Listes!Q:V,MATCH(I11,Listes!Q:Q,1),6))</f>
        <v>7.5000000000000009</v>
      </c>
      <c r="W11" s="71">
        <f>IF(I11=0,0,IF(AND(LEFT(I11,1)="A",O11&lt;=P11),(P11-O11)*24,IF(J11&lt;=K11,(K11-J11)*24,((Listes!$H$21-J11)*24+(K11-Listes!$H$21)*24))+IF(O11&lt;=P11,(P11-O11)*24,(Listes!$H$21-O11)*24+(P11-Listes!$G$21)*24)))-X11+(U11*24)</f>
        <v>7.5000000000000009</v>
      </c>
      <c r="X11" s="70">
        <f>IFERROR(IF(IFERROR(INDEX(Listes!J:O,MATCH(L11,Listes!J:J,1),6),0)="oui",N11*24,0),0)+IFERROR(IF(IFERROR(INDEX(Listes!J:O,MATCH(Q11,Listes!J:J,1),6),0)="oui",S11*24,0),0)</f>
        <v>0</v>
      </c>
      <c r="Y11" s="70">
        <f t="shared" ca="1" si="3"/>
        <v>0</v>
      </c>
    </row>
    <row r="12" spans="1:25" ht="18" customHeight="1">
      <c r="A12" s="69" t="str">
        <f>Listes!$AD$2</f>
        <v>MANAGER</v>
      </c>
      <c r="B12" s="75">
        <f t="shared" si="5"/>
        <v>6</v>
      </c>
      <c r="C12" s="69" t="str" cm="1">
        <f t="array" ref="C12">INDEX(Listes!$Z$2:$Z$31,1+(ROW()-7)/31+INT((ROW()-7)/(31*30)))</f>
        <v>MAT1</v>
      </c>
      <c r="D12" s="69" t="str">
        <f>IFERROR(INDEX(Listes!Z:AA,MATCH(C12,Listes!Z:Z,0),2),"")</f>
        <v>Matricule 1</v>
      </c>
      <c r="E12" s="77" t="str">
        <f t="shared" ca="1" si="0"/>
        <v>juin</v>
      </c>
      <c r="F12" s="120">
        <f t="shared" ca="1" si="4"/>
        <v>23</v>
      </c>
      <c r="G12" s="78" t="str">
        <f t="shared" ca="1" si="1"/>
        <v>jeudi</v>
      </c>
      <c r="H12" s="78">
        <f ca="1">IF(B12=1,VLOOKUP(_xlfn.SHEET(),Listes!$F:$H,3,0),IF(TEXT(H11+1,"mmmm")&lt;&gt;TEXT(H11,"mmmm"),"",H11+1))</f>
        <v>45449</v>
      </c>
      <c r="I12" s="37" t="s">
        <v>187</v>
      </c>
      <c r="J12" s="38">
        <f>IF(OR(I12=0,LEFT(I12,1)="A"),0,INDEX(Listes!Q:V,MATCH(I12,Listes!Q:Q,0),2))</f>
        <v>0.33333333333333331</v>
      </c>
      <c r="K12" s="38">
        <f>IF(OR(I12=0,LEFT(I12,1)="A"),0,INDEX(Listes!Q:V,MATCH(I12,Listes!Q:Q,0),3))</f>
        <v>0.5</v>
      </c>
      <c r="L12" s="178"/>
      <c r="M12" s="183">
        <f>IF(L12=0,0,IF(AND(LEFT(I12,1)="M",L12&lt;&gt;0),INDEX(Listes!J:O,MATCH(L12,Listes!J:J,1),3),IF(AND(LEFT(I12,1)="N",L12&lt;&gt;0),INDEX(Listes!J:O,MATCH(L12,Listes!J:J,1),3),IF(AND(LEFT(I12,1)="A",L12&lt;&gt;0),INDEX(Listes!J:O,MATCH(L12,Listes!J:J,1),3),IF(AND(LEFT(I12,1)="J",L12&lt;&gt;0),INDEX(Listes!J:O,MATCH(L12,Listes!J:J,1),3),IF(AND(LEFT(I12,1)="T",L12&lt;&gt;0),INDEX(Listes!J:O,MATCH(L12,Listes!J:J,1),3),"horaire"))))))</f>
        <v>0</v>
      </c>
      <c r="N12" s="38">
        <f>IFERROR(IF(M12="$horaire","à compléter",IF(AND(M12="$DEMI",INDEX(Listes!J:O,MATCH(L12,Listes!J:J,1),6)="oui"),(K12-J12),0)),0)</f>
        <v>0</v>
      </c>
      <c r="O12" s="40">
        <f>IF(OR(I12=0,LEFT(I12,1)="A"),0,INDEX(Listes!Q:V,MATCH(I12,Listes!Q:Q,0),4))</f>
        <v>0.5625</v>
      </c>
      <c r="P12" s="42">
        <f>IF(OR(I12=0,LEFT(I12,1)="A"),0,INDEX(Listes!Q:V,MATCH(I12,Listes!Q:Q,0),5))</f>
        <v>0.70833333333333337</v>
      </c>
      <c r="Q12" s="178"/>
      <c r="R12" s="183">
        <f>IF(Q12=0,0,IF(AND(LEFT(I12,1)="M",Q12&lt;&gt;0),INDEX(Listes!J:O,MATCH(Q12,Listes!J:J,1),3),IF(AND(LEFT(I12,1)="N",Q12&lt;&gt;0),INDEX(Listes!J:O,MATCH(Q12,Listes!J:J,1),3),IF(AND(LEFT(I12,1)="A",Q12&lt;&gt;0),INDEX(Listes!J:O,MATCH(Q12,Listes!J:J,1),3),IF(AND(LEFT(I12,1)="J",Q12&lt;&gt;0),INDEX(Listes!J:O,MATCH(Q12,Listes!J:J,1),3),IF(AND(LEFT(I12,1)="T",Q12&lt;&gt;0),INDEX(Listes!J:O,MATCH(Q12,Listes!J:J,1),3),"horaire"))))))</f>
        <v>0</v>
      </c>
      <c r="S12" s="38">
        <f>IFERROR(IF(R12="$horaire","à compléter",IF(AND(R12="$DEMI2",INDEX(Listes!J:O,MATCH(Q12,Listes!J:J,1),6)="oui"),(P12-O12),0)),0)</f>
        <v>0</v>
      </c>
      <c r="T12" s="37"/>
      <c r="U12" s="37">
        <f t="shared" si="2"/>
        <v>0</v>
      </c>
      <c r="V12" s="70">
        <f>IF(I12=0,0,INDEX(Listes!Q:V,MATCH(I12,Listes!Q:Q,1),6))</f>
        <v>7.5000000000000009</v>
      </c>
      <c r="W12" s="71">
        <f>IF(I12=0,0,IF(AND(LEFT(I12,1)="A",O12&lt;=P12),(P12-O12)*24,IF(J12&lt;=K12,(K12-J12)*24,((Listes!$H$21-J12)*24+(K12-Listes!$H$21)*24))+IF(O12&lt;=P12,(P12-O12)*24,(Listes!$H$21-O12)*24+(P12-Listes!$G$21)*24)))-X12+(U12*24)</f>
        <v>7.5000000000000009</v>
      </c>
      <c r="X12" s="70">
        <f>IFERROR(IF(IFERROR(INDEX(Listes!J:O,MATCH(L12,Listes!J:J,1),6),0)="oui",N12*24,0),0)+IFERROR(IF(IFERROR(INDEX(Listes!J:O,MATCH(Q12,Listes!J:J,1),6),0)="oui",S12*24,0),0)</f>
        <v>0</v>
      </c>
      <c r="Y12" s="70">
        <f t="shared" ca="1" si="3"/>
        <v>0</v>
      </c>
    </row>
    <row r="13" spans="1:25" ht="18" customHeight="1">
      <c r="A13" s="69" t="str">
        <f>Listes!$AD$2</f>
        <v>MANAGER</v>
      </c>
      <c r="B13" s="75">
        <f t="shared" si="5"/>
        <v>7</v>
      </c>
      <c r="C13" s="69" t="str" cm="1">
        <f t="array" ref="C13">INDEX(Listes!$Z$2:$Z$31,1+(ROW()-7)/31+INT((ROW()-7)/(31*30)))</f>
        <v>MAT1</v>
      </c>
      <c r="D13" s="69" t="str">
        <f>IFERROR(INDEX(Listes!Z:AA,MATCH(C13,Listes!Z:Z,0),2),"")</f>
        <v>Matricule 1</v>
      </c>
      <c r="E13" s="77" t="str">
        <f t="shared" ca="1" si="0"/>
        <v>juin</v>
      </c>
      <c r="F13" s="120">
        <f t="shared" ca="1" si="4"/>
        <v>23</v>
      </c>
      <c r="G13" s="78" t="str">
        <f t="shared" ca="1" si="1"/>
        <v>vendredi</v>
      </c>
      <c r="H13" s="78">
        <f ca="1">IF(B13=1,VLOOKUP(_xlfn.SHEET(),Listes!$F:$H,3,0),IF(TEXT(H12+1,"mmmm")&lt;&gt;TEXT(H12,"mmmm"),"",H12+1))</f>
        <v>45450</v>
      </c>
      <c r="I13" s="37" t="s">
        <v>187</v>
      </c>
      <c r="J13" s="38">
        <f>IF(OR(I13=0,LEFT(I13,1)="A"),0,INDEX(Listes!Q:V,MATCH(I13,Listes!Q:Q,0),2))</f>
        <v>0.33333333333333331</v>
      </c>
      <c r="K13" s="38">
        <f>IF(OR(I13=0,LEFT(I13,1)="A"),0,INDEX(Listes!Q:V,MATCH(I13,Listes!Q:Q,0),3))</f>
        <v>0.5</v>
      </c>
      <c r="L13" s="178"/>
      <c r="M13" s="183">
        <f>IF(L13=0,0,IF(AND(LEFT(I13,1)="M",L13&lt;&gt;0),INDEX(Listes!J:O,MATCH(L13,Listes!J:J,1),3),IF(AND(LEFT(I13,1)="N",L13&lt;&gt;0),INDEX(Listes!J:O,MATCH(L13,Listes!J:J,1),3),IF(AND(LEFT(I13,1)="A",L13&lt;&gt;0),INDEX(Listes!J:O,MATCH(L13,Listes!J:J,1),3),IF(AND(LEFT(I13,1)="J",L13&lt;&gt;0),INDEX(Listes!J:O,MATCH(L13,Listes!J:J,1),3),IF(AND(LEFT(I13,1)="T",L13&lt;&gt;0),INDEX(Listes!J:O,MATCH(L13,Listes!J:J,1),3),"horaire"))))))</f>
        <v>0</v>
      </c>
      <c r="N13" s="38">
        <f>IFERROR(IF(M13="$horaire","à compléter",IF(AND(M13="$DEMI",INDEX(Listes!J:O,MATCH(L13,Listes!J:J,1),6)="oui"),(K13-J13),0)),0)</f>
        <v>0</v>
      </c>
      <c r="O13" s="40">
        <f>IF(OR(I13=0,LEFT(I13,1)="A"),0,INDEX(Listes!Q:V,MATCH(I13,Listes!Q:Q,0),4))</f>
        <v>0.5625</v>
      </c>
      <c r="P13" s="42">
        <f>IF(OR(I13=0,LEFT(I13,1)="A"),0,INDEX(Listes!Q:V,MATCH(I13,Listes!Q:Q,0),5))</f>
        <v>0.70833333333333337</v>
      </c>
      <c r="Q13" s="178"/>
      <c r="R13" s="183">
        <f>IF(Q13=0,0,IF(AND(LEFT(I13,1)="M",Q13&lt;&gt;0),INDEX(Listes!J:O,MATCH(Q13,Listes!J:J,1),3),IF(AND(LEFT(I13,1)="N",Q13&lt;&gt;0),INDEX(Listes!J:O,MATCH(Q13,Listes!J:J,1),3),IF(AND(LEFT(I13,1)="A",Q13&lt;&gt;0),INDEX(Listes!J:O,MATCH(Q13,Listes!J:J,1),3),IF(AND(LEFT(I13,1)="J",Q13&lt;&gt;0),INDEX(Listes!J:O,MATCH(Q13,Listes!J:J,1),3),IF(AND(LEFT(I13,1)="T",Q13&lt;&gt;0),INDEX(Listes!J:O,MATCH(Q13,Listes!J:J,1),3),"horaire"))))))</f>
        <v>0</v>
      </c>
      <c r="S13" s="38">
        <f>IFERROR(IF(R13="$horaire","à compléter",IF(AND(R13="$DEMI2",INDEX(Listes!J:O,MATCH(Q13,Listes!J:J,1),6)="oui"),(P13-O13),0)),0)</f>
        <v>0</v>
      </c>
      <c r="T13" s="37"/>
      <c r="U13" s="37">
        <f t="shared" si="2"/>
        <v>0</v>
      </c>
      <c r="V13" s="70">
        <f>IF(I13=0,0,INDEX(Listes!Q:V,MATCH(I13,Listes!Q:Q,1),6))</f>
        <v>7.5000000000000009</v>
      </c>
      <c r="W13" s="71">
        <f>IF(I13=0,0,IF(AND(LEFT(I13,1)="A",O13&lt;=P13),(P13-O13)*24,IF(J13&lt;=K13,(K13-J13)*24,((Listes!$H$21-J13)*24+(K13-Listes!$H$21)*24))+IF(O13&lt;=P13,(P13-O13)*24,(Listes!$H$21-O13)*24+(P13-Listes!$G$21)*24)))-X13+(U13*24)</f>
        <v>7.5000000000000009</v>
      </c>
      <c r="X13" s="70">
        <f>IFERROR(IF(IFERROR(INDEX(Listes!J:O,MATCH(L13,Listes!J:J,1),6),0)="oui",N13*24,0),0)+IFERROR(IF(IFERROR(INDEX(Listes!J:O,MATCH(Q13,Listes!J:J,1),6),0)="oui",S13*24,0),0)</f>
        <v>0</v>
      </c>
      <c r="Y13" s="70">
        <f ca="1">W13-V13+IF(OR(G13="samedi",G13="dimanche"),W13,0)</f>
        <v>0</v>
      </c>
    </row>
    <row r="14" spans="1:25" ht="18" customHeight="1">
      <c r="A14" s="69" t="str">
        <f>Listes!$AD$2</f>
        <v>MANAGER</v>
      </c>
      <c r="B14" s="75">
        <f t="shared" si="5"/>
        <v>8</v>
      </c>
      <c r="C14" s="69" t="str" cm="1">
        <f t="array" ref="C14">INDEX(Listes!$Z$2:$Z$31,1+(ROW()-7)/31+INT((ROW()-7)/(31*30)))</f>
        <v>MAT1</v>
      </c>
      <c r="D14" s="69" t="str">
        <f>IFERROR(INDEX(Listes!Z:AA,MATCH(C14,Listes!Z:Z,0),2),"")</f>
        <v>Matricule 1</v>
      </c>
      <c r="E14" s="77" t="str">
        <f t="shared" ca="1" si="0"/>
        <v>juin</v>
      </c>
      <c r="F14" s="120">
        <f t="shared" ca="1" si="4"/>
        <v>23</v>
      </c>
      <c r="G14" s="78" t="str">
        <f t="shared" ca="1" si="1"/>
        <v>samedi</v>
      </c>
      <c r="H14" s="78">
        <f ca="1">IF(B14=1,VLOOKUP(_xlfn.SHEET(),Listes!$F:$H,3,0),IF(TEXT(H13+1,"mmmm")&lt;&gt;TEXT(H13,"mmmm"),"",H13+1))</f>
        <v>45451</v>
      </c>
      <c r="I14" s="37" t="s">
        <v>187</v>
      </c>
      <c r="J14" s="38">
        <f>IF(OR(I14=0,LEFT(I14,1)="A"),0,INDEX(Listes!Q:V,MATCH(I14,Listes!Q:Q,0),2))</f>
        <v>0.33333333333333331</v>
      </c>
      <c r="K14" s="38">
        <f>IF(OR(I14=0,LEFT(I14,1)="A"),0,INDEX(Listes!Q:V,MATCH(I14,Listes!Q:Q,0),3))</f>
        <v>0.5</v>
      </c>
      <c r="L14" s="178"/>
      <c r="M14" s="183">
        <f>IF(L14=0,0,IF(AND(LEFT(I14,1)="M",L14&lt;&gt;0),INDEX(Listes!J:O,MATCH(L14,Listes!J:J,1),3),IF(AND(LEFT(I14,1)="N",L14&lt;&gt;0),INDEX(Listes!J:O,MATCH(L14,Listes!J:J,1),3),IF(AND(LEFT(I14,1)="A",L14&lt;&gt;0),INDEX(Listes!J:O,MATCH(L14,Listes!J:J,1),3),IF(AND(LEFT(I14,1)="J",L14&lt;&gt;0),INDEX(Listes!J:O,MATCH(L14,Listes!J:J,1),3),IF(AND(LEFT(I14,1)="T",L14&lt;&gt;0),INDEX(Listes!J:O,MATCH(L14,Listes!J:J,1),3),"horaire"))))))</f>
        <v>0</v>
      </c>
      <c r="N14" s="38">
        <f>IFERROR(IF(M14="$horaire","à compléter",IF(AND(M14="$DEMI",INDEX(Listes!J:O,MATCH(L14,Listes!J:J,1),6)="oui"),(K14-J14),0)),0)</f>
        <v>0</v>
      </c>
      <c r="O14" s="40">
        <f>IF(OR(I14=0,LEFT(I14,1)="A"),0,INDEX(Listes!Q:V,MATCH(I14,Listes!Q:Q,0),4))</f>
        <v>0.5625</v>
      </c>
      <c r="P14" s="42">
        <f>IF(OR(I14=0,LEFT(I14,1)="A"),0,INDEX(Listes!Q:V,MATCH(I14,Listes!Q:Q,0),5))</f>
        <v>0.70833333333333337</v>
      </c>
      <c r="Q14" s="178"/>
      <c r="R14" s="183">
        <f>IF(Q14=0,0,IF(AND(LEFT(I14,1)="M",Q14&lt;&gt;0),INDEX(Listes!J:O,MATCH(Q14,Listes!J:J,1),3),IF(AND(LEFT(I14,1)="N",Q14&lt;&gt;0),INDEX(Listes!J:O,MATCH(Q14,Listes!J:J,1),3),IF(AND(LEFT(I14,1)="A",Q14&lt;&gt;0),INDEX(Listes!J:O,MATCH(Q14,Listes!J:J,1),3),IF(AND(LEFT(I14,1)="J",Q14&lt;&gt;0),INDEX(Listes!J:O,MATCH(Q14,Listes!J:J,1),3),IF(AND(LEFT(I14,1)="T",Q14&lt;&gt;0),INDEX(Listes!J:O,MATCH(Q14,Listes!J:J,1),3),"horaire"))))))</f>
        <v>0</v>
      </c>
      <c r="S14" s="38">
        <f>IFERROR(IF(R14="$horaire","à compléter",IF(AND(R14="$DEMI2",INDEX(Listes!J:O,MATCH(Q14,Listes!J:J,1),6)="oui"),(P14-O14),0)),0)</f>
        <v>0</v>
      </c>
      <c r="T14" s="37"/>
      <c r="U14" s="37">
        <f t="shared" si="2"/>
        <v>0</v>
      </c>
      <c r="V14" s="70">
        <f>IF(I14=0,0,INDEX(Listes!Q:V,MATCH(I14,Listes!Q:Q,1),6))</f>
        <v>7.5000000000000009</v>
      </c>
      <c r="W14" s="71">
        <f>IF(I14=0,0,IF(AND(LEFT(I14,1)="A",O14&lt;=P14),(P14-O14)*24,IF(J14&lt;=K14,(K14-J14)*24,((Listes!$H$21-J14)*24+(K14-Listes!$H$21)*24))+IF(O14&lt;=P14,(P14-O14)*24,(Listes!$H$21-O14)*24+(P14-Listes!$G$21)*24)))-X14+(U14*24)</f>
        <v>7.5000000000000009</v>
      </c>
      <c r="X14" s="70">
        <f>IFERROR(IF(IFERROR(INDEX(Listes!J:O,MATCH(L14,Listes!J:J,1),6),0)="oui",N14*24,0),0)+IFERROR(IF(IFERROR(INDEX(Listes!J:O,MATCH(Q14,Listes!J:J,1),6),0)="oui",S14*24,0),0)</f>
        <v>0</v>
      </c>
      <c r="Y14" s="70">
        <f t="shared" ref="Y14:Y37" ca="1" si="6">W14-V14+IF(OR(G14="samedi",G14="dimanche"),W14,0)</f>
        <v>7.5000000000000009</v>
      </c>
    </row>
    <row r="15" spans="1:25" ht="18" customHeight="1">
      <c r="A15" s="69" t="str">
        <f>Listes!$AD$2</f>
        <v>MANAGER</v>
      </c>
      <c r="B15" s="75">
        <f t="shared" si="5"/>
        <v>9</v>
      </c>
      <c r="C15" s="69" t="str" cm="1">
        <f t="array" ref="C15">INDEX(Listes!$Z$2:$Z$31,1+(ROW()-7)/31+INT((ROW()-7)/(31*30)))</f>
        <v>MAT1</v>
      </c>
      <c r="D15" s="69" t="str">
        <f>IFERROR(INDEX(Listes!Z:AA,MATCH(C15,Listes!Z:Z,0),2),"")</f>
        <v>Matricule 1</v>
      </c>
      <c r="E15" s="77" t="str">
        <f t="shared" ca="1" si="0"/>
        <v>juin</v>
      </c>
      <c r="F15" s="120">
        <f t="shared" ca="1" si="4"/>
        <v>23</v>
      </c>
      <c r="G15" s="78" t="str">
        <f t="shared" ca="1" si="1"/>
        <v>dimanche</v>
      </c>
      <c r="H15" s="78">
        <f ca="1">IF(B15=1,VLOOKUP(_xlfn.SHEET(),Listes!$F:$H,3,0),IF(TEXT(H14+1,"mmmm")&lt;&gt;TEXT(H14,"mmmm"),"",H14+1))</f>
        <v>45452</v>
      </c>
      <c r="I15" s="37" t="s">
        <v>187</v>
      </c>
      <c r="J15" s="38">
        <f>IF(OR(I15=0,LEFT(I15,1)="A"),0,INDEX(Listes!Q:V,MATCH(I15,Listes!Q:Q,0),2))</f>
        <v>0.33333333333333331</v>
      </c>
      <c r="K15" s="38">
        <f>IF(OR(I15=0,LEFT(I15,1)="A"),0,INDEX(Listes!Q:V,MATCH(I15,Listes!Q:Q,0),3))</f>
        <v>0.5</v>
      </c>
      <c r="L15" s="178"/>
      <c r="M15" s="183">
        <f>IF(L15=0,0,IF(AND(LEFT(I15,1)="M",L15&lt;&gt;0),INDEX(Listes!J:O,MATCH(L15,Listes!J:J,1),3),IF(AND(LEFT(I15,1)="N",L15&lt;&gt;0),INDEX(Listes!J:O,MATCH(L15,Listes!J:J,1),3),IF(AND(LEFT(I15,1)="A",L15&lt;&gt;0),INDEX(Listes!J:O,MATCH(L15,Listes!J:J,1),3),IF(AND(LEFT(I15,1)="J",L15&lt;&gt;0),INDEX(Listes!J:O,MATCH(L15,Listes!J:J,1),3),IF(AND(LEFT(I15,1)="T",L15&lt;&gt;0),INDEX(Listes!J:O,MATCH(L15,Listes!J:J,1),3),"horaire"))))))</f>
        <v>0</v>
      </c>
      <c r="N15" s="38">
        <f>IFERROR(IF(M15="$horaire","à compléter",IF(AND(M15="$DEMI",INDEX(Listes!J:O,MATCH(L15,Listes!J:J,1),6)="oui"),(K15-J15),0)),0)</f>
        <v>0</v>
      </c>
      <c r="O15" s="40">
        <f>IF(OR(I15=0,LEFT(I15,1)="A"),0,INDEX(Listes!Q:V,MATCH(I15,Listes!Q:Q,0),4))</f>
        <v>0.5625</v>
      </c>
      <c r="P15" s="42">
        <f>IF(OR(I15=0,LEFT(I15,1)="A"),0,INDEX(Listes!Q:V,MATCH(I15,Listes!Q:Q,0),5))</f>
        <v>0.70833333333333337</v>
      </c>
      <c r="Q15" s="178"/>
      <c r="R15" s="183">
        <f>IF(Q15=0,0,IF(AND(LEFT(I15,1)="M",Q15&lt;&gt;0),INDEX(Listes!J:O,MATCH(Q15,Listes!J:J,1),3),IF(AND(LEFT(I15,1)="N",Q15&lt;&gt;0),INDEX(Listes!J:O,MATCH(Q15,Listes!J:J,1),3),IF(AND(LEFT(I15,1)="A",Q15&lt;&gt;0),INDEX(Listes!J:O,MATCH(Q15,Listes!J:J,1),3),IF(AND(LEFT(I15,1)="J",Q15&lt;&gt;0),INDEX(Listes!J:O,MATCH(Q15,Listes!J:J,1),3),IF(AND(LEFT(I15,1)="T",Q15&lt;&gt;0),INDEX(Listes!J:O,MATCH(Q15,Listes!J:J,1),3),"horaire"))))))</f>
        <v>0</v>
      </c>
      <c r="S15" s="38">
        <f>IFERROR(IF(R15="$horaire","à compléter",IF(AND(R15="$DEMI2",INDEX(Listes!J:O,MATCH(Q15,Listes!J:J,1),6)="oui"),(P15-O15),0)),0)</f>
        <v>0</v>
      </c>
      <c r="T15" s="37"/>
      <c r="U15" s="37">
        <f t="shared" si="2"/>
        <v>0</v>
      </c>
      <c r="V15" s="70">
        <f>IF(I15=0,0,INDEX(Listes!Q:V,MATCH(I15,Listes!Q:Q,1),6))</f>
        <v>7.5000000000000009</v>
      </c>
      <c r="W15" s="71">
        <f>IF(I15=0,0,IF(AND(LEFT(I15,1)="A",O15&lt;=P15),(P15-O15)*24,IF(J15&lt;=K15,(K15-J15)*24,((Listes!$H$21-J15)*24+(K15-Listes!$H$21)*24))+IF(O15&lt;=P15,(P15-O15)*24,(Listes!$H$21-O15)*24+(P15-Listes!$G$21)*24)))-X15+(U15*24)</f>
        <v>7.5000000000000009</v>
      </c>
      <c r="X15" s="70">
        <f>IFERROR(IF(IFERROR(INDEX(Listes!J:O,MATCH(L15,Listes!J:J,1),6),0)="oui",N15*24,0),0)+IFERROR(IF(IFERROR(INDEX(Listes!J:O,MATCH(Q15,Listes!J:J,1),6),0)="oui",S15*24,0),0)</f>
        <v>0</v>
      </c>
      <c r="Y15" s="70">
        <f t="shared" ca="1" si="6"/>
        <v>7.5000000000000009</v>
      </c>
    </row>
    <row r="16" spans="1:25" ht="18" customHeight="1">
      <c r="A16" s="69" t="str">
        <f>Listes!$AD$2</f>
        <v>MANAGER</v>
      </c>
      <c r="B16" s="75">
        <f t="shared" si="5"/>
        <v>10</v>
      </c>
      <c r="C16" s="69" t="str" cm="1">
        <f t="array" ref="C16">INDEX(Listes!$Z$2:$Z$31,1+(ROW()-7)/31+INT((ROW()-7)/(31*30)))</f>
        <v>MAT1</v>
      </c>
      <c r="D16" s="69" t="str">
        <f>IFERROR(INDEX(Listes!Z:AA,MATCH(C16,Listes!Z:Z,0),2),"")</f>
        <v>Matricule 1</v>
      </c>
      <c r="E16" s="77" t="str">
        <f t="shared" ca="1" si="0"/>
        <v>juin</v>
      </c>
      <c r="F16" s="120">
        <f t="shared" ca="1" si="4"/>
        <v>24</v>
      </c>
      <c r="G16" s="78" t="str">
        <f t="shared" ca="1" si="1"/>
        <v>lundi</v>
      </c>
      <c r="H16" s="78">
        <f ca="1">IF(B16=1,VLOOKUP(_xlfn.SHEET(),Listes!$F:$H,3,0),IF(TEXT(H15+1,"mmmm")&lt;&gt;TEXT(H15,"mmmm"),"",H15+1))</f>
        <v>45453</v>
      </c>
      <c r="I16" s="37" t="s">
        <v>187</v>
      </c>
      <c r="J16" s="38">
        <f>IF(OR(I16=0,LEFT(I16,1)="A"),0,INDEX(Listes!Q:V,MATCH(I16,Listes!Q:Q,0),2))</f>
        <v>0.33333333333333331</v>
      </c>
      <c r="K16" s="38">
        <f>IF(OR(I16=0,LEFT(I16,1)="A"),0,INDEX(Listes!Q:V,MATCH(I16,Listes!Q:Q,0),3))</f>
        <v>0.5</v>
      </c>
      <c r="L16" s="178" t="s">
        <v>86</v>
      </c>
      <c r="M16" s="183" t="str">
        <f>IF(L16=0,0,IF(AND(LEFT(I16,1)="M",L16&lt;&gt;0),INDEX(Listes!J:O,MATCH(L16,Listes!J:J,1),3),IF(AND(LEFT(I16,1)="N",L16&lt;&gt;0),INDEX(Listes!J:O,MATCH(L16,Listes!J:J,1),3),IF(AND(LEFT(I16,1)="A",L16&lt;&gt;0),INDEX(Listes!J:O,MATCH(L16,Listes!J:J,1),3),IF(AND(LEFT(I16,1)="J",L16&lt;&gt;0),INDEX(Listes!J:O,MATCH(L16,Listes!J:J,1),3),IF(AND(LEFT(I16,1)="T",L16&lt;&gt;0),INDEX(Listes!J:O,MATCH(L16,Listes!J:J,1),3),"horaire"))))))</f>
        <v>$jour</v>
      </c>
      <c r="N16" s="38">
        <f>IFERROR(IF(M16="$horaire","à compléter",IF(AND(M16="$DEMI",INDEX(Listes!J:O,MATCH(L16,Listes!J:J,1),6)="oui"),(K16-J16),0)),0)</f>
        <v>0</v>
      </c>
      <c r="O16" s="40">
        <f>IF(OR(I16=0,LEFT(I16,1)="A"),0,INDEX(Listes!Q:V,MATCH(I16,Listes!Q:Q,0),4))</f>
        <v>0.5625</v>
      </c>
      <c r="P16" s="42">
        <f>IF(OR(I16=0,LEFT(I16,1)="A"),0,INDEX(Listes!Q:V,MATCH(I16,Listes!Q:Q,0),5))</f>
        <v>0.70833333333333337</v>
      </c>
      <c r="Q16" s="178"/>
      <c r="R16" s="183">
        <f>IF(Q16=0,0,IF(AND(LEFT(I16,1)="M",Q16&lt;&gt;0),INDEX(Listes!J:O,MATCH(Q16,Listes!J:J,1),3),IF(AND(LEFT(I16,1)="N",Q16&lt;&gt;0),INDEX(Listes!J:O,MATCH(Q16,Listes!J:J,1),3),IF(AND(LEFT(I16,1)="A",Q16&lt;&gt;0),INDEX(Listes!J:O,MATCH(Q16,Listes!J:J,1),3),IF(AND(LEFT(I16,1)="J",Q16&lt;&gt;0),INDEX(Listes!J:O,MATCH(Q16,Listes!J:J,1),3),IF(AND(LEFT(I16,1)="T",Q16&lt;&gt;0),INDEX(Listes!J:O,MATCH(Q16,Listes!J:J,1),3),"horaire"))))))</f>
        <v>0</v>
      </c>
      <c r="S16" s="38">
        <f>IFERROR(IF(R16="$horaire","à compléter",IF(AND(R16="$DEMI2",INDEX(Listes!J:O,MATCH(Q16,Listes!J:J,1),6)="oui"),(P16-O16),0)),0)</f>
        <v>0</v>
      </c>
      <c r="T16" s="37"/>
      <c r="U16" s="37">
        <f t="shared" si="2"/>
        <v>0</v>
      </c>
      <c r="V16" s="70">
        <f>IF(I16=0,0,INDEX(Listes!Q:V,MATCH(I16,Listes!Q:Q,1),6))</f>
        <v>7.5000000000000009</v>
      </c>
      <c r="W16" s="71">
        <f>IF(I16=0,0,IF(AND(LEFT(I16,1)="A",O16&lt;=P16),(P16-O16)*24,IF(J16&lt;=K16,(K16-J16)*24,((Listes!$H$21-J16)*24+(K16-Listes!$H$21)*24))+IF(O16&lt;=P16,(P16-O16)*24,(Listes!$H$21-O16)*24+(P16-Listes!$G$21)*24)))-X16+(U16*24)</f>
        <v>7.5000000000000009</v>
      </c>
      <c r="X16" s="70">
        <f>IFERROR(IF(IFERROR(INDEX(Listes!J:O,MATCH(L16,Listes!J:J,1),6),0)="oui",N16*24,0),0)+IFERROR(IF(IFERROR(INDEX(Listes!J:O,MATCH(Q16,Listes!J:J,1),6),0)="oui",S16*24,0),0)</f>
        <v>0</v>
      </c>
      <c r="Y16" s="70">
        <f t="shared" ca="1" si="6"/>
        <v>0</v>
      </c>
    </row>
    <row r="17" spans="1:25" ht="18" customHeight="1">
      <c r="A17" s="69" t="str">
        <f>Listes!$AD$2</f>
        <v>MANAGER</v>
      </c>
      <c r="B17" s="75">
        <f t="shared" si="5"/>
        <v>11</v>
      </c>
      <c r="C17" s="69" t="str" cm="1">
        <f t="array" ref="C17">INDEX(Listes!$Z$2:$Z$31,1+(ROW()-7)/31+INT((ROW()-7)/(31*30)))</f>
        <v>MAT1</v>
      </c>
      <c r="D17" s="69" t="str">
        <f>IFERROR(INDEX(Listes!Z:AA,MATCH(C17,Listes!Z:Z,0),2),"")</f>
        <v>Matricule 1</v>
      </c>
      <c r="E17" s="77" t="str">
        <f t="shared" ca="1" si="0"/>
        <v>juin</v>
      </c>
      <c r="F17" s="120">
        <f t="shared" ca="1" si="4"/>
        <v>24</v>
      </c>
      <c r="G17" s="78" t="str">
        <f t="shared" ca="1" si="1"/>
        <v>mardi</v>
      </c>
      <c r="H17" s="78">
        <f ca="1">IF(B17=1,VLOOKUP(_xlfn.SHEET(),Listes!$F:$H,3,0),IF(TEXT(H16+1,"mmmm")&lt;&gt;TEXT(H16,"mmmm"),"",H16+1))</f>
        <v>45454</v>
      </c>
      <c r="I17" s="37" t="s">
        <v>187</v>
      </c>
      <c r="J17" s="38">
        <f>IF(OR(I17=0,LEFT(I17,1)="A"),0,INDEX(Listes!Q:V,MATCH(I17,Listes!Q:Q,0),2))</f>
        <v>0.33333333333333331</v>
      </c>
      <c r="K17" s="38">
        <f>IF(OR(I17=0,LEFT(I17,1)="A"),0,INDEX(Listes!Q:V,MATCH(I17,Listes!Q:Q,0),3))</f>
        <v>0.5</v>
      </c>
      <c r="L17" s="178"/>
      <c r="M17" s="183">
        <f>IF(L17=0,0,IF(AND(LEFT(I17,1)="M",L17&lt;&gt;0),INDEX(Listes!J:O,MATCH(L17,Listes!J:J,1),3),IF(AND(LEFT(I17,1)="N",L17&lt;&gt;0),INDEX(Listes!J:O,MATCH(L17,Listes!J:J,1),3),IF(AND(LEFT(I17,1)="A",L17&lt;&gt;0),INDEX(Listes!J:O,MATCH(L17,Listes!J:J,1),3),IF(AND(LEFT(I17,1)="J",L17&lt;&gt;0),INDEX(Listes!J:O,MATCH(L17,Listes!J:J,1),3),IF(AND(LEFT(I17,1)="T",L17&lt;&gt;0),INDEX(Listes!J:O,MATCH(L17,Listes!J:J,1),3),"horaire"))))))</f>
        <v>0</v>
      </c>
      <c r="N17" s="38">
        <f>IFERROR(IF(M17="$horaire","à compléter",IF(AND(M17="$DEMI",INDEX(Listes!J:O,MATCH(L17,Listes!J:J,1),6)="oui"),(K17-J17),0)),0)</f>
        <v>0</v>
      </c>
      <c r="O17" s="40">
        <f>IF(OR(I17=0,LEFT(I17,1)="A"),0,INDEX(Listes!Q:V,MATCH(I17,Listes!Q:Q,0),4))</f>
        <v>0.5625</v>
      </c>
      <c r="P17" s="42">
        <f>IF(OR(I17=0,LEFT(I17,1)="A"),0,INDEX(Listes!Q:V,MATCH(I17,Listes!Q:Q,0),5))</f>
        <v>0.70833333333333337</v>
      </c>
      <c r="Q17" s="178"/>
      <c r="R17" s="183">
        <f>IF(Q17=0,0,IF(AND(LEFT(I17,1)="M",Q17&lt;&gt;0),INDEX(Listes!J:O,MATCH(Q17,Listes!J:J,1),3),IF(AND(LEFT(I17,1)="N",Q17&lt;&gt;0),INDEX(Listes!J:O,MATCH(Q17,Listes!J:J,1),3),IF(AND(LEFT(I17,1)="A",Q17&lt;&gt;0),INDEX(Listes!J:O,MATCH(Q17,Listes!J:J,1),3),IF(AND(LEFT(I17,1)="J",Q17&lt;&gt;0),INDEX(Listes!J:O,MATCH(Q17,Listes!J:J,1),3),IF(AND(LEFT(I17,1)="T",Q17&lt;&gt;0),INDEX(Listes!J:O,MATCH(Q17,Listes!J:J,1),3),"horaire"))))))</f>
        <v>0</v>
      </c>
      <c r="S17" s="38">
        <f>IFERROR(IF(R17="$horaire","à compléter",IF(AND(R17="$DEMI2",INDEX(Listes!J:O,MATCH(Q17,Listes!J:J,1),6)="oui"),(P17-O17),0)),0)</f>
        <v>0</v>
      </c>
      <c r="T17" s="37"/>
      <c r="U17" s="37">
        <f t="shared" si="2"/>
        <v>0</v>
      </c>
      <c r="V17" s="70">
        <f>IF(I17=0,0,INDEX(Listes!Q:V,MATCH(I17,Listes!Q:Q,1),6))</f>
        <v>7.5000000000000009</v>
      </c>
      <c r="W17" s="71">
        <f>IF(I17=0,0,IF(AND(LEFT(I17,1)="A",O17&lt;=P17),(P17-O17)*24,IF(J17&lt;=K17,(K17-J17)*24,((Listes!$H$21-J17)*24+(K17-Listes!$H$21)*24))+IF(O17&lt;=P17,(P17-O17)*24,(Listes!$H$21-O17)*24+(P17-Listes!$G$21)*24)))-X17+(U17*24)</f>
        <v>7.5000000000000009</v>
      </c>
      <c r="X17" s="70">
        <f>IFERROR(IF(IFERROR(INDEX(Listes!J:O,MATCH(L17,Listes!J:J,1),6),0)="oui",N17*24,0),0)+IFERROR(IF(IFERROR(INDEX(Listes!J:O,MATCH(Q17,Listes!J:J,1),6),0)="oui",S17*24,0),0)</f>
        <v>0</v>
      </c>
      <c r="Y17" s="70">
        <f t="shared" ca="1" si="6"/>
        <v>0</v>
      </c>
    </row>
    <row r="18" spans="1:25" ht="18" customHeight="1">
      <c r="A18" s="69" t="str">
        <f>Listes!$AD$2</f>
        <v>MANAGER</v>
      </c>
      <c r="B18" s="75">
        <f t="shared" si="5"/>
        <v>12</v>
      </c>
      <c r="C18" s="69" t="str" cm="1">
        <f t="array" ref="C18">INDEX(Listes!$Z$2:$Z$31,1+(ROW()-7)/31+INT((ROW()-7)/(31*30)))</f>
        <v>MAT1</v>
      </c>
      <c r="D18" s="69" t="str">
        <f>IFERROR(INDEX(Listes!Z:AA,MATCH(C18,Listes!Z:Z,0),2),"")</f>
        <v>Matricule 1</v>
      </c>
      <c r="E18" s="77" t="str">
        <f t="shared" ca="1" si="0"/>
        <v>juin</v>
      </c>
      <c r="F18" s="120">
        <f t="shared" ca="1" si="4"/>
        <v>24</v>
      </c>
      <c r="G18" s="78" t="str">
        <f t="shared" ca="1" si="1"/>
        <v>mercredi</v>
      </c>
      <c r="H18" s="78">
        <f ca="1">IF(B18=1,VLOOKUP(_xlfn.SHEET(),Listes!$F:$H,3,0),IF(TEXT(H17+1,"mmmm")&lt;&gt;TEXT(H17,"mmmm"),"",H17+1))</f>
        <v>45455</v>
      </c>
      <c r="I18" s="37" t="s">
        <v>187</v>
      </c>
      <c r="J18" s="38">
        <f>IF(OR(I18=0,LEFT(I18,1)="A"),0,INDEX(Listes!Q:V,MATCH(I18,Listes!Q:Q,0),2))</f>
        <v>0.33333333333333331</v>
      </c>
      <c r="K18" s="38">
        <f>IF(OR(I18=0,LEFT(I18,1)="A"),0,INDEX(Listes!Q:V,MATCH(I18,Listes!Q:Q,0),3))</f>
        <v>0.5</v>
      </c>
      <c r="L18" s="178"/>
      <c r="M18" s="183">
        <f>IF(L18=0,0,IF(AND(LEFT(I18,1)="M",L18&lt;&gt;0),INDEX(Listes!J:O,MATCH(L18,Listes!J:J,1),3),IF(AND(LEFT(I18,1)="N",L18&lt;&gt;0),INDEX(Listes!J:O,MATCH(L18,Listes!J:J,1),3),IF(AND(LEFT(I18,1)="A",L18&lt;&gt;0),INDEX(Listes!J:O,MATCH(L18,Listes!J:J,1),3),IF(AND(LEFT(I18,1)="J",L18&lt;&gt;0),INDEX(Listes!J:O,MATCH(L18,Listes!J:J,1),3),IF(AND(LEFT(I18,1)="T",L18&lt;&gt;0),INDEX(Listes!J:O,MATCH(L18,Listes!J:J,1),3),"horaire"))))))</f>
        <v>0</v>
      </c>
      <c r="N18" s="38">
        <f>IFERROR(IF(M18="$horaire","à compléter",IF(AND(M18="$DEMI",INDEX(Listes!J:O,MATCH(L18,Listes!J:J,1),6)="oui"),(K18-J18),0)),0)</f>
        <v>0</v>
      </c>
      <c r="O18" s="40">
        <f>IF(OR(I18=0,LEFT(I18,1)="A"),0,INDEX(Listes!Q:V,MATCH(I18,Listes!Q:Q,0),4))</f>
        <v>0.5625</v>
      </c>
      <c r="P18" s="42">
        <f>IF(OR(I18=0,LEFT(I18,1)="A"),0,INDEX(Listes!Q:V,MATCH(I18,Listes!Q:Q,0),5))</f>
        <v>0.70833333333333337</v>
      </c>
      <c r="Q18" s="178"/>
      <c r="R18" s="183">
        <f>IF(Q18=0,0,IF(AND(LEFT(I18,1)="M",Q18&lt;&gt;0),INDEX(Listes!J:O,MATCH(Q18,Listes!J:J,1),3),IF(AND(LEFT(I18,1)="N",Q18&lt;&gt;0),INDEX(Listes!J:O,MATCH(Q18,Listes!J:J,1),3),IF(AND(LEFT(I18,1)="A",Q18&lt;&gt;0),INDEX(Listes!J:O,MATCH(Q18,Listes!J:J,1),3),IF(AND(LEFT(I18,1)="J",Q18&lt;&gt;0),INDEX(Listes!J:O,MATCH(Q18,Listes!J:J,1),3),IF(AND(LEFT(I18,1)="T",Q18&lt;&gt;0),INDEX(Listes!J:O,MATCH(Q18,Listes!J:J,1),3),"horaire"))))))</f>
        <v>0</v>
      </c>
      <c r="S18" s="38">
        <f>IFERROR(IF(R18="$horaire","à compléter",IF(AND(R18="$DEMI2",INDEX(Listes!J:O,MATCH(Q18,Listes!J:J,1),6)="oui"),(P18-O18),0)),0)</f>
        <v>0</v>
      </c>
      <c r="T18" s="37"/>
      <c r="U18" s="37">
        <f t="shared" si="2"/>
        <v>0</v>
      </c>
      <c r="V18" s="70">
        <f>IF(I18=0,0,INDEX(Listes!Q:V,MATCH(I18,Listes!Q:Q,1),6))</f>
        <v>7.5000000000000009</v>
      </c>
      <c r="W18" s="71">
        <f>IF(I18=0,0,IF(AND(LEFT(I18,1)="A",O18&lt;=P18),(P18-O18)*24,IF(J18&lt;=K18,(K18-J18)*24,((Listes!$H$21-J18)*24+(K18-Listes!$H$21)*24))+IF(O18&lt;=P18,(P18-O18)*24,(Listes!$H$21-O18)*24+(P18-Listes!$G$21)*24)))-X18+(U18*24)</f>
        <v>7.5000000000000009</v>
      </c>
      <c r="X18" s="70">
        <f>IFERROR(IF(IFERROR(INDEX(Listes!J:O,MATCH(L18,Listes!J:J,1),6),0)="oui",N18*24,0),0)+IFERROR(IF(IFERROR(INDEX(Listes!J:O,MATCH(Q18,Listes!J:J,1),6),0)="oui",S18*24,0),0)</f>
        <v>0</v>
      </c>
      <c r="Y18" s="70">
        <f t="shared" ca="1" si="6"/>
        <v>0</v>
      </c>
    </row>
    <row r="19" spans="1:25" ht="18" customHeight="1">
      <c r="A19" s="69" t="str">
        <f>Listes!$AD$2</f>
        <v>MANAGER</v>
      </c>
      <c r="B19" s="75">
        <f t="shared" si="5"/>
        <v>13</v>
      </c>
      <c r="C19" s="69" t="str" cm="1">
        <f t="array" ref="C19">INDEX(Listes!$Z$2:$Z$31,1+(ROW()-7)/31+INT((ROW()-7)/(31*30)))</f>
        <v>MAT1</v>
      </c>
      <c r="D19" s="69" t="str">
        <f>IFERROR(INDEX(Listes!Z:AA,MATCH(C19,Listes!Z:Z,0),2),"")</f>
        <v>Matricule 1</v>
      </c>
      <c r="E19" s="77" t="str">
        <f t="shared" ca="1" si="0"/>
        <v>juin</v>
      </c>
      <c r="F19" s="120">
        <f t="shared" ca="1" si="4"/>
        <v>24</v>
      </c>
      <c r="G19" s="78" t="str">
        <f t="shared" ca="1" si="1"/>
        <v>jeudi</v>
      </c>
      <c r="H19" s="78">
        <f ca="1">IF(B19=1,VLOOKUP(_xlfn.SHEET(),Listes!$F:$H,3,0),IF(TEXT(H18+1,"mmmm")&lt;&gt;TEXT(H18,"mmmm"),"",H18+1))</f>
        <v>45456</v>
      </c>
      <c r="I19" s="37" t="s">
        <v>187</v>
      </c>
      <c r="J19" s="38">
        <f>IF(OR(I19=0,LEFT(I19,1)="A"),0,INDEX(Listes!Q:V,MATCH(I19,Listes!Q:Q,0),2))</f>
        <v>0.33333333333333331</v>
      </c>
      <c r="K19" s="38">
        <f>IF(OR(I19=0,LEFT(I19,1)="A"),0,INDEX(Listes!Q:V,MATCH(I19,Listes!Q:Q,0),3))</f>
        <v>0.5</v>
      </c>
      <c r="L19" s="178"/>
      <c r="M19" s="183">
        <f>IF(L19=0,0,IF(AND(LEFT(I19,1)="M",L19&lt;&gt;0),INDEX(Listes!J:O,MATCH(L19,Listes!J:J,1),3),IF(AND(LEFT(I19,1)="N",L19&lt;&gt;0),INDEX(Listes!J:O,MATCH(L19,Listes!J:J,1),3),IF(AND(LEFT(I19,1)="A",L19&lt;&gt;0),INDEX(Listes!J:O,MATCH(L19,Listes!J:J,1),3),IF(AND(LEFT(I19,1)="J",L19&lt;&gt;0),INDEX(Listes!J:O,MATCH(L19,Listes!J:J,1),3),IF(AND(LEFT(I19,1)="T",L19&lt;&gt;0),INDEX(Listes!J:O,MATCH(L19,Listes!J:J,1),3),"horaire"))))))</f>
        <v>0</v>
      </c>
      <c r="N19" s="38">
        <f>IFERROR(IF(M19="$horaire","à compléter",IF(AND(M19="$DEMI",INDEX(Listes!J:O,MATCH(L19,Listes!J:J,1),6)="oui"),(K19-J19),0)),0)</f>
        <v>0</v>
      </c>
      <c r="O19" s="40">
        <f>IF(OR(I19=0,LEFT(I19,1)="A"),0,INDEX(Listes!Q:V,MATCH(I19,Listes!Q:Q,0),4))</f>
        <v>0.5625</v>
      </c>
      <c r="P19" s="42">
        <f>IF(OR(I19=0,LEFT(I19,1)="A"),0,INDEX(Listes!Q:V,MATCH(I19,Listes!Q:Q,0),5))</f>
        <v>0.70833333333333337</v>
      </c>
      <c r="Q19" s="178"/>
      <c r="R19" s="183">
        <f>IF(Q19=0,0,IF(AND(LEFT(I19,1)="M",Q19&lt;&gt;0),INDEX(Listes!J:O,MATCH(Q19,Listes!J:J,1),3),IF(AND(LEFT(I19,1)="N",Q19&lt;&gt;0),INDEX(Listes!J:O,MATCH(Q19,Listes!J:J,1),3),IF(AND(LEFT(I19,1)="A",Q19&lt;&gt;0),INDEX(Listes!J:O,MATCH(Q19,Listes!J:J,1),3),IF(AND(LEFT(I19,1)="J",Q19&lt;&gt;0),INDEX(Listes!J:O,MATCH(Q19,Listes!J:J,1),3),IF(AND(LEFT(I19,1)="T",Q19&lt;&gt;0),INDEX(Listes!J:O,MATCH(Q19,Listes!J:J,1),3),"horaire"))))))</f>
        <v>0</v>
      </c>
      <c r="S19" s="38">
        <f>IFERROR(IF(R19="$horaire","à compléter",IF(AND(R19="$DEMI2",INDEX(Listes!J:O,MATCH(Q19,Listes!J:J,1),6)="oui"),(P19-O19),0)),0)</f>
        <v>0</v>
      </c>
      <c r="T19" s="37"/>
      <c r="U19" s="37">
        <f t="shared" si="2"/>
        <v>0</v>
      </c>
      <c r="V19" s="70">
        <f>IF(I19=0,0,INDEX(Listes!Q:V,MATCH(I19,Listes!Q:Q,1),6))</f>
        <v>7.5000000000000009</v>
      </c>
      <c r="W19" s="71">
        <f>IF(I19=0,0,IF(AND(LEFT(I19,1)="A",O19&lt;=P19),(P19-O19)*24,IF(J19&lt;=K19,(K19-J19)*24,((Listes!$H$21-J19)*24+(K19-Listes!$H$21)*24))+IF(O19&lt;=P19,(P19-O19)*24,(Listes!$H$21-O19)*24+(P19-Listes!$G$21)*24)))-X19+(U19*24)</f>
        <v>7.5000000000000009</v>
      </c>
      <c r="X19" s="70">
        <f>IFERROR(IF(IFERROR(INDEX(Listes!J:O,MATCH(L19,Listes!J:J,1),6),0)="oui",N19*24,0),0)+IFERROR(IF(IFERROR(INDEX(Listes!J:O,MATCH(Q19,Listes!J:J,1),6),0)="oui",S19*24,0),0)</f>
        <v>0</v>
      </c>
      <c r="Y19" s="70">
        <f t="shared" ca="1" si="6"/>
        <v>0</v>
      </c>
    </row>
    <row r="20" spans="1:25" ht="18" customHeight="1">
      <c r="A20" s="69" t="str">
        <f>Listes!$AD$2</f>
        <v>MANAGER</v>
      </c>
      <c r="B20" s="75">
        <f t="shared" si="5"/>
        <v>14</v>
      </c>
      <c r="C20" s="69" t="str" cm="1">
        <f t="array" ref="C20">INDEX(Listes!$Z$2:$Z$31,1+(ROW()-7)/31+INT((ROW()-7)/(31*30)))</f>
        <v>MAT1</v>
      </c>
      <c r="D20" s="69" t="str">
        <f>IFERROR(INDEX(Listes!Z:AA,MATCH(C20,Listes!Z:Z,0),2),"")</f>
        <v>Matricule 1</v>
      </c>
      <c r="E20" s="77" t="str">
        <f t="shared" ca="1" si="0"/>
        <v>juin</v>
      </c>
      <c r="F20" s="120">
        <f t="shared" ca="1" si="4"/>
        <v>24</v>
      </c>
      <c r="G20" s="78" t="str">
        <f t="shared" ca="1" si="1"/>
        <v>vendredi</v>
      </c>
      <c r="H20" s="78">
        <f ca="1">IF(B20=1,VLOOKUP(_xlfn.SHEET(),Listes!$F:$H,3,0),IF(TEXT(H19+1,"mmmm")&lt;&gt;TEXT(H19,"mmmm"),"",H19+1))</f>
        <v>45457</v>
      </c>
      <c r="I20" s="37" t="s">
        <v>187</v>
      </c>
      <c r="J20" s="38">
        <f>IF(OR(I20=0,LEFT(I20,1)="A"),0,INDEX(Listes!Q:V,MATCH(I20,Listes!Q:Q,0),2))</f>
        <v>0.33333333333333331</v>
      </c>
      <c r="K20" s="38">
        <f>IF(OR(I20=0,LEFT(I20,1)="A"),0,INDEX(Listes!Q:V,MATCH(I20,Listes!Q:Q,0),3))</f>
        <v>0.5</v>
      </c>
      <c r="L20" s="178"/>
      <c r="M20" s="183">
        <f>IF(L20=0,0,IF(AND(LEFT(I20,1)="M",L20&lt;&gt;0),INDEX(Listes!J:O,MATCH(L20,Listes!J:J,1),3),IF(AND(LEFT(I20,1)="N",L20&lt;&gt;0),INDEX(Listes!J:O,MATCH(L20,Listes!J:J,1),3),IF(AND(LEFT(I20,1)="A",L20&lt;&gt;0),INDEX(Listes!J:O,MATCH(L20,Listes!J:J,1),3),IF(AND(LEFT(I20,1)="J",L20&lt;&gt;0),INDEX(Listes!J:O,MATCH(L20,Listes!J:J,1),3),IF(AND(LEFT(I20,1)="T",L20&lt;&gt;0),INDEX(Listes!J:O,MATCH(L20,Listes!J:J,1),3),"horaire"))))))</f>
        <v>0</v>
      </c>
      <c r="N20" s="38">
        <f>IFERROR(IF(M20="$horaire","à compléter",IF(AND(M20="$DEMI",INDEX(Listes!J:O,MATCH(L20,Listes!J:J,1),6)="oui"),(K20-J20),0)),0)</f>
        <v>0</v>
      </c>
      <c r="O20" s="40">
        <f>IF(OR(I20=0,LEFT(I20,1)="A"),0,INDEX(Listes!Q:V,MATCH(I20,Listes!Q:Q,0),4))</f>
        <v>0.5625</v>
      </c>
      <c r="P20" s="42">
        <f>IF(OR(I20=0,LEFT(I20,1)="A"),0,INDEX(Listes!Q:V,MATCH(I20,Listes!Q:Q,0),5))</f>
        <v>0.70833333333333337</v>
      </c>
      <c r="Q20" s="178"/>
      <c r="R20" s="183">
        <f>IF(Q20=0,0,IF(AND(LEFT(I20,1)="M",Q20&lt;&gt;0),INDEX(Listes!J:O,MATCH(Q20,Listes!J:J,1),3),IF(AND(LEFT(I20,1)="N",Q20&lt;&gt;0),INDEX(Listes!J:O,MATCH(Q20,Listes!J:J,1),3),IF(AND(LEFT(I20,1)="A",Q20&lt;&gt;0),INDEX(Listes!J:O,MATCH(Q20,Listes!J:J,1),3),IF(AND(LEFT(I20,1)="J",Q20&lt;&gt;0),INDEX(Listes!J:O,MATCH(Q20,Listes!J:J,1),3),IF(AND(LEFT(I20,1)="T",Q20&lt;&gt;0),INDEX(Listes!J:O,MATCH(Q20,Listes!J:J,1),3),"horaire"))))))</f>
        <v>0</v>
      </c>
      <c r="S20" s="38">
        <f>IFERROR(IF(R20="$horaire","à compléter",IF(AND(R20="$DEMI2",INDEX(Listes!J:O,MATCH(Q20,Listes!J:J,1),6)="oui"),(P20-O20),0)),0)</f>
        <v>0</v>
      </c>
      <c r="T20" s="37"/>
      <c r="U20" s="37">
        <f t="shared" si="2"/>
        <v>0</v>
      </c>
      <c r="V20" s="70">
        <f>IF(I20=0,0,INDEX(Listes!Q:V,MATCH(I20,Listes!Q:Q,1),6))</f>
        <v>7.5000000000000009</v>
      </c>
      <c r="W20" s="71">
        <f>IF(I20=0,0,IF(AND(LEFT(I20,1)="A",O20&lt;=P20),(P20-O20)*24,IF(J20&lt;=K20,(K20-J20)*24,((Listes!$H$21-J20)*24+(K20-Listes!$H$21)*24))+IF(O20&lt;=P20,(P20-O20)*24,(Listes!$H$21-O20)*24+(P20-Listes!$G$21)*24)))-X20+(U20*24)</f>
        <v>7.5000000000000009</v>
      </c>
      <c r="X20" s="70">
        <f>IFERROR(IF(IFERROR(INDEX(Listes!J:O,MATCH(L20,Listes!J:J,1),6),0)="oui",N20*24,0),0)+IFERROR(IF(IFERROR(INDEX(Listes!J:O,MATCH(Q20,Listes!J:J,1),6),0)="oui",S20*24,0),0)</f>
        <v>0</v>
      </c>
      <c r="Y20" s="70">
        <f t="shared" ca="1" si="6"/>
        <v>0</v>
      </c>
    </row>
    <row r="21" spans="1:25" ht="18" customHeight="1">
      <c r="A21" s="69" t="str">
        <f>Listes!$AD$2</f>
        <v>MANAGER</v>
      </c>
      <c r="B21" s="75">
        <f t="shared" si="5"/>
        <v>15</v>
      </c>
      <c r="C21" s="69" t="str" cm="1">
        <f t="array" ref="C21">INDEX(Listes!$Z$2:$Z$31,1+(ROW()-7)/31+INT((ROW()-7)/(31*30)))</f>
        <v>MAT1</v>
      </c>
      <c r="D21" s="69" t="str">
        <f>IFERROR(INDEX(Listes!Z:AA,MATCH(C21,Listes!Z:Z,0),2),"")</f>
        <v>Matricule 1</v>
      </c>
      <c r="E21" s="77" t="str">
        <f t="shared" ca="1" si="0"/>
        <v>juin</v>
      </c>
      <c r="F21" s="120">
        <f t="shared" ca="1" si="4"/>
        <v>24</v>
      </c>
      <c r="G21" s="78" t="str">
        <f t="shared" ca="1" si="1"/>
        <v>samedi</v>
      </c>
      <c r="H21" s="78">
        <f ca="1">IF(B21=1,VLOOKUP(_xlfn.SHEET(),Listes!$F:$H,3,0),IF(TEXT(H20+1,"mmmm")&lt;&gt;TEXT(H20,"mmmm"),"",H20+1))</f>
        <v>45458</v>
      </c>
      <c r="I21" s="37" t="s">
        <v>187</v>
      </c>
      <c r="J21" s="38">
        <f>IF(OR(I21=0,LEFT(I21,1)="A"),0,INDEX(Listes!Q:V,MATCH(I21,Listes!Q:Q,0),2))</f>
        <v>0.33333333333333331</v>
      </c>
      <c r="K21" s="38">
        <f>IF(OR(I21=0,LEFT(I21,1)="A"),0,INDEX(Listes!Q:V,MATCH(I21,Listes!Q:Q,0),3))</f>
        <v>0.5</v>
      </c>
      <c r="L21" s="178"/>
      <c r="M21" s="183">
        <f>IF(L21=0,0,IF(AND(LEFT(I21,1)="M",L21&lt;&gt;0),INDEX(Listes!J:O,MATCH(L21,Listes!J:J,1),3),IF(AND(LEFT(I21,1)="N",L21&lt;&gt;0),INDEX(Listes!J:O,MATCH(L21,Listes!J:J,1),3),IF(AND(LEFT(I21,1)="A",L21&lt;&gt;0),INDEX(Listes!J:O,MATCH(L21,Listes!J:J,1),3),IF(AND(LEFT(I21,1)="J",L21&lt;&gt;0),INDEX(Listes!J:O,MATCH(L21,Listes!J:J,1),3),IF(AND(LEFT(I21,1)="T",L21&lt;&gt;0),INDEX(Listes!J:O,MATCH(L21,Listes!J:J,1),3),"horaire"))))))</f>
        <v>0</v>
      </c>
      <c r="N21" s="38">
        <f>IFERROR(IF(M21="$horaire","à compléter",IF(AND(M21="$DEMI",INDEX(Listes!J:O,MATCH(L21,Listes!J:J,1),6)="oui"),(K21-J21),0)),0)</f>
        <v>0</v>
      </c>
      <c r="O21" s="40">
        <f>IF(OR(I21=0,LEFT(I21,1)="A"),0,INDEX(Listes!Q:V,MATCH(I21,Listes!Q:Q,0),4))</f>
        <v>0.5625</v>
      </c>
      <c r="P21" s="42">
        <f>IF(OR(I21=0,LEFT(I21,1)="A"),0,INDEX(Listes!Q:V,MATCH(I21,Listes!Q:Q,0),5))</f>
        <v>0.70833333333333337</v>
      </c>
      <c r="Q21" s="178"/>
      <c r="R21" s="183">
        <f>IF(Q21=0,0,IF(AND(LEFT(I21,1)="M",Q21&lt;&gt;0),INDEX(Listes!J:O,MATCH(Q21,Listes!J:J,1),3),IF(AND(LEFT(I21,1)="N",Q21&lt;&gt;0),INDEX(Listes!J:O,MATCH(Q21,Listes!J:J,1),3),IF(AND(LEFT(I21,1)="A",Q21&lt;&gt;0),INDEX(Listes!J:O,MATCH(Q21,Listes!J:J,1),3),IF(AND(LEFT(I21,1)="J",Q21&lt;&gt;0),INDEX(Listes!J:O,MATCH(Q21,Listes!J:J,1),3),IF(AND(LEFT(I21,1)="T",Q21&lt;&gt;0),INDEX(Listes!J:O,MATCH(Q21,Listes!J:J,1),3),"horaire"))))))</f>
        <v>0</v>
      </c>
      <c r="S21" s="38">
        <f>IFERROR(IF(R21="$horaire","à compléter",IF(AND(R21="$DEMI2",INDEX(Listes!J:O,MATCH(Q21,Listes!J:J,1),6)="oui"),(P21-O21),0)),0)</f>
        <v>0</v>
      </c>
      <c r="T21" s="37"/>
      <c r="U21" s="37">
        <f t="shared" si="2"/>
        <v>0</v>
      </c>
      <c r="V21" s="70">
        <f>IF(I21=0,0,INDEX(Listes!Q:V,MATCH(I21,Listes!Q:Q,1),6))</f>
        <v>7.5000000000000009</v>
      </c>
      <c r="W21" s="71">
        <f>IF(I21=0,0,IF(AND(LEFT(I21,1)="A",O21&lt;=P21),(P21-O21)*24,IF(J21&lt;=K21,(K21-J21)*24,((Listes!$H$21-J21)*24+(K21-Listes!$H$21)*24))+IF(O21&lt;=P21,(P21-O21)*24,(Listes!$H$21-O21)*24+(P21-Listes!$G$21)*24)))-X21+(U21*24)</f>
        <v>7.5000000000000009</v>
      </c>
      <c r="X21" s="70">
        <f>IFERROR(IF(IFERROR(INDEX(Listes!J:O,MATCH(L21,Listes!J:J,1),6),0)="oui",N21*24,0),0)+IFERROR(IF(IFERROR(INDEX(Listes!J:O,MATCH(Q21,Listes!J:J,1),6),0)="oui",S21*24,0),0)</f>
        <v>0</v>
      </c>
      <c r="Y21" s="70">
        <f t="shared" ca="1" si="6"/>
        <v>7.5000000000000009</v>
      </c>
    </row>
    <row r="22" spans="1:25" ht="18" customHeight="1">
      <c r="A22" s="69" t="str">
        <f>Listes!$AD$2</f>
        <v>MANAGER</v>
      </c>
      <c r="B22" s="75">
        <f t="shared" si="5"/>
        <v>16</v>
      </c>
      <c r="C22" s="69" t="str" cm="1">
        <f t="array" ref="C22">INDEX(Listes!$Z$2:$Z$31,1+(ROW()-7)/31+INT((ROW()-7)/(31*30)))</f>
        <v>MAT1</v>
      </c>
      <c r="D22" s="69" t="str">
        <f>IFERROR(INDEX(Listes!Z:AA,MATCH(C22,Listes!Z:Z,0),2),"")</f>
        <v>Matricule 1</v>
      </c>
      <c r="E22" s="77" t="str">
        <f t="shared" ca="1" si="0"/>
        <v>juin</v>
      </c>
      <c r="F22" s="120">
        <f t="shared" ca="1" si="4"/>
        <v>24</v>
      </c>
      <c r="G22" s="78" t="str">
        <f t="shared" ca="1" si="1"/>
        <v>dimanche</v>
      </c>
      <c r="H22" s="78">
        <f ca="1">IF(B22=1,VLOOKUP(_xlfn.SHEET(),Listes!$F:$H,3,0),IF(TEXT(H21+1,"mmmm")&lt;&gt;TEXT(H21,"mmmm"),"",H21+1))</f>
        <v>45459</v>
      </c>
      <c r="I22" s="37" t="s">
        <v>187</v>
      </c>
      <c r="J22" s="38">
        <f>IF(OR(I22=0,LEFT(I22,1)="A"),0,INDEX(Listes!Q:V,MATCH(I22,Listes!Q:Q,0),2))</f>
        <v>0.33333333333333331</v>
      </c>
      <c r="K22" s="38">
        <f>IF(OR(I22=0,LEFT(I22,1)="A"),0,INDEX(Listes!Q:V,MATCH(I22,Listes!Q:Q,0),3))</f>
        <v>0.5</v>
      </c>
      <c r="L22" s="178"/>
      <c r="M22" s="183">
        <f>IF(L22=0,0,IF(AND(LEFT(I22,1)="M",L22&lt;&gt;0),INDEX(Listes!J:O,MATCH(L22,Listes!J:J,1),3),IF(AND(LEFT(I22,1)="N",L22&lt;&gt;0),INDEX(Listes!J:O,MATCH(L22,Listes!J:J,1),3),IF(AND(LEFT(I22,1)="A",L22&lt;&gt;0),INDEX(Listes!J:O,MATCH(L22,Listes!J:J,1),3),IF(AND(LEFT(I22,1)="J",L22&lt;&gt;0),INDEX(Listes!J:O,MATCH(L22,Listes!J:J,1),3),IF(AND(LEFT(I22,1)="T",L22&lt;&gt;0),INDEX(Listes!J:O,MATCH(L22,Listes!J:J,1),3),"horaire"))))))</f>
        <v>0</v>
      </c>
      <c r="N22" s="38">
        <f>IFERROR(IF(M22="$horaire","à compléter",IF(AND(M22="$DEMI",INDEX(Listes!J:O,MATCH(L22,Listes!J:J,1),6)="oui"),(K22-J22),0)),0)</f>
        <v>0</v>
      </c>
      <c r="O22" s="40">
        <f>IF(OR(I22=0,LEFT(I22,1)="A"),0,INDEX(Listes!Q:V,MATCH(I22,Listes!Q:Q,0),4))</f>
        <v>0.5625</v>
      </c>
      <c r="P22" s="42">
        <f>IF(OR(I22=0,LEFT(I22,1)="A"),0,INDEX(Listes!Q:V,MATCH(I22,Listes!Q:Q,0),5))</f>
        <v>0.70833333333333337</v>
      </c>
      <c r="Q22" s="178"/>
      <c r="R22" s="183">
        <f>IF(Q22=0,0,IF(AND(LEFT(I22,1)="M",Q22&lt;&gt;0),INDEX(Listes!J:O,MATCH(Q22,Listes!J:J,1),3),IF(AND(LEFT(I22,1)="N",Q22&lt;&gt;0),INDEX(Listes!J:O,MATCH(Q22,Listes!J:J,1),3),IF(AND(LEFT(I22,1)="A",Q22&lt;&gt;0),INDEX(Listes!J:O,MATCH(Q22,Listes!J:J,1),3),IF(AND(LEFT(I22,1)="J",Q22&lt;&gt;0),INDEX(Listes!J:O,MATCH(Q22,Listes!J:J,1),3),IF(AND(LEFT(I22,1)="T",Q22&lt;&gt;0),INDEX(Listes!J:O,MATCH(Q22,Listes!J:J,1),3),"horaire"))))))</f>
        <v>0</v>
      </c>
      <c r="S22" s="38">
        <f>IFERROR(IF(R22="$horaire","à compléter",IF(AND(R22="$DEMI2",INDEX(Listes!J:O,MATCH(Q22,Listes!J:J,1),6)="oui"),(P22-O22),0)),0)</f>
        <v>0</v>
      </c>
      <c r="T22" s="37"/>
      <c r="U22" s="37">
        <f t="shared" si="2"/>
        <v>0</v>
      </c>
      <c r="V22" s="70">
        <f>IF(I22=0,0,INDEX(Listes!Q:V,MATCH(I22,Listes!Q:Q,1),6))</f>
        <v>7.5000000000000009</v>
      </c>
      <c r="W22" s="71">
        <f>IF(I22=0,0,IF(AND(LEFT(I22,1)="A",O22&lt;=P22),(P22-O22)*24,IF(J22&lt;=K22,(K22-J22)*24,((Listes!$H$21-J22)*24+(K22-Listes!$H$21)*24))+IF(O22&lt;=P22,(P22-O22)*24,(Listes!$H$21-O22)*24+(P22-Listes!$G$21)*24)))-X22+(U22*24)</f>
        <v>7.5000000000000009</v>
      </c>
      <c r="X22" s="70">
        <f>IFERROR(IF(IFERROR(INDEX(Listes!J:O,MATCH(L22,Listes!J:J,1),6),0)="oui",N22*24,0),0)+IFERROR(IF(IFERROR(INDEX(Listes!J:O,MATCH(Q22,Listes!J:J,1),6),0)="oui",S22*24,0),0)</f>
        <v>0</v>
      </c>
      <c r="Y22" s="70">
        <f t="shared" ca="1" si="6"/>
        <v>7.5000000000000009</v>
      </c>
    </row>
    <row r="23" spans="1:25" ht="18" customHeight="1">
      <c r="A23" s="69" t="str">
        <f>Listes!$AD$2</f>
        <v>MANAGER</v>
      </c>
      <c r="B23" s="75">
        <f t="shared" si="5"/>
        <v>17</v>
      </c>
      <c r="C23" s="69" t="str" cm="1">
        <f t="array" ref="C23">INDEX(Listes!$Z$2:$Z$31,1+(ROW()-7)/31+INT((ROW()-7)/(31*30)))</f>
        <v>MAT1</v>
      </c>
      <c r="D23" s="69" t="str">
        <f>IFERROR(INDEX(Listes!Z:AA,MATCH(C23,Listes!Z:Z,0),2),"")</f>
        <v>Matricule 1</v>
      </c>
      <c r="E23" s="77" t="str">
        <f t="shared" ca="1" si="0"/>
        <v>juin</v>
      </c>
      <c r="F23" s="120">
        <f t="shared" ca="1" si="4"/>
        <v>25</v>
      </c>
      <c r="G23" s="78" t="str">
        <f t="shared" ca="1" si="1"/>
        <v>lundi</v>
      </c>
      <c r="H23" s="78">
        <f ca="1">IF(B23=1,VLOOKUP(_xlfn.SHEET(),Listes!$F:$H,3,0),IF(TEXT(H22+1,"mmmm")&lt;&gt;TEXT(H22,"mmmm"),"",H22+1))</f>
        <v>45460</v>
      </c>
      <c r="I23" s="37" t="s">
        <v>187</v>
      </c>
      <c r="J23" s="38">
        <f>IF(OR(I23=0,LEFT(I23,1)="A"),0,INDEX(Listes!Q:V,MATCH(I23,Listes!Q:Q,0),2))</f>
        <v>0.33333333333333331</v>
      </c>
      <c r="K23" s="38">
        <f>IF(OR(I23=0,LEFT(I23,1)="A"),0,INDEX(Listes!Q:V,MATCH(I23,Listes!Q:Q,0),3))</f>
        <v>0.5</v>
      </c>
      <c r="L23" s="178"/>
      <c r="M23" s="183">
        <f>IF(L23=0,0,IF(AND(LEFT(I23,1)="M",L23&lt;&gt;0),INDEX(Listes!J:O,MATCH(L23,Listes!J:J,1),3),IF(AND(LEFT(I23,1)="N",L23&lt;&gt;0),INDEX(Listes!J:O,MATCH(L23,Listes!J:J,1),3),IF(AND(LEFT(I23,1)="A",L23&lt;&gt;0),INDEX(Listes!J:O,MATCH(L23,Listes!J:J,1),3),IF(AND(LEFT(I23,1)="J",L23&lt;&gt;0),INDEX(Listes!J:O,MATCH(L23,Listes!J:J,1),3),IF(AND(LEFT(I23,1)="T",L23&lt;&gt;0),INDEX(Listes!J:O,MATCH(L23,Listes!J:J,1),3),"horaire"))))))</f>
        <v>0</v>
      </c>
      <c r="N23" s="38">
        <f>IFERROR(IF(M23="$horaire","à compléter",IF(AND(M23="$DEMI",INDEX(Listes!J:O,MATCH(L23,Listes!J:J,1),6)="oui"),(K23-J23),0)),0)</f>
        <v>0</v>
      </c>
      <c r="O23" s="40">
        <f>IF(OR(I23=0,LEFT(I23,1)="A"),0,INDEX(Listes!Q:V,MATCH(I23,Listes!Q:Q,0),4))</f>
        <v>0.5625</v>
      </c>
      <c r="P23" s="42">
        <f>IF(OR(I23=0,LEFT(I23,1)="A"),0,INDEX(Listes!Q:V,MATCH(I23,Listes!Q:Q,0),5))</f>
        <v>0.70833333333333337</v>
      </c>
      <c r="Q23" s="178"/>
      <c r="R23" s="183">
        <f>IF(Q23=0,0,IF(AND(LEFT(I23,1)="M",Q23&lt;&gt;0),INDEX(Listes!J:O,MATCH(Q23,Listes!J:J,1),3),IF(AND(LEFT(I23,1)="N",Q23&lt;&gt;0),INDEX(Listes!J:O,MATCH(Q23,Listes!J:J,1),3),IF(AND(LEFT(I23,1)="A",Q23&lt;&gt;0),INDEX(Listes!J:O,MATCH(Q23,Listes!J:J,1),3),IF(AND(LEFT(I23,1)="J",Q23&lt;&gt;0),INDEX(Listes!J:O,MATCH(Q23,Listes!J:J,1),3),IF(AND(LEFT(I23,1)="T",Q23&lt;&gt;0),INDEX(Listes!J:O,MATCH(Q23,Listes!J:J,1),3),"horaire"))))))</f>
        <v>0</v>
      </c>
      <c r="S23" s="38">
        <f>IFERROR(IF(R23="$horaire","à compléter",IF(AND(R23="$DEMI2",INDEX(Listes!J:O,MATCH(Q23,Listes!J:J,1),6)="oui"),(P23-O23),0)),0)</f>
        <v>0</v>
      </c>
      <c r="T23" s="37"/>
      <c r="U23" s="37">
        <f t="shared" si="2"/>
        <v>0</v>
      </c>
      <c r="V23" s="70">
        <f>IF(I23=0,0,INDEX(Listes!Q:V,MATCH(I23,Listes!Q:Q,1),6))</f>
        <v>7.5000000000000009</v>
      </c>
      <c r="W23" s="71">
        <f>IF(I23=0,0,IF(AND(LEFT(I23,1)="A",O23&lt;=P23),(P23-O23)*24,IF(J23&lt;=K23,(K23-J23)*24,((Listes!$H$21-J23)*24+(K23-Listes!$H$21)*24))+IF(O23&lt;=P23,(P23-O23)*24,(Listes!$H$21-O23)*24+(P23-Listes!$G$21)*24)))-X23+(U23*24)</f>
        <v>7.5000000000000009</v>
      </c>
      <c r="X23" s="70">
        <f>IFERROR(IF(IFERROR(INDEX(Listes!J:O,MATCH(L23,Listes!J:J,1),6),0)="oui",N23*24,0),0)+IFERROR(IF(IFERROR(INDEX(Listes!J:O,MATCH(Q23,Listes!J:J,1),6),0)="oui",S23*24,0),0)</f>
        <v>0</v>
      </c>
      <c r="Y23" s="70">
        <f t="shared" ca="1" si="6"/>
        <v>0</v>
      </c>
    </row>
    <row r="24" spans="1:25" ht="18" customHeight="1">
      <c r="A24" s="69" t="str">
        <f>Listes!$AD$2</f>
        <v>MANAGER</v>
      </c>
      <c r="B24" s="75">
        <f t="shared" si="5"/>
        <v>18</v>
      </c>
      <c r="C24" s="69" t="str" cm="1">
        <f t="array" ref="C24">INDEX(Listes!$Z$2:$Z$31,1+(ROW()-7)/31+INT((ROW()-7)/(31*30)))</f>
        <v>MAT1</v>
      </c>
      <c r="D24" s="69" t="str">
        <f>IFERROR(INDEX(Listes!Z:AA,MATCH(C24,Listes!Z:Z,0),2),"")</f>
        <v>Matricule 1</v>
      </c>
      <c r="E24" s="77" t="str">
        <f t="shared" ca="1" si="0"/>
        <v>juin</v>
      </c>
      <c r="F24" s="120">
        <f t="shared" ca="1" si="4"/>
        <v>25</v>
      </c>
      <c r="G24" s="78" t="str">
        <f t="shared" ca="1" si="1"/>
        <v>mardi</v>
      </c>
      <c r="H24" s="78">
        <f ca="1">IF(B24=1,VLOOKUP(_xlfn.SHEET(),Listes!$F:$H,3,0),IF(TEXT(H23+1,"mmmm")&lt;&gt;TEXT(H23,"mmmm"),"",H23+1))</f>
        <v>45461</v>
      </c>
      <c r="I24" s="37" t="s">
        <v>187</v>
      </c>
      <c r="J24" s="38">
        <f>IF(OR(I24=0,LEFT(I24,1)="A"),0,INDEX(Listes!Q:V,MATCH(I24,Listes!Q:Q,0),2))</f>
        <v>0.33333333333333331</v>
      </c>
      <c r="K24" s="38">
        <f>IF(OR(I24=0,LEFT(I24,1)="A"),0,INDEX(Listes!Q:V,MATCH(I24,Listes!Q:Q,0),3))</f>
        <v>0.5</v>
      </c>
      <c r="L24" s="178"/>
      <c r="M24" s="183">
        <f>IF(L24=0,0,IF(AND(LEFT(I24,1)="M",L24&lt;&gt;0),INDEX(Listes!J:O,MATCH(L24,Listes!J:J,1),3),IF(AND(LEFT(I24,1)="N",L24&lt;&gt;0),INDEX(Listes!J:O,MATCH(L24,Listes!J:J,1),3),IF(AND(LEFT(I24,1)="A",L24&lt;&gt;0),INDEX(Listes!J:O,MATCH(L24,Listes!J:J,1),3),IF(AND(LEFT(I24,1)="J",L24&lt;&gt;0),INDEX(Listes!J:O,MATCH(L24,Listes!J:J,1),3),IF(AND(LEFT(I24,1)="T",L24&lt;&gt;0),INDEX(Listes!J:O,MATCH(L24,Listes!J:J,1),3),"horaire"))))))</f>
        <v>0</v>
      </c>
      <c r="N24" s="38">
        <f>IFERROR(IF(M24="$horaire","à compléter",IF(AND(M24="$DEMI",INDEX(Listes!J:O,MATCH(L24,Listes!J:J,1),6)="oui"),(K24-J24),0)),0)</f>
        <v>0</v>
      </c>
      <c r="O24" s="40">
        <f>IF(OR(I24=0,LEFT(I24,1)="A"),0,INDEX(Listes!Q:V,MATCH(I24,Listes!Q:Q,0),4))</f>
        <v>0.5625</v>
      </c>
      <c r="P24" s="42">
        <f>IF(OR(I24=0,LEFT(I24,1)="A"),0,INDEX(Listes!Q:V,MATCH(I24,Listes!Q:Q,0),5))</f>
        <v>0.70833333333333337</v>
      </c>
      <c r="Q24" s="178"/>
      <c r="R24" s="183">
        <f>IF(Q24=0,0,IF(AND(LEFT(I24,1)="M",Q24&lt;&gt;0),INDEX(Listes!J:O,MATCH(Q24,Listes!J:J,1),3),IF(AND(LEFT(I24,1)="N",Q24&lt;&gt;0),INDEX(Listes!J:O,MATCH(Q24,Listes!J:J,1),3),IF(AND(LEFT(I24,1)="A",Q24&lt;&gt;0),INDEX(Listes!J:O,MATCH(Q24,Listes!J:J,1),3),IF(AND(LEFT(I24,1)="J",Q24&lt;&gt;0),INDEX(Listes!J:O,MATCH(Q24,Listes!J:J,1),3),IF(AND(LEFT(I24,1)="T",Q24&lt;&gt;0),INDEX(Listes!J:O,MATCH(Q24,Listes!J:J,1),3),"horaire"))))))</f>
        <v>0</v>
      </c>
      <c r="S24" s="38">
        <f>IFERROR(IF(R24="$horaire","à compléter",IF(AND(R24="$DEMI2",INDEX(Listes!J:O,MATCH(Q24,Listes!J:J,1),6)="oui"),(P24-O24),0)),0)</f>
        <v>0</v>
      </c>
      <c r="T24" s="37"/>
      <c r="U24" s="37">
        <f t="shared" si="2"/>
        <v>0</v>
      </c>
      <c r="V24" s="70">
        <f>IF(I24=0,0,INDEX(Listes!Q:V,MATCH(I24,Listes!Q:Q,1),6))</f>
        <v>7.5000000000000009</v>
      </c>
      <c r="W24" s="71">
        <f>IF(I24=0,0,IF(AND(LEFT(I24,1)="A",O24&lt;=P24),(P24-O24)*24,IF(J24&lt;=K24,(K24-J24)*24,((Listes!$H$21-J24)*24+(K24-Listes!$H$21)*24))+IF(O24&lt;=P24,(P24-O24)*24,(Listes!$H$21-O24)*24+(P24-Listes!$G$21)*24)))-X24+(U24*24)</f>
        <v>7.5000000000000009</v>
      </c>
      <c r="X24" s="70">
        <f>IFERROR(IF(IFERROR(INDEX(Listes!J:O,MATCH(L24,Listes!J:J,1),6),0)="oui",N24*24,0),0)+IFERROR(IF(IFERROR(INDEX(Listes!J:O,MATCH(Q24,Listes!J:J,1),6),0)="oui",S24*24,0),0)</f>
        <v>0</v>
      </c>
      <c r="Y24" s="70">
        <f t="shared" ca="1" si="6"/>
        <v>0</v>
      </c>
    </row>
    <row r="25" spans="1:25" ht="18" customHeight="1">
      <c r="A25" s="69" t="str">
        <f>Listes!$AD$2</f>
        <v>MANAGER</v>
      </c>
      <c r="B25" s="75">
        <f t="shared" si="5"/>
        <v>19</v>
      </c>
      <c r="C25" s="69" t="str" cm="1">
        <f t="array" ref="C25">INDEX(Listes!$Z$2:$Z$31,1+(ROW()-7)/31+INT((ROW()-7)/(31*30)))</f>
        <v>MAT1</v>
      </c>
      <c r="D25" s="69" t="str">
        <f>IFERROR(INDEX(Listes!Z:AA,MATCH(C25,Listes!Z:Z,0),2),"")</f>
        <v>Matricule 1</v>
      </c>
      <c r="E25" s="77" t="str">
        <f t="shared" ca="1" si="0"/>
        <v>juin</v>
      </c>
      <c r="F25" s="120">
        <f t="shared" ca="1" si="4"/>
        <v>25</v>
      </c>
      <c r="G25" s="78" t="str">
        <f t="shared" ca="1" si="1"/>
        <v>mercredi</v>
      </c>
      <c r="H25" s="78">
        <f ca="1">IF(B25=1,VLOOKUP(_xlfn.SHEET(),Listes!$F:$H,3,0),IF(TEXT(H24+1,"mmmm")&lt;&gt;TEXT(H24,"mmmm"),"",H24+1))</f>
        <v>45462</v>
      </c>
      <c r="I25" s="37" t="s">
        <v>187</v>
      </c>
      <c r="J25" s="38">
        <f>IF(OR(I25=0,LEFT(I25,1)="A"),0,INDEX(Listes!Q:V,MATCH(I25,Listes!Q:Q,0),2))</f>
        <v>0.33333333333333331</v>
      </c>
      <c r="K25" s="38">
        <f>IF(OR(I25=0,LEFT(I25,1)="A"),0,INDEX(Listes!Q:V,MATCH(I25,Listes!Q:Q,0),3))</f>
        <v>0.5</v>
      </c>
      <c r="L25" s="178"/>
      <c r="M25" s="183">
        <f>IF(L25=0,0,IF(AND(LEFT(I25,1)="M",L25&lt;&gt;0),INDEX(Listes!J:O,MATCH(L25,Listes!J:J,1),3),IF(AND(LEFT(I25,1)="N",L25&lt;&gt;0),INDEX(Listes!J:O,MATCH(L25,Listes!J:J,1),3),IF(AND(LEFT(I25,1)="A",L25&lt;&gt;0),INDEX(Listes!J:O,MATCH(L25,Listes!J:J,1),3),IF(AND(LEFT(I25,1)="J",L25&lt;&gt;0),INDEX(Listes!J:O,MATCH(L25,Listes!J:J,1),3),IF(AND(LEFT(I25,1)="T",L25&lt;&gt;0),INDEX(Listes!J:O,MATCH(L25,Listes!J:J,1),3),"horaire"))))))</f>
        <v>0</v>
      </c>
      <c r="N25" s="38">
        <f>IFERROR(IF(M25="$horaire","à compléter",IF(AND(M25="$DEMI",INDEX(Listes!J:O,MATCH(L25,Listes!J:J,1),6)="oui"),(K25-J25),0)),0)</f>
        <v>0</v>
      </c>
      <c r="O25" s="40">
        <f>IF(OR(I25=0,LEFT(I25,1)="A"),0,INDEX(Listes!Q:V,MATCH(I25,Listes!Q:Q,0),4))</f>
        <v>0.5625</v>
      </c>
      <c r="P25" s="42">
        <f>IF(OR(I25=0,LEFT(I25,1)="A"),0,INDEX(Listes!Q:V,MATCH(I25,Listes!Q:Q,0),5))</f>
        <v>0.70833333333333337</v>
      </c>
      <c r="Q25" s="178"/>
      <c r="R25" s="183">
        <f>IF(Q25=0,0,IF(AND(LEFT(I25,1)="M",Q25&lt;&gt;0),INDEX(Listes!J:O,MATCH(Q25,Listes!J:J,1),3),IF(AND(LEFT(I25,1)="N",Q25&lt;&gt;0),INDEX(Listes!J:O,MATCH(Q25,Listes!J:J,1),3),IF(AND(LEFT(I25,1)="A",Q25&lt;&gt;0),INDEX(Listes!J:O,MATCH(Q25,Listes!J:J,1),3),IF(AND(LEFT(I25,1)="J",Q25&lt;&gt;0),INDEX(Listes!J:O,MATCH(Q25,Listes!J:J,1),3),IF(AND(LEFT(I25,1)="T",Q25&lt;&gt;0),INDEX(Listes!J:O,MATCH(Q25,Listes!J:J,1),3),"horaire"))))))</f>
        <v>0</v>
      </c>
      <c r="S25" s="38">
        <f>IFERROR(IF(R25="$horaire","à compléter",IF(AND(R25="$DEMI2",INDEX(Listes!J:O,MATCH(Q25,Listes!J:J,1),6)="oui"),(P25-O25),0)),0)</f>
        <v>0</v>
      </c>
      <c r="T25" s="37"/>
      <c r="U25" s="37">
        <f t="shared" si="2"/>
        <v>0</v>
      </c>
      <c r="V25" s="70">
        <f>IF(I25=0,0,INDEX(Listes!Q:V,MATCH(I25,Listes!Q:Q,1),6))</f>
        <v>7.5000000000000009</v>
      </c>
      <c r="W25" s="71">
        <f>IF(I25=0,0,IF(AND(LEFT(I25,1)="A",O25&lt;=P25),(P25-O25)*24,IF(J25&lt;=K25,(K25-J25)*24,((Listes!$H$21-J25)*24+(K25-Listes!$H$21)*24))+IF(O25&lt;=P25,(P25-O25)*24,(Listes!$H$21-O25)*24+(P25-Listes!$G$21)*24)))-X25+(U25*24)</f>
        <v>7.5000000000000009</v>
      </c>
      <c r="X25" s="70">
        <f>IFERROR(IF(IFERROR(INDEX(Listes!J:O,MATCH(L25,Listes!J:J,1),6),0)="oui",N25*24,0),0)+IFERROR(IF(IFERROR(INDEX(Listes!J:O,MATCH(Q25,Listes!J:J,1),6),0)="oui",S25*24,0),0)</f>
        <v>0</v>
      </c>
      <c r="Y25" s="70">
        <f t="shared" ca="1" si="6"/>
        <v>0</v>
      </c>
    </row>
    <row r="26" spans="1:25" ht="18" customHeight="1">
      <c r="A26" s="69" t="str">
        <f>Listes!$AD$2</f>
        <v>MANAGER</v>
      </c>
      <c r="B26" s="75">
        <f t="shared" si="5"/>
        <v>20</v>
      </c>
      <c r="C26" s="69" t="str" cm="1">
        <f t="array" ref="C26">INDEX(Listes!$Z$2:$Z$31,1+(ROW()-7)/31+INT((ROW()-7)/(31*30)))</f>
        <v>MAT1</v>
      </c>
      <c r="D26" s="69" t="str">
        <f>IFERROR(INDEX(Listes!Z:AA,MATCH(C26,Listes!Z:Z,0),2),"")</f>
        <v>Matricule 1</v>
      </c>
      <c r="E26" s="77" t="str">
        <f t="shared" ca="1" si="0"/>
        <v>juin</v>
      </c>
      <c r="F26" s="120">
        <f t="shared" ca="1" si="4"/>
        <v>25</v>
      </c>
      <c r="G26" s="78" t="str">
        <f t="shared" ca="1" si="1"/>
        <v>jeudi</v>
      </c>
      <c r="H26" s="78">
        <f ca="1">IF(B26=1,VLOOKUP(_xlfn.SHEET(),Listes!$F:$H,3,0),IF(TEXT(H25+1,"mmmm")&lt;&gt;TEXT(H25,"mmmm"),"",H25+1))</f>
        <v>45463</v>
      </c>
      <c r="I26" s="37" t="s">
        <v>187</v>
      </c>
      <c r="J26" s="38">
        <f>IF(OR(I26=0,LEFT(I26,1)="A"),0,INDEX(Listes!Q:V,MATCH(I26,Listes!Q:Q,0),2))</f>
        <v>0.33333333333333331</v>
      </c>
      <c r="K26" s="38">
        <f>IF(OR(I26=0,LEFT(I26,1)="A"),0,INDEX(Listes!Q:V,MATCH(I26,Listes!Q:Q,0),3))</f>
        <v>0.5</v>
      </c>
      <c r="L26" s="178"/>
      <c r="M26" s="183">
        <f>IF(L26=0,0,IF(AND(LEFT(I26,1)="M",L26&lt;&gt;0),INDEX(Listes!J:O,MATCH(L26,Listes!J:J,1),3),IF(AND(LEFT(I26,1)="N",L26&lt;&gt;0),INDEX(Listes!J:O,MATCH(L26,Listes!J:J,1),3),IF(AND(LEFT(I26,1)="A",L26&lt;&gt;0),INDEX(Listes!J:O,MATCH(L26,Listes!J:J,1),3),IF(AND(LEFT(I26,1)="J",L26&lt;&gt;0),INDEX(Listes!J:O,MATCH(L26,Listes!J:J,1),3),IF(AND(LEFT(I26,1)="T",L26&lt;&gt;0),INDEX(Listes!J:O,MATCH(L26,Listes!J:J,1),3),"horaire"))))))</f>
        <v>0</v>
      </c>
      <c r="N26" s="38">
        <f>IFERROR(IF(M26="$horaire","à compléter",IF(AND(M26="$DEMI",INDEX(Listes!J:O,MATCH(L26,Listes!J:J,1),6)="oui"),(K26-J26),0)),0)</f>
        <v>0</v>
      </c>
      <c r="O26" s="40">
        <f>IF(OR(I26=0,LEFT(I26,1)="A"),0,INDEX(Listes!Q:V,MATCH(I26,Listes!Q:Q,0),4))</f>
        <v>0.5625</v>
      </c>
      <c r="P26" s="42">
        <f>IF(OR(I26=0,LEFT(I26,1)="A"),0,INDEX(Listes!Q:V,MATCH(I26,Listes!Q:Q,0),5))</f>
        <v>0.70833333333333337</v>
      </c>
      <c r="Q26" s="178"/>
      <c r="R26" s="183">
        <f>IF(Q26=0,0,IF(AND(LEFT(I26,1)="M",Q26&lt;&gt;0),INDEX(Listes!J:O,MATCH(Q26,Listes!J:J,1),3),IF(AND(LEFT(I26,1)="N",Q26&lt;&gt;0),INDEX(Listes!J:O,MATCH(Q26,Listes!J:J,1),3),IF(AND(LEFT(I26,1)="A",Q26&lt;&gt;0),INDEX(Listes!J:O,MATCH(Q26,Listes!J:J,1),3),IF(AND(LEFT(I26,1)="J",Q26&lt;&gt;0),INDEX(Listes!J:O,MATCH(Q26,Listes!J:J,1),3),IF(AND(LEFT(I26,1)="T",Q26&lt;&gt;0),INDEX(Listes!J:O,MATCH(Q26,Listes!J:J,1),3),"horaire"))))))</f>
        <v>0</v>
      </c>
      <c r="S26" s="38">
        <f>IFERROR(IF(R26="$horaire","à compléter",IF(AND(R26="$DEMI2",INDEX(Listes!J:O,MATCH(Q26,Listes!J:J,1),6)="oui"),(P26-O26),0)),0)</f>
        <v>0</v>
      </c>
      <c r="T26" s="37"/>
      <c r="U26" s="37">
        <f t="shared" si="2"/>
        <v>0</v>
      </c>
      <c r="V26" s="70">
        <f>IF(I26=0,0,INDEX(Listes!Q:V,MATCH(I26,Listes!Q:Q,1),6))</f>
        <v>7.5000000000000009</v>
      </c>
      <c r="W26" s="71">
        <f>IF(I26=0,0,IF(AND(LEFT(I26,1)="A",O26&lt;=P26),(P26-O26)*24,IF(J26&lt;=K26,(K26-J26)*24,((Listes!$H$21-J26)*24+(K26-Listes!$H$21)*24))+IF(O26&lt;=P26,(P26-O26)*24,(Listes!$H$21-O26)*24+(P26-Listes!$G$21)*24)))-X26+(U26*24)</f>
        <v>7.5000000000000009</v>
      </c>
      <c r="X26" s="70">
        <f>IFERROR(IF(IFERROR(INDEX(Listes!J:O,MATCH(L26,Listes!J:J,1),6),0)="oui",N26*24,0),0)+IFERROR(IF(IFERROR(INDEX(Listes!J:O,MATCH(Q26,Listes!J:J,1),6),0)="oui",S26*24,0),0)</f>
        <v>0</v>
      </c>
      <c r="Y26" s="70">
        <f t="shared" ca="1" si="6"/>
        <v>0</v>
      </c>
    </row>
    <row r="27" spans="1:25" ht="18" customHeight="1">
      <c r="A27" s="69" t="str">
        <f>Listes!$AD$2</f>
        <v>MANAGER</v>
      </c>
      <c r="B27" s="75">
        <f t="shared" si="5"/>
        <v>21</v>
      </c>
      <c r="C27" s="69" t="str" cm="1">
        <f t="array" ref="C27">INDEX(Listes!$Z$2:$Z$31,1+(ROW()-7)/31+INT((ROW()-7)/(31*30)))</f>
        <v>MAT1</v>
      </c>
      <c r="D27" s="69" t="str">
        <f>IFERROR(INDEX(Listes!Z:AA,MATCH(C27,Listes!Z:Z,0),2),"")</f>
        <v>Matricule 1</v>
      </c>
      <c r="E27" s="77" t="str">
        <f t="shared" ca="1" si="0"/>
        <v>juin</v>
      </c>
      <c r="F27" s="120">
        <f t="shared" ca="1" si="4"/>
        <v>25</v>
      </c>
      <c r="G27" s="78" t="str">
        <f t="shared" ca="1" si="1"/>
        <v>vendredi</v>
      </c>
      <c r="H27" s="78">
        <f ca="1">IF(B27=1,VLOOKUP(_xlfn.SHEET(),Listes!$F:$H,3,0),IF(TEXT(H26+1,"mmmm")&lt;&gt;TEXT(H26,"mmmm"),"",H26+1))</f>
        <v>45464</v>
      </c>
      <c r="I27" s="37" t="s">
        <v>187</v>
      </c>
      <c r="J27" s="38">
        <f>IF(OR(I27=0,LEFT(I27,1)="A"),0,INDEX(Listes!Q:V,MATCH(I27,Listes!Q:Q,0),2))</f>
        <v>0.33333333333333331</v>
      </c>
      <c r="K27" s="38">
        <f>IF(OR(I27=0,LEFT(I27,1)="A"),0,INDEX(Listes!Q:V,MATCH(I27,Listes!Q:Q,0),3))</f>
        <v>0.5</v>
      </c>
      <c r="L27" s="178"/>
      <c r="M27" s="183">
        <f>IF(L27=0,0,IF(AND(LEFT(I27,1)="M",L27&lt;&gt;0),INDEX(Listes!J:O,MATCH(L27,Listes!J:J,1),3),IF(AND(LEFT(I27,1)="N",L27&lt;&gt;0),INDEX(Listes!J:O,MATCH(L27,Listes!J:J,1),3),IF(AND(LEFT(I27,1)="A",L27&lt;&gt;0),INDEX(Listes!J:O,MATCH(L27,Listes!J:J,1),3),IF(AND(LEFT(I27,1)="J",L27&lt;&gt;0),INDEX(Listes!J:O,MATCH(L27,Listes!J:J,1),3),IF(AND(LEFT(I27,1)="T",L27&lt;&gt;0),INDEX(Listes!J:O,MATCH(L27,Listes!J:J,1),3),"horaire"))))))</f>
        <v>0</v>
      </c>
      <c r="N27" s="38">
        <f>IFERROR(IF(M27="$horaire","à compléter",IF(AND(M27="$DEMI",INDEX(Listes!J:O,MATCH(L27,Listes!J:J,1),6)="oui"),(K27-J27),0)),0)</f>
        <v>0</v>
      </c>
      <c r="O27" s="40">
        <f>IF(OR(I27=0,LEFT(I27,1)="A"),0,INDEX(Listes!Q:V,MATCH(I27,Listes!Q:Q,0),4))</f>
        <v>0.5625</v>
      </c>
      <c r="P27" s="42">
        <f>IF(OR(I27=0,LEFT(I27,1)="A"),0,INDEX(Listes!Q:V,MATCH(I27,Listes!Q:Q,0),5))</f>
        <v>0.70833333333333337</v>
      </c>
      <c r="Q27" s="178"/>
      <c r="R27" s="183">
        <f>IF(Q27=0,0,IF(AND(LEFT(I27,1)="M",Q27&lt;&gt;0),INDEX(Listes!J:O,MATCH(Q27,Listes!J:J,1),3),IF(AND(LEFT(I27,1)="N",Q27&lt;&gt;0),INDEX(Listes!J:O,MATCH(Q27,Listes!J:J,1),3),IF(AND(LEFT(I27,1)="A",Q27&lt;&gt;0),INDEX(Listes!J:O,MATCH(Q27,Listes!J:J,1),3),IF(AND(LEFT(I27,1)="J",Q27&lt;&gt;0),INDEX(Listes!J:O,MATCH(Q27,Listes!J:J,1),3),IF(AND(LEFT(I27,1)="T",Q27&lt;&gt;0),INDEX(Listes!J:O,MATCH(Q27,Listes!J:J,1),3),"horaire"))))))</f>
        <v>0</v>
      </c>
      <c r="S27" s="38">
        <f>IFERROR(IF(R27="$horaire","à compléter",IF(AND(R27="$DEMI2",INDEX(Listes!J:O,MATCH(Q27,Listes!J:J,1),6)="oui"),(P27-O27),0)),0)</f>
        <v>0</v>
      </c>
      <c r="T27" s="37"/>
      <c r="U27" s="37">
        <f t="shared" si="2"/>
        <v>0</v>
      </c>
      <c r="V27" s="70">
        <f>IF(I27=0,0,INDEX(Listes!Q:V,MATCH(I27,Listes!Q:Q,1),6))</f>
        <v>7.5000000000000009</v>
      </c>
      <c r="W27" s="71">
        <f>IF(I27=0,0,IF(AND(LEFT(I27,1)="A",O27&lt;=P27),(P27-O27)*24,IF(J27&lt;=K27,(K27-J27)*24,((Listes!$H$21-J27)*24+(K27-Listes!$H$21)*24))+IF(O27&lt;=P27,(P27-O27)*24,(Listes!$H$21-O27)*24+(P27-Listes!$G$21)*24)))-X27+(U27*24)</f>
        <v>7.5000000000000009</v>
      </c>
      <c r="X27" s="70">
        <f>IFERROR(IF(IFERROR(INDEX(Listes!J:O,MATCH(L27,Listes!J:J,1),6),0)="oui",N27*24,0),0)+IFERROR(IF(IFERROR(INDEX(Listes!J:O,MATCH(Q27,Listes!J:J,1),6),0)="oui",S27*24,0),0)</f>
        <v>0</v>
      </c>
      <c r="Y27" s="70">
        <f t="shared" ca="1" si="6"/>
        <v>0</v>
      </c>
    </row>
    <row r="28" spans="1:25" ht="18" customHeight="1">
      <c r="A28" s="69" t="str">
        <f>Listes!$AD$2</f>
        <v>MANAGER</v>
      </c>
      <c r="B28" s="75">
        <f t="shared" si="5"/>
        <v>22</v>
      </c>
      <c r="C28" s="69" t="str" cm="1">
        <f t="array" ref="C28">INDEX(Listes!$Z$2:$Z$31,1+(ROW()-7)/31+INT((ROW()-7)/(31*30)))</f>
        <v>MAT1</v>
      </c>
      <c r="D28" s="69" t="str">
        <f>IFERROR(INDEX(Listes!Z:AA,MATCH(C28,Listes!Z:Z,0),2),"")</f>
        <v>Matricule 1</v>
      </c>
      <c r="E28" s="77" t="str">
        <f t="shared" ca="1" si="0"/>
        <v>juin</v>
      </c>
      <c r="F28" s="120">
        <f t="shared" ca="1" si="4"/>
        <v>25</v>
      </c>
      <c r="G28" s="78" t="str">
        <f t="shared" ca="1" si="1"/>
        <v>samedi</v>
      </c>
      <c r="H28" s="78">
        <f ca="1">IF(B28=1,VLOOKUP(_xlfn.SHEET(),Listes!$F:$H,3,0),IF(TEXT(H27+1,"mmmm")&lt;&gt;TEXT(H27,"mmmm"),"",H27+1))</f>
        <v>45465</v>
      </c>
      <c r="I28" s="37" t="s">
        <v>187</v>
      </c>
      <c r="J28" s="38">
        <f>IF(OR(I28=0,LEFT(I28,1)="A"),0,INDEX(Listes!Q:V,MATCH(I28,Listes!Q:Q,0),2))</f>
        <v>0.33333333333333331</v>
      </c>
      <c r="K28" s="38">
        <f>IF(OR(I28=0,LEFT(I28,1)="A"),0,INDEX(Listes!Q:V,MATCH(I28,Listes!Q:Q,0),3))</f>
        <v>0.5</v>
      </c>
      <c r="L28" s="178"/>
      <c r="M28" s="183">
        <f>IF(L28=0,0,IF(AND(LEFT(I28,1)="M",L28&lt;&gt;0),INDEX(Listes!J:O,MATCH(L28,Listes!J:J,1),3),IF(AND(LEFT(I28,1)="N",L28&lt;&gt;0),INDEX(Listes!J:O,MATCH(L28,Listes!J:J,1),3),IF(AND(LEFT(I28,1)="A",L28&lt;&gt;0),INDEX(Listes!J:O,MATCH(L28,Listes!J:J,1),3),IF(AND(LEFT(I28,1)="J",L28&lt;&gt;0),INDEX(Listes!J:O,MATCH(L28,Listes!J:J,1),3),IF(AND(LEFT(I28,1)="T",L28&lt;&gt;0),INDEX(Listes!J:O,MATCH(L28,Listes!J:J,1),3),"horaire"))))))</f>
        <v>0</v>
      </c>
      <c r="N28" s="38">
        <f>IFERROR(IF(M28="$horaire","à compléter",IF(AND(M28="$DEMI",INDEX(Listes!J:O,MATCH(L28,Listes!J:J,1),6)="oui"),(K28-J28),0)),0)</f>
        <v>0</v>
      </c>
      <c r="O28" s="40">
        <f>IF(OR(I28=0,LEFT(I28,1)="A"),0,INDEX(Listes!Q:V,MATCH(I28,Listes!Q:Q,0),4))</f>
        <v>0.5625</v>
      </c>
      <c r="P28" s="42">
        <f>IF(OR(I28=0,LEFT(I28,1)="A"),0,INDEX(Listes!Q:V,MATCH(I28,Listes!Q:Q,0),5))</f>
        <v>0.70833333333333337</v>
      </c>
      <c r="Q28" s="178"/>
      <c r="R28" s="183">
        <f>IF(Q28=0,0,IF(AND(LEFT(I28,1)="M",Q28&lt;&gt;0),INDEX(Listes!J:O,MATCH(Q28,Listes!J:J,1),3),IF(AND(LEFT(I28,1)="N",Q28&lt;&gt;0),INDEX(Listes!J:O,MATCH(Q28,Listes!J:J,1),3),IF(AND(LEFT(I28,1)="A",Q28&lt;&gt;0),INDEX(Listes!J:O,MATCH(Q28,Listes!J:J,1),3),IF(AND(LEFT(I28,1)="J",Q28&lt;&gt;0),INDEX(Listes!J:O,MATCH(Q28,Listes!J:J,1),3),IF(AND(LEFT(I28,1)="T",Q28&lt;&gt;0),INDEX(Listes!J:O,MATCH(Q28,Listes!J:J,1),3),"horaire"))))))</f>
        <v>0</v>
      </c>
      <c r="S28" s="38">
        <f>IFERROR(IF(R28="$horaire","à compléter",IF(AND(R28="$DEMI2",INDEX(Listes!J:O,MATCH(Q28,Listes!J:J,1),6)="oui"),(P28-O28),0)),0)</f>
        <v>0</v>
      </c>
      <c r="T28" s="37"/>
      <c r="U28" s="37">
        <f t="shared" si="2"/>
        <v>0</v>
      </c>
      <c r="V28" s="70">
        <f>IF(I28=0,0,INDEX(Listes!Q:V,MATCH(I28,Listes!Q:Q,1),6))</f>
        <v>7.5000000000000009</v>
      </c>
      <c r="W28" s="71">
        <f>IF(I28=0,0,IF(AND(LEFT(I28,1)="A",O28&lt;=P28),(P28-O28)*24,IF(J28&lt;=K28,(K28-J28)*24,((Listes!$H$21-J28)*24+(K28-Listes!$H$21)*24))+IF(O28&lt;=P28,(P28-O28)*24,(Listes!$H$21-O28)*24+(P28-Listes!$G$21)*24)))-X28+(U28*24)</f>
        <v>7.5000000000000009</v>
      </c>
      <c r="X28" s="70">
        <f>IFERROR(IF(IFERROR(INDEX(Listes!J:O,MATCH(L28,Listes!J:J,1),6),0)="oui",N28*24,0),0)+IFERROR(IF(IFERROR(INDEX(Listes!J:O,MATCH(Q28,Listes!J:J,1),6),0)="oui",S28*24,0),0)</f>
        <v>0</v>
      </c>
      <c r="Y28" s="70">
        <f t="shared" ca="1" si="6"/>
        <v>7.5000000000000009</v>
      </c>
    </row>
    <row r="29" spans="1:25" ht="18" customHeight="1">
      <c r="A29" s="69" t="str">
        <f>Listes!$AD$2</f>
        <v>MANAGER</v>
      </c>
      <c r="B29" s="75">
        <f t="shared" si="5"/>
        <v>23</v>
      </c>
      <c r="C29" s="69" t="str" cm="1">
        <f t="array" ref="C29">INDEX(Listes!$Z$2:$Z$31,1+(ROW()-7)/31+INT((ROW()-7)/(31*30)))</f>
        <v>MAT1</v>
      </c>
      <c r="D29" s="69" t="str">
        <f>IFERROR(INDEX(Listes!Z:AA,MATCH(C29,Listes!Z:Z,0),2),"")</f>
        <v>Matricule 1</v>
      </c>
      <c r="E29" s="77" t="str">
        <f t="shared" ca="1" si="0"/>
        <v>juin</v>
      </c>
      <c r="F29" s="120">
        <f t="shared" ca="1" si="4"/>
        <v>25</v>
      </c>
      <c r="G29" s="78" t="str">
        <f t="shared" ca="1" si="1"/>
        <v>dimanche</v>
      </c>
      <c r="H29" s="78">
        <f ca="1">IF(B29=1,VLOOKUP(_xlfn.SHEET(),Listes!$F:$H,3,0),IF(TEXT(H28+1,"mmmm")&lt;&gt;TEXT(H28,"mmmm"),"",H28+1))</f>
        <v>45466</v>
      </c>
      <c r="I29" s="37" t="s">
        <v>187</v>
      </c>
      <c r="J29" s="38">
        <f>IF(OR(I29=0,LEFT(I29,1)="A"),0,INDEX(Listes!Q:V,MATCH(I29,Listes!Q:Q,0),2))</f>
        <v>0.33333333333333331</v>
      </c>
      <c r="K29" s="38">
        <f>IF(OR(I29=0,LEFT(I29,1)="A"),0,INDEX(Listes!Q:V,MATCH(I29,Listes!Q:Q,0),3))</f>
        <v>0.5</v>
      </c>
      <c r="L29" s="178"/>
      <c r="M29" s="183">
        <f>IF(L29=0,0,IF(AND(LEFT(I29,1)="M",L29&lt;&gt;0),INDEX(Listes!J:O,MATCH(L29,Listes!J:J,1),3),IF(AND(LEFT(I29,1)="N",L29&lt;&gt;0),INDEX(Listes!J:O,MATCH(L29,Listes!J:J,1),3),IF(AND(LEFT(I29,1)="A",L29&lt;&gt;0),INDEX(Listes!J:O,MATCH(L29,Listes!J:J,1),3),IF(AND(LEFT(I29,1)="J",L29&lt;&gt;0),INDEX(Listes!J:O,MATCH(L29,Listes!J:J,1),3),IF(AND(LEFT(I29,1)="T",L29&lt;&gt;0),INDEX(Listes!J:O,MATCH(L29,Listes!J:J,1),3),"horaire"))))))</f>
        <v>0</v>
      </c>
      <c r="N29" s="38">
        <f>IFERROR(IF(M29="$horaire","à compléter",IF(AND(M29="$DEMI",INDEX(Listes!J:O,MATCH(L29,Listes!J:J,1),6)="oui"),(K29-J29),0)),0)</f>
        <v>0</v>
      </c>
      <c r="O29" s="40">
        <f>IF(OR(I29=0,LEFT(I29,1)="A"),0,INDEX(Listes!Q:V,MATCH(I29,Listes!Q:Q,0),4))</f>
        <v>0.5625</v>
      </c>
      <c r="P29" s="42">
        <f>IF(OR(I29=0,LEFT(I29,1)="A"),0,INDEX(Listes!Q:V,MATCH(I29,Listes!Q:Q,0),5))</f>
        <v>0.70833333333333337</v>
      </c>
      <c r="Q29" s="178"/>
      <c r="R29" s="183">
        <f>IF(Q29=0,0,IF(AND(LEFT(I29,1)="M",Q29&lt;&gt;0),INDEX(Listes!J:O,MATCH(Q29,Listes!J:J,1),3),IF(AND(LEFT(I29,1)="N",Q29&lt;&gt;0),INDEX(Listes!J:O,MATCH(Q29,Listes!J:J,1),3),IF(AND(LEFT(I29,1)="A",Q29&lt;&gt;0),INDEX(Listes!J:O,MATCH(Q29,Listes!J:J,1),3),IF(AND(LEFT(I29,1)="J",Q29&lt;&gt;0),INDEX(Listes!J:O,MATCH(Q29,Listes!J:J,1),3),IF(AND(LEFT(I29,1)="T",Q29&lt;&gt;0),INDEX(Listes!J:O,MATCH(Q29,Listes!J:J,1),3),"horaire"))))))</f>
        <v>0</v>
      </c>
      <c r="S29" s="38">
        <f>IFERROR(IF(R29="$horaire","à compléter",IF(AND(R29="$DEMI2",INDEX(Listes!J:O,MATCH(Q29,Listes!J:J,1),6)="oui"),(P29-O29),0)),0)</f>
        <v>0</v>
      </c>
      <c r="T29" s="37"/>
      <c r="U29" s="37">
        <f t="shared" si="2"/>
        <v>0</v>
      </c>
      <c r="V29" s="70">
        <f>IF(I29=0,0,INDEX(Listes!Q:V,MATCH(I29,Listes!Q:Q,1),6))</f>
        <v>7.5000000000000009</v>
      </c>
      <c r="W29" s="71">
        <f>IF(I29=0,0,IF(AND(LEFT(I29,1)="A",O29&lt;=P29),(P29-O29)*24,IF(J29&lt;=K29,(K29-J29)*24,((Listes!$H$21-J29)*24+(K29-Listes!$H$21)*24))+IF(O29&lt;=P29,(P29-O29)*24,(Listes!$H$21-O29)*24+(P29-Listes!$G$21)*24)))-X29+(U29*24)</f>
        <v>7.5000000000000009</v>
      </c>
      <c r="X29" s="70">
        <f>IFERROR(IF(IFERROR(INDEX(Listes!J:O,MATCH(L29,Listes!J:J,1),6),0)="oui",N29*24,0),0)+IFERROR(IF(IFERROR(INDEX(Listes!J:O,MATCH(Q29,Listes!J:J,1),6),0)="oui",S29*24,0),0)</f>
        <v>0</v>
      </c>
      <c r="Y29" s="70">
        <f t="shared" ca="1" si="6"/>
        <v>7.5000000000000009</v>
      </c>
    </row>
    <row r="30" spans="1:25" ht="18" customHeight="1">
      <c r="A30" s="69" t="str">
        <f>Listes!$AD$2</f>
        <v>MANAGER</v>
      </c>
      <c r="B30" s="75">
        <f t="shared" si="5"/>
        <v>24</v>
      </c>
      <c r="C30" s="69" t="str" cm="1">
        <f t="array" ref="C30">INDEX(Listes!$Z$2:$Z$31,1+(ROW()-7)/31+INT((ROW()-7)/(31*30)))</f>
        <v>MAT1</v>
      </c>
      <c r="D30" s="69" t="str">
        <f>IFERROR(INDEX(Listes!Z:AA,MATCH(C30,Listes!Z:Z,0),2),"")</f>
        <v>Matricule 1</v>
      </c>
      <c r="E30" s="77" t="str">
        <f t="shared" ca="1" si="0"/>
        <v>juin</v>
      </c>
      <c r="F30" s="120">
        <f t="shared" ca="1" si="4"/>
        <v>26</v>
      </c>
      <c r="G30" s="78" t="str">
        <f t="shared" ca="1" si="1"/>
        <v>lundi</v>
      </c>
      <c r="H30" s="78">
        <f ca="1">IF(B30=1,VLOOKUP(_xlfn.SHEET(),Listes!$F:$H,3,0),IF(TEXT(H29+1,"mmmm")&lt;&gt;TEXT(H29,"mmmm"),"",H29+1))</f>
        <v>45467</v>
      </c>
      <c r="I30" s="37" t="s">
        <v>187</v>
      </c>
      <c r="J30" s="38">
        <f>IF(OR(I30=0,LEFT(I30,1)="A"),0,INDEX(Listes!Q:V,MATCH(I30,Listes!Q:Q,0),2))</f>
        <v>0.33333333333333331</v>
      </c>
      <c r="K30" s="38">
        <f>IF(OR(I30=0,LEFT(I30,1)="A"),0,INDEX(Listes!Q:V,MATCH(I30,Listes!Q:Q,0),3))</f>
        <v>0.5</v>
      </c>
      <c r="L30" s="178"/>
      <c r="M30" s="183">
        <f>IF(L30=0,0,IF(AND(LEFT(I30,1)="M",L30&lt;&gt;0),INDEX(Listes!J:O,MATCH(L30,Listes!J:J,1),3),IF(AND(LEFT(I30,1)="N",L30&lt;&gt;0),INDEX(Listes!J:O,MATCH(L30,Listes!J:J,1),3),IF(AND(LEFT(I30,1)="A",L30&lt;&gt;0),INDEX(Listes!J:O,MATCH(L30,Listes!J:J,1),3),IF(AND(LEFT(I30,1)="J",L30&lt;&gt;0),INDEX(Listes!J:O,MATCH(L30,Listes!J:J,1),3),IF(AND(LEFT(I30,1)="T",L30&lt;&gt;0),INDEX(Listes!J:O,MATCH(L30,Listes!J:J,1),3),"horaire"))))))</f>
        <v>0</v>
      </c>
      <c r="N30" s="38">
        <f>IFERROR(IF(M30="$horaire","à compléter",IF(AND(M30="$DEMI",INDEX(Listes!J:O,MATCH(L30,Listes!J:J,1),6)="oui"),(K30-J30),0)),0)</f>
        <v>0</v>
      </c>
      <c r="O30" s="40">
        <f>IF(OR(I30=0,LEFT(I30,1)="A"),0,INDEX(Listes!Q:V,MATCH(I30,Listes!Q:Q,0),4))</f>
        <v>0.5625</v>
      </c>
      <c r="P30" s="42">
        <f>IF(OR(I30=0,LEFT(I30,1)="A"),0,INDEX(Listes!Q:V,MATCH(I30,Listes!Q:Q,0),5))</f>
        <v>0.70833333333333337</v>
      </c>
      <c r="Q30" s="178"/>
      <c r="R30" s="183">
        <f>IF(Q30=0,0,IF(AND(LEFT(I30,1)="M",Q30&lt;&gt;0),INDEX(Listes!J:O,MATCH(Q30,Listes!J:J,1),3),IF(AND(LEFT(I30,1)="N",Q30&lt;&gt;0),INDEX(Listes!J:O,MATCH(Q30,Listes!J:J,1),3),IF(AND(LEFT(I30,1)="A",Q30&lt;&gt;0),INDEX(Listes!J:O,MATCH(Q30,Listes!J:J,1),3),IF(AND(LEFT(I30,1)="J",Q30&lt;&gt;0),INDEX(Listes!J:O,MATCH(Q30,Listes!J:J,1),3),IF(AND(LEFT(I30,1)="T",Q30&lt;&gt;0),INDEX(Listes!J:O,MATCH(Q30,Listes!J:J,1),3),"horaire"))))))</f>
        <v>0</v>
      </c>
      <c r="S30" s="38">
        <f>IFERROR(IF(R30="$horaire","à compléter",IF(AND(R30="$DEMI2",INDEX(Listes!J:O,MATCH(Q30,Listes!J:J,1),6)="oui"),(P30-O30),0)),0)</f>
        <v>0</v>
      </c>
      <c r="T30" s="37"/>
      <c r="U30" s="37">
        <f t="shared" si="2"/>
        <v>0</v>
      </c>
      <c r="V30" s="70">
        <f>IF(I30=0,0,INDEX(Listes!Q:V,MATCH(I30,Listes!Q:Q,1),6))</f>
        <v>7.5000000000000009</v>
      </c>
      <c r="W30" s="71">
        <f>IF(I30=0,0,IF(AND(LEFT(I30,1)="A",O30&lt;=P30),(P30-O30)*24,IF(J30&lt;=K30,(K30-J30)*24,((Listes!$H$21-J30)*24+(K30-Listes!$H$21)*24))+IF(O30&lt;=P30,(P30-O30)*24,(Listes!$H$21-O30)*24+(P30-Listes!$G$21)*24)))-X30+(U30*24)</f>
        <v>7.5000000000000009</v>
      </c>
      <c r="X30" s="70">
        <f>IFERROR(IF(IFERROR(INDEX(Listes!J:O,MATCH(L30,Listes!J:J,1),6),0)="oui",N30*24,0),0)+IFERROR(IF(IFERROR(INDEX(Listes!J:O,MATCH(Q30,Listes!J:J,1),6),0)="oui",S30*24,0),0)</f>
        <v>0</v>
      </c>
      <c r="Y30" s="70">
        <f t="shared" ca="1" si="6"/>
        <v>0</v>
      </c>
    </row>
    <row r="31" spans="1:25" ht="18" customHeight="1">
      <c r="A31" s="69" t="str">
        <f>Listes!$AD$2</f>
        <v>MANAGER</v>
      </c>
      <c r="B31" s="75">
        <f t="shared" si="5"/>
        <v>25</v>
      </c>
      <c r="C31" s="69" t="str" cm="1">
        <f t="array" ref="C31">INDEX(Listes!$Z$2:$Z$31,1+(ROW()-7)/31+INT((ROW()-7)/(31*30)))</f>
        <v>MAT1</v>
      </c>
      <c r="D31" s="69" t="str">
        <f>IFERROR(INDEX(Listes!Z:AA,MATCH(C31,Listes!Z:Z,0),2),"")</f>
        <v>Matricule 1</v>
      </c>
      <c r="E31" s="77" t="str">
        <f t="shared" ca="1" si="0"/>
        <v>juin</v>
      </c>
      <c r="F31" s="120">
        <f t="shared" ca="1" si="4"/>
        <v>26</v>
      </c>
      <c r="G31" s="78" t="str">
        <f t="shared" ca="1" si="1"/>
        <v>mardi</v>
      </c>
      <c r="H31" s="78">
        <f ca="1">IF(B31=1,VLOOKUP(_xlfn.SHEET(),Listes!$F:$H,3,0),IF(TEXT(H30+1,"mmmm")&lt;&gt;TEXT(H30,"mmmm"),"",H30+1))</f>
        <v>45468</v>
      </c>
      <c r="I31" s="37" t="s">
        <v>187</v>
      </c>
      <c r="J31" s="38">
        <f>IF(OR(I31=0,LEFT(I31,1)="A"),0,INDEX(Listes!Q:V,MATCH(I31,Listes!Q:Q,0),2))</f>
        <v>0.33333333333333331</v>
      </c>
      <c r="K31" s="38">
        <f>IF(OR(I31=0,LEFT(I31,1)="A"),0,INDEX(Listes!Q:V,MATCH(I31,Listes!Q:Q,0),3))</f>
        <v>0.5</v>
      </c>
      <c r="L31" s="178"/>
      <c r="M31" s="183">
        <f>IF(L31=0,0,IF(AND(LEFT(I31,1)="M",L31&lt;&gt;0),INDEX(Listes!J:O,MATCH(L31,Listes!J:J,1),3),IF(AND(LEFT(I31,1)="N",L31&lt;&gt;0),INDEX(Listes!J:O,MATCH(L31,Listes!J:J,1),3),IF(AND(LEFT(I31,1)="A",L31&lt;&gt;0),INDEX(Listes!J:O,MATCH(L31,Listes!J:J,1),3),IF(AND(LEFT(I31,1)="J",L31&lt;&gt;0),INDEX(Listes!J:O,MATCH(L31,Listes!J:J,1),3),IF(AND(LEFT(I31,1)="T",L31&lt;&gt;0),INDEX(Listes!J:O,MATCH(L31,Listes!J:J,1),3),"horaire"))))))</f>
        <v>0</v>
      </c>
      <c r="N31" s="38">
        <f>IFERROR(IF(M31="$horaire","à compléter",IF(AND(M31="$DEMI",INDEX(Listes!J:O,MATCH(L31,Listes!J:J,1),6)="oui"),(K31-J31),0)),0)</f>
        <v>0</v>
      </c>
      <c r="O31" s="40">
        <f>IF(OR(I31=0,LEFT(I31,1)="A"),0,INDEX(Listes!Q:V,MATCH(I31,Listes!Q:Q,0),4))</f>
        <v>0.5625</v>
      </c>
      <c r="P31" s="42">
        <f>IF(OR(I31=0,LEFT(I31,1)="A"),0,INDEX(Listes!Q:V,MATCH(I31,Listes!Q:Q,0),5))</f>
        <v>0.70833333333333337</v>
      </c>
      <c r="Q31" s="178"/>
      <c r="R31" s="183">
        <f>IF(Q31=0,0,IF(AND(LEFT(I31,1)="M",Q31&lt;&gt;0),INDEX(Listes!J:O,MATCH(Q31,Listes!J:J,1),3),IF(AND(LEFT(I31,1)="N",Q31&lt;&gt;0),INDEX(Listes!J:O,MATCH(Q31,Listes!J:J,1),3),IF(AND(LEFT(I31,1)="A",Q31&lt;&gt;0),INDEX(Listes!J:O,MATCH(Q31,Listes!J:J,1),3),IF(AND(LEFT(I31,1)="J",Q31&lt;&gt;0),INDEX(Listes!J:O,MATCH(Q31,Listes!J:J,1),3),IF(AND(LEFT(I31,1)="T",Q31&lt;&gt;0),INDEX(Listes!J:O,MATCH(Q31,Listes!J:J,1),3),"horaire"))))))</f>
        <v>0</v>
      </c>
      <c r="S31" s="38">
        <f>IFERROR(IF(R31="$horaire","à compléter",IF(AND(R31="$DEMI2",INDEX(Listes!J:O,MATCH(Q31,Listes!J:J,1),6)="oui"),(P31-O31),0)),0)</f>
        <v>0</v>
      </c>
      <c r="T31" s="37"/>
      <c r="U31" s="37">
        <f t="shared" si="2"/>
        <v>0</v>
      </c>
      <c r="V31" s="70">
        <f>IF(I31=0,0,INDEX(Listes!Q:V,MATCH(I31,Listes!Q:Q,1),6))</f>
        <v>7.5000000000000009</v>
      </c>
      <c r="W31" s="71">
        <f>IF(I31=0,0,IF(AND(LEFT(I31,1)="A",O31&lt;=P31),(P31-O31)*24,IF(J31&lt;=K31,(K31-J31)*24,((Listes!$H$21-J31)*24+(K31-Listes!$H$21)*24))+IF(O31&lt;=P31,(P31-O31)*24,(Listes!$H$21-O31)*24+(P31-Listes!$G$21)*24)))-X31+(U31*24)</f>
        <v>7.5000000000000009</v>
      </c>
      <c r="X31" s="70">
        <f>IFERROR(IF(IFERROR(INDEX(Listes!J:O,MATCH(L31,Listes!J:J,1),6),0)="oui",N31*24,0),0)+IFERROR(IF(IFERROR(INDEX(Listes!J:O,MATCH(Q31,Listes!J:J,1),6),0)="oui",S31*24,0),0)</f>
        <v>0</v>
      </c>
      <c r="Y31" s="70">
        <f t="shared" ca="1" si="6"/>
        <v>0</v>
      </c>
    </row>
    <row r="32" spans="1:25" ht="18" customHeight="1">
      <c r="A32" s="69" t="str">
        <f>Listes!$AD$2</f>
        <v>MANAGER</v>
      </c>
      <c r="B32" s="75">
        <f t="shared" si="5"/>
        <v>26</v>
      </c>
      <c r="C32" s="69" t="str" cm="1">
        <f t="array" ref="C32">INDEX(Listes!$Z$2:$Z$31,1+(ROW()-7)/31+INT((ROW()-7)/(31*30)))</f>
        <v>MAT1</v>
      </c>
      <c r="D32" s="69" t="str">
        <f>IFERROR(INDEX(Listes!Z:AA,MATCH(C32,Listes!Z:Z,0),2),"")</f>
        <v>Matricule 1</v>
      </c>
      <c r="E32" s="77" t="str">
        <f t="shared" ca="1" si="0"/>
        <v>juin</v>
      </c>
      <c r="F32" s="120">
        <f t="shared" ca="1" si="4"/>
        <v>26</v>
      </c>
      <c r="G32" s="78" t="str">
        <f t="shared" ca="1" si="1"/>
        <v>mercredi</v>
      </c>
      <c r="H32" s="78">
        <f ca="1">IF(B32=1,VLOOKUP(_xlfn.SHEET(),Listes!$F:$H,3,0),IF(TEXT(H31+1,"mmmm")&lt;&gt;TEXT(H31,"mmmm"),"",H31+1))</f>
        <v>45469</v>
      </c>
      <c r="I32" s="37" t="s">
        <v>187</v>
      </c>
      <c r="J32" s="38">
        <f>IF(OR(I32=0,LEFT(I32,1)="A"),0,INDEX(Listes!Q:V,MATCH(I32,Listes!Q:Q,0),2))</f>
        <v>0.33333333333333331</v>
      </c>
      <c r="K32" s="38">
        <f>IF(OR(I32=0,LEFT(I32,1)="A"),0,INDEX(Listes!Q:V,MATCH(I32,Listes!Q:Q,0),3))</f>
        <v>0.5</v>
      </c>
      <c r="L32" s="178"/>
      <c r="M32" s="183">
        <f>IF(L32=0,0,IF(AND(LEFT(I32,1)="M",L32&lt;&gt;0),INDEX(Listes!J:O,MATCH(L32,Listes!J:J,1),3),IF(AND(LEFT(I32,1)="N",L32&lt;&gt;0),INDEX(Listes!J:O,MATCH(L32,Listes!J:J,1),3),IF(AND(LEFT(I32,1)="A",L32&lt;&gt;0),INDEX(Listes!J:O,MATCH(L32,Listes!J:J,1),3),IF(AND(LEFT(I32,1)="J",L32&lt;&gt;0),INDEX(Listes!J:O,MATCH(L32,Listes!J:J,1),3),IF(AND(LEFT(I32,1)="T",L32&lt;&gt;0),INDEX(Listes!J:O,MATCH(L32,Listes!J:J,1),3),"horaire"))))))</f>
        <v>0</v>
      </c>
      <c r="N32" s="38">
        <f>IFERROR(IF(M32="$horaire","à compléter",IF(AND(M32="$DEMI",INDEX(Listes!J:O,MATCH(L32,Listes!J:J,1),6)="oui"),(K32-J32),0)),0)</f>
        <v>0</v>
      </c>
      <c r="O32" s="40">
        <f>IF(OR(I32=0,LEFT(I32,1)="A"),0,INDEX(Listes!Q:V,MATCH(I32,Listes!Q:Q,0),4))</f>
        <v>0.5625</v>
      </c>
      <c r="P32" s="42">
        <f>IF(OR(I32=0,LEFT(I32,1)="A"),0,INDEX(Listes!Q:V,MATCH(I32,Listes!Q:Q,0),5))</f>
        <v>0.70833333333333337</v>
      </c>
      <c r="Q32" s="178"/>
      <c r="R32" s="183">
        <f>IF(Q32=0,0,IF(AND(LEFT(I32,1)="M",Q32&lt;&gt;0),INDEX(Listes!J:O,MATCH(Q32,Listes!J:J,1),3),IF(AND(LEFT(I32,1)="N",Q32&lt;&gt;0),INDEX(Listes!J:O,MATCH(Q32,Listes!J:J,1),3),IF(AND(LEFT(I32,1)="A",Q32&lt;&gt;0),INDEX(Listes!J:O,MATCH(Q32,Listes!J:J,1),3),IF(AND(LEFT(I32,1)="J",Q32&lt;&gt;0),INDEX(Listes!J:O,MATCH(Q32,Listes!J:J,1),3),IF(AND(LEFT(I32,1)="T",Q32&lt;&gt;0),INDEX(Listes!J:O,MATCH(Q32,Listes!J:J,1),3),"horaire"))))))</f>
        <v>0</v>
      </c>
      <c r="S32" s="38">
        <f>IFERROR(IF(R32="$horaire","à compléter",IF(AND(R32="$DEMI2",INDEX(Listes!J:O,MATCH(Q32,Listes!J:J,1),6)="oui"),(P32-O32),0)),0)</f>
        <v>0</v>
      </c>
      <c r="T32" s="37"/>
      <c r="U32" s="37">
        <f t="shared" si="2"/>
        <v>0</v>
      </c>
      <c r="V32" s="70">
        <f>IF(I32=0,0,INDEX(Listes!Q:V,MATCH(I32,Listes!Q:Q,1),6))</f>
        <v>7.5000000000000009</v>
      </c>
      <c r="W32" s="71">
        <f>IF(I32=0,0,IF(AND(LEFT(I32,1)="A",O32&lt;=P32),(P32-O32)*24,IF(J32&lt;=K32,(K32-J32)*24,((Listes!$H$21-J32)*24+(K32-Listes!$H$21)*24))+IF(O32&lt;=P32,(P32-O32)*24,(Listes!$H$21-O32)*24+(P32-Listes!$G$21)*24)))-X32+(U32*24)</f>
        <v>7.5000000000000009</v>
      </c>
      <c r="X32" s="70">
        <f>IFERROR(IF(IFERROR(INDEX(Listes!J:O,MATCH(L32,Listes!J:J,1),6),0)="oui",N32*24,0),0)+IFERROR(IF(IFERROR(INDEX(Listes!J:O,MATCH(Q32,Listes!J:J,1),6),0)="oui",S32*24,0),0)</f>
        <v>0</v>
      </c>
      <c r="Y32" s="70">
        <f t="shared" ca="1" si="6"/>
        <v>0</v>
      </c>
    </row>
    <row r="33" spans="1:25" ht="18" customHeight="1">
      <c r="A33" s="69" t="str">
        <f>Listes!$AD$2</f>
        <v>MANAGER</v>
      </c>
      <c r="B33" s="75">
        <f t="shared" si="5"/>
        <v>27</v>
      </c>
      <c r="C33" s="69" t="str" cm="1">
        <f t="array" ref="C33">INDEX(Listes!$Z$2:$Z$31,1+(ROW()-7)/31+INT((ROW()-7)/(31*30)))</f>
        <v>MAT1</v>
      </c>
      <c r="D33" s="69" t="str">
        <f>IFERROR(INDEX(Listes!Z:AA,MATCH(C33,Listes!Z:Z,0),2),"")</f>
        <v>Matricule 1</v>
      </c>
      <c r="E33" s="77" t="str">
        <f t="shared" ca="1" si="0"/>
        <v>juin</v>
      </c>
      <c r="F33" s="120">
        <f t="shared" ca="1" si="4"/>
        <v>26</v>
      </c>
      <c r="G33" s="78" t="str">
        <f t="shared" ca="1" si="1"/>
        <v>jeudi</v>
      </c>
      <c r="H33" s="78">
        <f ca="1">IF(B33=1,VLOOKUP(_xlfn.SHEET(),Listes!$F:$H,3,0),IF(TEXT(H32+1,"mmmm")&lt;&gt;TEXT(H32,"mmmm"),"",H32+1))</f>
        <v>45470</v>
      </c>
      <c r="I33" s="37" t="s">
        <v>187</v>
      </c>
      <c r="J33" s="38">
        <f>IF(OR(I33=0,LEFT(I33,1)="A"),0,INDEX(Listes!Q:V,MATCH(I33,Listes!Q:Q,0),2))</f>
        <v>0.33333333333333331</v>
      </c>
      <c r="K33" s="38">
        <f>IF(OR(I33=0,LEFT(I33,1)="A"),0,INDEX(Listes!Q:V,MATCH(I33,Listes!Q:Q,0),3))</f>
        <v>0.5</v>
      </c>
      <c r="L33" s="178"/>
      <c r="M33" s="183">
        <f>IF(L33=0,0,IF(AND(LEFT(I33,1)="M",L33&lt;&gt;0),INDEX(Listes!J:O,MATCH(L33,Listes!J:J,1),3),IF(AND(LEFT(I33,1)="N",L33&lt;&gt;0),INDEX(Listes!J:O,MATCH(L33,Listes!J:J,1),3),IF(AND(LEFT(I33,1)="A",L33&lt;&gt;0),INDEX(Listes!J:O,MATCH(L33,Listes!J:J,1),3),IF(AND(LEFT(I33,1)="J",L33&lt;&gt;0),INDEX(Listes!J:O,MATCH(L33,Listes!J:J,1),3),IF(AND(LEFT(I33,1)="T",L33&lt;&gt;0),INDEX(Listes!J:O,MATCH(L33,Listes!J:J,1),3),"horaire"))))))</f>
        <v>0</v>
      </c>
      <c r="N33" s="38">
        <f>IFERROR(IF(M33="$horaire","à compléter",IF(AND(M33="$DEMI",INDEX(Listes!J:O,MATCH(L33,Listes!J:J,1),6)="oui"),(K33-J33),0)),0)</f>
        <v>0</v>
      </c>
      <c r="O33" s="40">
        <f>IF(OR(I33=0,LEFT(I33,1)="A"),0,INDEX(Listes!Q:V,MATCH(I33,Listes!Q:Q,0),4))</f>
        <v>0.5625</v>
      </c>
      <c r="P33" s="42">
        <f>IF(OR(I33=0,LEFT(I33,1)="A"),0,INDEX(Listes!Q:V,MATCH(I33,Listes!Q:Q,0),5))</f>
        <v>0.70833333333333337</v>
      </c>
      <c r="Q33" s="178"/>
      <c r="R33" s="183">
        <f>IF(Q33=0,0,IF(AND(LEFT(I33,1)="M",Q33&lt;&gt;0),INDEX(Listes!J:O,MATCH(Q33,Listes!J:J,1),3),IF(AND(LEFT(I33,1)="N",Q33&lt;&gt;0),INDEX(Listes!J:O,MATCH(Q33,Listes!J:J,1),3),IF(AND(LEFT(I33,1)="A",Q33&lt;&gt;0),INDEX(Listes!J:O,MATCH(Q33,Listes!J:J,1),3),IF(AND(LEFT(I33,1)="J",Q33&lt;&gt;0),INDEX(Listes!J:O,MATCH(Q33,Listes!J:J,1),3),IF(AND(LEFT(I33,1)="T",Q33&lt;&gt;0),INDEX(Listes!J:O,MATCH(Q33,Listes!J:J,1),3),"horaire"))))))</f>
        <v>0</v>
      </c>
      <c r="S33" s="38">
        <f>IFERROR(IF(R33="$horaire","à compléter",IF(AND(R33="$DEMI2",INDEX(Listes!J:O,MATCH(Q33,Listes!J:J,1),6)="oui"),(P33-O33),0)),0)</f>
        <v>0</v>
      </c>
      <c r="T33" s="37"/>
      <c r="U33" s="37">
        <f t="shared" si="2"/>
        <v>0</v>
      </c>
      <c r="V33" s="70">
        <f>IF(I33=0,0,INDEX(Listes!Q:V,MATCH(I33,Listes!Q:Q,1),6))</f>
        <v>7.5000000000000009</v>
      </c>
      <c r="W33" s="71">
        <f>IF(I33=0,0,IF(AND(LEFT(I33,1)="A",O33&lt;=P33),(P33-O33)*24,IF(J33&lt;=K33,(K33-J33)*24,((Listes!$H$21-J33)*24+(K33-Listes!$H$21)*24))+IF(O33&lt;=P33,(P33-O33)*24,(Listes!$H$21-O33)*24+(P33-Listes!$G$21)*24)))-X33+(U33*24)</f>
        <v>7.5000000000000009</v>
      </c>
      <c r="X33" s="70">
        <f>IFERROR(IF(IFERROR(INDEX(Listes!J:O,MATCH(L33,Listes!J:J,1),6),0)="oui",N33*24,0),0)+IFERROR(IF(IFERROR(INDEX(Listes!J:O,MATCH(Q33,Listes!J:J,1),6),0)="oui",S33*24,0),0)</f>
        <v>0</v>
      </c>
      <c r="Y33" s="70">
        <f t="shared" ca="1" si="6"/>
        <v>0</v>
      </c>
    </row>
    <row r="34" spans="1:25" ht="18" customHeight="1">
      <c r="A34" s="69" t="str">
        <f>Listes!$AD$2</f>
        <v>MANAGER</v>
      </c>
      <c r="B34" s="75">
        <f t="shared" si="5"/>
        <v>28</v>
      </c>
      <c r="C34" s="69" t="str" cm="1">
        <f t="array" ref="C34">INDEX(Listes!$Z$2:$Z$31,1+(ROW()-7)/31+INT((ROW()-7)/(31*30)))</f>
        <v>MAT1</v>
      </c>
      <c r="D34" s="69" t="str">
        <f>IFERROR(INDEX(Listes!Z:AA,MATCH(C34,Listes!Z:Z,0),2),"")</f>
        <v>Matricule 1</v>
      </c>
      <c r="E34" s="77" t="str">
        <f t="shared" ca="1" si="0"/>
        <v>juin</v>
      </c>
      <c r="F34" s="120">
        <f t="shared" ca="1" si="4"/>
        <v>26</v>
      </c>
      <c r="G34" s="78" t="str">
        <f t="shared" ca="1" si="1"/>
        <v>vendredi</v>
      </c>
      <c r="H34" s="78">
        <f ca="1">IF(B34=1,VLOOKUP(_xlfn.SHEET(),Listes!$F:$H,3,0),IF(TEXT(H33+1,"mmmm")&lt;&gt;TEXT(H33,"mmmm"),"",H33+1))</f>
        <v>45471</v>
      </c>
      <c r="I34" s="37" t="s">
        <v>187</v>
      </c>
      <c r="J34" s="38">
        <f>IF(OR(I34=0,LEFT(I34,1)="A"),0,INDEX(Listes!Q:V,MATCH(I34,Listes!Q:Q,0),2))</f>
        <v>0.33333333333333331</v>
      </c>
      <c r="K34" s="38">
        <f>IF(OR(I34=0,LEFT(I34,1)="A"),0,INDEX(Listes!Q:V,MATCH(I34,Listes!Q:Q,0),3))</f>
        <v>0.5</v>
      </c>
      <c r="L34" s="178"/>
      <c r="M34" s="183">
        <f>IF(L34=0,0,IF(AND(LEFT(I34,1)="M",L34&lt;&gt;0),INDEX(Listes!J:O,MATCH(L34,Listes!J:J,1),3),IF(AND(LEFT(I34,1)="N",L34&lt;&gt;0),INDEX(Listes!J:O,MATCH(L34,Listes!J:J,1),3),IF(AND(LEFT(I34,1)="A",L34&lt;&gt;0),INDEX(Listes!J:O,MATCH(L34,Listes!J:J,1),3),IF(AND(LEFT(I34,1)="J",L34&lt;&gt;0),INDEX(Listes!J:O,MATCH(L34,Listes!J:J,1),3),IF(AND(LEFT(I34,1)="T",L34&lt;&gt;0),INDEX(Listes!J:O,MATCH(L34,Listes!J:J,1),3),"horaire"))))))</f>
        <v>0</v>
      </c>
      <c r="N34" s="38">
        <f>IFERROR(IF(M34="$horaire","à compléter",IF(AND(M34="$DEMI",INDEX(Listes!J:O,MATCH(L34,Listes!J:J,1),6)="oui"),(K34-J34),0)),0)</f>
        <v>0</v>
      </c>
      <c r="O34" s="40">
        <f>IF(OR(I34=0,LEFT(I34,1)="A"),0,INDEX(Listes!Q:V,MATCH(I34,Listes!Q:Q,0),4))</f>
        <v>0.5625</v>
      </c>
      <c r="P34" s="42">
        <f>IF(OR(I34=0,LEFT(I34,1)="A"),0,INDEX(Listes!Q:V,MATCH(I34,Listes!Q:Q,0),5))</f>
        <v>0.70833333333333337</v>
      </c>
      <c r="Q34" s="178"/>
      <c r="R34" s="183">
        <f>IF(Q34=0,0,IF(AND(LEFT(I34,1)="M",Q34&lt;&gt;0),INDEX(Listes!J:O,MATCH(Q34,Listes!J:J,1),3),IF(AND(LEFT(I34,1)="N",Q34&lt;&gt;0),INDEX(Listes!J:O,MATCH(Q34,Listes!J:J,1),3),IF(AND(LEFT(I34,1)="A",Q34&lt;&gt;0),INDEX(Listes!J:O,MATCH(Q34,Listes!J:J,1),3),IF(AND(LEFT(I34,1)="J",Q34&lt;&gt;0),INDEX(Listes!J:O,MATCH(Q34,Listes!J:J,1),3),IF(AND(LEFT(I34,1)="T",Q34&lt;&gt;0),INDEX(Listes!J:O,MATCH(Q34,Listes!J:J,1),3),"horaire"))))))</f>
        <v>0</v>
      </c>
      <c r="S34" s="38">
        <f>IFERROR(IF(R34="$horaire","à compléter",IF(AND(R34="$DEMI2",INDEX(Listes!J:O,MATCH(Q34,Listes!J:J,1),6)="oui"),(P34-O34),0)),0)</f>
        <v>0</v>
      </c>
      <c r="T34" s="37"/>
      <c r="U34" s="37">
        <f t="shared" si="2"/>
        <v>0</v>
      </c>
      <c r="V34" s="70">
        <f>IF(I34=0,0,INDEX(Listes!Q:V,MATCH(I34,Listes!Q:Q,1),6))</f>
        <v>7.5000000000000009</v>
      </c>
      <c r="W34" s="71">
        <f>IF(I34=0,0,IF(AND(LEFT(I34,1)="A",O34&lt;=P34),(P34-O34)*24,IF(J34&lt;=K34,(K34-J34)*24,((Listes!$H$21-J34)*24+(K34-Listes!$H$21)*24))+IF(O34&lt;=P34,(P34-O34)*24,(Listes!$H$21-O34)*24+(P34-Listes!$G$21)*24)))-X34+(U34*24)</f>
        <v>7.5000000000000009</v>
      </c>
      <c r="X34" s="70">
        <f>IFERROR(IF(IFERROR(INDEX(Listes!J:O,MATCH(L34,Listes!J:J,1),6),0)="oui",N34*24,0),0)+IFERROR(IF(IFERROR(INDEX(Listes!J:O,MATCH(Q34,Listes!J:J,1),6),0)="oui",S34*24,0),0)</f>
        <v>0</v>
      </c>
      <c r="Y34" s="70">
        <f t="shared" ca="1" si="6"/>
        <v>0</v>
      </c>
    </row>
    <row r="35" spans="1:25" ht="18" customHeight="1">
      <c r="A35" s="69" t="str">
        <f>Listes!$AD$2</f>
        <v>MANAGER</v>
      </c>
      <c r="B35" s="75">
        <f t="shared" si="5"/>
        <v>29</v>
      </c>
      <c r="C35" s="69" t="str" cm="1">
        <f t="array" ref="C35">INDEX(Listes!$Z$2:$Z$31,1+(ROW()-7)/31+INT((ROW()-7)/(31*30)))</f>
        <v>MAT1</v>
      </c>
      <c r="D35" s="69" t="str">
        <f>IFERROR(INDEX(Listes!Z:AA,MATCH(C35,Listes!Z:Z,0),2),"")</f>
        <v>Matricule 1</v>
      </c>
      <c r="E35" s="77" t="str">
        <f t="shared" ca="1" si="0"/>
        <v>juin</v>
      </c>
      <c r="F35" s="120">
        <f t="shared" ca="1" si="4"/>
        <v>26</v>
      </c>
      <c r="G35" s="78" t="str">
        <f t="shared" ca="1" si="1"/>
        <v>samedi</v>
      </c>
      <c r="H35" s="78">
        <f ca="1">IF(B35=1,VLOOKUP(_xlfn.SHEET(),Listes!$F:$H,3,0),IF(TEXT(H34+1,"mmmm")&lt;&gt;TEXT(H34,"mmmm"),"",H34+1))</f>
        <v>45472</v>
      </c>
      <c r="I35" s="37" t="s">
        <v>187</v>
      </c>
      <c r="J35" s="38">
        <f>IF(OR(I35=0,LEFT(I35,1)="A"),0,INDEX(Listes!Q:V,MATCH(I35,Listes!Q:Q,0),2))</f>
        <v>0.33333333333333331</v>
      </c>
      <c r="K35" s="38">
        <f>IF(OR(I35=0,LEFT(I35,1)="A"),0,INDEX(Listes!Q:V,MATCH(I35,Listes!Q:Q,0),3))</f>
        <v>0.5</v>
      </c>
      <c r="L35" s="178"/>
      <c r="M35" s="183">
        <f>IF(L35=0,0,IF(AND(LEFT(I35,1)="M",L35&lt;&gt;0),INDEX(Listes!J:O,MATCH(L35,Listes!J:J,1),3),IF(AND(LEFT(I35,1)="N",L35&lt;&gt;0),INDEX(Listes!J:O,MATCH(L35,Listes!J:J,1),3),IF(AND(LEFT(I35,1)="A",L35&lt;&gt;0),INDEX(Listes!J:O,MATCH(L35,Listes!J:J,1),3),IF(AND(LEFT(I35,1)="J",L35&lt;&gt;0),INDEX(Listes!J:O,MATCH(L35,Listes!J:J,1),3),IF(AND(LEFT(I35,1)="T",L35&lt;&gt;0),INDEX(Listes!J:O,MATCH(L35,Listes!J:J,1),3),"horaire"))))))</f>
        <v>0</v>
      </c>
      <c r="N35" s="38">
        <f>IFERROR(IF(M35="$horaire","à compléter",IF(AND(M35="$DEMI",INDEX(Listes!J:O,MATCH(L35,Listes!J:J,1),6)="oui"),(K35-J35),0)),0)</f>
        <v>0</v>
      </c>
      <c r="O35" s="40">
        <f>IF(OR(I35=0,LEFT(I35,1)="A"),0,INDEX(Listes!Q:V,MATCH(I35,Listes!Q:Q,0),4))</f>
        <v>0.5625</v>
      </c>
      <c r="P35" s="42">
        <f>IF(OR(I35=0,LEFT(I35,1)="A"),0,INDEX(Listes!Q:V,MATCH(I35,Listes!Q:Q,0),5))</f>
        <v>0.70833333333333337</v>
      </c>
      <c r="Q35" s="178"/>
      <c r="R35" s="183">
        <f>IF(Q35=0,0,IF(AND(LEFT(I35,1)="M",Q35&lt;&gt;0),INDEX(Listes!J:O,MATCH(Q35,Listes!J:J,1),3),IF(AND(LEFT(I35,1)="N",Q35&lt;&gt;0),INDEX(Listes!J:O,MATCH(Q35,Listes!J:J,1),3),IF(AND(LEFT(I35,1)="A",Q35&lt;&gt;0),INDEX(Listes!J:O,MATCH(Q35,Listes!J:J,1),3),IF(AND(LEFT(I35,1)="J",Q35&lt;&gt;0),INDEX(Listes!J:O,MATCH(Q35,Listes!J:J,1),3),IF(AND(LEFT(I35,1)="T",Q35&lt;&gt;0),INDEX(Listes!J:O,MATCH(Q35,Listes!J:J,1),3),"horaire"))))))</f>
        <v>0</v>
      </c>
      <c r="S35" s="38">
        <f>IFERROR(IF(R35="$horaire","à compléter",IF(AND(R35="$DEMI2",INDEX(Listes!J:O,MATCH(Q35,Listes!J:J,1),6)="oui"),(P35-O35),0)),0)</f>
        <v>0</v>
      </c>
      <c r="T35" s="37"/>
      <c r="U35" s="37">
        <f t="shared" si="2"/>
        <v>0</v>
      </c>
      <c r="V35" s="70">
        <f>IF(I35=0,0,INDEX(Listes!Q:V,MATCH(I35,Listes!Q:Q,1),6))</f>
        <v>7.5000000000000009</v>
      </c>
      <c r="W35" s="71">
        <f>IF(I35=0,0,IF(AND(LEFT(I35,1)="A",O35&lt;=P35),(P35-O35)*24,IF(J35&lt;=K35,(K35-J35)*24,((Listes!$H$21-J35)*24+(K35-Listes!$H$21)*24))+IF(O35&lt;=P35,(P35-O35)*24,(Listes!$H$21-O35)*24+(P35-Listes!$G$21)*24)))-X35+(U35*24)</f>
        <v>7.5000000000000009</v>
      </c>
      <c r="X35" s="70">
        <f>IFERROR(IF(IFERROR(INDEX(Listes!J:O,MATCH(L35,Listes!J:J,1),6),0)="oui",N35*24,0),0)+IFERROR(IF(IFERROR(INDEX(Listes!J:O,MATCH(Q35,Listes!J:J,1),6),0)="oui",S35*24,0),0)</f>
        <v>0</v>
      </c>
      <c r="Y35" s="70">
        <f t="shared" ca="1" si="6"/>
        <v>7.5000000000000009</v>
      </c>
    </row>
    <row r="36" spans="1:25" ht="18" customHeight="1">
      <c r="A36" s="69" t="str">
        <f>Listes!$AD$2</f>
        <v>MANAGER</v>
      </c>
      <c r="B36" s="75">
        <f t="shared" si="5"/>
        <v>30</v>
      </c>
      <c r="C36" s="69" t="str" cm="1">
        <f t="array" ref="C36">INDEX(Listes!$Z$2:$Z$31,1+(ROW()-7)/31+INT((ROW()-7)/(31*30)))</f>
        <v>MAT1</v>
      </c>
      <c r="D36" s="69" t="str">
        <f>IFERROR(INDEX(Listes!Z:AA,MATCH(C36,Listes!Z:Z,0),2),"")</f>
        <v>Matricule 1</v>
      </c>
      <c r="E36" s="77" t="str">
        <f t="shared" ca="1" si="0"/>
        <v>juin</v>
      </c>
      <c r="F36" s="120">
        <f t="shared" ca="1" si="4"/>
        <v>26</v>
      </c>
      <c r="G36" s="78" t="str">
        <f t="shared" ca="1" si="1"/>
        <v>dimanche</v>
      </c>
      <c r="H36" s="78">
        <f ca="1">IF(B36=1,VLOOKUP(_xlfn.SHEET(),Listes!$F:$H,3,0),IF(TEXT(H35+1,"mmmm")&lt;&gt;TEXT(H35,"mmmm"),"",H35+1))</f>
        <v>45473</v>
      </c>
      <c r="I36" s="37" t="s">
        <v>187</v>
      </c>
      <c r="J36" s="38">
        <f>IF(OR(I36=0,LEFT(I36,1)="A"),0,INDEX(Listes!Q:V,MATCH(I36,Listes!Q:Q,0),2))</f>
        <v>0.33333333333333331</v>
      </c>
      <c r="K36" s="38">
        <f>IF(OR(I36=0,LEFT(I36,1)="A"),0,INDEX(Listes!Q:V,MATCH(I36,Listes!Q:Q,0),3))</f>
        <v>0.5</v>
      </c>
      <c r="L36" s="178"/>
      <c r="M36" s="183">
        <f>IF(L36=0,0,IF(AND(LEFT(I36,1)="M",L36&lt;&gt;0),INDEX(Listes!J:O,MATCH(L36,Listes!J:J,1),3),IF(AND(LEFT(I36,1)="N",L36&lt;&gt;0),INDEX(Listes!J:O,MATCH(L36,Listes!J:J,1),3),IF(AND(LEFT(I36,1)="A",L36&lt;&gt;0),INDEX(Listes!J:O,MATCH(L36,Listes!J:J,1),3),IF(AND(LEFT(I36,1)="J",L36&lt;&gt;0),INDEX(Listes!J:O,MATCH(L36,Listes!J:J,1),3),IF(AND(LEFT(I36,1)="T",L36&lt;&gt;0),INDEX(Listes!J:O,MATCH(L36,Listes!J:J,1),3),"horaire"))))))</f>
        <v>0</v>
      </c>
      <c r="N36" s="38">
        <f>IFERROR(IF(M36="$horaire","à compléter",IF(AND(M36="$DEMI",INDEX(Listes!J:O,MATCH(L36,Listes!J:J,1),6)="oui"),(K36-J36),0)),0)</f>
        <v>0</v>
      </c>
      <c r="O36" s="40">
        <f>IF(OR(I36=0,LEFT(I36,1)="A"),0,INDEX(Listes!Q:V,MATCH(I36,Listes!Q:Q,0),4))</f>
        <v>0.5625</v>
      </c>
      <c r="P36" s="42">
        <f>IF(OR(I36=0,LEFT(I36,1)="A"),0,INDEX(Listes!Q:V,MATCH(I36,Listes!Q:Q,0),5))</f>
        <v>0.70833333333333337</v>
      </c>
      <c r="Q36" s="178"/>
      <c r="R36" s="183">
        <f>IF(Q36=0,0,IF(AND(LEFT(I36,1)="M",Q36&lt;&gt;0),INDEX(Listes!J:O,MATCH(Q36,Listes!J:J,1),3),IF(AND(LEFT(I36,1)="N",Q36&lt;&gt;0),INDEX(Listes!J:O,MATCH(Q36,Listes!J:J,1),3),IF(AND(LEFT(I36,1)="A",Q36&lt;&gt;0),INDEX(Listes!J:O,MATCH(Q36,Listes!J:J,1),3),IF(AND(LEFT(I36,1)="J",Q36&lt;&gt;0),INDEX(Listes!J:O,MATCH(Q36,Listes!J:J,1),3),IF(AND(LEFT(I36,1)="T",Q36&lt;&gt;0),INDEX(Listes!J:O,MATCH(Q36,Listes!J:J,1),3),"horaire"))))))</f>
        <v>0</v>
      </c>
      <c r="S36" s="38">
        <f>IFERROR(IF(R36="$horaire","à compléter",IF(AND(R36="$DEMI2",INDEX(Listes!J:O,MATCH(Q36,Listes!J:J,1),6)="oui"),(P36-O36),0)),0)</f>
        <v>0</v>
      </c>
      <c r="T36" s="37"/>
      <c r="U36" s="37">
        <f t="shared" si="2"/>
        <v>0</v>
      </c>
      <c r="V36" s="70">
        <f>IF(I36=0,0,INDEX(Listes!Q:V,MATCH(I36,Listes!Q:Q,1),6))</f>
        <v>7.5000000000000009</v>
      </c>
      <c r="W36" s="71">
        <f>IF(I36=0,0,IF(AND(LEFT(I36,1)="A",O36&lt;=P36),(P36-O36)*24,IF(J36&lt;=K36,(K36-J36)*24,((Listes!$H$21-J36)*24+(K36-Listes!$H$21)*24))+IF(O36&lt;=P36,(P36-O36)*24,(Listes!$H$21-O36)*24+(P36-Listes!$G$21)*24)))-X36+(U36*24)</f>
        <v>7.5000000000000009</v>
      </c>
      <c r="X36" s="70">
        <f>IFERROR(IF(IFERROR(INDEX(Listes!J:O,MATCH(L36,Listes!J:J,1),6),0)="oui",N36*24,0),0)+IFERROR(IF(IFERROR(INDEX(Listes!J:O,MATCH(Q36,Listes!J:J,1),6),0)="oui",S36*24,0),0)</f>
        <v>0</v>
      </c>
      <c r="Y36" s="70">
        <f t="shared" ca="1" si="6"/>
        <v>7.5000000000000009</v>
      </c>
    </row>
    <row r="37" spans="1:25" ht="18" customHeight="1">
      <c r="A37" s="69" t="str">
        <f>Listes!$AD$2</f>
        <v>MANAGER</v>
      </c>
      <c r="B37" s="77">
        <f t="shared" si="5"/>
        <v>31</v>
      </c>
      <c r="C37" s="69" t="str" cm="1">
        <f t="array" ref="C37">INDEX(Listes!$Z$2:$Z$31,1+(ROW()-7)/31+INT((ROW()-7)/(31*30)))</f>
        <v>MAT1</v>
      </c>
      <c r="D37" s="69" t="str">
        <f>IFERROR(INDEX(Listes!Z:AA,MATCH(C37,Listes!Z:Z,0),2),"")</f>
        <v>Matricule 1</v>
      </c>
      <c r="E37" s="77" t="str">
        <f t="shared" ca="1" si="0"/>
        <v/>
      </c>
      <c r="F37" s="120" t="str">
        <f t="shared" ca="1" si="4"/>
        <v/>
      </c>
      <c r="G37" s="78" t="str">
        <f t="shared" ca="1" si="1"/>
        <v/>
      </c>
      <c r="H37" s="78" t="str">
        <f ca="1">IF(B37=1,VLOOKUP(_xlfn.SHEET(),Listes!$F:$H,3,0),IF(TEXT(H36+1,"mmmm")&lt;&gt;TEXT(H36,"mmmm"),"",H36+1))</f>
        <v/>
      </c>
      <c r="I37" s="37" t="s">
        <v>187</v>
      </c>
      <c r="J37" s="38">
        <f>IF(OR(I37=0,LEFT(I37,1)="A"),0,INDEX(Listes!Q:V,MATCH(I37,Listes!Q:Q,0),2))</f>
        <v>0.33333333333333331</v>
      </c>
      <c r="K37" s="38">
        <f>IF(OR(I37=0,LEFT(I37,1)="A"),0,INDEX(Listes!Q:V,MATCH(I37,Listes!Q:Q,0),3))</f>
        <v>0.5</v>
      </c>
      <c r="L37" s="178"/>
      <c r="M37" s="183">
        <f>IF(L37=0,0,IF(AND(LEFT(I37,1)="M",L37&lt;&gt;0),INDEX(Listes!J:O,MATCH(L37,Listes!J:J,1),3),IF(AND(LEFT(I37,1)="N",L37&lt;&gt;0),INDEX(Listes!J:O,MATCH(L37,Listes!J:J,1),3),IF(AND(LEFT(I37,1)="A",L37&lt;&gt;0),INDEX(Listes!J:O,MATCH(L37,Listes!J:J,1),3),IF(AND(LEFT(I37,1)="J",L37&lt;&gt;0),INDEX(Listes!J:O,MATCH(L37,Listes!J:J,1),3),IF(AND(LEFT(I37,1)="T",L37&lt;&gt;0),INDEX(Listes!J:O,MATCH(L37,Listes!J:J,1),3),"horaire"))))))</f>
        <v>0</v>
      </c>
      <c r="N37" s="38">
        <f>IFERROR(IF(M37="$horaire","à compléter",IF(AND(M37="$DEMI",INDEX(Listes!J:O,MATCH(L37,Listes!J:J,1),6)="oui"),(K37-J37),0)),0)</f>
        <v>0</v>
      </c>
      <c r="O37" s="40">
        <f>IF(OR(I37=0,LEFT(I37,1)="A"),0,INDEX(Listes!Q:V,MATCH(I37,Listes!Q:Q,0),4))</f>
        <v>0.5625</v>
      </c>
      <c r="P37" s="42">
        <f>IF(OR(I37=0,LEFT(I37,1)="A"),0,INDEX(Listes!Q:V,MATCH(I37,Listes!Q:Q,0),5))</f>
        <v>0.70833333333333337</v>
      </c>
      <c r="Q37" s="178"/>
      <c r="R37" s="183">
        <f>IF(Q37=0,0,IF(AND(LEFT(I37,1)="M",Q37&lt;&gt;0),INDEX(Listes!J:O,MATCH(Q37,Listes!J:J,1),3),IF(AND(LEFT(I37,1)="N",Q37&lt;&gt;0),INDEX(Listes!J:O,MATCH(Q37,Listes!J:J,1),3),IF(AND(LEFT(I37,1)="A",Q37&lt;&gt;0),INDEX(Listes!J:O,MATCH(Q37,Listes!J:J,1),3),IF(AND(LEFT(I37,1)="J",Q37&lt;&gt;0),INDEX(Listes!J:O,MATCH(Q37,Listes!J:J,1),3),IF(AND(LEFT(I37,1)="T",Q37&lt;&gt;0),INDEX(Listes!J:O,MATCH(Q37,Listes!J:J,1),3),"horaire"))))))</f>
        <v>0</v>
      </c>
      <c r="S37" s="38">
        <f>IFERROR(IF(R37="$horaire","à compléter",IF(AND(R37="$DEMI2",INDEX(Listes!J:O,MATCH(Q37,Listes!J:J,1),6)="oui"),(P37-O37),0)),0)</f>
        <v>0</v>
      </c>
      <c r="T37" s="37"/>
      <c r="U37" s="37">
        <f t="shared" si="2"/>
        <v>0</v>
      </c>
      <c r="V37" s="70">
        <f>IF(I37=0,0,INDEX(Listes!Q:V,MATCH(I37,Listes!Q:Q,1),6))</f>
        <v>7.5000000000000009</v>
      </c>
      <c r="W37" s="71">
        <f>IF(I37=0,0,IF(AND(LEFT(I37,1)="A",O37&lt;=P37),(P37-O37)*24,IF(J37&lt;=K37,(K37-J37)*24,((Listes!$H$21-J37)*24+(K37-Listes!$H$21)*24))+IF(O37&lt;=P37,(P37-O37)*24,(Listes!$H$21-O37)*24+(P37-Listes!$G$21)*24)))-X37+(U37*24)</f>
        <v>7.5000000000000009</v>
      </c>
      <c r="X37" s="70">
        <f>IFERROR(IF(IFERROR(INDEX(Listes!J:O,MATCH(L37,Listes!J:J,1),6),0)="oui",N37*24,0),0)+IFERROR(IF(IFERROR(INDEX(Listes!J:O,MATCH(Q37,Listes!J:J,1),6),0)="oui",S37*24,0),0)</f>
        <v>0</v>
      </c>
      <c r="Y37" s="70">
        <f t="shared" ca="1" si="6"/>
        <v>0</v>
      </c>
    </row>
  </sheetData>
  <sheetProtection autoFilter="0"/>
  <autoFilter ref="A6:Y37" xr:uid="{00000000-0001-0000-0000-000000000000}"/>
  <pageMargins left="0.19685039370078741" right="0.19685039370078741" top="0.98425196850393704" bottom="0.98425196850393704" header="0.51181102362204722" footer="0.51181102362204722"/>
  <pageSetup paperSize="9" scale="35" firstPageNumber="0" orientation="landscape" horizontalDpi="300" verticalDpi="300" r:id="rId1"/>
  <headerFooter alignWithMargins="0">
    <oddHeader>&amp;L&amp;D&amp;C&amp;"Arial,Gras"FEUILLE SAISIE ELEMENTS VARIABLES DE PAIE
MOIS DE JUIN</oddHeader>
    <oddFooter>&amp;R&amp;P/6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EE175620-CB90-4F7D-922D-26DC570D1AE8}">
          <x14:formula1>
            <xm:f>Listes!$Q$3:$Q$55</xm:f>
          </x14:formula1>
          <xm:sqref>I7:I37</xm:sqref>
        </x14:dataValidation>
        <x14:dataValidation type="list" allowBlank="1" showInputMessage="1" showErrorMessage="1" xr:uid="{5274C640-AD5E-44E2-9209-2CC0279C522C}">
          <x14:formula1>
            <xm:f>Listes!$J$2:$J$40</xm:f>
          </x14:formula1>
          <xm:sqref>Q7:Q37 L7:L37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C69DD-E4B7-4467-8FF7-B3FC40E9CFA2}">
  <sheetPr codeName="Feuil24">
    <tabColor rgb="FFFFD200"/>
  </sheetPr>
  <dimension ref="A1:BU37"/>
  <sheetViews>
    <sheetView showZeros="0" zoomScale="70" zoomScaleNormal="70" workbookViewId="0">
      <pane ySplit="6" topLeftCell="A7" activePane="bottomLeft" state="frozen"/>
      <selection activeCell="B6" sqref="B6"/>
      <selection pane="bottomLeft" activeCell="I11" sqref="I11"/>
    </sheetView>
  </sheetViews>
  <sheetFormatPr baseColWidth="10" defaultColWidth="11.42578125" defaultRowHeight="18" customHeight="1" outlineLevelRow="1" outlineLevelCol="2"/>
  <cols>
    <col min="1" max="1" width="12.42578125" style="55" customWidth="1"/>
    <col min="2" max="3" width="17" style="55" customWidth="1"/>
    <col min="4" max="4" width="25.28515625" style="55" customWidth="1"/>
    <col min="5" max="5" width="12.42578125" style="55" bestFit="1" customWidth="1"/>
    <col min="6" max="6" width="15.85546875" style="55" customWidth="1"/>
    <col min="7" max="8" width="16.7109375" style="55" customWidth="1"/>
    <col min="9" max="9" width="22.28515625" style="90" customWidth="1" outlineLevel="1"/>
    <col min="10" max="10" width="13.85546875" style="90" customWidth="1" outlineLevel="1"/>
    <col min="11" max="11" width="14.140625" style="90" customWidth="1" outlineLevel="1"/>
    <col min="12" max="12" width="15.5703125" style="90" customWidth="1" outlineLevel="1"/>
    <col min="13" max="13" width="13.85546875" style="90" customWidth="1" outlineLevel="1"/>
    <col min="14" max="14" width="14.140625" style="90" customWidth="1" outlineLevel="1"/>
    <col min="15" max="15" width="13.42578125" style="89" customWidth="1" outlineLevel="1"/>
    <col min="16" max="16" width="12.5703125" style="89" customWidth="1" outlineLevel="1"/>
    <col min="17" max="17" width="15.5703125" style="90" customWidth="1" outlineLevel="1"/>
    <col min="18" max="18" width="13.85546875" style="90" customWidth="1" outlineLevel="1"/>
    <col min="19" max="19" width="14.140625" style="90" customWidth="1" outlineLevel="1"/>
    <col min="20" max="20" width="13.28515625" style="90" customWidth="1" outlineLevel="1"/>
    <col min="21" max="21" width="16.28515625" style="90" customWidth="1" outlineLevel="2"/>
    <col min="22" max="22" width="19.85546875" style="55" customWidth="1" outlineLevel="1"/>
    <col min="23" max="24" width="15.85546875" style="55" customWidth="1" outlineLevel="1"/>
    <col min="25" max="25" width="17" style="116" customWidth="1" outlineLevel="1"/>
    <col min="26" max="31" width="13.28515625" style="55" customWidth="1"/>
    <col min="32" max="32" width="12.5703125" style="93" customWidth="1" outlineLevel="1"/>
    <col min="33" max="33" width="16.85546875" style="93" customWidth="1" outlineLevel="1"/>
    <col min="34" max="34" width="17.140625" style="93" bestFit="1" customWidth="1" outlineLevel="1"/>
    <col min="35" max="35" width="12.5703125" style="93" customWidth="1" outlineLevel="1"/>
    <col min="36" max="36" width="16.28515625" style="93" bestFit="1" customWidth="1" outlineLevel="1"/>
    <col min="37" max="37" width="15" style="93" bestFit="1" customWidth="1" outlineLevel="1"/>
    <col min="38" max="51" width="12" style="55" customWidth="1"/>
    <col min="52" max="52" width="14.42578125" style="72" customWidth="1" outlineLevel="2"/>
    <col min="53" max="53" width="20.5703125" style="55" customWidth="1" outlineLevel="2"/>
    <col min="54" max="55" width="11.42578125" style="74" customWidth="1" outlineLevel="2"/>
    <col min="56" max="60" width="11.42578125" style="55" customWidth="1" outlineLevel="2"/>
    <col min="61" max="61" width="12.7109375" style="55" customWidth="1" outlineLevel="1"/>
    <col min="62" max="64" width="11.42578125" style="55" customWidth="1" outlineLevel="1"/>
    <col min="65" max="65" width="12.140625" style="55" customWidth="1" outlineLevel="1"/>
    <col min="66" max="70" width="11.42578125" style="55" customWidth="1" outlineLevel="1"/>
    <col min="71" max="72" width="14.7109375" style="55" customWidth="1" outlineLevel="1"/>
    <col min="73" max="73" width="11.42578125" style="55" customWidth="1" outlineLevel="1"/>
    <col min="74" max="16384" width="11.42578125" style="55"/>
  </cols>
  <sheetData>
    <row r="1" spans="1:73" ht="58.5" customHeight="1">
      <c r="A1" s="26" t="s">
        <v>0</v>
      </c>
      <c r="B1" s="47"/>
      <c r="C1" s="47"/>
      <c r="D1" s="48"/>
      <c r="E1" s="48"/>
      <c r="F1" s="48"/>
      <c r="G1" s="49"/>
      <c r="H1" s="49"/>
      <c r="I1" s="83"/>
      <c r="J1" s="83"/>
      <c r="K1" s="83"/>
      <c r="L1" s="83"/>
      <c r="M1" s="83"/>
      <c r="N1" s="83"/>
      <c r="O1" s="82"/>
      <c r="P1" s="82"/>
      <c r="Q1" s="83"/>
      <c r="R1" s="83"/>
      <c r="S1" s="83"/>
      <c r="T1" s="83"/>
      <c r="U1" s="83"/>
      <c r="V1" s="50"/>
      <c r="W1" s="50"/>
      <c r="X1" s="50"/>
      <c r="Y1" s="50"/>
      <c r="Z1" s="50"/>
      <c r="AA1" s="50"/>
      <c r="AB1" s="50"/>
      <c r="AC1" s="50"/>
      <c r="AD1" s="50"/>
      <c r="AE1" s="50"/>
      <c r="AF1" s="91"/>
      <c r="AG1" s="91"/>
      <c r="AH1" s="91"/>
      <c r="AI1" s="91"/>
      <c r="AJ1" s="91"/>
      <c r="AK1" s="91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2" t="s">
        <v>1</v>
      </c>
      <c r="BB1" s="53"/>
      <c r="BC1" s="53"/>
      <c r="BD1" s="50"/>
      <c r="BE1" s="54"/>
      <c r="BF1" s="54"/>
      <c r="BG1" s="54"/>
      <c r="BH1" s="54"/>
      <c r="BI1" s="103" t="s">
        <v>2</v>
      </c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</row>
    <row r="2" spans="1:73" ht="13.5" customHeight="1">
      <c r="A2" s="56"/>
      <c r="B2" s="56"/>
      <c r="C2" s="56"/>
      <c r="D2" s="50"/>
      <c r="E2" s="50"/>
      <c r="F2" s="117"/>
      <c r="G2" s="50"/>
      <c r="H2" s="50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50"/>
      <c r="W2" s="50"/>
      <c r="X2" s="50"/>
      <c r="Y2" s="51"/>
      <c r="Z2" s="50"/>
      <c r="AA2" s="50"/>
      <c r="AB2" s="50"/>
      <c r="AC2" s="50"/>
      <c r="AD2" s="50"/>
      <c r="AE2" s="50"/>
      <c r="AF2" s="91"/>
      <c r="AG2" s="91"/>
      <c r="AH2" s="91"/>
      <c r="AI2" s="91"/>
      <c r="AJ2" s="91"/>
      <c r="AK2" s="91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7"/>
      <c r="BA2" s="50"/>
      <c r="BB2" s="53"/>
      <c r="BC2" s="53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4"/>
      <c r="BS2" s="50"/>
      <c r="BT2" s="50"/>
    </row>
    <row r="3" spans="1:73" ht="13.5" customHeight="1">
      <c r="A3" s="56"/>
      <c r="B3" s="56"/>
      <c r="C3" s="56"/>
      <c r="D3" s="50"/>
      <c r="E3" s="50"/>
      <c r="F3" s="117"/>
      <c r="G3" s="50"/>
      <c r="H3" s="50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50" t="str">
        <f>INDEX(Listes!J:O,MATCH(L10,Listes!J:J,1),6)</f>
        <v>non</v>
      </c>
      <c r="W3" s="50"/>
      <c r="X3" s="50"/>
      <c r="Y3" s="51"/>
      <c r="Z3" s="50"/>
      <c r="AA3" s="50"/>
      <c r="AB3" s="50"/>
      <c r="AC3" s="50"/>
      <c r="AD3" s="51"/>
      <c r="AE3" s="50"/>
      <c r="AF3" s="91"/>
      <c r="AG3" s="91"/>
      <c r="AH3" s="91"/>
      <c r="AI3" s="91"/>
      <c r="AJ3" s="91"/>
      <c r="AK3" s="91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7"/>
      <c r="BA3" s="50" t="s">
        <v>3</v>
      </c>
      <c r="BB3" s="53"/>
      <c r="BC3" s="53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</row>
    <row r="4" spans="1:73" ht="13.5" customHeight="1" outlineLevel="1">
      <c r="A4" s="56"/>
      <c r="B4" s="56"/>
      <c r="C4" s="56"/>
      <c r="D4" s="50"/>
      <c r="E4" s="50"/>
      <c r="F4" s="117"/>
      <c r="G4" s="50"/>
      <c r="H4" s="50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50"/>
      <c r="W4" s="50"/>
      <c r="X4" s="50"/>
      <c r="Y4" s="51"/>
      <c r="Z4" s="50" t="s">
        <v>4</v>
      </c>
      <c r="AA4" s="50" t="s">
        <v>4</v>
      </c>
      <c r="AB4" s="50" t="s">
        <v>4</v>
      </c>
      <c r="AC4" s="50" t="s">
        <v>4</v>
      </c>
      <c r="AD4" s="50" t="s">
        <v>4</v>
      </c>
      <c r="AE4" s="50" t="s">
        <v>4</v>
      </c>
      <c r="AF4" s="50" t="s">
        <v>4</v>
      </c>
      <c r="AG4" s="114" t="s">
        <v>5</v>
      </c>
      <c r="AH4" s="114" t="s">
        <v>5</v>
      </c>
      <c r="AI4" s="91" t="s">
        <v>4</v>
      </c>
      <c r="AJ4" s="114" t="s">
        <v>5</v>
      </c>
      <c r="AK4" s="114" t="s">
        <v>5</v>
      </c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7"/>
      <c r="BA4" s="50"/>
      <c r="BB4" s="53"/>
      <c r="BC4" s="53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</row>
    <row r="5" spans="1:73" s="121" customFormat="1" ht="90" customHeight="1">
      <c r="A5" s="58"/>
      <c r="B5" s="58"/>
      <c r="C5" s="58"/>
      <c r="D5" s="58"/>
      <c r="E5" s="59"/>
      <c r="F5" s="118" t="s">
        <v>6</v>
      </c>
      <c r="G5" s="60"/>
      <c r="H5" s="60"/>
      <c r="I5" s="112" t="s">
        <v>7</v>
      </c>
      <c r="J5" s="87" t="s">
        <v>8</v>
      </c>
      <c r="K5" s="87" t="s">
        <v>9</v>
      </c>
      <c r="L5" s="85" t="s">
        <v>10</v>
      </c>
      <c r="M5" s="87" t="s">
        <v>11</v>
      </c>
      <c r="N5" s="87" t="s">
        <v>12</v>
      </c>
      <c r="O5" s="86" t="s">
        <v>8</v>
      </c>
      <c r="P5" s="86" t="s">
        <v>9</v>
      </c>
      <c r="Q5" s="85" t="s">
        <v>13</v>
      </c>
      <c r="R5" s="87" t="s">
        <v>11</v>
      </c>
      <c r="S5" s="87" t="s">
        <v>12</v>
      </c>
      <c r="T5" s="102" t="s">
        <v>14</v>
      </c>
      <c r="U5" s="88"/>
      <c r="V5" s="61"/>
      <c r="W5" s="62"/>
      <c r="X5" s="62"/>
      <c r="Y5" s="62"/>
      <c r="Z5" s="63" t="s">
        <v>15</v>
      </c>
      <c r="AA5" s="64" t="s">
        <v>16</v>
      </c>
      <c r="AB5" s="63" t="s">
        <v>17</v>
      </c>
      <c r="AC5" s="63" t="s">
        <v>18</v>
      </c>
      <c r="AD5" s="63" t="s">
        <v>19</v>
      </c>
      <c r="AE5" s="63" t="s">
        <v>20</v>
      </c>
      <c r="AF5" s="92" t="s">
        <v>21</v>
      </c>
      <c r="AG5" s="92" t="s">
        <v>22</v>
      </c>
      <c r="AH5" s="92" t="s">
        <v>17</v>
      </c>
      <c r="AI5" s="92" t="s">
        <v>23</v>
      </c>
      <c r="AJ5" s="92" t="s">
        <v>24</v>
      </c>
      <c r="AK5" s="92" t="s">
        <v>25</v>
      </c>
      <c r="AL5" s="107">
        <v>3</v>
      </c>
      <c r="AM5" s="107">
        <v>4</v>
      </c>
      <c r="AN5" s="107">
        <v>5</v>
      </c>
      <c r="AO5" s="107">
        <v>6</v>
      </c>
      <c r="AP5" s="107">
        <f>AO5+1</f>
        <v>7</v>
      </c>
      <c r="AQ5" s="107">
        <f t="shared" ref="AQ5:AY5" si="0">AP5+1</f>
        <v>8</v>
      </c>
      <c r="AR5" s="107">
        <f t="shared" si="0"/>
        <v>9</v>
      </c>
      <c r="AS5" s="107">
        <f t="shared" si="0"/>
        <v>10</v>
      </c>
      <c r="AT5" s="107">
        <f t="shared" si="0"/>
        <v>11</v>
      </c>
      <c r="AU5" s="107">
        <f t="shared" si="0"/>
        <v>12</v>
      </c>
      <c r="AV5" s="107">
        <f t="shared" si="0"/>
        <v>13</v>
      </c>
      <c r="AW5" s="107">
        <f t="shared" si="0"/>
        <v>14</v>
      </c>
      <c r="AX5" s="107">
        <f t="shared" si="0"/>
        <v>15</v>
      </c>
      <c r="AY5" s="107">
        <f t="shared" si="0"/>
        <v>16</v>
      </c>
      <c r="AZ5" s="65" t="s">
        <v>26</v>
      </c>
      <c r="BA5" s="66" t="s">
        <v>27</v>
      </c>
      <c r="BB5" s="67" t="s">
        <v>28</v>
      </c>
      <c r="BC5" s="67" t="s">
        <v>29</v>
      </c>
      <c r="BD5" s="68" t="s">
        <v>30</v>
      </c>
      <c r="BE5" s="68" t="s">
        <v>31</v>
      </c>
      <c r="BF5" s="68" t="s">
        <v>32</v>
      </c>
      <c r="BG5" s="68" t="s">
        <v>33</v>
      </c>
      <c r="BH5" s="68" t="s">
        <v>34</v>
      </c>
      <c r="BI5" s="104" t="s">
        <v>271</v>
      </c>
      <c r="BJ5" s="104" t="s">
        <v>65</v>
      </c>
      <c r="BK5" s="104" t="s">
        <v>272</v>
      </c>
      <c r="BL5" s="104" t="s">
        <v>273</v>
      </c>
      <c r="BM5" s="104" t="s">
        <v>274</v>
      </c>
      <c r="BN5" s="104" t="s">
        <v>275</v>
      </c>
      <c r="BO5" s="104" t="s">
        <v>276</v>
      </c>
      <c r="BP5" s="104" t="s">
        <v>277</v>
      </c>
      <c r="BQ5" s="104" t="s">
        <v>278</v>
      </c>
      <c r="BR5" s="104" t="s">
        <v>70</v>
      </c>
      <c r="BS5" s="104" t="s">
        <v>67</v>
      </c>
      <c r="BT5" s="104" t="s">
        <v>68</v>
      </c>
      <c r="BU5" s="105"/>
    </row>
    <row r="6" spans="1:73" s="36" customFormat="1" ht="113.25" customHeight="1">
      <c r="A6" s="30" t="s">
        <v>35</v>
      </c>
      <c r="B6" s="30" t="s">
        <v>36</v>
      </c>
      <c r="C6" s="30" t="str">
        <f>Listes!Z1</f>
        <v>Matricule</v>
      </c>
      <c r="D6" s="30" t="str">
        <f>Listes!AA1</f>
        <v>Liste salariés</v>
      </c>
      <c r="E6" s="30" t="s">
        <v>37</v>
      </c>
      <c r="F6" s="119" t="s">
        <v>38</v>
      </c>
      <c r="G6" s="35" t="s">
        <v>39</v>
      </c>
      <c r="H6" s="35" t="s">
        <v>40</v>
      </c>
      <c r="I6" s="27" t="s">
        <v>41</v>
      </c>
      <c r="J6" s="28" t="s">
        <v>42</v>
      </c>
      <c r="K6" s="28" t="s">
        <v>43</v>
      </c>
      <c r="L6" s="46" t="s">
        <v>44</v>
      </c>
      <c r="M6" s="28" t="s">
        <v>45</v>
      </c>
      <c r="N6" s="28" t="s">
        <v>46</v>
      </c>
      <c r="O6" s="41" t="s">
        <v>42</v>
      </c>
      <c r="P6" s="41" t="s">
        <v>43</v>
      </c>
      <c r="Q6" s="46" t="s">
        <v>44</v>
      </c>
      <c r="R6" s="28" t="s">
        <v>45</v>
      </c>
      <c r="S6" s="28" t="s">
        <v>46</v>
      </c>
      <c r="T6" s="27" t="s">
        <v>47</v>
      </c>
      <c r="U6" s="45" t="s">
        <v>48</v>
      </c>
      <c r="V6" s="29" t="s">
        <v>49</v>
      </c>
      <c r="W6" s="29" t="s">
        <v>50</v>
      </c>
      <c r="X6" s="29" t="s">
        <v>51</v>
      </c>
      <c r="Y6" s="115" t="s">
        <v>52</v>
      </c>
      <c r="Z6" s="29" t="s">
        <v>53</v>
      </c>
      <c r="AA6" s="29" t="s">
        <v>54</v>
      </c>
      <c r="AB6" s="29" t="s">
        <v>55</v>
      </c>
      <c r="AC6" s="29" t="s">
        <v>56</v>
      </c>
      <c r="AD6" s="29" t="s">
        <v>57</v>
      </c>
      <c r="AE6" s="29" t="s">
        <v>58</v>
      </c>
      <c r="AF6" s="43" t="s">
        <v>59</v>
      </c>
      <c r="AG6" s="43" t="s">
        <v>60</v>
      </c>
      <c r="AH6" s="43" t="s">
        <v>61</v>
      </c>
      <c r="AI6" s="43" t="s">
        <v>62</v>
      </c>
      <c r="AJ6" s="43" t="s">
        <v>63</v>
      </c>
      <c r="AK6" s="43" t="s">
        <v>64</v>
      </c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31" t="s">
        <v>65</v>
      </c>
      <c r="BA6" s="32" t="s">
        <v>66</v>
      </c>
      <c r="BB6" s="33" t="s">
        <v>67</v>
      </c>
      <c r="BC6" s="33" t="s">
        <v>68</v>
      </c>
      <c r="BD6" s="34" t="s">
        <v>69</v>
      </c>
      <c r="BE6" s="34" t="s">
        <v>70</v>
      </c>
      <c r="BF6" s="34" t="s">
        <v>71</v>
      </c>
      <c r="BG6" s="34" t="s">
        <v>72</v>
      </c>
      <c r="BH6" s="34" t="s">
        <v>73</v>
      </c>
      <c r="BI6" s="104" t="s">
        <v>271</v>
      </c>
      <c r="BJ6" s="104" t="s">
        <v>65</v>
      </c>
      <c r="BK6" s="104" t="s">
        <v>272</v>
      </c>
      <c r="BL6" s="104" t="s">
        <v>273</v>
      </c>
      <c r="BM6" s="104" t="s">
        <v>274</v>
      </c>
      <c r="BN6" s="104" t="s">
        <v>275</v>
      </c>
      <c r="BO6" s="104" t="s">
        <v>276</v>
      </c>
      <c r="BP6" s="104" t="s">
        <v>277</v>
      </c>
      <c r="BQ6" s="104" t="s">
        <v>278</v>
      </c>
      <c r="BR6" s="104" t="s">
        <v>70</v>
      </c>
      <c r="BS6" s="104" t="s">
        <v>67</v>
      </c>
      <c r="BT6" s="104" t="s">
        <v>68</v>
      </c>
    </row>
    <row r="7" spans="1:73" ht="18" customHeight="1">
      <c r="A7" s="69" t="str">
        <f>Listes!$AD$2</f>
        <v>MANAGER</v>
      </c>
      <c r="B7" s="108">
        <f>IF(B6="ordre",Listes!$F$25,B6+1)</f>
        <v>1</v>
      </c>
      <c r="C7" s="69" t="str" cm="1">
        <f t="array" ref="C7">INDEX(Listes!$Z$2:$Z$31,1+(ROW()-7)/31+INT((ROW()-7)/(31*30)))</f>
        <v>MAT1</v>
      </c>
      <c r="D7" s="69" t="str">
        <f>IFERROR(INDEX(Listes!Z:AA,MATCH(C7,Listes!Z:Z,0),2),"")</f>
        <v>Matricule 1</v>
      </c>
      <c r="E7" s="69" t="str">
        <f t="shared" ref="E7:E37" ca="1" si="1">(TEXT(H7,"mmmm"))</f>
        <v>juillet</v>
      </c>
      <c r="F7" s="120">
        <f ca="1">IF(H7="","",_xlfn.ISOWEEKNUM(H7))</f>
        <v>27</v>
      </c>
      <c r="G7" s="78" t="str">
        <f t="shared" ref="G7:G37" ca="1" si="2">TEXT(H7,"jjjj")</f>
        <v>lundi</v>
      </c>
      <c r="H7" s="78">
        <f ca="1">IF(B7=1,VLOOKUP(_xlfn.SHEET(),Listes!$F:$H,3,0),IF(TEXT(H6+1,"mmmm")&lt;&gt;TEXT(H6,"mmmm"),"",H6+1))</f>
        <v>45474</v>
      </c>
      <c r="I7" s="37"/>
      <c r="J7" s="38">
        <f>IF(OR(I7=0,LEFT(I7,1)="A"),0,INDEX(Listes!Q:V,MATCH(I7,Listes!Q:Q,0),2))</f>
        <v>0</v>
      </c>
      <c r="K7" s="38">
        <f>IF(OR(I7=0,LEFT(I7,1)="A"),0,INDEX(Listes!Q:V,MATCH(I7,Listes!Q:Q,0),3))</f>
        <v>0</v>
      </c>
      <c r="L7" s="37"/>
      <c r="M7" s="38">
        <f>IF(L7=0,0,IF(AND(LEFT(I7,1)="M",L7&lt;&gt;0),INDEX(Listes!J:O,MATCH(L7,Listes!J:J,1),3),IF(AND(LEFT(I7,1)="N",L7&lt;&gt;0),INDEX(Listes!J:O,MATCH(L7,Listes!J:J,1),3),IF(AND(LEFT(I7,1)="A",L7&lt;&gt;0),INDEX(Listes!J:O,MATCH(L7,Listes!J:J,1),3),IF(AND(LEFT(I7,1)="J",L7&lt;&gt;0),INDEX(Listes!J:O,MATCH(L7,Listes!J:J,1),3),IF(AND(LEFT(I7,1)="T",L7&lt;&gt;0),INDEX(Listes!J:O,MATCH(L7,Listes!J:J,1),3),"horaire"))))))</f>
        <v>0</v>
      </c>
      <c r="N7" s="38">
        <f>IFERROR(IF(M7="$horaire","à compléter",IF(AND(M7="$DEMI",INDEX(Listes!J:O,MATCH(L7,Listes!J:J,1),6)="oui"),(K7-J7),0)),0)</f>
        <v>0</v>
      </c>
      <c r="O7" s="40">
        <f>IF(OR(I7=0,LEFT(I7,1)="A"),0,INDEX(Listes!Q:V,MATCH(I7,Listes!Q:Q,0),4))</f>
        <v>0</v>
      </c>
      <c r="P7" s="42">
        <f>IF(OR(I7=0,LEFT(I7,1)="A"),0,INDEX(Listes!Q:V,MATCH(I7,Listes!Q:Q,0),5))</f>
        <v>0</v>
      </c>
      <c r="Q7" s="37"/>
      <c r="R7" s="38">
        <f>IF(Q7=0,0,IF(AND(LEFT(I7,1)="M",Q7&lt;&gt;0),INDEX(Listes!J:O,MATCH(Q7,Listes!J:J,1),3),IF(AND(LEFT(I7,1)="N",Q7&lt;&gt;0),INDEX(Listes!J:O,MATCH(Q7,Listes!J:J,1),3),IF(AND(LEFT(I7,1)="A",Q7&lt;&gt;0),INDEX(Listes!J:O,MATCH(Q7,Listes!J:J,1),3),IF(AND(LEFT(I7,1)="J",Q7&lt;&gt;0),INDEX(Listes!J:O,MATCH(Q7,Listes!J:J,1),3),IF(AND(LEFT(I7,1)="T",Q7&lt;&gt;0),INDEX(Listes!J:O,MATCH(Q7,Listes!J:J,1),3),"horaire"))))))</f>
        <v>0</v>
      </c>
      <c r="S7" s="38">
        <f>IFERROR(IF(R7="$horaire","à compléter",IF(AND(R7="$DEMI",VLOOKUP(Q7,Listes!$J:$O,6,0)="oui"),(P7-O7),0)),0)</f>
        <v>0</v>
      </c>
      <c r="T7" s="37"/>
      <c r="U7" s="37">
        <f t="shared" ref="U7:U37" si="3">IF(RIGHT(I7,2)="CH","00:30",0)</f>
        <v>0</v>
      </c>
      <c r="V7" s="70">
        <f>IF(I7=0,0,INDEX(Listes!Q:V,MATCH(I7,Listes!Q:Q,1),6))</f>
        <v>0</v>
      </c>
      <c r="W7" s="71">
        <f>IF(I7=0,0,IF(AND(LEFT(I7,1)="A",O7&lt;=P7),(P7-O7)*24,IF(J7&lt;=K7,(K7-J7)*24,((Listes!$H$21-J7)*24+(K7-Listes!$H$21)*24))+IF(O7&lt;=P7,(P7-O7)*24,(Listes!$H$21-O7)*24+(P7-Listes!$G$21)*24)))-X7+(U7*24)</f>
        <v>0</v>
      </c>
      <c r="X7" s="70">
        <f>IFERROR(IF(IFERROR(VLOOKUP(L7,Listes!$J:$O,6,0),0)="oui",N7*24,0),0)+IFERROR(IF(IFERROR(VLOOKUP(Q7,Listes!$J:$O,6,0),0)="oui",S7*24,0),0)</f>
        <v>0</v>
      </c>
      <c r="Y7" s="70">
        <f t="shared" ref="Y7:Y12" ca="1" si="4">W7-V7+IF(OR(G7="samedi",G7="dimanche"),W7,0)</f>
        <v>0</v>
      </c>
      <c r="Z7" s="71">
        <f t="shared" ref="Z7:Z8" si="5">IF(I7="",0,IF(OR(AND(LEFT(I7,1)="J",LEFT(I7,1)="T"),R7="$demi2"),0,1))-AA7-AE7</f>
        <v>0</v>
      </c>
      <c r="AA7" s="70">
        <f t="shared" ref="AA7:AA37" si="6">IF(I7=0,0,IF(AND(COUNTIF(Q7,0)+COUNTIF(L7,0)=0,AND((LEFT(I7,1)&lt;&gt;"J"),LEFT(I7,1)&lt;&gt;"T",LEFT(I7,1)&lt;&gt;"H")),1-AE7,0))</f>
        <v>0</v>
      </c>
      <c r="AB7" s="70">
        <f>IF(I7=0,0,IF(AND(J7&gt;K7,J7&gt;=Listes!$G$22),MOD(MIN(K7,Listes!$H$22)-J7,1),IF(OR(J7&gt;K7,K7&gt;=Listes!$G$22),MOD(K7-Listes!$G$22,1),IF(K7&lt;=Listes!$H$22,MOD(K7-J7,1),IF(J7&lt;=Listes!$H$22,MOD(Listes!$H$22-J7,1),0))))+IF(AND(O7&gt;P7,O7&gt;=Listes!$G$22),MOD(MIN(P7,Listes!$H$22)-O7,1),IF(OR(O7&gt;P7,P7&gt;=Listes!$G$22),MOD(P7-Listes!$G$22,1),0)))*24</f>
        <v>0</v>
      </c>
      <c r="AC7" s="71">
        <f ca="1">IF(G7="dimanche",W7,0)</f>
        <v>0</v>
      </c>
      <c r="AD7" s="71">
        <f ca="1">IF(IFERROR(VLOOKUP(H7,Listes!$H$3:$H$20,1,0),0)&lt;&gt;0,W7,0)</f>
        <v>0</v>
      </c>
      <c r="AE7" s="71">
        <f t="shared" ref="AE7:AE9" si="7">IF(AND(RIGHT(I7,2)&lt;&gt;"CH",I7),0,IF(OR(L7&lt;&gt;0,Q7&lt;&gt;0),0,1))</f>
        <v>0</v>
      </c>
      <c r="AF7" s="44"/>
      <c r="AG7" s="113"/>
      <c r="AH7" s="113"/>
      <c r="AI7" s="44"/>
      <c r="AJ7" s="113"/>
      <c r="AK7" s="113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79" t="str">
        <f t="shared" ref="AZ7:AZ37" si="8">C7</f>
        <v>MAT1</v>
      </c>
      <c r="BA7" s="73">
        <f t="shared" ref="BA7:BA37" si="9">IF(L7=Q7,L7,L7&amp;Q7)</f>
        <v>0</v>
      </c>
      <c r="BB7" s="74">
        <f ca="1">JUIL!H7</f>
        <v>45474</v>
      </c>
      <c r="BC7" s="74">
        <f ca="1">JUIL!H7</f>
        <v>45474</v>
      </c>
      <c r="BD7" s="55" t="s">
        <v>81</v>
      </c>
      <c r="BE7" s="73" t="str">
        <f t="shared" ref="BE7:BE37" si="10">IF(AND(M7="",R7=""),"",IF(AND(M7=0,R7="$demi2"),"$demi2",IF(AND(M7="$demi",R7=0),"$demi",IF(AND(M7="",R7="$horaire"),"$horaire",IF(AND(M7="$horaire",R7=""),"$horaire",IF(AND(M7="$demi",R7="$horaire"),"$demi$horaire",IF(AND(M7="$horaire",R7="$demi2"),"$horaire$demi2",IF(AND(M7="$horaire",R7="$horaire"),"$horaire","$jour"))))))))</f>
        <v>$jour</v>
      </c>
      <c r="BF7" s="71">
        <f t="shared" ref="BF7:BF37" si="11">IF(AND(M7="$horaire",R7&lt;&gt;"$horaire"),N7*24,IF(AND(M7&lt;&gt;"$horaire",R7="$horaire"),S7*24,IF(AND(M7="$horaire",R7="$horaire"),(N7*24)+(S7*24),0)))</f>
        <v>0</v>
      </c>
      <c r="BG7" s="73"/>
      <c r="BH7" s="73"/>
      <c r="BI7" s="72" t="str">
        <f>AZ7</f>
        <v>MAT1</v>
      </c>
      <c r="BL7" s="55" t="str" cm="1">
        <f t="array" ref="BL7">INDEX($5:$5,COLUMN($Z5)+B7-1)</f>
        <v>TRESTO</v>
      </c>
      <c r="BM7" s="55" cm="1">
        <f t="array" ref="BM7">IF(INDEX($4:$4,COLUMN($Z5)+B7-1)="Heures",SUMIF(C:C,BI7,Z:Z)*24,SUMIF(C:C,BI7,Z:Z))</f>
        <v>29</v>
      </c>
      <c r="BN7" s="169">
        <f>IFERROR(INDEX(Listes!A25:B34,MATCH(BL7,Listes!A:A,1),2),0)</f>
        <v>0</v>
      </c>
      <c r="BO7" s="55">
        <f t="shared" ref="BO7:BO32" si="12">BM7*BN7</f>
        <v>0</v>
      </c>
      <c r="BS7" s="168">
        <f ca="1">VLOOKUP(_xlfn.SHEET(),Listes!$A:$B,2,0)</f>
        <v>45474</v>
      </c>
      <c r="BT7" s="106">
        <f ca="1">+BS7</f>
        <v>45474</v>
      </c>
      <c r="BU7" s="55" t="str">
        <f t="shared" ref="BU7:BU32" si="13">IF(OR(BM7&lt;&gt;0,BO7&lt;&gt;0),"a importer",0)</f>
        <v>a importer</v>
      </c>
    </row>
    <row r="8" spans="1:73" ht="18" customHeight="1">
      <c r="A8" s="69" t="str">
        <f>Listes!$AD$2</f>
        <v>MANAGER</v>
      </c>
      <c r="B8" s="75">
        <f>IF(B7=31,1,B7+1)</f>
        <v>2</v>
      </c>
      <c r="C8" s="69" t="str" cm="1">
        <f t="array" ref="C8">INDEX(Listes!$Z$2:$Z$31,1+(ROW()-7)/31+INT((ROW()-7)/(31*30)))</f>
        <v>MAT1</v>
      </c>
      <c r="D8" s="69" t="str">
        <f>IFERROR(INDEX(Listes!Z:AA,MATCH(C8,Listes!Z:Z,0),2),"")</f>
        <v>Matricule 1</v>
      </c>
      <c r="E8" s="75" t="str">
        <f t="shared" ca="1" si="1"/>
        <v>juillet</v>
      </c>
      <c r="F8" s="120">
        <f t="shared" ref="F8:F37" ca="1" si="14">IF(H8="","",_xlfn.ISOWEEKNUM(H8))</f>
        <v>27</v>
      </c>
      <c r="G8" s="78" t="str">
        <f t="shared" ca="1" si="2"/>
        <v>mardi</v>
      </c>
      <c r="H8" s="78">
        <f ca="1">IF(B8=1,VLOOKUP(_xlfn.SHEET(),Listes!$F:$H,3,0),IF(TEXT(H7+1,"mmmm")&lt;&gt;TEXT(H7,"mmmm"),"",H7+1))</f>
        <v>45475</v>
      </c>
      <c r="I8" s="37"/>
      <c r="J8" s="38">
        <f>IF(OR(I8=0,LEFT(I8,1)="A"),0,INDEX(Listes!Q:V,MATCH(I8,Listes!Q:Q,0),2))</f>
        <v>0</v>
      </c>
      <c r="K8" s="38">
        <f>IF(OR(I8=0,LEFT(I8,1)="A"),0,INDEX(Listes!Q:V,MATCH(I8,Listes!Q:Q,0),3))</f>
        <v>0</v>
      </c>
      <c r="L8" s="37"/>
      <c r="M8" s="38">
        <f>IF(L8=0,0,IF(AND(LEFT(I8,1)="M",L8&lt;&gt;0),INDEX(Listes!J:O,MATCH(L8,Listes!J:J,1),3),IF(AND(LEFT(I8,1)="N",L8&lt;&gt;0),INDEX(Listes!J:O,MATCH(L8,Listes!J:J,1),3),IF(AND(LEFT(I8,1)="A",L8&lt;&gt;0),INDEX(Listes!J:O,MATCH(L8,Listes!J:J,1),3),IF(AND(LEFT(I8,1)="J",L8&lt;&gt;0),INDEX(Listes!J:O,MATCH(L8,Listes!J:J,1),3),IF(AND(LEFT(I8,1)="T",L8&lt;&gt;0),INDEX(Listes!J:O,MATCH(L8,Listes!J:J,1),3),"horaire"))))))</f>
        <v>0</v>
      </c>
      <c r="N8" s="38">
        <f>IFERROR(IF(M8="$horaire","à compléter",IF(AND(M8="$DEMI",INDEX(Listes!J:O,MATCH(L8,Listes!J:J,1),6)="oui"),(K8-J8),0)),0)</f>
        <v>0</v>
      </c>
      <c r="O8" s="40">
        <f>IF(OR(I8=0,LEFT(I8,1)="A"),0,INDEX(Listes!Q:V,MATCH(I8,Listes!Q:Q,0),4))</f>
        <v>0</v>
      </c>
      <c r="P8" s="42">
        <f>IF(OR(I8=0,LEFT(I8,1)="A"),0,INDEX(Listes!Q:V,MATCH(I8,Listes!Q:Q,0),5))</f>
        <v>0</v>
      </c>
      <c r="Q8" s="37"/>
      <c r="R8" s="38">
        <f>IF(Q8=0,0,IF(AND(LEFT(I8,1)="M",Q8&lt;&gt;0),INDEX(Listes!J:O,MATCH(Q8,Listes!J:J,1),3),IF(AND(LEFT(I8,1)="N",Q8&lt;&gt;0),INDEX(Listes!J:O,MATCH(Q8,Listes!J:J,1),3),IF(AND(LEFT(I8,1)="A",Q8&lt;&gt;0),INDEX(Listes!J:O,MATCH(Q8,Listes!J:J,1),3),IF(AND(LEFT(I8,1)="J",Q8&lt;&gt;0),INDEX(Listes!J:O,MATCH(Q8,Listes!J:J,1),3),IF(AND(LEFT(I8,1)="T",Q8&lt;&gt;0),INDEX(Listes!J:O,MATCH(Q8,Listes!J:J,1),3),"horaire"))))))</f>
        <v>0</v>
      </c>
      <c r="S8" s="38">
        <f>IFERROR(IF(R8="$horaire","à compléter",IF(AND(R8="$DEMI",VLOOKUP(Q8,Listes!$J:$O,6,0)="oui"),(P8-O8),0)),0)</f>
        <v>0</v>
      </c>
      <c r="T8" s="37"/>
      <c r="U8" s="37">
        <f t="shared" si="3"/>
        <v>0</v>
      </c>
      <c r="V8" s="70">
        <f>IF(I8=0,0,INDEX(Listes!Q:V,MATCH(I8,Listes!Q:Q,1),6))</f>
        <v>0</v>
      </c>
      <c r="W8" s="71">
        <f>IF(I8=0,0,IF(AND(LEFT(I8,1)="A",O8&lt;=P8),(P8-O8)*24,IF(J8&lt;=K8,(K8-J8)*24,((Listes!$H$21-J8)*24+(K8-Listes!$H$21)*24))+IF(O8&lt;=P8,(P8-O8)*24,(Listes!$H$21-O8)*24+(P8-Listes!$G$21)*24)))-X8+(U8*24)</f>
        <v>0</v>
      </c>
      <c r="X8" s="70">
        <f>IFERROR(IF(IFERROR(VLOOKUP(L8,Listes!$J:$O,6,0),0)="oui",N8*24,0),0)+IFERROR(IF(IFERROR(VLOOKUP(Q8,Listes!$J:$O,6,0),0)="oui",S8*24,0),0)</f>
        <v>0</v>
      </c>
      <c r="Y8" s="70">
        <f t="shared" ca="1" si="4"/>
        <v>0</v>
      </c>
      <c r="Z8" s="71">
        <f t="shared" si="5"/>
        <v>0</v>
      </c>
      <c r="AA8" s="70">
        <f t="shared" si="6"/>
        <v>0</v>
      </c>
      <c r="AB8" s="70">
        <f>IF(I8=0,0,IF(AND(J8&gt;K8,J8&gt;=Listes!$G$22),MOD(MIN(K8,Listes!$H$22)-J8,1),IF(OR(J8&gt;K8,K8&gt;=Listes!$G$22),MOD(K8-Listes!$G$22,1),IF(K8&lt;=Listes!$H$22,MOD(K8-J8,1),IF(J8&lt;=Listes!$H$22,MOD(Listes!$H$22-J8,1),0))))+IF(AND(O8&gt;P8,O8&gt;=Listes!$G$22),MOD(MIN(P8,Listes!$H$22)-O8,1),IF(OR(O8&gt;P8,P8&gt;=Listes!$G$22),MOD(P8-Listes!$G$22,1),0)))*24</f>
        <v>0</v>
      </c>
      <c r="AC8" s="71">
        <f t="shared" ref="AC8:AC37" ca="1" si="15">IF(G8="dimanche",W8,0)</f>
        <v>0</v>
      </c>
      <c r="AD8" s="71">
        <f ca="1">IF(IFERROR(VLOOKUP(H8,Listes!$H$3:$H$20,1,0),0)&lt;&gt;0,W8,0)</f>
        <v>0</v>
      </c>
      <c r="AE8" s="71">
        <f t="shared" si="7"/>
        <v>0</v>
      </c>
      <c r="AF8" s="44"/>
      <c r="AG8" s="44"/>
      <c r="AH8" s="44"/>
      <c r="AI8" s="44"/>
      <c r="AJ8" s="44"/>
      <c r="AK8" s="44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72" t="str">
        <f t="shared" si="8"/>
        <v>MAT1</v>
      </c>
      <c r="BA8" s="76">
        <f t="shared" si="9"/>
        <v>0</v>
      </c>
      <c r="BB8" s="74">
        <f ca="1">JUIL!H8</f>
        <v>45475</v>
      </c>
      <c r="BC8" s="74">
        <f ca="1">JUIL!H8</f>
        <v>45475</v>
      </c>
      <c r="BD8" s="55" t="s">
        <v>81</v>
      </c>
      <c r="BE8" s="73" t="str">
        <f t="shared" si="10"/>
        <v>$jour</v>
      </c>
      <c r="BF8" s="71">
        <f t="shared" si="11"/>
        <v>0</v>
      </c>
      <c r="BG8" s="73"/>
      <c r="BH8" s="73"/>
      <c r="BI8" s="72" t="str">
        <f t="shared" ref="BI8:BI37" si="16">AZ8</f>
        <v>MAT1</v>
      </c>
      <c r="BL8" s="55" t="str" cm="1">
        <f t="array" ref="BL8">INDEX($5:$5,COLUMN($Z6)+B8-1)</f>
        <v>PANIJ</v>
      </c>
      <c r="BM8" s="55" cm="1">
        <f t="array" ref="BM8">IF(INDEX($4:$4,COLUMN($Z6)+B8-1)="Heures",SUMIF(C:C,BI8,AA:AA)*24,SUMIF(C:C,BI8,AA:AA))</f>
        <v>0</v>
      </c>
      <c r="BN8" s="55">
        <f>IFERROR(INDEX(Listes!A26:B35,MATCH(BL8,Listes!A:A,1),2),0)</f>
        <v>0</v>
      </c>
      <c r="BO8" s="55">
        <f t="shared" si="12"/>
        <v>0</v>
      </c>
      <c r="BS8" s="106">
        <f ca="1">VLOOKUP(_xlfn.SHEET(),Listes!$A:$B,2,0)</f>
        <v>45474</v>
      </c>
      <c r="BT8" s="106">
        <f t="shared" ref="BT8:BT37" ca="1" si="17">+BS8</f>
        <v>45474</v>
      </c>
      <c r="BU8" s="55">
        <f t="shared" si="13"/>
        <v>0</v>
      </c>
    </row>
    <row r="9" spans="1:73" ht="18" customHeight="1">
      <c r="A9" s="69" t="str">
        <f>Listes!$AD$2</f>
        <v>MANAGER</v>
      </c>
      <c r="B9" s="75">
        <f t="shared" ref="B9:B37" si="18">IF(B8=31,1,B8+1)</f>
        <v>3</v>
      </c>
      <c r="C9" s="69" t="str" cm="1">
        <f t="array" ref="C9">INDEX(Listes!$Z$2:$Z$31,1+(ROW()-7)/31+INT((ROW()-7)/(31*30)))</f>
        <v>MAT1</v>
      </c>
      <c r="D9" s="69" t="str">
        <f>IFERROR(INDEX(Listes!Z:AA,MATCH(C9,Listes!Z:Z,0),2),"")</f>
        <v>Matricule 1</v>
      </c>
      <c r="E9" s="77" t="str">
        <f t="shared" ca="1" si="1"/>
        <v>juillet</v>
      </c>
      <c r="F9" s="120">
        <f t="shared" ca="1" si="14"/>
        <v>27</v>
      </c>
      <c r="G9" s="78" t="str">
        <f t="shared" ca="1" si="2"/>
        <v>mercredi</v>
      </c>
      <c r="H9" s="78">
        <f ca="1">IF(B9=1,VLOOKUP(_xlfn.SHEET(),Listes!$F:$H,3,0),IF(TEXT(H8+1,"mmmm")&lt;&gt;TEXT(H8,"mmmm"),"",H8+1))</f>
        <v>45476</v>
      </c>
      <c r="I9" s="37" t="s">
        <v>187</v>
      </c>
      <c r="J9" s="38">
        <f>IF(OR(I9=0,LEFT(I9,1)="A"),0,INDEX(Listes!Q:V,MATCH(I9,Listes!Q:Q,0),2))</f>
        <v>0.33333333333333331</v>
      </c>
      <c r="K9" s="38">
        <f>IF(OR(I9=0,LEFT(I9,1)="A"),0,INDEX(Listes!Q:V,MATCH(I9,Listes!Q:Q,0),3))</f>
        <v>0.5</v>
      </c>
      <c r="L9" s="37" t="s">
        <v>86</v>
      </c>
      <c r="M9" s="38" t="str">
        <f>IF(L9=0,0,IF(AND(LEFT(I9,1)="M",L9&lt;&gt;0),INDEX(Listes!J:O,MATCH(L9,Listes!J:J,1),3),IF(AND(LEFT(I9,1)="N",L9&lt;&gt;0),INDEX(Listes!J:O,MATCH(L9,Listes!J:J,1),3),IF(AND(LEFT(I9,1)="A",L9&lt;&gt;0),INDEX(Listes!J:O,MATCH(L9,Listes!J:J,1),3),IF(AND(LEFT(I9,1)="J",L9&lt;&gt;0),INDEX(Listes!J:O,MATCH(L9,Listes!J:J,1),3),IF(AND(LEFT(I9,1)="T",L9&lt;&gt;0),INDEX(Listes!J:O,MATCH(L9,Listes!J:J,1),3),"horaire"))))))</f>
        <v>$jour</v>
      </c>
      <c r="N9" s="38">
        <f>IFERROR(IF(M9="$horaire","à compléter",IF(AND(M9="$DEMI",INDEX(Listes!J:O,MATCH(L9,Listes!J:J,1),6)="oui"),(K9-J9),0)),0)</f>
        <v>0</v>
      </c>
      <c r="O9" s="40">
        <f>IF(OR(I9=0,LEFT(I9,1)="A"),0,INDEX(Listes!Q:V,MATCH(I9,Listes!Q:Q,0),4))</f>
        <v>0.5625</v>
      </c>
      <c r="P9" s="42">
        <f>IF(OR(I9=0,LEFT(I9,1)="A"),0,INDEX(Listes!Q:V,MATCH(I9,Listes!Q:Q,0),5))</f>
        <v>0.70833333333333337</v>
      </c>
      <c r="Q9" s="37" t="s">
        <v>86</v>
      </c>
      <c r="R9" s="38" t="str">
        <f>IF(Q9=0,0,IF(AND(LEFT(I9,1)="M",Q9&lt;&gt;0),INDEX(Listes!J:O,MATCH(Q9,Listes!J:J,1),3),IF(AND(LEFT(I9,1)="N",Q9&lt;&gt;0),INDEX(Listes!J:O,MATCH(Q9,Listes!J:J,1),3),IF(AND(LEFT(I9,1)="A",Q9&lt;&gt;0),INDEX(Listes!J:O,MATCH(Q9,Listes!J:J,1),3),IF(AND(LEFT(I9,1)="J",Q9&lt;&gt;0),INDEX(Listes!J:O,MATCH(Q9,Listes!J:J,1),3),IF(AND(LEFT(I9,1)="T",Q9&lt;&gt;0),INDEX(Listes!J:O,MATCH(Q9,Listes!J:J,1),3),"horaire"))))))</f>
        <v>$jour</v>
      </c>
      <c r="S9" s="38">
        <f>IFERROR(IF(R9="$horaire","à compléter",IF(AND(R9="$DEMI",VLOOKUP(Q9,Listes!$J:$O,6,0)="oui"),(P9-O9),0)),0)</f>
        <v>0</v>
      </c>
      <c r="T9" s="37"/>
      <c r="U9" s="37">
        <f t="shared" si="3"/>
        <v>0</v>
      </c>
      <c r="V9" s="70">
        <f>IF(I9=0,0,INDEX(Listes!Q:V,MATCH(I9,Listes!Q:Q,1),6))</f>
        <v>7.5000000000000009</v>
      </c>
      <c r="W9" s="71">
        <f>IF(I9=0,0,IF(AND(LEFT(I9,1)="A",O9&lt;=P9),(P9-O9)*24,IF(J9&lt;=K9,(K9-J9)*24,((Listes!$H$21-J9)*24+(K9-Listes!$H$21)*24))+IF(O9&lt;=P9,(P9-O9)*24,(Listes!$H$21-O9)*24+(P9-Listes!$G$21)*24)))-X9+(U9*24)</f>
        <v>7.5000000000000009</v>
      </c>
      <c r="X9" s="70">
        <f>IFERROR(IF(IFERROR(VLOOKUP(L9,Listes!$J:$O,6,0),0)="oui",N9*24,0),0)+IFERROR(IF(IFERROR(VLOOKUP(Q9,Listes!$J:$O,6,0),0)="oui",S9*24,0),0)</f>
        <v>0</v>
      </c>
      <c r="Y9" s="70">
        <f t="shared" ca="1" si="4"/>
        <v>0</v>
      </c>
      <c r="Z9" s="71">
        <f>IF(I9="",0,IF(OR(AND(LEFT(I9,1)="J",LEFT(I9,1)="T"),R9="$demi2"),0,1))-AA9-AE9</f>
        <v>1</v>
      </c>
      <c r="AA9" s="70">
        <f t="shared" si="6"/>
        <v>0</v>
      </c>
      <c r="AB9" s="70">
        <f>IF(I9=0,0,IF(AND(J9&gt;K9,J9&gt;=Listes!$G$22),MOD(MIN(K9,Listes!$H$22)-J9,1),IF(OR(J9&gt;K9,K9&gt;=Listes!$G$22),MOD(K9-Listes!$G$22,1),IF(K9&lt;=Listes!$H$22,MOD(K9-J9,1),IF(J9&lt;=Listes!$H$22,MOD(Listes!$H$22-J9,1),0))))+IF(AND(O9&gt;P9,O9&gt;=Listes!$G$22),MOD(MIN(P9,Listes!$H$22)-O9,1),IF(OR(O9&gt;P9,P9&gt;=Listes!$G$22),MOD(P9-Listes!$G$22,1),0)))*24</f>
        <v>0</v>
      </c>
      <c r="AC9" s="71">
        <f t="shared" ca="1" si="15"/>
        <v>0</v>
      </c>
      <c r="AD9" s="71">
        <f ca="1">IF(IFERROR(VLOOKUP(H9,Listes!$H$3:$H$20,1,0),0)&lt;&gt;0,W9,0)</f>
        <v>0</v>
      </c>
      <c r="AE9" s="71">
        <f t="shared" si="7"/>
        <v>0</v>
      </c>
      <c r="AF9" s="44"/>
      <c r="AG9" s="44"/>
      <c r="AH9" s="44"/>
      <c r="AI9" s="44"/>
      <c r="AJ9" s="44"/>
      <c r="AK9" s="44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79" t="str">
        <f t="shared" si="8"/>
        <v>MAT1</v>
      </c>
      <c r="BA9" s="80" t="str">
        <f t="shared" si="9"/>
        <v>CONGP</v>
      </c>
      <c r="BB9" s="81">
        <f ca="1">JUIL!H9</f>
        <v>45476</v>
      </c>
      <c r="BC9" s="81">
        <f ca="1">JUIL!H9</f>
        <v>45476</v>
      </c>
      <c r="BD9" s="77" t="s">
        <v>81</v>
      </c>
      <c r="BE9" s="73" t="str">
        <f t="shared" si="10"/>
        <v>$jour</v>
      </c>
      <c r="BF9" s="71">
        <f t="shared" si="11"/>
        <v>0</v>
      </c>
      <c r="BG9" s="73"/>
      <c r="BH9" s="73"/>
      <c r="BI9" s="72" t="str">
        <f t="shared" si="16"/>
        <v>MAT1</v>
      </c>
      <c r="BL9" s="55" t="str" cm="1">
        <f t="array" ref="BL9">INDEX($5:$5,COLUMN($Z7)+B9-1)</f>
        <v>MAJN3</v>
      </c>
      <c r="BM9" s="55" cm="1">
        <f t="array" ref="BM9">IF(INDEX($4:$4,COLUMN($Z7)+B9-1)="Heures",SUMIF(C:C,BI9,AB:AB)*24,SUMIF(C:C,BI9,AB:AB))</f>
        <v>0</v>
      </c>
      <c r="BN9" s="55">
        <f>IFERROR(INDEX(Listes!A27:B36,MATCH(BL9,Listes!A:A,1),2),0)</f>
        <v>0</v>
      </c>
      <c r="BO9" s="55">
        <f t="shared" si="12"/>
        <v>0</v>
      </c>
      <c r="BS9" s="106">
        <f ca="1">VLOOKUP(_xlfn.SHEET(),Listes!$A:$B,2,0)</f>
        <v>45474</v>
      </c>
      <c r="BT9" s="106">
        <f t="shared" ca="1" si="17"/>
        <v>45474</v>
      </c>
      <c r="BU9" s="55">
        <f t="shared" si="13"/>
        <v>0</v>
      </c>
    </row>
    <row r="10" spans="1:73" ht="18" customHeight="1">
      <c r="A10" s="69" t="str">
        <f>Listes!$AD$2</f>
        <v>MANAGER</v>
      </c>
      <c r="B10" s="75">
        <f t="shared" si="18"/>
        <v>4</v>
      </c>
      <c r="C10" s="69" t="str" cm="1">
        <f t="array" ref="C10">INDEX(Listes!$Z$2:$Z$31,1+(ROW()-7)/31+INT((ROW()-7)/(31*30)))</f>
        <v>MAT1</v>
      </c>
      <c r="D10" s="69" t="str">
        <f>IFERROR(INDEX(Listes!Z:AA,MATCH(C10,Listes!Z:Z,0),2),"")</f>
        <v>Matricule 1</v>
      </c>
      <c r="E10" s="77" t="str">
        <f t="shared" ca="1" si="1"/>
        <v>juillet</v>
      </c>
      <c r="F10" s="120">
        <f t="shared" ca="1" si="14"/>
        <v>27</v>
      </c>
      <c r="G10" s="78" t="str">
        <f t="shared" ca="1" si="2"/>
        <v>jeudi</v>
      </c>
      <c r="H10" s="78">
        <f ca="1">IF(B10=1,VLOOKUP(_xlfn.SHEET(),Listes!$F:$H,3,0),IF(TEXT(H9+1,"mmmm")&lt;&gt;TEXT(H9,"mmmm"),"",H9+1))</f>
        <v>45477</v>
      </c>
      <c r="I10" s="37" t="s">
        <v>187</v>
      </c>
      <c r="J10" s="38">
        <f>IF(OR(I10=0,LEFT(I10,1)="A"),0,INDEX(Listes!Q:V,MATCH(I10,Listes!Q:Q,0),2))</f>
        <v>0.33333333333333331</v>
      </c>
      <c r="K10" s="38">
        <f>IF(OR(I10=0,LEFT(I10,1)="A"),0,INDEX(Listes!Q:V,MATCH(I10,Listes!Q:Q,0),3))</f>
        <v>0.5</v>
      </c>
      <c r="L10" s="37" t="s">
        <v>238</v>
      </c>
      <c r="M10" s="38" t="str">
        <f>IF(L10=0,0,IF(AND(LEFT(I10,1)="M",L10&lt;&gt;0),INDEX(Listes!J:O,MATCH(L10,Listes!J:J,1),3),IF(AND(LEFT(I10,1)="N",L10&lt;&gt;0),INDEX(Listes!J:O,MATCH(L10,Listes!J:J,1),3),IF(AND(LEFT(I10,1)="A",L10&lt;&gt;0),INDEX(Listes!J:O,MATCH(L10,Listes!J:J,1),3),IF(AND(LEFT(I10,1)="J",L10&lt;&gt;0),INDEX(Listes!J:O,MATCH(L10,Listes!J:J,1),3),IF(AND(LEFT(I10,1)="T",L10&lt;&gt;0),INDEX(Listes!J:O,MATCH(L10,Listes!J:J,1),3),"horaire"))))))</f>
        <v>$horaire</v>
      </c>
      <c r="N10" s="38" t="str">
        <f>IFERROR(IF(M10="$horaire","à compléter",IF(AND(M10="$DEMI",INDEX(Listes!J:O,MATCH(L10,Listes!J:J,1),6)="oui"),(K10-J10),0)),0)</f>
        <v>à compléter</v>
      </c>
      <c r="O10" s="40">
        <f>IF(OR(I10=0,LEFT(I10,1)="A"),0,INDEX(Listes!Q:V,MATCH(I10,Listes!Q:Q,0),4))</f>
        <v>0.5625</v>
      </c>
      <c r="P10" s="42">
        <f>IF(OR(I10=0,LEFT(I10,1)="A"),0,INDEX(Listes!Q:V,MATCH(I10,Listes!Q:Q,0),5))</f>
        <v>0.70833333333333337</v>
      </c>
      <c r="Q10" s="37" t="s">
        <v>241</v>
      </c>
      <c r="R10" s="38" t="str">
        <f>IF(Q10=0,0,IF(AND(LEFT(I10,1)="M",Q10&lt;&gt;0),INDEX(Listes!J:O,MATCH(Q10,Listes!J:J,1),3),IF(AND(LEFT(I10,1)="N",Q10&lt;&gt;0),INDEX(Listes!J:O,MATCH(Q10,Listes!J:J,1),3),IF(AND(LEFT(I10,1)="A",Q10&lt;&gt;0),INDEX(Listes!J:O,MATCH(Q10,Listes!J:J,1),3),IF(AND(LEFT(I10,1)="J",Q10&lt;&gt;0),INDEX(Listes!J:O,MATCH(Q10,Listes!J:J,1),3),IF(AND(LEFT(I10,1)="T",Q10&lt;&gt;0),INDEX(Listes!J:O,MATCH(Q10,Listes!J:J,1),3),"horaire"))))))</f>
        <v>$jour</v>
      </c>
      <c r="S10" s="38">
        <f>IFERROR(IF(R10="$horaire","à compléter",IF(AND(R10="$DEMI2",INDEX(Listes!J:O,MATCH(Q10,Listes!J:J,1),6)="oui"),(P10-O10),0)),0)</f>
        <v>0</v>
      </c>
      <c r="T10" s="37"/>
      <c r="U10" s="37">
        <f t="shared" si="3"/>
        <v>0</v>
      </c>
      <c r="V10" s="70">
        <f>IF(I10=0,0,INDEX(Listes!Q:V,MATCH(I10,Listes!Q:Q,1),6))</f>
        <v>7.5000000000000009</v>
      </c>
      <c r="W10" s="71">
        <f>IF(I10=0,0,IF(AND(LEFT(I10,1)="A",O10&lt;=P10),(P10-O10)*24,IF(J10&lt;=K10,(K10-J10)*24,((Listes!$H$21-J10)*24+(K10-Listes!$H$21)*24))+IF(O10&lt;=P10,(P10-O10)*24,(Listes!$H$21-O10)*24+(P10-Listes!$G$21)*24)))-X10+(U10*24)</f>
        <v>7.5000000000000009</v>
      </c>
      <c r="X10" s="70">
        <f>IFERROR(IF(IFERROR(INDEX(Listes!J:O,MATCH(L10,Listes!J:J,1),6),0)="oui",N10*24,0),0)+IFERROR(IF(IFERROR(INDEX(Listes!J:O,MATCH(Q10,Listes!J:J,1),6),0)="oui",S10*24,0),0)</f>
        <v>0</v>
      </c>
      <c r="Y10" s="70">
        <f t="shared" ca="1" si="4"/>
        <v>0</v>
      </c>
      <c r="Z10" s="71">
        <f t="shared" ref="Z10:Z37" si="19">IF(I10="",0,IF(OR(AND(LEFT(I10,1)="J",LEFT(I10,1)="T"),R10="$demi2"),0,1))-AA10-AE10</f>
        <v>1</v>
      </c>
      <c r="AA10" s="70">
        <f t="shared" si="6"/>
        <v>0</v>
      </c>
      <c r="AB10" s="70">
        <f>IF(I10=0,0,IF(AND(J10&gt;K10,J10&gt;=Listes!$G$22),MOD(MIN(K10,Listes!$H$22)-J10,1),IF(OR(J10&gt;K10,K10&gt;=Listes!$G$22),MOD(K10-Listes!$G$22,1),IF(K10&lt;=Listes!$H$22,MOD(K10-J10,1),IF(J10&lt;=Listes!$H$22,MOD(Listes!$H$22-J10,1),0))))+IF(AND(O10&gt;P10,O10&gt;=Listes!$G$22),MOD(MIN(P10,Listes!$H$22)-O10,1),IF(OR(O10&gt;P10,P10&gt;=Listes!$G$22),MOD(P10-Listes!$G$22,1),0)))*24</f>
        <v>0</v>
      </c>
      <c r="AC10" s="71">
        <f t="shared" ca="1" si="15"/>
        <v>0</v>
      </c>
      <c r="AD10" s="71">
        <f ca="1">IF(IFERROR(VLOOKUP(H10,Listes!$H$3:$H$20,1,0),0)&lt;&gt;0,W10,0)</f>
        <v>0</v>
      </c>
      <c r="AE10" s="71">
        <f>IF(AND(RIGHT(I10,2)&lt;&gt;"CH",I10),0,IF(OR(L10&lt;&gt;0,Q10&lt;&gt;0),0,1))</f>
        <v>0</v>
      </c>
      <c r="AF10" s="44"/>
      <c r="AG10" s="44"/>
      <c r="AH10" s="44"/>
      <c r="AI10" s="44"/>
      <c r="AJ10" s="44"/>
      <c r="AK10" s="44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79" t="str">
        <f t="shared" si="8"/>
        <v>MAT1</v>
      </c>
      <c r="BA10" s="80" t="str">
        <f t="shared" si="9"/>
        <v>RECTTRECUP</v>
      </c>
      <c r="BB10" s="81">
        <f ca="1">JUIL!H10</f>
        <v>45477</v>
      </c>
      <c r="BC10" s="81">
        <f ca="1">JUIL!H10</f>
        <v>45477</v>
      </c>
      <c r="BD10" s="77" t="s">
        <v>81</v>
      </c>
      <c r="BE10" s="73" t="str">
        <f t="shared" si="10"/>
        <v>$jour</v>
      </c>
      <c r="BF10" s="71" t="e">
        <f t="shared" si="11"/>
        <v>#VALUE!</v>
      </c>
      <c r="BG10" s="73"/>
      <c r="BH10" s="73"/>
      <c r="BI10" s="72" t="str">
        <f t="shared" si="16"/>
        <v>MAT1</v>
      </c>
      <c r="BL10" s="55" t="str" cm="1">
        <f t="array" ref="BL10">INDEX($5:$5,COLUMN($Z8)+B10-1)</f>
        <v>MAJDIM</v>
      </c>
      <c r="BM10" s="55" cm="1">
        <f t="array" aca="1" ref="BM10" ca="1">IF(INDEX($4:$4,COLUMN($Z8)+B10-1)="Heures",SUMIF(C:C,BI10,AC:AC)*24,SUMIF(C:C,BI10,AC:AC))</f>
        <v>30.000000000000004</v>
      </c>
      <c r="BN10" s="55">
        <f>IFERROR(INDEX(Listes!A28:B37,MATCH(BL10,Listes!A:A,1),2),0)</f>
        <v>0</v>
      </c>
      <c r="BO10" s="55">
        <f t="shared" ca="1" si="12"/>
        <v>0</v>
      </c>
      <c r="BS10" s="106">
        <f ca="1">VLOOKUP(_xlfn.SHEET(),Listes!$A:$B,2,0)</f>
        <v>45474</v>
      </c>
      <c r="BT10" s="106">
        <f t="shared" ca="1" si="17"/>
        <v>45474</v>
      </c>
      <c r="BU10" s="55" t="str">
        <f t="shared" ca="1" si="13"/>
        <v>a importer</v>
      </c>
    </row>
    <row r="11" spans="1:73" ht="18" customHeight="1">
      <c r="A11" s="69" t="str">
        <f>Listes!$AD$2</f>
        <v>MANAGER</v>
      </c>
      <c r="B11" s="75">
        <f t="shared" si="18"/>
        <v>5</v>
      </c>
      <c r="C11" s="69" t="str" cm="1">
        <f t="array" ref="C11">INDEX(Listes!$Z$2:$Z$31,1+(ROW()-7)/31+INT((ROW()-7)/(31*30)))</f>
        <v>MAT1</v>
      </c>
      <c r="D11" s="69" t="str">
        <f>IFERROR(INDEX(Listes!Z:AA,MATCH(C11,Listes!Z:Z,0),2),"")</f>
        <v>Matricule 1</v>
      </c>
      <c r="E11" s="77" t="str">
        <f t="shared" ca="1" si="1"/>
        <v>juillet</v>
      </c>
      <c r="F11" s="120">
        <f t="shared" ca="1" si="14"/>
        <v>27</v>
      </c>
      <c r="G11" s="78" t="str">
        <f t="shared" ca="1" si="2"/>
        <v>vendredi</v>
      </c>
      <c r="H11" s="78">
        <f ca="1">IF(B11=1,VLOOKUP(_xlfn.SHEET(),Listes!$F:$H,3,0),IF(TEXT(H10+1,"mmmm")&lt;&gt;TEXT(H10,"mmmm"),"",H10+1))</f>
        <v>45478</v>
      </c>
      <c r="I11" s="37" t="s">
        <v>187</v>
      </c>
      <c r="J11" s="38">
        <f>IF(OR(I11=0,LEFT(I11,1)="A"),0,INDEX(Listes!Q:V,MATCH(I11,Listes!Q:Q,0),2))</f>
        <v>0.33333333333333331</v>
      </c>
      <c r="K11" s="38">
        <f>IF(OR(I11=0,LEFT(I11,1)="A"),0,INDEX(Listes!Q:V,MATCH(I11,Listes!Q:Q,0),3))</f>
        <v>0.5</v>
      </c>
      <c r="L11" s="37"/>
      <c r="M11" s="38">
        <f>IF(L11=0,0,IF(AND(LEFT(I11,1)="M",L11&lt;&gt;0),INDEX(Listes!J:O,MATCH(L11,Listes!J:J,1),3),IF(AND(LEFT(I11,1)="N",L11&lt;&gt;0),INDEX(Listes!J:O,MATCH(L11,Listes!J:J,1),3),IF(AND(LEFT(I11,1)="A",L11&lt;&gt;0),INDEX(Listes!J:O,MATCH(L11,Listes!J:J,1),3),IF(AND(LEFT(I11,1)="J",L11&lt;&gt;0),INDEX(Listes!J:O,MATCH(L11,Listes!J:J,1),3),IF(AND(LEFT(I11,1)="T",L11&lt;&gt;0),INDEX(Listes!J:O,MATCH(L11,Listes!J:J,1),3),"horaire"))))))</f>
        <v>0</v>
      </c>
      <c r="N11" s="38">
        <f>IFERROR(IF(M11="$horaire","à compléter",IF(AND(M11="$DEMI",INDEX(Listes!J:O,MATCH(L11,Listes!J:J,1),6)="oui"),(K11-J11),0)),0)</f>
        <v>0</v>
      </c>
      <c r="O11" s="40">
        <f>IF(OR(I11=0,LEFT(I11,1)="A"),0,INDEX(Listes!Q:V,MATCH(I11,Listes!Q:Q,0),4))</f>
        <v>0.5625</v>
      </c>
      <c r="P11" s="42">
        <f>IF(OR(I11=0,LEFT(I11,1)="A"),0,INDEX(Listes!Q:V,MATCH(I11,Listes!Q:Q,0),5))</f>
        <v>0.70833333333333337</v>
      </c>
      <c r="Q11" s="37" t="s">
        <v>244</v>
      </c>
      <c r="R11" s="38" t="str">
        <f>IF(Q11=0,0,IF(AND(LEFT(I11,1)="M",Q11&lt;&gt;0),INDEX(Listes!J:O,MATCH(Q11,Listes!J:J,1),3),IF(AND(LEFT(I11,1)="N",Q11&lt;&gt;0),INDEX(Listes!J:O,MATCH(Q11,Listes!J:J,1),3),IF(AND(LEFT(I11,1)="A",Q11&lt;&gt;0),INDEX(Listes!J:O,MATCH(Q11,Listes!J:J,1),3),IF(AND(LEFT(I11,1)="J",Q11&lt;&gt;0),INDEX(Listes!J:O,MATCH(Q11,Listes!J:J,1),3),IF(AND(LEFT(I11,1)="T",Q11&lt;&gt;0),INDEX(Listes!J:O,MATCH(Q11,Listes!J:J,1),3),"horaire"))))))</f>
        <v>$horaire</v>
      </c>
      <c r="S11" s="38" t="str">
        <f>IFERROR(IF(R11="$horaire","à compléter",IF(AND(R11="$DEMI2",INDEX(Listes!J:O,MATCH(Q11,Listes!J:J,1),6)="oui"),(P11-O11),0)),0)</f>
        <v>à compléter</v>
      </c>
      <c r="T11" s="37"/>
      <c r="U11" s="37">
        <f t="shared" si="3"/>
        <v>0</v>
      </c>
      <c r="V11" s="70">
        <f>IF(I11=0,0,INDEX(Listes!Q:V,MATCH(I11,Listes!Q:Q,1),6))</f>
        <v>7.5000000000000009</v>
      </c>
      <c r="W11" s="71">
        <f>IF(I11=0,0,IF(AND(LEFT(I11,1)="A",O11&lt;=P11),(P11-O11)*24,IF(J11&lt;=K11,(K11-J11)*24,((Listes!$H$21-J11)*24+(K11-Listes!$H$21)*24))+IF(O11&lt;=P11,(P11-O11)*24,(Listes!$H$21-O11)*24+(P11-Listes!$G$21)*24)))-X11+(U11*24)</f>
        <v>7.5000000000000009</v>
      </c>
      <c r="X11" s="70">
        <f>IFERROR(IF(IFERROR(INDEX(Listes!J:O,MATCH(L11,Listes!J:J,1),6),0)="oui",N11*24,0),0)+IFERROR(IF(IFERROR(INDEX(Listes!J:O,MATCH(Q11,Listes!J:J,1),6),0)="oui",S11*24,0),0)</f>
        <v>0</v>
      </c>
      <c r="Y11" s="70">
        <f t="shared" ca="1" si="4"/>
        <v>0</v>
      </c>
      <c r="Z11" s="71">
        <f t="shared" si="19"/>
        <v>1</v>
      </c>
      <c r="AA11" s="70">
        <f t="shared" si="6"/>
        <v>0</v>
      </c>
      <c r="AB11" s="70">
        <f>IF(I11=0,0,IF(AND(J11&gt;K11,J11&gt;=Listes!$G$22),MOD(MIN(K11,Listes!$H$22)-J11,1),IF(OR(J11&gt;K11,K11&gt;=Listes!$G$22),MOD(K11-Listes!$G$22,1),IF(K11&lt;=Listes!$H$22,MOD(K11-J11,1),IF(J11&lt;=Listes!$H$22,MOD(Listes!$H$22-J11,1),0))))+IF(AND(O11&gt;P11,O11&gt;=Listes!$G$22),MOD(MIN(P11,Listes!$H$22)-O11,1),IF(OR(O11&gt;P11,P11&gt;=Listes!$G$22),MOD(P11-Listes!$G$22,1),0)))*24</f>
        <v>0</v>
      </c>
      <c r="AC11" s="71">
        <f t="shared" ca="1" si="15"/>
        <v>0</v>
      </c>
      <c r="AD11" s="71">
        <f ca="1">IF(IFERROR(VLOOKUP(H11,Listes!$H$3:$H$20,1,0),0)&lt;&gt;0,W11,0)</f>
        <v>0</v>
      </c>
      <c r="AE11" s="71">
        <f t="shared" ref="AE11:AE37" si="20">IF(AND(RIGHT(I11,2)&lt;&gt;"CH",I11),0,IF(OR(L11&lt;&gt;0,Q11&lt;&gt;0),0,1))</f>
        <v>0</v>
      </c>
      <c r="AF11" s="44"/>
      <c r="AG11" s="44"/>
      <c r="AH11" s="44"/>
      <c r="AI11" s="44"/>
      <c r="AJ11" s="44"/>
      <c r="AK11" s="44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79" t="str">
        <f t="shared" si="8"/>
        <v>MAT1</v>
      </c>
      <c r="BA11" s="80" t="str">
        <f t="shared" si="9"/>
        <v>REHE</v>
      </c>
      <c r="BB11" s="81">
        <f ca="1">JUIL!H11</f>
        <v>45478</v>
      </c>
      <c r="BC11" s="81">
        <f ca="1">JUIL!H11</f>
        <v>45478</v>
      </c>
      <c r="BD11" s="77" t="s">
        <v>81</v>
      </c>
      <c r="BE11" s="73" t="str">
        <f t="shared" si="10"/>
        <v>$jour</v>
      </c>
      <c r="BF11" s="71" t="e">
        <f t="shared" si="11"/>
        <v>#VALUE!</v>
      </c>
      <c r="BG11" s="73"/>
      <c r="BH11" s="73"/>
      <c r="BI11" s="72" t="str">
        <f t="shared" si="16"/>
        <v>MAT1</v>
      </c>
      <c r="BL11" s="55" t="str" cm="1">
        <f t="array" ref="BL11">INDEX($5:$5,COLUMN($Z9)+B11-1)</f>
        <v>HDIMAN</v>
      </c>
      <c r="BM11" s="55" cm="1">
        <f t="array" aca="1" ref="BM11" ca="1">IF(INDEX($4:$4,COLUMN($Z9)+B11-1)="Heures",SUMIF(C:C,BI11,AD:AD)*24,SUMIF(C:C,BI11,AD:AD))</f>
        <v>7.5000000000000009</v>
      </c>
      <c r="BN11" s="55">
        <f>IFERROR(INDEX(Listes!A29:B38,MATCH(BL11,Listes!A:A,1),2),0)</f>
        <v>0</v>
      </c>
      <c r="BO11" s="55">
        <f t="shared" ca="1" si="12"/>
        <v>0</v>
      </c>
      <c r="BS11" s="106">
        <f ca="1">VLOOKUP(_xlfn.SHEET(),Listes!$A:$B,2,0)</f>
        <v>45474</v>
      </c>
      <c r="BT11" s="106">
        <f t="shared" ca="1" si="17"/>
        <v>45474</v>
      </c>
      <c r="BU11" s="55" t="str">
        <f t="shared" ca="1" si="13"/>
        <v>a importer</v>
      </c>
    </row>
    <row r="12" spans="1:73" ht="18" customHeight="1">
      <c r="A12" s="69" t="str">
        <f>Listes!$AD$2</f>
        <v>MANAGER</v>
      </c>
      <c r="B12" s="75">
        <f t="shared" si="18"/>
        <v>6</v>
      </c>
      <c r="C12" s="69" t="str" cm="1">
        <f t="array" ref="C12">INDEX(Listes!$Z$2:$Z$31,1+(ROW()-7)/31+INT((ROW()-7)/(31*30)))</f>
        <v>MAT1</v>
      </c>
      <c r="D12" s="69" t="str">
        <f>IFERROR(INDEX(Listes!Z:AA,MATCH(C12,Listes!Z:Z,0),2),"")</f>
        <v>Matricule 1</v>
      </c>
      <c r="E12" s="77" t="str">
        <f t="shared" ca="1" si="1"/>
        <v>juillet</v>
      </c>
      <c r="F12" s="120">
        <f t="shared" ca="1" si="14"/>
        <v>27</v>
      </c>
      <c r="G12" s="78" t="str">
        <f t="shared" ca="1" si="2"/>
        <v>samedi</v>
      </c>
      <c r="H12" s="78">
        <f ca="1">IF(B12=1,VLOOKUP(_xlfn.SHEET(),Listes!$F:$H,3,0),IF(TEXT(H11+1,"mmmm")&lt;&gt;TEXT(H11,"mmmm"),"",H11+1))</f>
        <v>45479</v>
      </c>
      <c r="I12" s="37" t="s">
        <v>187</v>
      </c>
      <c r="J12" s="38">
        <f>IF(OR(I12=0,LEFT(I12,1)="A"),0,INDEX(Listes!Q:V,MATCH(I12,Listes!Q:Q,0),2))</f>
        <v>0.33333333333333331</v>
      </c>
      <c r="K12" s="38">
        <f>IF(OR(I12=0,LEFT(I12,1)="A"),0,INDEX(Listes!Q:V,MATCH(I12,Listes!Q:Q,0),3))</f>
        <v>0.5</v>
      </c>
      <c r="L12" s="37"/>
      <c r="M12" s="38">
        <f>IF(L12=0,0,IF(AND(LEFT(I12,1)="M",L12&lt;&gt;0),INDEX(Listes!J:O,MATCH(L12,Listes!J:J,1),3),IF(AND(LEFT(I12,1)="N",L12&lt;&gt;0),INDEX(Listes!J:O,MATCH(L12,Listes!J:J,1),3),IF(AND(LEFT(I12,1)="A",L12&lt;&gt;0),INDEX(Listes!J:O,MATCH(L12,Listes!J:J,1),3),IF(AND(LEFT(I12,1)="J",L12&lt;&gt;0),INDEX(Listes!J:O,MATCH(L12,Listes!J:J,1),3),IF(AND(LEFT(I12,1)="T",L12&lt;&gt;0),INDEX(Listes!J:O,MATCH(L12,Listes!J:J,1),3),"horaire"))))))</f>
        <v>0</v>
      </c>
      <c r="N12" s="38">
        <f>IFERROR(IF(M12="$horaire","à compléter",IF(AND(M12="$DEMI",INDEX(Listes!J:O,MATCH(L12,Listes!J:J,1),6)="oui"),(K12-J12),0)),0)</f>
        <v>0</v>
      </c>
      <c r="O12" s="40">
        <f>IF(OR(I12=0,LEFT(I12,1)="A"),0,INDEX(Listes!Q:V,MATCH(I12,Listes!Q:Q,0),4))</f>
        <v>0.5625</v>
      </c>
      <c r="P12" s="42">
        <f>IF(OR(I12=0,LEFT(I12,1)="A"),0,INDEX(Listes!Q:V,MATCH(I12,Listes!Q:Q,0),5))</f>
        <v>0.70833333333333337</v>
      </c>
      <c r="Q12" s="37"/>
      <c r="R12" s="38">
        <f>IF(Q12=0,0,IF(AND(LEFT(I12,1)="M",Q12&lt;&gt;0),INDEX(Listes!J:O,MATCH(Q12,Listes!J:J,1),3),IF(AND(LEFT(I12,1)="N",Q12&lt;&gt;0),INDEX(Listes!J:O,MATCH(Q12,Listes!J:J,1),3),IF(AND(LEFT(I12,1)="A",Q12&lt;&gt;0),INDEX(Listes!J:O,MATCH(Q12,Listes!J:J,1),3),IF(AND(LEFT(I12,1)="J",Q12&lt;&gt;0),INDEX(Listes!J:O,MATCH(Q12,Listes!J:J,1),3),IF(AND(LEFT(I12,1)="T",Q12&lt;&gt;0),INDEX(Listes!J:O,MATCH(Q12,Listes!J:J,1),3),"horaire"))))))</f>
        <v>0</v>
      </c>
      <c r="S12" s="38">
        <f>IFERROR(IF(R12="$horaire","à compléter",IF(AND(R12="$DEMI2",INDEX(Listes!J:O,MATCH(Q12,Listes!J:J,1),6)="oui"),(P12-O12),0)),0)</f>
        <v>0</v>
      </c>
      <c r="T12" s="37"/>
      <c r="U12" s="37">
        <f t="shared" si="3"/>
        <v>0</v>
      </c>
      <c r="V12" s="70">
        <f>IF(I12=0,0,INDEX(Listes!Q:V,MATCH(I12,Listes!Q:Q,1),6))</f>
        <v>7.5000000000000009</v>
      </c>
      <c r="W12" s="71">
        <f>IF(I12=0,0,IF(AND(LEFT(I12,1)="A",O12&lt;=P12),(P12-O12)*24,IF(J12&lt;=K12,(K12-J12)*24,((Listes!$H$21-J12)*24+(K12-Listes!$H$21)*24))+IF(O12&lt;=P12,(P12-O12)*24,(Listes!$H$21-O12)*24+(P12-Listes!$G$21)*24)))-X12+(U12*24)</f>
        <v>7.5000000000000009</v>
      </c>
      <c r="X12" s="70">
        <f>IFERROR(IF(IFERROR(INDEX(Listes!J:O,MATCH(L12,Listes!J:J,1),6),0)="oui",N12*24,0),0)+IFERROR(IF(IFERROR(INDEX(Listes!J:O,MATCH(Q12,Listes!J:J,1),6),0)="oui",S12*24,0),0)</f>
        <v>0</v>
      </c>
      <c r="Y12" s="70">
        <f t="shared" ca="1" si="4"/>
        <v>7.5000000000000009</v>
      </c>
      <c r="Z12" s="71">
        <f t="shared" si="19"/>
        <v>1</v>
      </c>
      <c r="AA12" s="70">
        <f t="shared" si="6"/>
        <v>0</v>
      </c>
      <c r="AB12" s="70">
        <f>IF(I12=0,0,IF(AND(J12&gt;K12,J12&gt;=Listes!$G$22),MOD(MIN(K12,Listes!$H$22)-J12,1),IF(OR(J12&gt;K12,K12&gt;=Listes!$G$22),MOD(K12-Listes!$G$22,1),IF(K12&lt;=Listes!$H$22,MOD(K12-J12,1),IF(J12&lt;=Listes!$H$22,MOD(Listes!$H$22-J12,1),0))))+IF(AND(O12&gt;P12,O12&gt;=Listes!$G$22),MOD(MIN(P12,Listes!$H$22)-O12,1),IF(OR(O12&gt;P12,P12&gt;=Listes!$G$22),MOD(P12-Listes!$G$22,1),0)))*24</f>
        <v>0</v>
      </c>
      <c r="AC12" s="71">
        <f t="shared" ca="1" si="15"/>
        <v>0</v>
      </c>
      <c r="AD12" s="71">
        <f ca="1">IF(IFERROR(VLOOKUP(H12,Listes!$H$3:$H$20,1,0),0)&lt;&gt;0,W12,0)</f>
        <v>0</v>
      </c>
      <c r="AE12" s="71">
        <f t="shared" si="20"/>
        <v>0</v>
      </c>
      <c r="AF12" s="44"/>
      <c r="AG12" s="44"/>
      <c r="AH12" s="44"/>
      <c r="AI12" s="44"/>
      <c r="AJ12" s="44"/>
      <c r="AK12" s="44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79" t="str">
        <f t="shared" si="8"/>
        <v>MAT1</v>
      </c>
      <c r="BA12" s="80">
        <f t="shared" si="9"/>
        <v>0</v>
      </c>
      <c r="BB12" s="81">
        <f ca="1">JUIL!H12</f>
        <v>45479</v>
      </c>
      <c r="BC12" s="81">
        <f ca="1">JUIL!H12</f>
        <v>45479</v>
      </c>
      <c r="BD12" s="77" t="s">
        <v>81</v>
      </c>
      <c r="BE12" s="73" t="str">
        <f t="shared" si="10"/>
        <v>$jour</v>
      </c>
      <c r="BF12" s="71">
        <f t="shared" si="11"/>
        <v>0</v>
      </c>
      <c r="BG12" s="73"/>
      <c r="BH12" s="73"/>
      <c r="BI12" s="72" t="str">
        <f t="shared" si="16"/>
        <v>MAT1</v>
      </c>
      <c r="BL12" s="55" t="str" cm="1">
        <f t="array" ref="BL12">INDEX($5:$5,COLUMN($Z10)+B12-1)</f>
        <v>PRCHR</v>
      </c>
      <c r="BM12" s="55" cm="1">
        <f t="array" ref="BM12">IF(INDEX($4:$4,COLUMN($Z10)+B12-1)="Heures",SUMIF(C:C,BI12,AE:AE)*24,SUMIF(C:C,BI12,AE:AE))</f>
        <v>0</v>
      </c>
      <c r="BO12" s="55">
        <f t="shared" si="12"/>
        <v>0</v>
      </c>
      <c r="BS12" s="106">
        <f ca="1">VLOOKUP(_xlfn.SHEET(),Listes!$A:$B,2,0)</f>
        <v>45474</v>
      </c>
      <c r="BT12" s="106">
        <f t="shared" ca="1" si="17"/>
        <v>45474</v>
      </c>
      <c r="BU12" s="55">
        <f t="shared" si="13"/>
        <v>0</v>
      </c>
    </row>
    <row r="13" spans="1:73" ht="18" customHeight="1">
      <c r="A13" s="69" t="str">
        <f>Listes!$AD$2</f>
        <v>MANAGER</v>
      </c>
      <c r="B13" s="75">
        <f t="shared" si="18"/>
        <v>7</v>
      </c>
      <c r="C13" s="69" t="str" cm="1">
        <f t="array" ref="C13">INDEX(Listes!$Z$2:$Z$31,1+(ROW()-7)/31+INT((ROW()-7)/(31*30)))</f>
        <v>MAT1</v>
      </c>
      <c r="D13" s="69" t="str">
        <f>IFERROR(INDEX(Listes!Z:AA,MATCH(C13,Listes!Z:Z,0),2),"")</f>
        <v>Matricule 1</v>
      </c>
      <c r="E13" s="77" t="str">
        <f t="shared" ca="1" si="1"/>
        <v>juillet</v>
      </c>
      <c r="F13" s="120">
        <f t="shared" ca="1" si="14"/>
        <v>27</v>
      </c>
      <c r="G13" s="78" t="str">
        <f t="shared" ca="1" si="2"/>
        <v>dimanche</v>
      </c>
      <c r="H13" s="78">
        <f ca="1">IF(B13=1,VLOOKUP(_xlfn.SHEET(),Listes!$F:$H,3,0),IF(TEXT(H12+1,"mmmm")&lt;&gt;TEXT(H12,"mmmm"),"",H12+1))</f>
        <v>45480</v>
      </c>
      <c r="I13" s="37" t="s">
        <v>187</v>
      </c>
      <c r="J13" s="38">
        <f>IF(OR(I13=0,LEFT(I13,1)="A"),0,INDEX(Listes!Q:V,MATCH(I13,Listes!Q:Q,0),2))</f>
        <v>0.33333333333333331</v>
      </c>
      <c r="K13" s="38">
        <f>IF(OR(I13=0,LEFT(I13,1)="A"),0,INDEX(Listes!Q:V,MATCH(I13,Listes!Q:Q,0),3))</f>
        <v>0.5</v>
      </c>
      <c r="L13" s="37"/>
      <c r="M13" s="38">
        <f>IF(L13=0,0,IF(AND(LEFT(I13,1)="M",L13&lt;&gt;0),INDEX(Listes!J:O,MATCH(L13,Listes!J:J,1),3),IF(AND(LEFT(I13,1)="N",L13&lt;&gt;0),INDEX(Listes!J:O,MATCH(L13,Listes!J:J,1),3),IF(AND(LEFT(I13,1)="A",L13&lt;&gt;0),INDEX(Listes!J:O,MATCH(L13,Listes!J:J,1),3),IF(AND(LEFT(I13,1)="J",L13&lt;&gt;0),INDEX(Listes!J:O,MATCH(L13,Listes!J:J,1),3),IF(AND(LEFT(I13,1)="T",L13&lt;&gt;0),INDEX(Listes!J:O,MATCH(L13,Listes!J:J,1),3),"horaire"))))))</f>
        <v>0</v>
      </c>
      <c r="N13" s="38">
        <f>IFERROR(IF(M13="$horaire","à compléter",IF(AND(M13="$DEMI",INDEX(Listes!J:O,MATCH(L13,Listes!J:J,1),6)="oui"),(K13-J13),0)),0)</f>
        <v>0</v>
      </c>
      <c r="O13" s="40">
        <f>IF(OR(I13=0,LEFT(I13,1)="A"),0,INDEX(Listes!Q:V,MATCH(I13,Listes!Q:Q,0),4))</f>
        <v>0.5625</v>
      </c>
      <c r="P13" s="42">
        <f>IF(OR(I13=0,LEFT(I13,1)="A"),0,INDEX(Listes!Q:V,MATCH(I13,Listes!Q:Q,0),5))</f>
        <v>0.70833333333333337</v>
      </c>
      <c r="Q13" s="37"/>
      <c r="R13" s="38">
        <f>IF(Q13=0,0,IF(AND(LEFT(I13,1)="M",Q13&lt;&gt;0),INDEX(Listes!J:O,MATCH(Q13,Listes!J:J,1),3),IF(AND(LEFT(I13,1)="N",Q13&lt;&gt;0),INDEX(Listes!J:O,MATCH(Q13,Listes!J:J,1),3),IF(AND(LEFT(I13,1)="A",Q13&lt;&gt;0),INDEX(Listes!J:O,MATCH(Q13,Listes!J:J,1),3),IF(AND(LEFT(I13,1)="J",Q13&lt;&gt;0),INDEX(Listes!J:O,MATCH(Q13,Listes!J:J,1),3),IF(AND(LEFT(I13,1)="T",Q13&lt;&gt;0),INDEX(Listes!J:O,MATCH(Q13,Listes!J:J,1),3),"horaire"))))))</f>
        <v>0</v>
      </c>
      <c r="S13" s="38">
        <f>IFERROR(IF(R13="$horaire","à compléter",IF(AND(R13="$DEMI2",INDEX(Listes!J:O,MATCH(Q13,Listes!J:J,1),6)="oui"),(P13-O13),0)),0)</f>
        <v>0</v>
      </c>
      <c r="T13" s="37"/>
      <c r="U13" s="37">
        <f t="shared" si="3"/>
        <v>0</v>
      </c>
      <c r="V13" s="70">
        <f>IF(I13=0,0,INDEX(Listes!Q:V,MATCH(I13,Listes!Q:Q,1),6))</f>
        <v>7.5000000000000009</v>
      </c>
      <c r="W13" s="71">
        <f>IF(I13=0,0,IF(AND(LEFT(I13,1)="A",O13&lt;=P13),(P13-O13)*24,IF(J13&lt;=K13,(K13-J13)*24,((Listes!$H$21-J13)*24+(K13-Listes!$H$21)*24))+IF(O13&lt;=P13,(P13-O13)*24,(Listes!$H$21-O13)*24+(P13-Listes!$G$21)*24)))-X13+(U13*24)</f>
        <v>7.5000000000000009</v>
      </c>
      <c r="X13" s="70">
        <f>IFERROR(IF(IFERROR(INDEX(Listes!J:O,MATCH(L13,Listes!J:J,1),6),0)="oui",N13*24,0),0)+IFERROR(IF(IFERROR(INDEX(Listes!J:O,MATCH(Q13,Listes!J:J,1),6),0)="oui",S13*24,0),0)</f>
        <v>0</v>
      </c>
      <c r="Y13" s="70">
        <f ca="1">W13-V13+IF(OR(G13="samedi",G13="dimanche"),W13,0)</f>
        <v>7.5000000000000009</v>
      </c>
      <c r="Z13" s="71">
        <f t="shared" si="19"/>
        <v>1</v>
      </c>
      <c r="AA13" s="70">
        <f t="shared" si="6"/>
        <v>0</v>
      </c>
      <c r="AB13" s="70">
        <f>IF(I13=0,0,IF(AND(J13&gt;K13,J13&gt;=Listes!$G$22),MOD(MIN(K13,Listes!$H$22)-J13,1),IF(OR(J13&gt;K13,K13&gt;=Listes!$G$22),MOD(K13-Listes!$G$22,1),IF(K13&lt;=Listes!$H$22,MOD(K13-J13,1),IF(J13&lt;=Listes!$H$22,MOD(Listes!$H$22-J13,1),0))))+IF(AND(O13&gt;P13,O13&gt;=Listes!$G$22),MOD(MIN(P13,Listes!$H$22)-O13,1),IF(OR(O13&gt;P13,P13&gt;=Listes!$G$22),MOD(P13-Listes!$G$22,1),0)))*24</f>
        <v>0</v>
      </c>
      <c r="AC13" s="71">
        <f t="shared" ca="1" si="15"/>
        <v>7.5000000000000009</v>
      </c>
      <c r="AD13" s="71">
        <f ca="1">IF(IFERROR(VLOOKUP(H13,Listes!$H$3:$H$20,1,0),0)&lt;&gt;0,W13,0)</f>
        <v>0</v>
      </c>
      <c r="AE13" s="71">
        <f t="shared" si="20"/>
        <v>0</v>
      </c>
      <c r="AF13" s="44"/>
      <c r="AG13" s="44"/>
      <c r="AH13" s="44"/>
      <c r="AI13" s="44"/>
      <c r="AJ13" s="44"/>
      <c r="AK13" s="44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79" t="str">
        <f t="shared" si="8"/>
        <v>MAT1</v>
      </c>
      <c r="BA13" s="80">
        <f t="shared" si="9"/>
        <v>0</v>
      </c>
      <c r="BB13" s="81">
        <f ca="1">JUIL!H13</f>
        <v>45480</v>
      </c>
      <c r="BC13" s="81">
        <f ca="1">JUIL!H13</f>
        <v>45480</v>
      </c>
      <c r="BD13" s="77" t="s">
        <v>81</v>
      </c>
      <c r="BE13" s="73" t="str">
        <f t="shared" si="10"/>
        <v>$jour</v>
      </c>
      <c r="BF13" s="71">
        <f t="shared" si="11"/>
        <v>0</v>
      </c>
      <c r="BG13" s="73"/>
      <c r="BH13" s="73"/>
      <c r="BI13" s="72" t="str">
        <f t="shared" si="16"/>
        <v>MAT1</v>
      </c>
      <c r="BL13" s="55" t="str" cm="1">
        <f t="array" ref="BL13">INDEX($5:$5,COLUMN($Z11)+B13-1)</f>
        <v>PVRAC</v>
      </c>
      <c r="BM13" s="55" cm="1">
        <f t="array" ref="BM13">IF(INDEX($4:$4,COLUMN($Z11)+B13-1)="Heures",SUMIF(C:C,BI13,AF:AF)*24,SUMIF(C:C,BI13,AF:AF))</f>
        <v>0</v>
      </c>
      <c r="BO13" s="55">
        <f t="shared" si="12"/>
        <v>0</v>
      </c>
      <c r="BS13" s="106">
        <f ca="1">VLOOKUP(_xlfn.SHEET(),Listes!$A:$B,2,0)</f>
        <v>45474</v>
      </c>
      <c r="BT13" s="106">
        <f t="shared" ca="1" si="17"/>
        <v>45474</v>
      </c>
      <c r="BU13" s="55">
        <f t="shared" si="13"/>
        <v>0</v>
      </c>
    </row>
    <row r="14" spans="1:73" ht="18" customHeight="1">
      <c r="A14" s="69" t="str">
        <f>Listes!$AD$2</f>
        <v>MANAGER</v>
      </c>
      <c r="B14" s="75">
        <f t="shared" si="18"/>
        <v>8</v>
      </c>
      <c r="C14" s="69" t="str" cm="1">
        <f t="array" ref="C14">INDEX(Listes!$Z$2:$Z$31,1+(ROW()-7)/31+INT((ROW()-7)/(31*30)))</f>
        <v>MAT1</v>
      </c>
      <c r="D14" s="69" t="str">
        <f>IFERROR(INDEX(Listes!Z:AA,MATCH(C14,Listes!Z:Z,0),2),"")</f>
        <v>Matricule 1</v>
      </c>
      <c r="E14" s="77" t="str">
        <f t="shared" ca="1" si="1"/>
        <v>juillet</v>
      </c>
      <c r="F14" s="120">
        <f t="shared" ca="1" si="14"/>
        <v>28</v>
      </c>
      <c r="G14" s="78" t="str">
        <f t="shared" ca="1" si="2"/>
        <v>lundi</v>
      </c>
      <c r="H14" s="78">
        <f ca="1">IF(B14=1,VLOOKUP(_xlfn.SHEET(),Listes!$F:$H,3,0),IF(TEXT(H13+1,"mmmm")&lt;&gt;TEXT(H13,"mmmm"),"",H13+1))</f>
        <v>45481</v>
      </c>
      <c r="I14" s="37" t="s">
        <v>187</v>
      </c>
      <c r="J14" s="38">
        <f>IF(OR(I14=0,LEFT(I14,1)="A"),0,INDEX(Listes!Q:V,MATCH(I14,Listes!Q:Q,0),2))</f>
        <v>0.33333333333333331</v>
      </c>
      <c r="K14" s="38">
        <f>IF(OR(I14=0,LEFT(I14,1)="A"),0,INDEX(Listes!Q:V,MATCH(I14,Listes!Q:Q,0),3))</f>
        <v>0.5</v>
      </c>
      <c r="L14" s="37"/>
      <c r="M14" s="38">
        <f>IF(L14=0,0,IF(AND(LEFT(I14,1)="M",L14&lt;&gt;0),INDEX(Listes!J:O,MATCH(L14,Listes!J:J,1),3),IF(AND(LEFT(I14,1)="N",L14&lt;&gt;0),INDEX(Listes!J:O,MATCH(L14,Listes!J:J,1),3),IF(AND(LEFT(I14,1)="A",L14&lt;&gt;0),INDEX(Listes!J:O,MATCH(L14,Listes!J:J,1),3),IF(AND(LEFT(I14,1)="J",L14&lt;&gt;0),INDEX(Listes!J:O,MATCH(L14,Listes!J:J,1),3),IF(AND(LEFT(I14,1)="T",L14&lt;&gt;0),INDEX(Listes!J:O,MATCH(L14,Listes!J:J,1),3),"horaire"))))))</f>
        <v>0</v>
      </c>
      <c r="N14" s="38">
        <f>IFERROR(IF(M14="$horaire","à compléter",IF(AND(M14="$DEMI",INDEX(Listes!J:O,MATCH(L14,Listes!J:J,1),6)="oui"),(K14-J14),0)),0)</f>
        <v>0</v>
      </c>
      <c r="O14" s="40">
        <f>IF(OR(I14=0,LEFT(I14,1)="A"),0,INDEX(Listes!Q:V,MATCH(I14,Listes!Q:Q,0),4))</f>
        <v>0.5625</v>
      </c>
      <c r="P14" s="42">
        <f>IF(OR(I14=0,LEFT(I14,1)="A"),0,INDEX(Listes!Q:V,MATCH(I14,Listes!Q:Q,0),5))</f>
        <v>0.70833333333333337</v>
      </c>
      <c r="Q14" s="37"/>
      <c r="R14" s="38">
        <f>IF(Q14=0,0,IF(AND(LEFT(I14,1)="M",Q14&lt;&gt;0),INDEX(Listes!J:O,MATCH(Q14,Listes!J:J,1),3),IF(AND(LEFT(I14,1)="N",Q14&lt;&gt;0),INDEX(Listes!J:O,MATCH(Q14,Listes!J:J,1),3),IF(AND(LEFT(I14,1)="A",Q14&lt;&gt;0),INDEX(Listes!J:O,MATCH(Q14,Listes!J:J,1),3),IF(AND(LEFT(I14,1)="J",Q14&lt;&gt;0),INDEX(Listes!J:O,MATCH(Q14,Listes!J:J,1),3),IF(AND(LEFT(I14,1)="T",Q14&lt;&gt;0),INDEX(Listes!J:O,MATCH(Q14,Listes!J:J,1),3),"horaire"))))))</f>
        <v>0</v>
      </c>
      <c r="S14" s="38">
        <f>IFERROR(IF(R14="$horaire","à compléter",IF(AND(R14="$DEMI2",INDEX(Listes!J:O,MATCH(Q14,Listes!J:J,1),6)="oui"),(P14-O14),0)),0)</f>
        <v>0</v>
      </c>
      <c r="T14" s="37"/>
      <c r="U14" s="37">
        <f t="shared" si="3"/>
        <v>0</v>
      </c>
      <c r="V14" s="70">
        <f>IF(I14=0,0,INDEX(Listes!Q:V,MATCH(I14,Listes!Q:Q,1),6))</f>
        <v>7.5000000000000009</v>
      </c>
      <c r="W14" s="71">
        <f>IF(I14=0,0,IF(AND(LEFT(I14,1)="A",O14&lt;=P14),(P14-O14)*24,IF(J14&lt;=K14,(K14-J14)*24,((Listes!$H$21-J14)*24+(K14-Listes!$H$21)*24))+IF(O14&lt;=P14,(P14-O14)*24,(Listes!$H$21-O14)*24+(P14-Listes!$G$21)*24)))-X14+(U14*24)</f>
        <v>7.5000000000000009</v>
      </c>
      <c r="X14" s="70">
        <f>IFERROR(IF(IFERROR(INDEX(Listes!J:O,MATCH(L14,Listes!J:J,1),6),0)="oui",N14*24,0),0)+IFERROR(IF(IFERROR(INDEX(Listes!J:O,MATCH(Q14,Listes!J:J,1),6),0)="oui",S14*24,0),0)</f>
        <v>0</v>
      </c>
      <c r="Y14" s="70">
        <f t="shared" ref="Y14:Y37" ca="1" si="21">W14-V14+IF(OR(G14="samedi",G14="dimanche"),W14,0)</f>
        <v>0</v>
      </c>
      <c r="Z14" s="71">
        <f t="shared" si="19"/>
        <v>1</v>
      </c>
      <c r="AA14" s="70">
        <f t="shared" si="6"/>
        <v>0</v>
      </c>
      <c r="AB14" s="70">
        <f>IF(I14=0,0,IF(AND(J14&gt;K14,J14&gt;=Listes!$G$22),MOD(MIN(K14,Listes!$H$22)-J14,1),IF(OR(J14&gt;K14,K14&gt;=Listes!$G$22),MOD(K14-Listes!$G$22,1),IF(K14&lt;=Listes!$H$22,MOD(K14-J14,1),IF(J14&lt;=Listes!$H$22,MOD(Listes!$H$22-J14,1),0))))+IF(AND(O14&gt;P14,O14&gt;=Listes!$G$22),MOD(MIN(P14,Listes!$H$22)-O14,1),IF(OR(O14&gt;P14,P14&gt;=Listes!$G$22),MOD(P14-Listes!$G$22,1),0)))*24</f>
        <v>0</v>
      </c>
      <c r="AC14" s="71">
        <f t="shared" ca="1" si="15"/>
        <v>0</v>
      </c>
      <c r="AD14" s="71">
        <f ca="1">IF(IFERROR(VLOOKUP(H14,Listes!$H$3:$H$20,1,0),0)&lt;&gt;0,W14,0)</f>
        <v>0</v>
      </c>
      <c r="AE14" s="71">
        <f t="shared" si="20"/>
        <v>0</v>
      </c>
      <c r="AF14" s="44"/>
      <c r="AG14" s="44"/>
      <c r="AH14" s="44"/>
      <c r="AI14" s="44"/>
      <c r="AJ14" s="44"/>
      <c r="AK14" s="44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79" t="str">
        <f t="shared" si="8"/>
        <v>MAT1</v>
      </c>
      <c r="BA14" s="80">
        <f t="shared" si="9"/>
        <v>0</v>
      </c>
      <c r="BB14" s="81">
        <f ca="1">JUIL!H14</f>
        <v>45481</v>
      </c>
      <c r="BC14" s="81">
        <f ca="1">JUIL!H14</f>
        <v>45481</v>
      </c>
      <c r="BD14" s="77" t="s">
        <v>81</v>
      </c>
      <c r="BE14" s="73" t="str">
        <f t="shared" si="10"/>
        <v>$jour</v>
      </c>
      <c r="BF14" s="71">
        <f t="shared" si="11"/>
        <v>0</v>
      </c>
      <c r="BG14" s="73"/>
      <c r="BH14" s="73"/>
      <c r="BI14" s="72" t="str">
        <f t="shared" si="16"/>
        <v>MAT1</v>
      </c>
      <c r="BL14" s="55" t="str" cm="1">
        <f t="array" ref="BL14">INDEX($5:$5,COLUMN($Z12)+B14-1)</f>
        <v>MA200</v>
      </c>
      <c r="BM14" s="55" cm="1">
        <f t="array" ref="BM14">IF(INDEX($4:$4,COLUMN($Z12)+B14-1)="Heures",SUMIF(C:C,BI14,AG:AG)*24,SUMIF(C:C,BI14,AG:AG))</f>
        <v>0</v>
      </c>
      <c r="BO14" s="55">
        <f t="shared" si="12"/>
        <v>0</v>
      </c>
      <c r="BS14" s="106">
        <f ca="1">VLOOKUP(_xlfn.SHEET(),Listes!$A:$B,2,0)</f>
        <v>45474</v>
      </c>
      <c r="BT14" s="106">
        <f t="shared" ca="1" si="17"/>
        <v>45474</v>
      </c>
      <c r="BU14" s="55">
        <f t="shared" si="13"/>
        <v>0</v>
      </c>
    </row>
    <row r="15" spans="1:73" ht="18" customHeight="1">
      <c r="A15" s="69" t="str">
        <f>Listes!$AD$2</f>
        <v>MANAGER</v>
      </c>
      <c r="B15" s="75">
        <f t="shared" si="18"/>
        <v>9</v>
      </c>
      <c r="C15" s="69" t="str" cm="1">
        <f t="array" ref="C15">INDEX(Listes!$Z$2:$Z$31,1+(ROW()-7)/31+INT((ROW()-7)/(31*30)))</f>
        <v>MAT1</v>
      </c>
      <c r="D15" s="69" t="str">
        <f>IFERROR(INDEX(Listes!Z:AA,MATCH(C15,Listes!Z:Z,0),2),"")</f>
        <v>Matricule 1</v>
      </c>
      <c r="E15" s="77" t="str">
        <f t="shared" ca="1" si="1"/>
        <v>juillet</v>
      </c>
      <c r="F15" s="120">
        <f t="shared" ca="1" si="14"/>
        <v>28</v>
      </c>
      <c r="G15" s="78" t="str">
        <f t="shared" ca="1" si="2"/>
        <v>mardi</v>
      </c>
      <c r="H15" s="78">
        <f ca="1">IF(B15=1,VLOOKUP(_xlfn.SHEET(),Listes!$F:$H,3,0),IF(TEXT(H14+1,"mmmm")&lt;&gt;TEXT(H14,"mmmm"),"",H14+1))</f>
        <v>45482</v>
      </c>
      <c r="I15" s="37" t="s">
        <v>187</v>
      </c>
      <c r="J15" s="38">
        <f>IF(OR(I15=0,LEFT(I15,1)="A"),0,INDEX(Listes!Q:V,MATCH(I15,Listes!Q:Q,0),2))</f>
        <v>0.33333333333333331</v>
      </c>
      <c r="K15" s="38">
        <f>IF(OR(I15=0,LEFT(I15,1)="A"),0,INDEX(Listes!Q:V,MATCH(I15,Listes!Q:Q,0),3))</f>
        <v>0.5</v>
      </c>
      <c r="L15" s="37"/>
      <c r="M15" s="38">
        <f>IF(L15=0,0,IF(AND(LEFT(I15,1)="M",L15&lt;&gt;0),INDEX(Listes!J:O,MATCH(L15,Listes!J:J,1),3),IF(AND(LEFT(I15,1)="N",L15&lt;&gt;0),INDEX(Listes!J:O,MATCH(L15,Listes!J:J,1),3),IF(AND(LEFT(I15,1)="A",L15&lt;&gt;0),INDEX(Listes!J:O,MATCH(L15,Listes!J:J,1),3),IF(AND(LEFT(I15,1)="J",L15&lt;&gt;0),INDEX(Listes!J:O,MATCH(L15,Listes!J:J,1),3),IF(AND(LEFT(I15,1)="T",L15&lt;&gt;0),INDEX(Listes!J:O,MATCH(L15,Listes!J:J,1),3),"horaire"))))))</f>
        <v>0</v>
      </c>
      <c r="N15" s="38">
        <f>IFERROR(IF(M15="$horaire","à compléter",IF(AND(M15="$DEMI",INDEX(Listes!J:O,MATCH(L15,Listes!J:J,1),6)="oui"),(K15-J15),0)),0)</f>
        <v>0</v>
      </c>
      <c r="O15" s="40">
        <f>IF(OR(I15=0,LEFT(I15,1)="A"),0,INDEX(Listes!Q:V,MATCH(I15,Listes!Q:Q,0),4))</f>
        <v>0.5625</v>
      </c>
      <c r="P15" s="42">
        <f>IF(OR(I15=0,LEFT(I15,1)="A"),0,INDEX(Listes!Q:V,MATCH(I15,Listes!Q:Q,0),5))</f>
        <v>0.70833333333333337</v>
      </c>
      <c r="Q15" s="37"/>
      <c r="R15" s="38">
        <f>IF(Q15=0,0,IF(AND(LEFT(I15,1)="M",Q15&lt;&gt;0),INDEX(Listes!J:O,MATCH(Q15,Listes!J:J,1),3),IF(AND(LEFT(I15,1)="N",Q15&lt;&gt;0),INDEX(Listes!J:O,MATCH(Q15,Listes!J:J,1),3),IF(AND(LEFT(I15,1)="A",Q15&lt;&gt;0),INDEX(Listes!J:O,MATCH(Q15,Listes!J:J,1),3),IF(AND(LEFT(I15,1)="J",Q15&lt;&gt;0),INDEX(Listes!J:O,MATCH(Q15,Listes!J:J,1),3),IF(AND(LEFT(I15,1)="T",Q15&lt;&gt;0),INDEX(Listes!J:O,MATCH(Q15,Listes!J:J,1),3),"horaire"))))))</f>
        <v>0</v>
      </c>
      <c r="S15" s="38">
        <f>IFERROR(IF(R15="$horaire","à compléter",IF(AND(R15="$DEMI2",INDEX(Listes!J:O,MATCH(Q15,Listes!J:J,1),6)="oui"),(P15-O15),0)),0)</f>
        <v>0</v>
      </c>
      <c r="T15" s="37"/>
      <c r="U15" s="37">
        <f t="shared" si="3"/>
        <v>0</v>
      </c>
      <c r="V15" s="70">
        <f>IF(I15=0,0,INDEX(Listes!Q:V,MATCH(I15,Listes!Q:Q,1),6))</f>
        <v>7.5000000000000009</v>
      </c>
      <c r="W15" s="71">
        <f>IF(I15=0,0,IF(AND(LEFT(I15,1)="A",O15&lt;=P15),(P15-O15)*24,IF(J15&lt;=K15,(K15-J15)*24,((Listes!$H$21-J15)*24+(K15-Listes!$H$21)*24))+IF(O15&lt;=P15,(P15-O15)*24,(Listes!$H$21-O15)*24+(P15-Listes!$G$21)*24)))-X15+(U15*24)</f>
        <v>7.5000000000000009</v>
      </c>
      <c r="X15" s="70">
        <f>IFERROR(IF(IFERROR(INDEX(Listes!J:O,MATCH(L15,Listes!J:J,1),6),0)="oui",N15*24,0),0)+IFERROR(IF(IFERROR(INDEX(Listes!J:O,MATCH(Q15,Listes!J:J,1),6),0)="oui",S15*24,0),0)</f>
        <v>0</v>
      </c>
      <c r="Y15" s="70">
        <f t="shared" ca="1" si="21"/>
        <v>0</v>
      </c>
      <c r="Z15" s="71">
        <f t="shared" si="19"/>
        <v>1</v>
      </c>
      <c r="AA15" s="70">
        <f t="shared" si="6"/>
        <v>0</v>
      </c>
      <c r="AB15" s="70">
        <f>IF(I15=0,0,IF(AND(J15&gt;K15,J15&gt;=Listes!$G$22),MOD(MIN(K15,Listes!$H$22)-J15,1),IF(OR(J15&gt;K15,K15&gt;=Listes!$G$22),MOD(K15-Listes!$G$22,1),IF(K15&lt;=Listes!$H$22,MOD(K15-J15,1),IF(J15&lt;=Listes!$H$22,MOD(Listes!$H$22-J15,1),0))))+IF(AND(O15&gt;P15,O15&gt;=Listes!$G$22),MOD(MIN(P15,Listes!$H$22)-O15,1),IF(OR(O15&gt;P15,P15&gt;=Listes!$G$22),MOD(P15-Listes!$G$22,1),0)))*24</f>
        <v>0</v>
      </c>
      <c r="AC15" s="71">
        <f t="shared" ca="1" si="15"/>
        <v>0</v>
      </c>
      <c r="AD15" s="71">
        <f ca="1">IF(IFERROR(VLOOKUP(H15,Listes!$H$3:$H$20,1,0),0)&lt;&gt;0,W15,0)</f>
        <v>0</v>
      </c>
      <c r="AE15" s="71">
        <f t="shared" si="20"/>
        <v>0</v>
      </c>
      <c r="AF15" s="44"/>
      <c r="AG15" s="44"/>
      <c r="AH15" s="44"/>
      <c r="AI15" s="44"/>
      <c r="AJ15" s="44"/>
      <c r="AK15" s="44"/>
      <c r="AL15" s="39"/>
      <c r="AM15" s="39"/>
      <c r="AN15" s="39"/>
      <c r="AO15" s="39" t="s">
        <v>82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79" t="str">
        <f t="shared" si="8"/>
        <v>MAT1</v>
      </c>
      <c r="BA15" s="80">
        <f t="shared" si="9"/>
        <v>0</v>
      </c>
      <c r="BB15" s="81">
        <f ca="1">JUIL!H15</f>
        <v>45482</v>
      </c>
      <c r="BC15" s="81">
        <f ca="1">JUIL!H15</f>
        <v>45482</v>
      </c>
      <c r="BD15" s="77" t="s">
        <v>81</v>
      </c>
      <c r="BE15" s="73" t="str">
        <f t="shared" si="10"/>
        <v>$jour</v>
      </c>
      <c r="BF15" s="71">
        <f t="shared" si="11"/>
        <v>0</v>
      </c>
      <c r="BG15" s="73"/>
      <c r="BH15" s="73"/>
      <c r="BI15" s="72" t="str">
        <f t="shared" si="16"/>
        <v>MAT1</v>
      </c>
      <c r="BL15" s="55" t="str" cm="1">
        <f t="array" ref="BL15">INDEX($5:$5,COLUMN($Z13)+B15-1)</f>
        <v>MAJN3</v>
      </c>
      <c r="BM15" s="55" cm="1">
        <f t="array" ref="BM15">IF(INDEX($4:$4,COLUMN($Z13)+B15-1)="Heures",SUMIF(C:C,BI15,AH:AH)*24,SUMIF(C:C,BI15,AH:AH))</f>
        <v>0</v>
      </c>
      <c r="BO15" s="55">
        <f t="shared" si="12"/>
        <v>0</v>
      </c>
      <c r="BS15" s="106">
        <f ca="1">VLOOKUP(_xlfn.SHEET(),Listes!$A:$B,2,0)</f>
        <v>45474</v>
      </c>
      <c r="BT15" s="106">
        <f t="shared" ca="1" si="17"/>
        <v>45474</v>
      </c>
      <c r="BU15" s="55">
        <f t="shared" si="13"/>
        <v>0</v>
      </c>
    </row>
    <row r="16" spans="1:73" ht="18" customHeight="1">
      <c r="A16" s="69" t="str">
        <f>Listes!$AD$2</f>
        <v>MANAGER</v>
      </c>
      <c r="B16" s="75">
        <f t="shared" si="18"/>
        <v>10</v>
      </c>
      <c r="C16" s="69" t="str" cm="1">
        <f t="array" ref="C16">INDEX(Listes!$Z$2:$Z$31,1+(ROW()-7)/31+INT((ROW()-7)/(31*30)))</f>
        <v>MAT1</v>
      </c>
      <c r="D16" s="69" t="str">
        <f>IFERROR(INDEX(Listes!Z:AA,MATCH(C16,Listes!Z:Z,0),2),"")</f>
        <v>Matricule 1</v>
      </c>
      <c r="E16" s="77" t="str">
        <f t="shared" ca="1" si="1"/>
        <v>juillet</v>
      </c>
      <c r="F16" s="120">
        <f t="shared" ca="1" si="14"/>
        <v>28</v>
      </c>
      <c r="G16" s="78" t="str">
        <f t="shared" ca="1" si="2"/>
        <v>mercredi</v>
      </c>
      <c r="H16" s="78">
        <f ca="1">IF(B16=1,VLOOKUP(_xlfn.SHEET(),Listes!$F:$H,3,0),IF(TEXT(H15+1,"mmmm")&lt;&gt;TEXT(H15,"mmmm"),"",H15+1))</f>
        <v>45483</v>
      </c>
      <c r="I16" s="37" t="s">
        <v>187</v>
      </c>
      <c r="J16" s="38">
        <f>IF(OR(I16=0,LEFT(I16,1)="A"),0,INDEX(Listes!Q:V,MATCH(I16,Listes!Q:Q,0),2))</f>
        <v>0.33333333333333331</v>
      </c>
      <c r="K16" s="38">
        <f>IF(OR(I16=0,LEFT(I16,1)="A"),0,INDEX(Listes!Q:V,MATCH(I16,Listes!Q:Q,0),3))</f>
        <v>0.5</v>
      </c>
      <c r="L16" s="37"/>
      <c r="M16" s="38">
        <f>IF(L16=0,0,IF(AND(LEFT(I16,1)="M",L16&lt;&gt;0),INDEX(Listes!J:O,MATCH(L16,Listes!J:J,1),3),IF(AND(LEFT(I16,1)="N",L16&lt;&gt;0),INDEX(Listes!J:O,MATCH(L16,Listes!J:J,1),3),IF(AND(LEFT(I16,1)="A",L16&lt;&gt;0),INDEX(Listes!J:O,MATCH(L16,Listes!J:J,1),3),IF(AND(LEFT(I16,1)="J",L16&lt;&gt;0),INDEX(Listes!J:O,MATCH(L16,Listes!J:J,1),3),IF(AND(LEFT(I16,1)="T",L16&lt;&gt;0),INDEX(Listes!J:O,MATCH(L16,Listes!J:J,1),3),"horaire"))))))</f>
        <v>0</v>
      </c>
      <c r="N16" s="38">
        <f>IFERROR(IF(M16="$horaire","à compléter",IF(AND(M16="$DEMI",INDEX(Listes!J:O,MATCH(L16,Listes!J:J,1),6)="oui"),(K16-J16),0)),0)</f>
        <v>0</v>
      </c>
      <c r="O16" s="40">
        <f>IF(OR(I16=0,LEFT(I16,1)="A"),0,INDEX(Listes!Q:V,MATCH(I16,Listes!Q:Q,0),4))</f>
        <v>0.5625</v>
      </c>
      <c r="P16" s="42">
        <f>IF(OR(I16=0,LEFT(I16,1)="A"),0,INDEX(Listes!Q:V,MATCH(I16,Listes!Q:Q,0),5))</f>
        <v>0.70833333333333337</v>
      </c>
      <c r="Q16" s="37"/>
      <c r="R16" s="38">
        <f>IF(Q16=0,0,IF(AND(LEFT(I16,1)="M",Q16&lt;&gt;0),INDEX(Listes!J:O,MATCH(Q16,Listes!J:J,1),3),IF(AND(LEFT(I16,1)="N",Q16&lt;&gt;0),INDEX(Listes!J:O,MATCH(Q16,Listes!J:J,1),3),IF(AND(LEFT(I16,1)="A",Q16&lt;&gt;0),INDEX(Listes!J:O,MATCH(Q16,Listes!J:J,1),3),IF(AND(LEFT(I16,1)="J",Q16&lt;&gt;0),INDEX(Listes!J:O,MATCH(Q16,Listes!J:J,1),3),IF(AND(LEFT(I16,1)="T",Q16&lt;&gt;0),INDEX(Listes!J:O,MATCH(Q16,Listes!J:J,1),3),"horaire"))))))</f>
        <v>0</v>
      </c>
      <c r="S16" s="38">
        <f>IFERROR(IF(R16="$horaire","à compléter",IF(AND(R16="$DEMI2",INDEX(Listes!J:O,MATCH(Q16,Listes!J:J,1),6)="oui"),(P16-O16),0)),0)</f>
        <v>0</v>
      </c>
      <c r="T16" s="37"/>
      <c r="U16" s="37">
        <f t="shared" si="3"/>
        <v>0</v>
      </c>
      <c r="V16" s="70">
        <f>IF(I16=0,0,INDEX(Listes!Q:V,MATCH(I16,Listes!Q:Q,1),6))</f>
        <v>7.5000000000000009</v>
      </c>
      <c r="W16" s="71">
        <f>IF(I16=0,0,IF(AND(LEFT(I16,1)="A",O16&lt;=P16),(P16-O16)*24,IF(J16&lt;=K16,(K16-J16)*24,((Listes!$H$21-J16)*24+(K16-Listes!$H$21)*24))+IF(O16&lt;=P16,(P16-O16)*24,(Listes!$H$21-O16)*24+(P16-Listes!$G$21)*24)))-X16+(U16*24)</f>
        <v>7.5000000000000009</v>
      </c>
      <c r="X16" s="70">
        <f>IFERROR(IF(IFERROR(INDEX(Listes!J:O,MATCH(L16,Listes!J:J,1),6),0)="oui",N16*24,0),0)+IFERROR(IF(IFERROR(INDEX(Listes!J:O,MATCH(Q16,Listes!J:J,1),6),0)="oui",S16*24,0),0)</f>
        <v>0</v>
      </c>
      <c r="Y16" s="70">
        <f t="shared" ca="1" si="21"/>
        <v>0</v>
      </c>
      <c r="Z16" s="71">
        <f t="shared" si="19"/>
        <v>1</v>
      </c>
      <c r="AA16" s="70">
        <f t="shared" si="6"/>
        <v>0</v>
      </c>
      <c r="AB16" s="70">
        <f>IF(I16=0,0,IF(AND(J16&gt;K16,J16&gt;=Listes!$G$22),MOD(MIN(K16,Listes!$H$22)-J16,1),IF(OR(J16&gt;K16,K16&gt;=Listes!$G$22),MOD(K16-Listes!$G$22,1),IF(K16&lt;=Listes!$H$22,MOD(K16-J16,1),IF(J16&lt;=Listes!$H$22,MOD(Listes!$H$22-J16,1),0))))+IF(AND(O16&gt;P16,O16&gt;=Listes!$G$22),MOD(MIN(P16,Listes!$H$22)-O16,1),IF(OR(O16&gt;P16,P16&gt;=Listes!$G$22),MOD(P16-Listes!$G$22,1),0)))*24</f>
        <v>0</v>
      </c>
      <c r="AC16" s="71">
        <f t="shared" ca="1" si="15"/>
        <v>0</v>
      </c>
      <c r="AD16" s="71">
        <f ca="1">IF(IFERROR(VLOOKUP(H16,Listes!$H$3:$H$20,1,0),0)&lt;&gt;0,W16,0)</f>
        <v>0</v>
      </c>
      <c r="AE16" s="71">
        <f t="shared" si="20"/>
        <v>0</v>
      </c>
      <c r="AF16" s="44"/>
      <c r="AG16" s="44"/>
      <c r="AH16" s="44"/>
      <c r="AI16" s="44"/>
      <c r="AJ16" s="44"/>
      <c r="AK16" s="44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79" t="str">
        <f t="shared" si="8"/>
        <v>MAT1</v>
      </c>
      <c r="BA16" s="80">
        <f t="shared" si="9"/>
        <v>0</v>
      </c>
      <c r="BB16" s="81">
        <f ca="1">JUIL!H16</f>
        <v>45483</v>
      </c>
      <c r="BC16" s="81">
        <f ca="1">JUIL!H16</f>
        <v>45483</v>
      </c>
      <c r="BD16" s="77" t="s">
        <v>81</v>
      </c>
      <c r="BE16" s="73" t="str">
        <f t="shared" si="10"/>
        <v>$jour</v>
      </c>
      <c r="BF16" s="71">
        <f t="shared" si="11"/>
        <v>0</v>
      </c>
      <c r="BG16" s="73"/>
      <c r="BH16" s="73"/>
      <c r="BI16" s="72" t="str">
        <f t="shared" si="16"/>
        <v>MAT1</v>
      </c>
      <c r="BL16" s="55" t="str" cm="1">
        <f t="array" ref="BL16">INDEX($5:$5,COLUMN($Z14)+B16-1)</f>
        <v>PRAS3</v>
      </c>
      <c r="BM16" s="55" cm="1">
        <f t="array" ref="BM16">IF(INDEX($4:$4,COLUMN($Z14)+B16-1)="Heures",SUMIF(C:C,BI16,AI:AI)*24,SUMIF(C:C,BI16,AI:AI))</f>
        <v>0</v>
      </c>
      <c r="BO16" s="55">
        <f t="shared" si="12"/>
        <v>0</v>
      </c>
      <c r="BS16" s="106">
        <f ca="1">VLOOKUP(_xlfn.SHEET(),Listes!$A:$B,2,0)</f>
        <v>45474</v>
      </c>
      <c r="BT16" s="106">
        <f t="shared" ca="1" si="17"/>
        <v>45474</v>
      </c>
      <c r="BU16" s="55">
        <f t="shared" si="13"/>
        <v>0</v>
      </c>
    </row>
    <row r="17" spans="1:73" ht="18" customHeight="1">
      <c r="A17" s="69" t="str">
        <f>Listes!$AD$2</f>
        <v>MANAGER</v>
      </c>
      <c r="B17" s="75">
        <f t="shared" si="18"/>
        <v>11</v>
      </c>
      <c r="C17" s="69" t="str" cm="1">
        <f t="array" ref="C17">INDEX(Listes!$Z$2:$Z$31,1+(ROW()-7)/31+INT((ROW()-7)/(31*30)))</f>
        <v>MAT1</v>
      </c>
      <c r="D17" s="69" t="str">
        <f>IFERROR(INDEX(Listes!Z:AA,MATCH(C17,Listes!Z:Z,0),2),"")</f>
        <v>Matricule 1</v>
      </c>
      <c r="E17" s="77" t="str">
        <f t="shared" ca="1" si="1"/>
        <v>juillet</v>
      </c>
      <c r="F17" s="120">
        <f t="shared" ca="1" si="14"/>
        <v>28</v>
      </c>
      <c r="G17" s="78" t="str">
        <f t="shared" ca="1" si="2"/>
        <v>jeudi</v>
      </c>
      <c r="H17" s="78">
        <f ca="1">IF(B17=1,VLOOKUP(_xlfn.SHEET(),Listes!$F:$H,3,0),IF(TEXT(H16+1,"mmmm")&lt;&gt;TEXT(H16,"mmmm"),"",H16+1))</f>
        <v>45484</v>
      </c>
      <c r="I17" s="37" t="s">
        <v>187</v>
      </c>
      <c r="J17" s="38">
        <f>IF(OR(I17=0,LEFT(I17,1)="A"),0,INDEX(Listes!Q:V,MATCH(I17,Listes!Q:Q,0),2))</f>
        <v>0.33333333333333331</v>
      </c>
      <c r="K17" s="38">
        <f>IF(OR(I17=0,LEFT(I17,1)="A"),0,INDEX(Listes!Q:V,MATCH(I17,Listes!Q:Q,0),3))</f>
        <v>0.5</v>
      </c>
      <c r="L17" s="37"/>
      <c r="M17" s="38">
        <f>IF(L17=0,0,IF(AND(LEFT(I17,1)="M",L17&lt;&gt;0),INDEX(Listes!J:O,MATCH(L17,Listes!J:J,1),3),IF(AND(LEFT(I17,1)="N",L17&lt;&gt;0),INDEX(Listes!J:O,MATCH(L17,Listes!J:J,1),3),IF(AND(LEFT(I17,1)="A",L17&lt;&gt;0),INDEX(Listes!J:O,MATCH(L17,Listes!J:J,1),3),IF(AND(LEFT(I17,1)="J",L17&lt;&gt;0),INDEX(Listes!J:O,MATCH(L17,Listes!J:J,1),3),IF(AND(LEFT(I17,1)="T",L17&lt;&gt;0),INDEX(Listes!J:O,MATCH(L17,Listes!J:J,1),3),"horaire"))))))</f>
        <v>0</v>
      </c>
      <c r="N17" s="38">
        <f>IFERROR(IF(M17="$horaire","à compléter",IF(AND(M17="$DEMI",INDEX(Listes!J:O,MATCH(L17,Listes!J:J,1),6)="oui"),(K17-J17),0)),0)</f>
        <v>0</v>
      </c>
      <c r="O17" s="40">
        <f>IF(OR(I17=0,LEFT(I17,1)="A"),0,INDEX(Listes!Q:V,MATCH(I17,Listes!Q:Q,0),4))</f>
        <v>0.5625</v>
      </c>
      <c r="P17" s="42">
        <f>IF(OR(I17=0,LEFT(I17,1)="A"),0,INDEX(Listes!Q:V,MATCH(I17,Listes!Q:Q,0),5))</f>
        <v>0.70833333333333337</v>
      </c>
      <c r="Q17" s="37"/>
      <c r="R17" s="38">
        <f>IF(Q17=0,0,IF(AND(LEFT(I17,1)="M",Q17&lt;&gt;0),INDEX(Listes!J:O,MATCH(Q17,Listes!J:J,1),3),IF(AND(LEFT(I17,1)="N",Q17&lt;&gt;0),INDEX(Listes!J:O,MATCH(Q17,Listes!J:J,1),3),IF(AND(LEFT(I17,1)="A",Q17&lt;&gt;0),INDEX(Listes!J:O,MATCH(Q17,Listes!J:J,1),3),IF(AND(LEFT(I17,1)="J",Q17&lt;&gt;0),INDEX(Listes!J:O,MATCH(Q17,Listes!J:J,1),3),IF(AND(LEFT(I17,1)="T",Q17&lt;&gt;0),INDEX(Listes!J:O,MATCH(Q17,Listes!J:J,1),3),"horaire"))))))</f>
        <v>0</v>
      </c>
      <c r="S17" s="38">
        <f>IFERROR(IF(R17="$horaire","à compléter",IF(AND(R17="$DEMI2",INDEX(Listes!J:O,MATCH(Q17,Listes!J:J,1),6)="oui"),(P17-O17),0)),0)</f>
        <v>0</v>
      </c>
      <c r="T17" s="37"/>
      <c r="U17" s="37">
        <f t="shared" si="3"/>
        <v>0</v>
      </c>
      <c r="V17" s="70">
        <f>IF(I17=0,0,INDEX(Listes!Q:V,MATCH(I17,Listes!Q:Q,1),6))</f>
        <v>7.5000000000000009</v>
      </c>
      <c r="W17" s="71">
        <f>IF(I17=0,0,IF(AND(LEFT(I17,1)="A",O17&lt;=P17),(P17-O17)*24,IF(J17&lt;=K17,(K17-J17)*24,((Listes!$H$21-J17)*24+(K17-Listes!$H$21)*24))+IF(O17&lt;=P17,(P17-O17)*24,(Listes!$H$21-O17)*24+(P17-Listes!$G$21)*24)))-X17+(U17*24)</f>
        <v>7.5000000000000009</v>
      </c>
      <c r="X17" s="70">
        <f>IFERROR(IF(IFERROR(INDEX(Listes!J:O,MATCH(L17,Listes!J:J,1),6),0)="oui",N17*24,0),0)+IFERROR(IF(IFERROR(INDEX(Listes!J:O,MATCH(Q17,Listes!J:J,1),6),0)="oui",S17*24,0),0)</f>
        <v>0</v>
      </c>
      <c r="Y17" s="70">
        <f t="shared" ca="1" si="21"/>
        <v>0</v>
      </c>
      <c r="Z17" s="71">
        <f t="shared" si="19"/>
        <v>1</v>
      </c>
      <c r="AA17" s="70">
        <f t="shared" si="6"/>
        <v>0</v>
      </c>
      <c r="AB17" s="70">
        <f>IF(I17=0,0,IF(AND(J17&gt;K17,J17&gt;=Listes!$G$22),MOD(MIN(K17,Listes!$H$22)-J17,1),IF(OR(J17&gt;K17,K17&gt;=Listes!$G$22),MOD(K17-Listes!$G$22,1),IF(K17&lt;=Listes!$H$22,MOD(K17-J17,1),IF(J17&lt;=Listes!$H$22,MOD(Listes!$H$22-J17,1),0))))+IF(AND(O17&gt;P17,O17&gt;=Listes!$G$22),MOD(MIN(P17,Listes!$H$22)-O17,1),IF(OR(O17&gt;P17,P17&gt;=Listes!$G$22),MOD(P17-Listes!$G$22,1),0)))*24</f>
        <v>0</v>
      </c>
      <c r="AC17" s="71">
        <f t="shared" ca="1" si="15"/>
        <v>0</v>
      </c>
      <c r="AD17" s="71">
        <f ca="1">IF(IFERROR(VLOOKUP(H17,Listes!$H$3:$H$20,1,0),0)&lt;&gt;0,W17,0)</f>
        <v>0</v>
      </c>
      <c r="AE17" s="71">
        <f t="shared" si="20"/>
        <v>0</v>
      </c>
      <c r="AF17" s="44"/>
      <c r="AG17" s="44"/>
      <c r="AH17" s="44"/>
      <c r="AI17" s="44"/>
      <c r="AJ17" s="44"/>
      <c r="AK17" s="44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79" t="str">
        <f t="shared" si="8"/>
        <v>MAT1</v>
      </c>
      <c r="BA17" s="80">
        <f t="shared" si="9"/>
        <v>0</v>
      </c>
      <c r="BB17" s="81">
        <f ca="1">JUIL!H17</f>
        <v>45484</v>
      </c>
      <c r="BC17" s="81">
        <f ca="1">JUIL!H17</f>
        <v>45484</v>
      </c>
      <c r="BD17" s="77" t="s">
        <v>81</v>
      </c>
      <c r="BE17" s="73" t="str">
        <f t="shared" si="10"/>
        <v>$jour</v>
      </c>
      <c r="BF17" s="71">
        <f t="shared" si="11"/>
        <v>0</v>
      </c>
      <c r="BG17" s="73"/>
      <c r="BH17" s="73"/>
      <c r="BI17" s="72" t="str">
        <f t="shared" si="16"/>
        <v>MAT1</v>
      </c>
      <c r="BL17" s="55" t="str" cm="1">
        <f t="array" ref="BL17">INDEX($5:$5,COLUMN($Z15)+B17-1)</f>
        <v>HG100</v>
      </c>
      <c r="BM17" s="55" cm="1">
        <f t="array" ref="BM17">IF(INDEX($4:$4,COLUMN($Z15)+B17-1)="Heures",SUMIF(C:C,BI17,AJ:AJ)*24,SUMIF(C:C,BI17,AJ:AJ))</f>
        <v>0</v>
      </c>
      <c r="BO17" s="55">
        <f t="shared" si="12"/>
        <v>0</v>
      </c>
      <c r="BS17" s="106">
        <f ca="1">VLOOKUP(_xlfn.SHEET(),Listes!$A:$B,2,0)</f>
        <v>45474</v>
      </c>
      <c r="BT17" s="106">
        <f t="shared" ca="1" si="17"/>
        <v>45474</v>
      </c>
      <c r="BU17" s="55">
        <f t="shared" si="13"/>
        <v>0</v>
      </c>
    </row>
    <row r="18" spans="1:73" ht="18" customHeight="1">
      <c r="A18" s="69" t="str">
        <f>Listes!$AD$2</f>
        <v>MANAGER</v>
      </c>
      <c r="B18" s="75">
        <f t="shared" si="18"/>
        <v>12</v>
      </c>
      <c r="C18" s="69" t="str" cm="1">
        <f t="array" ref="C18">INDEX(Listes!$Z$2:$Z$31,1+(ROW()-7)/31+INT((ROW()-7)/(31*30)))</f>
        <v>MAT1</v>
      </c>
      <c r="D18" s="69" t="str">
        <f>IFERROR(INDEX(Listes!Z:AA,MATCH(C18,Listes!Z:Z,0),2),"")</f>
        <v>Matricule 1</v>
      </c>
      <c r="E18" s="77" t="str">
        <f t="shared" ca="1" si="1"/>
        <v>juillet</v>
      </c>
      <c r="F18" s="120">
        <f t="shared" ca="1" si="14"/>
        <v>28</v>
      </c>
      <c r="G18" s="78" t="str">
        <f t="shared" ca="1" si="2"/>
        <v>vendredi</v>
      </c>
      <c r="H18" s="78">
        <f ca="1">IF(B18=1,VLOOKUP(_xlfn.SHEET(),Listes!$F:$H,3,0),IF(TEXT(H17+1,"mmmm")&lt;&gt;TEXT(H17,"mmmm"),"",H17+1))</f>
        <v>45485</v>
      </c>
      <c r="I18" s="37" t="s">
        <v>187</v>
      </c>
      <c r="J18" s="38">
        <f>IF(OR(I18=0,LEFT(I18,1)="A"),0,INDEX(Listes!Q:V,MATCH(I18,Listes!Q:Q,0),2))</f>
        <v>0.33333333333333331</v>
      </c>
      <c r="K18" s="38">
        <f>IF(OR(I18=0,LEFT(I18,1)="A"),0,INDEX(Listes!Q:V,MATCH(I18,Listes!Q:Q,0),3))</f>
        <v>0.5</v>
      </c>
      <c r="L18" s="37"/>
      <c r="M18" s="38">
        <f>IF(L18=0,0,IF(AND(LEFT(I18,1)="M",L18&lt;&gt;0),INDEX(Listes!J:O,MATCH(L18,Listes!J:J,1),3),IF(AND(LEFT(I18,1)="N",L18&lt;&gt;0),INDEX(Listes!J:O,MATCH(L18,Listes!J:J,1),3),IF(AND(LEFT(I18,1)="A",L18&lt;&gt;0),INDEX(Listes!J:O,MATCH(L18,Listes!J:J,1),3),IF(AND(LEFT(I18,1)="J",L18&lt;&gt;0),INDEX(Listes!J:O,MATCH(L18,Listes!J:J,1),3),IF(AND(LEFT(I18,1)="T",L18&lt;&gt;0),INDEX(Listes!J:O,MATCH(L18,Listes!J:J,1),3),"horaire"))))))</f>
        <v>0</v>
      </c>
      <c r="N18" s="38">
        <f>IFERROR(IF(M18="$horaire","à compléter",IF(AND(M18="$DEMI",INDEX(Listes!J:O,MATCH(L18,Listes!J:J,1),6)="oui"),(K18-J18),0)),0)</f>
        <v>0</v>
      </c>
      <c r="O18" s="40">
        <f>IF(OR(I18=0,LEFT(I18,1)="A"),0,INDEX(Listes!Q:V,MATCH(I18,Listes!Q:Q,0),4))</f>
        <v>0.5625</v>
      </c>
      <c r="P18" s="42">
        <f>IF(OR(I18=0,LEFT(I18,1)="A"),0,INDEX(Listes!Q:V,MATCH(I18,Listes!Q:Q,0),5))</f>
        <v>0.70833333333333337</v>
      </c>
      <c r="Q18" s="37"/>
      <c r="R18" s="38">
        <f>IF(Q18=0,0,IF(AND(LEFT(I18,1)="M",Q18&lt;&gt;0),INDEX(Listes!J:O,MATCH(Q18,Listes!J:J,1),3),IF(AND(LEFT(I18,1)="N",Q18&lt;&gt;0),INDEX(Listes!J:O,MATCH(Q18,Listes!J:J,1),3),IF(AND(LEFT(I18,1)="A",Q18&lt;&gt;0),INDEX(Listes!J:O,MATCH(Q18,Listes!J:J,1),3),IF(AND(LEFT(I18,1)="J",Q18&lt;&gt;0),INDEX(Listes!J:O,MATCH(Q18,Listes!J:J,1),3),IF(AND(LEFT(I18,1)="T",Q18&lt;&gt;0),INDEX(Listes!J:O,MATCH(Q18,Listes!J:J,1),3),"horaire"))))))</f>
        <v>0</v>
      </c>
      <c r="S18" s="38">
        <f>IFERROR(IF(R18="$horaire","à compléter",IF(AND(R18="$DEMI2",INDEX(Listes!J:O,MATCH(Q18,Listes!J:J,1),6)="oui"),(P18-O18),0)),0)</f>
        <v>0</v>
      </c>
      <c r="T18" s="37"/>
      <c r="U18" s="37">
        <f t="shared" si="3"/>
        <v>0</v>
      </c>
      <c r="V18" s="70">
        <f>IF(I18=0,0,INDEX(Listes!Q:V,MATCH(I18,Listes!Q:Q,1),6))</f>
        <v>7.5000000000000009</v>
      </c>
      <c r="W18" s="71">
        <f>IF(I18=0,0,IF(AND(LEFT(I18,1)="A",O18&lt;=P18),(P18-O18)*24,IF(J18&lt;=K18,(K18-J18)*24,((Listes!$H$21-J18)*24+(K18-Listes!$H$21)*24))+IF(O18&lt;=P18,(P18-O18)*24,(Listes!$H$21-O18)*24+(P18-Listes!$G$21)*24)))-X18+(U18*24)</f>
        <v>7.5000000000000009</v>
      </c>
      <c r="X18" s="70">
        <f>IFERROR(IF(IFERROR(INDEX(Listes!J:O,MATCH(L18,Listes!J:J,1),6),0)="oui",N18*24,0),0)+IFERROR(IF(IFERROR(INDEX(Listes!J:O,MATCH(Q18,Listes!J:J,1),6),0)="oui",S18*24,0),0)</f>
        <v>0</v>
      </c>
      <c r="Y18" s="70">
        <f t="shared" ca="1" si="21"/>
        <v>0</v>
      </c>
      <c r="Z18" s="71">
        <f t="shared" si="19"/>
        <v>1</v>
      </c>
      <c r="AA18" s="70">
        <f t="shared" si="6"/>
        <v>0</v>
      </c>
      <c r="AB18" s="70">
        <f>IF(I18=0,0,IF(AND(J18&gt;K18,J18&gt;=Listes!$G$22),MOD(MIN(K18,Listes!$H$22)-J18,1),IF(OR(J18&gt;K18,K18&gt;=Listes!$G$22),MOD(K18-Listes!$G$22,1),IF(K18&lt;=Listes!$H$22,MOD(K18-J18,1),IF(J18&lt;=Listes!$H$22,MOD(Listes!$H$22-J18,1),0))))+IF(AND(O18&gt;P18,O18&gt;=Listes!$G$22),MOD(MIN(P18,Listes!$H$22)-O18,1),IF(OR(O18&gt;P18,P18&gt;=Listes!$G$22),MOD(P18-Listes!$G$22,1),0)))*24</f>
        <v>0</v>
      </c>
      <c r="AC18" s="71">
        <f t="shared" ca="1" si="15"/>
        <v>0</v>
      </c>
      <c r="AD18" s="71">
        <f ca="1">IF(IFERROR(VLOOKUP(H18,Listes!$H$3:$H$20,1,0),0)&lt;&gt;0,W18,0)</f>
        <v>0</v>
      </c>
      <c r="AE18" s="71">
        <f t="shared" si="20"/>
        <v>0</v>
      </c>
      <c r="AF18" s="44"/>
      <c r="AG18" s="44"/>
      <c r="AH18" s="44"/>
      <c r="AI18" s="44"/>
      <c r="AJ18" s="44"/>
      <c r="AK18" s="44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79" t="str">
        <f t="shared" si="8"/>
        <v>MAT1</v>
      </c>
      <c r="BA18" s="80">
        <f t="shared" si="9"/>
        <v>0</v>
      </c>
      <c r="BB18" s="81">
        <f ca="1">JUIL!H18</f>
        <v>45485</v>
      </c>
      <c r="BC18" s="81">
        <f ca="1">JUIL!H18</f>
        <v>45485</v>
      </c>
      <c r="BD18" s="77" t="s">
        <v>81</v>
      </c>
      <c r="BE18" s="73" t="str">
        <f t="shared" si="10"/>
        <v>$jour</v>
      </c>
      <c r="BF18" s="71">
        <f t="shared" si="11"/>
        <v>0</v>
      </c>
      <c r="BG18" s="73"/>
      <c r="BH18" s="73"/>
      <c r="BI18" s="72" t="str">
        <f t="shared" si="16"/>
        <v>MAT1</v>
      </c>
      <c r="BL18" s="55" t="str" cm="1">
        <f t="array" ref="BL18">INDEX($5:$5,COLUMN($Z16)+B18-1)</f>
        <v>HG150</v>
      </c>
      <c r="BM18" s="55" cm="1">
        <f t="array" ref="BM18">IF(INDEX($4:$4,COLUMN($Z16)+B18-1)="Heures",SUMIF(C:C,BI18,AK:AK)*24,SUMIF(C:C,BI18,AK:AK))</f>
        <v>0</v>
      </c>
      <c r="BO18" s="55">
        <f t="shared" si="12"/>
        <v>0</v>
      </c>
      <c r="BS18" s="106">
        <f ca="1">VLOOKUP(_xlfn.SHEET(),Listes!$A:$B,2,0)</f>
        <v>45474</v>
      </c>
      <c r="BT18" s="106">
        <f t="shared" ca="1" si="17"/>
        <v>45474</v>
      </c>
      <c r="BU18" s="55">
        <f t="shared" si="13"/>
        <v>0</v>
      </c>
    </row>
    <row r="19" spans="1:73" ht="18" customHeight="1">
      <c r="A19" s="69" t="str">
        <f>Listes!$AD$2</f>
        <v>MANAGER</v>
      </c>
      <c r="B19" s="75">
        <f t="shared" si="18"/>
        <v>13</v>
      </c>
      <c r="C19" s="69" t="str" cm="1">
        <f t="array" ref="C19">INDEX(Listes!$Z$2:$Z$31,1+(ROW()-7)/31+INT((ROW()-7)/(31*30)))</f>
        <v>MAT1</v>
      </c>
      <c r="D19" s="69" t="str">
        <f>IFERROR(INDEX(Listes!Z:AA,MATCH(C19,Listes!Z:Z,0),2),"")</f>
        <v>Matricule 1</v>
      </c>
      <c r="E19" s="77" t="str">
        <f t="shared" ca="1" si="1"/>
        <v>juillet</v>
      </c>
      <c r="F19" s="120">
        <f t="shared" ca="1" si="14"/>
        <v>28</v>
      </c>
      <c r="G19" s="78" t="str">
        <f t="shared" ca="1" si="2"/>
        <v>samedi</v>
      </c>
      <c r="H19" s="78">
        <f ca="1">IF(B19=1,VLOOKUP(_xlfn.SHEET(),Listes!$F:$H,3,0),IF(TEXT(H18+1,"mmmm")&lt;&gt;TEXT(H18,"mmmm"),"",H18+1))</f>
        <v>45486</v>
      </c>
      <c r="I19" s="37" t="s">
        <v>187</v>
      </c>
      <c r="J19" s="38">
        <f>IF(OR(I19=0,LEFT(I19,1)="A"),0,INDEX(Listes!Q:V,MATCH(I19,Listes!Q:Q,0),2))</f>
        <v>0.33333333333333331</v>
      </c>
      <c r="K19" s="38">
        <f>IF(OR(I19=0,LEFT(I19,1)="A"),0,INDEX(Listes!Q:V,MATCH(I19,Listes!Q:Q,0),3))</f>
        <v>0.5</v>
      </c>
      <c r="L19" s="37"/>
      <c r="M19" s="38">
        <f>IF(L19=0,0,IF(AND(LEFT(I19,1)="M",L19&lt;&gt;0),INDEX(Listes!J:O,MATCH(L19,Listes!J:J,1),3),IF(AND(LEFT(I19,1)="N",L19&lt;&gt;0),INDEX(Listes!J:O,MATCH(L19,Listes!J:J,1),3),IF(AND(LEFT(I19,1)="A",L19&lt;&gt;0),INDEX(Listes!J:O,MATCH(L19,Listes!J:J,1),3),IF(AND(LEFT(I19,1)="J",L19&lt;&gt;0),INDEX(Listes!J:O,MATCH(L19,Listes!J:J,1),3),IF(AND(LEFT(I19,1)="T",L19&lt;&gt;0),INDEX(Listes!J:O,MATCH(L19,Listes!J:J,1),3),"horaire"))))))</f>
        <v>0</v>
      </c>
      <c r="N19" s="38">
        <f>IFERROR(IF(M19="$horaire","à compléter",IF(AND(M19="$DEMI",INDEX(Listes!J:O,MATCH(L19,Listes!J:J,1),6)="oui"),(K19-J19),0)),0)</f>
        <v>0</v>
      </c>
      <c r="O19" s="40">
        <f>IF(OR(I19=0,LEFT(I19,1)="A"),0,INDEX(Listes!Q:V,MATCH(I19,Listes!Q:Q,0),4))</f>
        <v>0.5625</v>
      </c>
      <c r="P19" s="42">
        <f>IF(OR(I19=0,LEFT(I19,1)="A"),0,INDEX(Listes!Q:V,MATCH(I19,Listes!Q:Q,0),5))</f>
        <v>0.70833333333333337</v>
      </c>
      <c r="Q19" s="37"/>
      <c r="R19" s="38">
        <f>IF(Q19=0,0,IF(AND(LEFT(I19,1)="M",Q19&lt;&gt;0),INDEX(Listes!J:O,MATCH(Q19,Listes!J:J,1),3),IF(AND(LEFT(I19,1)="N",Q19&lt;&gt;0),INDEX(Listes!J:O,MATCH(Q19,Listes!J:J,1),3),IF(AND(LEFT(I19,1)="A",Q19&lt;&gt;0),INDEX(Listes!J:O,MATCH(Q19,Listes!J:J,1),3),IF(AND(LEFT(I19,1)="J",Q19&lt;&gt;0),INDEX(Listes!J:O,MATCH(Q19,Listes!J:J,1),3),IF(AND(LEFT(I19,1)="T",Q19&lt;&gt;0),INDEX(Listes!J:O,MATCH(Q19,Listes!J:J,1),3),"horaire"))))))</f>
        <v>0</v>
      </c>
      <c r="S19" s="38">
        <f>IFERROR(IF(R19="$horaire","à compléter",IF(AND(R19="$DEMI2",INDEX(Listes!J:O,MATCH(Q19,Listes!J:J,1),6)="oui"),(P19-O19),0)),0)</f>
        <v>0</v>
      </c>
      <c r="T19" s="37"/>
      <c r="U19" s="37">
        <f t="shared" si="3"/>
        <v>0</v>
      </c>
      <c r="V19" s="70">
        <f>IF(I19=0,0,INDEX(Listes!Q:V,MATCH(I19,Listes!Q:Q,1),6))</f>
        <v>7.5000000000000009</v>
      </c>
      <c r="W19" s="71">
        <f>IF(I19=0,0,IF(AND(LEFT(I19,1)="A",O19&lt;=P19),(P19-O19)*24,IF(J19&lt;=K19,(K19-J19)*24,((Listes!$H$21-J19)*24+(K19-Listes!$H$21)*24))+IF(O19&lt;=P19,(P19-O19)*24,(Listes!$H$21-O19)*24+(P19-Listes!$G$21)*24)))-X19+(U19*24)</f>
        <v>7.5000000000000009</v>
      </c>
      <c r="X19" s="70">
        <f>IFERROR(IF(IFERROR(INDEX(Listes!J:O,MATCH(L19,Listes!J:J,1),6),0)="oui",N19*24,0),0)+IFERROR(IF(IFERROR(INDEX(Listes!J:O,MATCH(Q19,Listes!J:J,1),6),0)="oui",S19*24,0),0)</f>
        <v>0</v>
      </c>
      <c r="Y19" s="70">
        <f t="shared" ca="1" si="21"/>
        <v>7.5000000000000009</v>
      </c>
      <c r="Z19" s="71">
        <f t="shared" si="19"/>
        <v>1</v>
      </c>
      <c r="AA19" s="70">
        <f t="shared" si="6"/>
        <v>0</v>
      </c>
      <c r="AB19" s="70">
        <f>IF(I19=0,0,IF(AND(J19&gt;K19,J19&gt;=Listes!$G$22),MOD(MIN(K19,Listes!$H$22)-J19,1),IF(OR(J19&gt;K19,K19&gt;=Listes!$G$22),MOD(K19-Listes!$G$22,1),IF(K19&lt;=Listes!$H$22,MOD(K19-J19,1),IF(J19&lt;=Listes!$H$22,MOD(Listes!$H$22-J19,1),0))))+IF(AND(O19&gt;P19,O19&gt;=Listes!$G$22),MOD(MIN(P19,Listes!$H$22)-O19,1),IF(OR(O19&gt;P19,P19&gt;=Listes!$G$22),MOD(P19-Listes!$G$22,1),0)))*24</f>
        <v>0</v>
      </c>
      <c r="AC19" s="71">
        <f t="shared" ca="1" si="15"/>
        <v>0</v>
      </c>
      <c r="AD19" s="71">
        <f ca="1">IF(IFERROR(VLOOKUP(H19,Listes!$H$3:$H$20,1,0),0)&lt;&gt;0,W19,0)</f>
        <v>0</v>
      </c>
      <c r="AE19" s="71">
        <f t="shared" si="20"/>
        <v>0</v>
      </c>
      <c r="AF19" s="44"/>
      <c r="AG19" s="44"/>
      <c r="AH19" s="44"/>
      <c r="AI19" s="44"/>
      <c r="AJ19" s="44"/>
      <c r="AK19" s="44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79" t="str">
        <f t="shared" si="8"/>
        <v>MAT1</v>
      </c>
      <c r="BA19" s="80">
        <f t="shared" si="9"/>
        <v>0</v>
      </c>
      <c r="BB19" s="81">
        <f ca="1">JUIL!H19</f>
        <v>45486</v>
      </c>
      <c r="BC19" s="81">
        <f ca="1">JUIL!H19</f>
        <v>45486</v>
      </c>
      <c r="BD19" s="77" t="s">
        <v>81</v>
      </c>
      <c r="BE19" s="73" t="str">
        <f t="shared" si="10"/>
        <v>$jour</v>
      </c>
      <c r="BF19" s="71">
        <f t="shared" si="11"/>
        <v>0</v>
      </c>
      <c r="BG19" s="73"/>
      <c r="BH19" s="73"/>
      <c r="BI19" s="72" t="str">
        <f t="shared" si="16"/>
        <v>MAT1</v>
      </c>
      <c r="BL19" s="55" cm="1">
        <f t="array" ref="BL19">INDEX($5:$5,COLUMN($Z17)+B19-1)</f>
        <v>3</v>
      </c>
      <c r="BM19" s="55" cm="1">
        <f t="array" ref="BM19">IF(INDEX($4:$4,COLUMN($Z17)+B19-1)="Heures",SUMIF(C:C,BI19,AL:AL)*24,SUMIF(C:C,BI19,AL:AL))</f>
        <v>0</v>
      </c>
      <c r="BO19" s="55">
        <f t="shared" si="12"/>
        <v>0</v>
      </c>
      <c r="BS19" s="106">
        <f ca="1">VLOOKUP(_xlfn.SHEET(),Listes!$A:$B,2,0)</f>
        <v>45474</v>
      </c>
      <c r="BT19" s="106">
        <f t="shared" ca="1" si="17"/>
        <v>45474</v>
      </c>
      <c r="BU19" s="55">
        <f t="shared" si="13"/>
        <v>0</v>
      </c>
    </row>
    <row r="20" spans="1:73" ht="18" customHeight="1">
      <c r="A20" s="69" t="str">
        <f>Listes!$AD$2</f>
        <v>MANAGER</v>
      </c>
      <c r="B20" s="75">
        <f t="shared" si="18"/>
        <v>14</v>
      </c>
      <c r="C20" s="69" t="str" cm="1">
        <f t="array" ref="C20">INDEX(Listes!$Z$2:$Z$31,1+(ROW()-7)/31+INT((ROW()-7)/(31*30)))</f>
        <v>MAT1</v>
      </c>
      <c r="D20" s="69" t="str">
        <f>IFERROR(INDEX(Listes!Z:AA,MATCH(C20,Listes!Z:Z,0),2),"")</f>
        <v>Matricule 1</v>
      </c>
      <c r="E20" s="77" t="str">
        <f t="shared" ca="1" si="1"/>
        <v>juillet</v>
      </c>
      <c r="F20" s="120">
        <f t="shared" ca="1" si="14"/>
        <v>28</v>
      </c>
      <c r="G20" s="78" t="str">
        <f t="shared" ca="1" si="2"/>
        <v>dimanche</v>
      </c>
      <c r="H20" s="78">
        <f ca="1">IF(B20=1,VLOOKUP(_xlfn.SHEET(),Listes!$F:$H,3,0),IF(TEXT(H19+1,"mmmm")&lt;&gt;TEXT(H19,"mmmm"),"",H19+1))</f>
        <v>45487</v>
      </c>
      <c r="I20" s="37" t="s">
        <v>187</v>
      </c>
      <c r="J20" s="38">
        <f>IF(OR(I20=0,LEFT(I20,1)="A"),0,INDEX(Listes!Q:V,MATCH(I20,Listes!Q:Q,0),2))</f>
        <v>0.33333333333333331</v>
      </c>
      <c r="K20" s="38">
        <f>IF(OR(I20=0,LEFT(I20,1)="A"),0,INDEX(Listes!Q:V,MATCH(I20,Listes!Q:Q,0),3))</f>
        <v>0.5</v>
      </c>
      <c r="L20" s="37"/>
      <c r="M20" s="38">
        <f>IF(L20=0,0,IF(AND(LEFT(I20,1)="M",L20&lt;&gt;0),INDEX(Listes!J:O,MATCH(L20,Listes!J:J,1),3),IF(AND(LEFT(I20,1)="N",L20&lt;&gt;0),INDEX(Listes!J:O,MATCH(L20,Listes!J:J,1),3),IF(AND(LEFT(I20,1)="A",L20&lt;&gt;0),INDEX(Listes!J:O,MATCH(L20,Listes!J:J,1),3),IF(AND(LEFT(I20,1)="J",L20&lt;&gt;0),INDEX(Listes!J:O,MATCH(L20,Listes!J:J,1),3),IF(AND(LEFT(I20,1)="T",L20&lt;&gt;0),INDEX(Listes!J:O,MATCH(L20,Listes!J:J,1),3),"horaire"))))))</f>
        <v>0</v>
      </c>
      <c r="N20" s="38">
        <f>IFERROR(IF(M20="$horaire","à compléter",IF(AND(M20="$DEMI",INDEX(Listes!J:O,MATCH(L20,Listes!J:J,1),6)="oui"),(K20-J20),0)),0)</f>
        <v>0</v>
      </c>
      <c r="O20" s="40">
        <f>IF(OR(I20=0,LEFT(I20,1)="A"),0,INDEX(Listes!Q:V,MATCH(I20,Listes!Q:Q,0),4))</f>
        <v>0.5625</v>
      </c>
      <c r="P20" s="42">
        <f>IF(OR(I20=0,LEFT(I20,1)="A"),0,INDEX(Listes!Q:V,MATCH(I20,Listes!Q:Q,0),5))</f>
        <v>0.70833333333333337</v>
      </c>
      <c r="Q20" s="37"/>
      <c r="R20" s="38">
        <f>IF(Q20=0,0,IF(AND(LEFT(I20,1)="M",Q20&lt;&gt;0),INDEX(Listes!J:O,MATCH(Q20,Listes!J:J,1),3),IF(AND(LEFT(I20,1)="N",Q20&lt;&gt;0),INDEX(Listes!J:O,MATCH(Q20,Listes!J:J,1),3),IF(AND(LEFT(I20,1)="A",Q20&lt;&gt;0),INDEX(Listes!J:O,MATCH(Q20,Listes!J:J,1),3),IF(AND(LEFT(I20,1)="J",Q20&lt;&gt;0),INDEX(Listes!J:O,MATCH(Q20,Listes!J:J,1),3),IF(AND(LEFT(I20,1)="T",Q20&lt;&gt;0),INDEX(Listes!J:O,MATCH(Q20,Listes!J:J,1),3),"horaire"))))))</f>
        <v>0</v>
      </c>
      <c r="S20" s="38">
        <f>IFERROR(IF(R20="$horaire","à compléter",IF(AND(R20="$DEMI2",INDEX(Listes!J:O,MATCH(Q20,Listes!J:J,1),6)="oui"),(P20-O20),0)),0)</f>
        <v>0</v>
      </c>
      <c r="T20" s="37"/>
      <c r="U20" s="37">
        <f t="shared" si="3"/>
        <v>0</v>
      </c>
      <c r="V20" s="70">
        <f>IF(I20=0,0,INDEX(Listes!Q:V,MATCH(I20,Listes!Q:Q,1),6))</f>
        <v>7.5000000000000009</v>
      </c>
      <c r="W20" s="71">
        <f>IF(I20=0,0,IF(AND(LEFT(I20,1)="A",O20&lt;=P20),(P20-O20)*24,IF(J20&lt;=K20,(K20-J20)*24,((Listes!$H$21-J20)*24+(K20-Listes!$H$21)*24))+IF(O20&lt;=P20,(P20-O20)*24,(Listes!$H$21-O20)*24+(P20-Listes!$G$21)*24)))-X20+(U20*24)</f>
        <v>7.5000000000000009</v>
      </c>
      <c r="X20" s="70">
        <f>IFERROR(IF(IFERROR(INDEX(Listes!J:O,MATCH(L20,Listes!J:J,1),6),0)="oui",N20*24,0),0)+IFERROR(IF(IFERROR(INDEX(Listes!J:O,MATCH(Q20,Listes!J:J,1),6),0)="oui",S20*24,0),0)</f>
        <v>0</v>
      </c>
      <c r="Y20" s="70">
        <f t="shared" ca="1" si="21"/>
        <v>7.5000000000000009</v>
      </c>
      <c r="Z20" s="71">
        <f t="shared" si="19"/>
        <v>1</v>
      </c>
      <c r="AA20" s="70">
        <f t="shared" si="6"/>
        <v>0</v>
      </c>
      <c r="AB20" s="70">
        <f>IF(I20=0,0,IF(AND(J20&gt;K20,J20&gt;=Listes!$G$22),MOD(MIN(K20,Listes!$H$22)-J20,1),IF(OR(J20&gt;K20,K20&gt;=Listes!$G$22),MOD(K20-Listes!$G$22,1),IF(K20&lt;=Listes!$H$22,MOD(K20-J20,1),IF(J20&lt;=Listes!$H$22,MOD(Listes!$H$22-J20,1),0))))+IF(AND(O20&gt;P20,O20&gt;=Listes!$G$22),MOD(MIN(P20,Listes!$H$22)-O20,1),IF(OR(O20&gt;P20,P20&gt;=Listes!$G$22),MOD(P20-Listes!$G$22,1),0)))*24</f>
        <v>0</v>
      </c>
      <c r="AC20" s="71">
        <f t="shared" ca="1" si="15"/>
        <v>7.5000000000000009</v>
      </c>
      <c r="AD20" s="71">
        <f ca="1">IF(IFERROR(VLOOKUP(H20,Listes!$H$3:$H$20,1,0),0)&lt;&gt;0,W20,0)</f>
        <v>7.5000000000000009</v>
      </c>
      <c r="AE20" s="71">
        <f t="shared" si="20"/>
        <v>0</v>
      </c>
      <c r="AF20" s="44"/>
      <c r="AG20" s="44"/>
      <c r="AH20" s="44"/>
      <c r="AI20" s="44"/>
      <c r="AJ20" s="44"/>
      <c r="AK20" s="44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79" t="str">
        <f t="shared" si="8"/>
        <v>MAT1</v>
      </c>
      <c r="BA20" s="80">
        <f t="shared" si="9"/>
        <v>0</v>
      </c>
      <c r="BB20" s="81">
        <f ca="1">JUIL!H20</f>
        <v>45487</v>
      </c>
      <c r="BC20" s="81">
        <f ca="1">JUIL!H20</f>
        <v>45487</v>
      </c>
      <c r="BD20" s="77" t="s">
        <v>81</v>
      </c>
      <c r="BE20" s="73" t="str">
        <f t="shared" si="10"/>
        <v>$jour</v>
      </c>
      <c r="BF20" s="71">
        <f t="shared" si="11"/>
        <v>0</v>
      </c>
      <c r="BG20" s="73"/>
      <c r="BH20" s="73"/>
      <c r="BI20" s="72" t="str">
        <f t="shared" si="16"/>
        <v>MAT1</v>
      </c>
      <c r="BL20" s="55" cm="1">
        <f t="array" ref="BL20">INDEX($5:$5,COLUMN($Z18)+B20-1)</f>
        <v>4</v>
      </c>
      <c r="BM20" s="55" cm="1">
        <f t="array" ref="BM20">IF(INDEX($4:$4,COLUMN($Z18)+B20-1)="Heures",SUMIF(C:C,BI20,AM:AM)*24,SUMIF(C:C,BI20,AM:AM))</f>
        <v>0</v>
      </c>
      <c r="BO20" s="55">
        <f t="shared" si="12"/>
        <v>0</v>
      </c>
      <c r="BS20" s="106">
        <f ca="1">VLOOKUP(_xlfn.SHEET(),Listes!$A:$B,2,0)</f>
        <v>45474</v>
      </c>
      <c r="BT20" s="106">
        <f t="shared" ca="1" si="17"/>
        <v>45474</v>
      </c>
      <c r="BU20" s="55">
        <f t="shared" si="13"/>
        <v>0</v>
      </c>
    </row>
    <row r="21" spans="1:73" ht="18" customHeight="1">
      <c r="A21" s="69" t="str">
        <f>Listes!$AD$2</f>
        <v>MANAGER</v>
      </c>
      <c r="B21" s="75">
        <f t="shared" si="18"/>
        <v>15</v>
      </c>
      <c r="C21" s="69" t="str" cm="1">
        <f t="array" ref="C21">INDEX(Listes!$Z$2:$Z$31,1+(ROW()-7)/31+INT((ROW()-7)/(31*30)))</f>
        <v>MAT1</v>
      </c>
      <c r="D21" s="69" t="str">
        <f>IFERROR(INDEX(Listes!Z:AA,MATCH(C21,Listes!Z:Z,0),2),"")</f>
        <v>Matricule 1</v>
      </c>
      <c r="E21" s="77" t="str">
        <f t="shared" ca="1" si="1"/>
        <v>juillet</v>
      </c>
      <c r="F21" s="120">
        <f t="shared" ca="1" si="14"/>
        <v>29</v>
      </c>
      <c r="G21" s="78" t="str">
        <f t="shared" ca="1" si="2"/>
        <v>lundi</v>
      </c>
      <c r="H21" s="78">
        <f ca="1">IF(B21=1,VLOOKUP(_xlfn.SHEET(),Listes!$F:$H,3,0),IF(TEXT(H20+1,"mmmm")&lt;&gt;TEXT(H20,"mmmm"),"",H20+1))</f>
        <v>45488</v>
      </c>
      <c r="I21" s="37" t="s">
        <v>187</v>
      </c>
      <c r="J21" s="38">
        <f>IF(OR(I21=0,LEFT(I21,1)="A"),0,INDEX(Listes!Q:V,MATCH(I21,Listes!Q:Q,0),2))</f>
        <v>0.33333333333333331</v>
      </c>
      <c r="K21" s="38">
        <f>IF(OR(I21=0,LEFT(I21,1)="A"),0,INDEX(Listes!Q:V,MATCH(I21,Listes!Q:Q,0),3))</f>
        <v>0.5</v>
      </c>
      <c r="L21" s="37"/>
      <c r="M21" s="38">
        <f>IF(L21=0,0,IF(AND(LEFT(I21,1)="M",L21&lt;&gt;0),INDEX(Listes!J:O,MATCH(L21,Listes!J:J,1),3),IF(AND(LEFT(I21,1)="N",L21&lt;&gt;0),INDEX(Listes!J:O,MATCH(L21,Listes!J:J,1),3),IF(AND(LEFT(I21,1)="A",L21&lt;&gt;0),INDEX(Listes!J:O,MATCH(L21,Listes!J:J,1),3),IF(AND(LEFT(I21,1)="J",L21&lt;&gt;0),INDEX(Listes!J:O,MATCH(L21,Listes!J:J,1),3),IF(AND(LEFT(I21,1)="T",L21&lt;&gt;0),INDEX(Listes!J:O,MATCH(L21,Listes!J:J,1),3),"horaire"))))))</f>
        <v>0</v>
      </c>
      <c r="N21" s="38">
        <f>IFERROR(IF(M21="$horaire","à compléter",IF(AND(M21="$DEMI",INDEX(Listes!J:O,MATCH(L21,Listes!J:J,1),6)="oui"),(K21-J21),0)),0)</f>
        <v>0</v>
      </c>
      <c r="O21" s="40">
        <f>IF(OR(I21=0,LEFT(I21,1)="A"),0,INDEX(Listes!Q:V,MATCH(I21,Listes!Q:Q,0),4))</f>
        <v>0.5625</v>
      </c>
      <c r="P21" s="42">
        <f>IF(OR(I21=0,LEFT(I21,1)="A"),0,INDEX(Listes!Q:V,MATCH(I21,Listes!Q:Q,0),5))</f>
        <v>0.70833333333333337</v>
      </c>
      <c r="Q21" s="37"/>
      <c r="R21" s="38">
        <f>IF(Q21=0,0,IF(AND(LEFT(I21,1)="M",Q21&lt;&gt;0),INDEX(Listes!J:O,MATCH(Q21,Listes!J:J,1),3),IF(AND(LEFT(I21,1)="N",Q21&lt;&gt;0),INDEX(Listes!J:O,MATCH(Q21,Listes!J:J,1),3),IF(AND(LEFT(I21,1)="A",Q21&lt;&gt;0),INDEX(Listes!J:O,MATCH(Q21,Listes!J:J,1),3),IF(AND(LEFT(I21,1)="J",Q21&lt;&gt;0),INDEX(Listes!J:O,MATCH(Q21,Listes!J:J,1),3),IF(AND(LEFT(I21,1)="T",Q21&lt;&gt;0),INDEX(Listes!J:O,MATCH(Q21,Listes!J:J,1),3),"horaire"))))))</f>
        <v>0</v>
      </c>
      <c r="S21" s="38">
        <f>IFERROR(IF(R21="$horaire","à compléter",IF(AND(R21="$DEMI2",INDEX(Listes!J:O,MATCH(Q21,Listes!J:J,1),6)="oui"),(P21-O21),0)),0)</f>
        <v>0</v>
      </c>
      <c r="T21" s="37"/>
      <c r="U21" s="37">
        <f t="shared" si="3"/>
        <v>0</v>
      </c>
      <c r="V21" s="70">
        <f>IF(I21=0,0,INDEX(Listes!Q:V,MATCH(I21,Listes!Q:Q,1),6))</f>
        <v>7.5000000000000009</v>
      </c>
      <c r="W21" s="71">
        <f>IF(I21=0,0,IF(AND(LEFT(I21,1)="A",O21&lt;=P21),(P21-O21)*24,IF(J21&lt;=K21,(K21-J21)*24,((Listes!$H$21-J21)*24+(K21-Listes!$H$21)*24))+IF(O21&lt;=P21,(P21-O21)*24,(Listes!$H$21-O21)*24+(P21-Listes!$G$21)*24)))-X21+(U21*24)</f>
        <v>7.5000000000000009</v>
      </c>
      <c r="X21" s="70">
        <f>IFERROR(IF(IFERROR(INDEX(Listes!J:O,MATCH(L21,Listes!J:J,1),6),0)="oui",N21*24,0),0)+IFERROR(IF(IFERROR(INDEX(Listes!J:O,MATCH(Q21,Listes!J:J,1),6),0)="oui",S21*24,0),0)</f>
        <v>0</v>
      </c>
      <c r="Y21" s="70">
        <f t="shared" ca="1" si="21"/>
        <v>0</v>
      </c>
      <c r="Z21" s="71">
        <f t="shared" si="19"/>
        <v>1</v>
      </c>
      <c r="AA21" s="70">
        <f t="shared" si="6"/>
        <v>0</v>
      </c>
      <c r="AB21" s="70">
        <f>IF(I21=0,0,IF(AND(J21&gt;K21,J21&gt;=Listes!$G$22),MOD(MIN(K21,Listes!$H$22)-J21,1),IF(OR(J21&gt;K21,K21&gt;=Listes!$G$22),MOD(K21-Listes!$G$22,1),IF(K21&lt;=Listes!$H$22,MOD(K21-J21,1),IF(J21&lt;=Listes!$H$22,MOD(Listes!$H$22-J21,1),0))))+IF(AND(O21&gt;P21,O21&gt;=Listes!$G$22),MOD(MIN(P21,Listes!$H$22)-O21,1),IF(OR(O21&gt;P21,P21&gt;=Listes!$G$22),MOD(P21-Listes!$G$22,1),0)))*24</f>
        <v>0</v>
      </c>
      <c r="AC21" s="71">
        <f t="shared" ca="1" si="15"/>
        <v>0</v>
      </c>
      <c r="AD21" s="71">
        <f ca="1">IF(IFERROR(VLOOKUP(H21,Listes!$H$3:$H$20,1,0),0)&lt;&gt;0,W21,0)</f>
        <v>0</v>
      </c>
      <c r="AE21" s="71">
        <f t="shared" si="20"/>
        <v>0</v>
      </c>
      <c r="AF21" s="44"/>
      <c r="AG21" s="44"/>
      <c r="AH21" s="44"/>
      <c r="AI21" s="44"/>
      <c r="AJ21" s="44"/>
      <c r="AK21" s="44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79" t="str">
        <f t="shared" si="8"/>
        <v>MAT1</v>
      </c>
      <c r="BA21" s="80">
        <f t="shared" si="9"/>
        <v>0</v>
      </c>
      <c r="BB21" s="81">
        <f ca="1">JUIL!H21</f>
        <v>45488</v>
      </c>
      <c r="BC21" s="81">
        <f ca="1">JUIL!H21</f>
        <v>45488</v>
      </c>
      <c r="BD21" s="77" t="s">
        <v>81</v>
      </c>
      <c r="BE21" s="73" t="str">
        <f t="shared" si="10"/>
        <v>$jour</v>
      </c>
      <c r="BF21" s="71">
        <f t="shared" si="11"/>
        <v>0</v>
      </c>
      <c r="BG21" s="73"/>
      <c r="BH21" s="73"/>
      <c r="BI21" s="72" t="str">
        <f t="shared" si="16"/>
        <v>MAT1</v>
      </c>
      <c r="BL21" s="55" cm="1">
        <f t="array" ref="BL21">INDEX($5:$5,COLUMN($Z19)+B21-1)</f>
        <v>5</v>
      </c>
      <c r="BM21" s="55" cm="1">
        <f t="array" ref="BM21">IF(INDEX($4:$4,COLUMN($Z19)+B21-1)="Heures",SUMIF(C:C,BI21,AN:AN)*24,SUMIF(C:C,BI21,AN:AN))</f>
        <v>0</v>
      </c>
      <c r="BO21" s="55">
        <f t="shared" si="12"/>
        <v>0</v>
      </c>
      <c r="BS21" s="106">
        <f ca="1">VLOOKUP(_xlfn.SHEET(),Listes!$A:$B,2,0)</f>
        <v>45474</v>
      </c>
      <c r="BT21" s="106">
        <f t="shared" ca="1" si="17"/>
        <v>45474</v>
      </c>
      <c r="BU21" s="55">
        <f t="shared" si="13"/>
        <v>0</v>
      </c>
    </row>
    <row r="22" spans="1:73" ht="18" customHeight="1">
      <c r="A22" s="69" t="str">
        <f>Listes!$AD$2</f>
        <v>MANAGER</v>
      </c>
      <c r="B22" s="75">
        <f t="shared" si="18"/>
        <v>16</v>
      </c>
      <c r="C22" s="69" t="str" cm="1">
        <f t="array" ref="C22">INDEX(Listes!$Z$2:$Z$31,1+(ROW()-7)/31+INT((ROW()-7)/(31*30)))</f>
        <v>MAT1</v>
      </c>
      <c r="D22" s="69" t="str">
        <f>IFERROR(INDEX(Listes!Z:AA,MATCH(C22,Listes!Z:Z,0),2),"")</f>
        <v>Matricule 1</v>
      </c>
      <c r="E22" s="77" t="str">
        <f t="shared" ca="1" si="1"/>
        <v>juillet</v>
      </c>
      <c r="F22" s="120">
        <f t="shared" ca="1" si="14"/>
        <v>29</v>
      </c>
      <c r="G22" s="78" t="str">
        <f t="shared" ca="1" si="2"/>
        <v>mardi</v>
      </c>
      <c r="H22" s="78">
        <f ca="1">IF(B22=1,VLOOKUP(_xlfn.SHEET(),Listes!$F:$H,3,0),IF(TEXT(H21+1,"mmmm")&lt;&gt;TEXT(H21,"mmmm"),"",H21+1))</f>
        <v>45489</v>
      </c>
      <c r="I22" s="37" t="s">
        <v>187</v>
      </c>
      <c r="J22" s="38">
        <f>IF(OR(I22=0,LEFT(I22,1)="A"),0,INDEX(Listes!Q:V,MATCH(I22,Listes!Q:Q,0),2))</f>
        <v>0.33333333333333331</v>
      </c>
      <c r="K22" s="38">
        <f>IF(OR(I22=0,LEFT(I22,1)="A"),0,INDEX(Listes!Q:V,MATCH(I22,Listes!Q:Q,0),3))</f>
        <v>0.5</v>
      </c>
      <c r="L22" s="37"/>
      <c r="M22" s="38">
        <f>IF(L22=0,0,IF(AND(LEFT(I22,1)="M",L22&lt;&gt;0),INDEX(Listes!J:O,MATCH(L22,Listes!J:J,1),3),IF(AND(LEFT(I22,1)="N",L22&lt;&gt;0),INDEX(Listes!J:O,MATCH(L22,Listes!J:J,1),3),IF(AND(LEFT(I22,1)="A",L22&lt;&gt;0),INDEX(Listes!J:O,MATCH(L22,Listes!J:J,1),3),IF(AND(LEFT(I22,1)="J",L22&lt;&gt;0),INDEX(Listes!J:O,MATCH(L22,Listes!J:J,1),3),IF(AND(LEFT(I22,1)="T",L22&lt;&gt;0),INDEX(Listes!J:O,MATCH(L22,Listes!J:J,1),3),"horaire"))))))</f>
        <v>0</v>
      </c>
      <c r="N22" s="38">
        <f>IFERROR(IF(M22="$horaire","à compléter",IF(AND(M22="$DEMI",INDEX(Listes!J:O,MATCH(L22,Listes!J:J,1),6)="oui"),(K22-J22),0)),0)</f>
        <v>0</v>
      </c>
      <c r="O22" s="40">
        <f>IF(OR(I22=0,LEFT(I22,1)="A"),0,INDEX(Listes!Q:V,MATCH(I22,Listes!Q:Q,0),4))</f>
        <v>0.5625</v>
      </c>
      <c r="P22" s="42">
        <f>IF(OR(I22=0,LEFT(I22,1)="A"),0,INDEX(Listes!Q:V,MATCH(I22,Listes!Q:Q,0),5))</f>
        <v>0.70833333333333337</v>
      </c>
      <c r="Q22" s="37"/>
      <c r="R22" s="38">
        <f>IF(Q22=0,0,IF(AND(LEFT(I22,1)="M",Q22&lt;&gt;0),INDEX(Listes!J:O,MATCH(Q22,Listes!J:J,1),3),IF(AND(LEFT(I22,1)="N",Q22&lt;&gt;0),INDEX(Listes!J:O,MATCH(Q22,Listes!J:J,1),3),IF(AND(LEFT(I22,1)="A",Q22&lt;&gt;0),INDEX(Listes!J:O,MATCH(Q22,Listes!J:J,1),3),IF(AND(LEFT(I22,1)="J",Q22&lt;&gt;0),INDEX(Listes!J:O,MATCH(Q22,Listes!J:J,1),3),IF(AND(LEFT(I22,1)="T",Q22&lt;&gt;0),INDEX(Listes!J:O,MATCH(Q22,Listes!J:J,1),3),"horaire"))))))</f>
        <v>0</v>
      </c>
      <c r="S22" s="38">
        <f>IFERROR(IF(R22="$horaire","à compléter",IF(AND(R22="$DEMI2",INDEX(Listes!J:O,MATCH(Q22,Listes!J:J,1),6)="oui"),(P22-O22),0)),0)</f>
        <v>0</v>
      </c>
      <c r="T22" s="37"/>
      <c r="U22" s="37">
        <f t="shared" si="3"/>
        <v>0</v>
      </c>
      <c r="V22" s="70">
        <f>IF(I22=0,0,INDEX(Listes!Q:V,MATCH(I22,Listes!Q:Q,1),6))</f>
        <v>7.5000000000000009</v>
      </c>
      <c r="W22" s="71">
        <f>IF(I22=0,0,IF(AND(LEFT(I22,1)="A",O22&lt;=P22),(P22-O22)*24,IF(J22&lt;=K22,(K22-J22)*24,((Listes!$H$21-J22)*24+(K22-Listes!$H$21)*24))+IF(O22&lt;=P22,(P22-O22)*24,(Listes!$H$21-O22)*24+(P22-Listes!$G$21)*24)))-X22+(U22*24)</f>
        <v>7.5000000000000009</v>
      </c>
      <c r="X22" s="70">
        <f>IFERROR(IF(IFERROR(INDEX(Listes!J:O,MATCH(L22,Listes!J:J,1),6),0)="oui",N22*24,0),0)+IFERROR(IF(IFERROR(INDEX(Listes!J:O,MATCH(Q22,Listes!J:J,1),6),0)="oui",S22*24,0),0)</f>
        <v>0</v>
      </c>
      <c r="Y22" s="70">
        <f t="shared" ca="1" si="21"/>
        <v>0</v>
      </c>
      <c r="Z22" s="71">
        <f t="shared" si="19"/>
        <v>1</v>
      </c>
      <c r="AA22" s="70">
        <f t="shared" si="6"/>
        <v>0</v>
      </c>
      <c r="AB22" s="70">
        <f>IF(I22=0,0,IF(AND(J22&gt;K22,J22&gt;=Listes!$G$22),MOD(MIN(K22,Listes!$H$22)-J22,1),IF(OR(J22&gt;K22,K22&gt;=Listes!$G$22),MOD(K22-Listes!$G$22,1),IF(K22&lt;=Listes!$H$22,MOD(K22-J22,1),IF(J22&lt;=Listes!$H$22,MOD(Listes!$H$22-J22,1),0))))+IF(AND(O22&gt;P22,O22&gt;=Listes!$G$22),MOD(MIN(P22,Listes!$H$22)-O22,1),IF(OR(O22&gt;P22,P22&gt;=Listes!$G$22),MOD(P22-Listes!$G$22,1),0)))*24</f>
        <v>0</v>
      </c>
      <c r="AC22" s="71">
        <f t="shared" ca="1" si="15"/>
        <v>0</v>
      </c>
      <c r="AD22" s="71">
        <f ca="1">IF(IFERROR(VLOOKUP(H22,Listes!$H$3:$H$20,1,0),0)&lt;&gt;0,W22,0)</f>
        <v>0</v>
      </c>
      <c r="AE22" s="71">
        <f t="shared" si="20"/>
        <v>0</v>
      </c>
      <c r="AF22" s="44"/>
      <c r="AG22" s="44"/>
      <c r="AH22" s="44"/>
      <c r="AI22" s="44"/>
      <c r="AJ22" s="44"/>
      <c r="AK22" s="44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79" t="str">
        <f t="shared" si="8"/>
        <v>MAT1</v>
      </c>
      <c r="BA22" s="80">
        <f t="shared" si="9"/>
        <v>0</v>
      </c>
      <c r="BB22" s="81">
        <f ca="1">JUIL!H22</f>
        <v>45489</v>
      </c>
      <c r="BC22" s="81">
        <f ca="1">JUIL!H22</f>
        <v>45489</v>
      </c>
      <c r="BD22" s="77" t="s">
        <v>81</v>
      </c>
      <c r="BE22" s="73" t="str">
        <f t="shared" si="10"/>
        <v>$jour</v>
      </c>
      <c r="BF22" s="71">
        <f t="shared" si="11"/>
        <v>0</v>
      </c>
      <c r="BG22" s="73"/>
      <c r="BH22" s="73"/>
      <c r="BI22" s="72" t="str">
        <f t="shared" si="16"/>
        <v>MAT1</v>
      </c>
      <c r="BL22" s="55" cm="1">
        <f t="array" ref="BL22">INDEX($5:$5,COLUMN($Z20)+B22-1)</f>
        <v>6</v>
      </c>
      <c r="BM22" s="55" cm="1">
        <f t="array" ref="BM22">IF(INDEX($4:$4,COLUMN($Z20)+B22-1)="Heures",SUMIF(C:C,BI22,AO:AO)*24,SUMIF(C:C,BI22,AO:AO))</f>
        <v>0</v>
      </c>
      <c r="BO22" s="55">
        <f t="shared" si="12"/>
        <v>0</v>
      </c>
      <c r="BS22" s="106">
        <f ca="1">VLOOKUP(_xlfn.SHEET(),Listes!$A:$B,2,0)</f>
        <v>45474</v>
      </c>
      <c r="BT22" s="106">
        <f t="shared" ca="1" si="17"/>
        <v>45474</v>
      </c>
      <c r="BU22" s="55">
        <f t="shared" si="13"/>
        <v>0</v>
      </c>
    </row>
    <row r="23" spans="1:73" ht="18" customHeight="1">
      <c r="A23" s="69" t="str">
        <f>Listes!$AD$2</f>
        <v>MANAGER</v>
      </c>
      <c r="B23" s="75">
        <f t="shared" si="18"/>
        <v>17</v>
      </c>
      <c r="C23" s="69" t="str" cm="1">
        <f t="array" ref="C23">INDEX(Listes!$Z$2:$Z$31,1+(ROW()-7)/31+INT((ROW()-7)/(31*30)))</f>
        <v>MAT1</v>
      </c>
      <c r="D23" s="69" t="str">
        <f>IFERROR(INDEX(Listes!Z:AA,MATCH(C23,Listes!Z:Z,0),2),"")</f>
        <v>Matricule 1</v>
      </c>
      <c r="E23" s="77" t="str">
        <f t="shared" ca="1" si="1"/>
        <v>juillet</v>
      </c>
      <c r="F23" s="120">
        <f t="shared" ca="1" si="14"/>
        <v>29</v>
      </c>
      <c r="G23" s="78" t="str">
        <f t="shared" ca="1" si="2"/>
        <v>mercredi</v>
      </c>
      <c r="H23" s="78">
        <f ca="1">IF(B23=1,VLOOKUP(_xlfn.SHEET(),Listes!$F:$H,3,0),IF(TEXT(H22+1,"mmmm")&lt;&gt;TEXT(H22,"mmmm"),"",H22+1))</f>
        <v>45490</v>
      </c>
      <c r="I23" s="37" t="s">
        <v>187</v>
      </c>
      <c r="J23" s="38">
        <f>IF(OR(I23=0,LEFT(I23,1)="A"),0,INDEX(Listes!Q:V,MATCH(I23,Listes!Q:Q,0),2))</f>
        <v>0.33333333333333331</v>
      </c>
      <c r="K23" s="38">
        <f>IF(OR(I23=0,LEFT(I23,1)="A"),0,INDEX(Listes!Q:V,MATCH(I23,Listes!Q:Q,0),3))</f>
        <v>0.5</v>
      </c>
      <c r="L23" s="37"/>
      <c r="M23" s="38">
        <f>IF(L23=0,0,IF(AND(LEFT(I23,1)="M",L23&lt;&gt;0),INDEX(Listes!J:O,MATCH(L23,Listes!J:J,1),3),IF(AND(LEFT(I23,1)="N",L23&lt;&gt;0),INDEX(Listes!J:O,MATCH(L23,Listes!J:J,1),3),IF(AND(LEFT(I23,1)="A",L23&lt;&gt;0),INDEX(Listes!J:O,MATCH(L23,Listes!J:J,1),3),IF(AND(LEFT(I23,1)="J",L23&lt;&gt;0),INDEX(Listes!J:O,MATCH(L23,Listes!J:J,1),3),IF(AND(LEFT(I23,1)="T",L23&lt;&gt;0),INDEX(Listes!J:O,MATCH(L23,Listes!J:J,1),3),"horaire"))))))</f>
        <v>0</v>
      </c>
      <c r="N23" s="38">
        <f>IFERROR(IF(M23="$horaire","à compléter",IF(AND(M23="$DEMI",INDEX(Listes!J:O,MATCH(L23,Listes!J:J,1),6)="oui"),(K23-J23),0)),0)</f>
        <v>0</v>
      </c>
      <c r="O23" s="40">
        <f>IF(OR(I23=0,LEFT(I23,1)="A"),0,INDEX(Listes!Q:V,MATCH(I23,Listes!Q:Q,0),4))</f>
        <v>0.5625</v>
      </c>
      <c r="P23" s="42">
        <f>IF(OR(I23=0,LEFT(I23,1)="A"),0,INDEX(Listes!Q:V,MATCH(I23,Listes!Q:Q,0),5))</f>
        <v>0.70833333333333337</v>
      </c>
      <c r="Q23" s="37"/>
      <c r="R23" s="38">
        <f>IF(Q23=0,0,IF(AND(LEFT(I23,1)="M",Q23&lt;&gt;0),INDEX(Listes!J:O,MATCH(Q23,Listes!J:J,1),3),IF(AND(LEFT(I23,1)="N",Q23&lt;&gt;0),INDEX(Listes!J:O,MATCH(Q23,Listes!J:J,1),3),IF(AND(LEFT(I23,1)="A",Q23&lt;&gt;0),INDEX(Listes!J:O,MATCH(Q23,Listes!J:J,1),3),IF(AND(LEFT(I23,1)="J",Q23&lt;&gt;0),INDEX(Listes!J:O,MATCH(Q23,Listes!J:J,1),3),IF(AND(LEFT(I23,1)="T",Q23&lt;&gt;0),INDEX(Listes!J:O,MATCH(Q23,Listes!J:J,1),3),"horaire"))))))</f>
        <v>0</v>
      </c>
      <c r="S23" s="38">
        <f>IFERROR(IF(R23="$horaire","à compléter",IF(AND(R23="$DEMI2",INDEX(Listes!J:O,MATCH(Q23,Listes!J:J,1),6)="oui"),(P23-O23),0)),0)</f>
        <v>0</v>
      </c>
      <c r="T23" s="37"/>
      <c r="U23" s="37">
        <f t="shared" si="3"/>
        <v>0</v>
      </c>
      <c r="V23" s="70">
        <f>IF(I23=0,0,INDEX(Listes!Q:V,MATCH(I23,Listes!Q:Q,1),6))</f>
        <v>7.5000000000000009</v>
      </c>
      <c r="W23" s="71">
        <f>IF(I23=0,0,IF(AND(LEFT(I23,1)="A",O23&lt;=P23),(P23-O23)*24,IF(J23&lt;=K23,(K23-J23)*24,((Listes!$H$21-J23)*24+(K23-Listes!$H$21)*24))+IF(O23&lt;=P23,(P23-O23)*24,(Listes!$H$21-O23)*24+(P23-Listes!$G$21)*24)))-X23+(U23*24)</f>
        <v>7.5000000000000009</v>
      </c>
      <c r="X23" s="70">
        <f>IFERROR(IF(IFERROR(INDEX(Listes!J:O,MATCH(L23,Listes!J:J,1),6),0)="oui",N23*24,0),0)+IFERROR(IF(IFERROR(INDEX(Listes!J:O,MATCH(Q23,Listes!J:J,1),6),0)="oui",S23*24,0),0)</f>
        <v>0</v>
      </c>
      <c r="Y23" s="70">
        <f t="shared" ca="1" si="21"/>
        <v>0</v>
      </c>
      <c r="Z23" s="71">
        <f t="shared" si="19"/>
        <v>1</v>
      </c>
      <c r="AA23" s="70">
        <f t="shared" si="6"/>
        <v>0</v>
      </c>
      <c r="AB23" s="70">
        <f>IF(I23=0,0,IF(AND(J23&gt;K23,J23&gt;=Listes!$G$22),MOD(MIN(K23,Listes!$H$22)-J23,1),IF(OR(J23&gt;K23,K23&gt;=Listes!$G$22),MOD(K23-Listes!$G$22,1),IF(K23&lt;=Listes!$H$22,MOD(K23-J23,1),IF(J23&lt;=Listes!$H$22,MOD(Listes!$H$22-J23,1),0))))+IF(AND(O23&gt;P23,O23&gt;=Listes!$G$22),MOD(MIN(P23,Listes!$H$22)-O23,1),IF(OR(O23&gt;P23,P23&gt;=Listes!$G$22),MOD(P23-Listes!$G$22,1),0)))*24</f>
        <v>0</v>
      </c>
      <c r="AC23" s="71">
        <f t="shared" ca="1" si="15"/>
        <v>0</v>
      </c>
      <c r="AD23" s="71">
        <f ca="1">IF(IFERROR(VLOOKUP(H23,Listes!$H$3:$H$20,1,0),0)&lt;&gt;0,W23,0)</f>
        <v>0</v>
      </c>
      <c r="AE23" s="71">
        <f t="shared" si="20"/>
        <v>0</v>
      </c>
      <c r="AF23" s="44"/>
      <c r="AG23" s="44"/>
      <c r="AH23" s="44"/>
      <c r="AI23" s="44"/>
      <c r="AJ23" s="44"/>
      <c r="AK23" s="44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79" t="str">
        <f t="shared" si="8"/>
        <v>MAT1</v>
      </c>
      <c r="BA23" s="80">
        <f t="shared" si="9"/>
        <v>0</v>
      </c>
      <c r="BB23" s="81">
        <f ca="1">JUIL!H23</f>
        <v>45490</v>
      </c>
      <c r="BC23" s="81">
        <f ca="1">JUIL!H23</f>
        <v>45490</v>
      </c>
      <c r="BD23" s="77" t="s">
        <v>81</v>
      </c>
      <c r="BE23" s="73" t="str">
        <f t="shared" si="10"/>
        <v>$jour</v>
      </c>
      <c r="BF23" s="71">
        <f t="shared" si="11"/>
        <v>0</v>
      </c>
      <c r="BG23" s="73"/>
      <c r="BH23" s="73"/>
      <c r="BI23" s="72" t="str">
        <f t="shared" si="16"/>
        <v>MAT1</v>
      </c>
      <c r="BL23" s="55" cm="1">
        <f t="array" ref="BL23">INDEX($5:$5,COLUMN($Z21)+B23-1)</f>
        <v>7</v>
      </c>
      <c r="BM23" s="55" cm="1">
        <f t="array" ref="BM23">IF(INDEX($4:$4,COLUMN($Z21)+B23-1)="Heures",SUMIF(C:C,BI23,AP:AP)*24,SUMIF(C:C,BI23,AP:AP))</f>
        <v>0</v>
      </c>
      <c r="BO23" s="55">
        <f t="shared" si="12"/>
        <v>0</v>
      </c>
      <c r="BS23" s="106">
        <f ca="1">VLOOKUP(_xlfn.SHEET(),Listes!$A:$B,2,0)</f>
        <v>45474</v>
      </c>
      <c r="BT23" s="106">
        <f t="shared" ca="1" si="17"/>
        <v>45474</v>
      </c>
      <c r="BU23" s="55">
        <f t="shared" si="13"/>
        <v>0</v>
      </c>
    </row>
    <row r="24" spans="1:73" ht="18" customHeight="1">
      <c r="A24" s="69" t="str">
        <f>Listes!$AD$2</f>
        <v>MANAGER</v>
      </c>
      <c r="B24" s="75">
        <f t="shared" si="18"/>
        <v>18</v>
      </c>
      <c r="C24" s="69" t="str" cm="1">
        <f t="array" ref="C24">INDEX(Listes!$Z$2:$Z$31,1+(ROW()-7)/31+INT((ROW()-7)/(31*30)))</f>
        <v>MAT1</v>
      </c>
      <c r="D24" s="69" t="str">
        <f>IFERROR(INDEX(Listes!Z:AA,MATCH(C24,Listes!Z:Z,0),2),"")</f>
        <v>Matricule 1</v>
      </c>
      <c r="E24" s="77" t="str">
        <f t="shared" ca="1" si="1"/>
        <v>juillet</v>
      </c>
      <c r="F24" s="120">
        <f t="shared" ca="1" si="14"/>
        <v>29</v>
      </c>
      <c r="G24" s="78" t="str">
        <f t="shared" ca="1" si="2"/>
        <v>jeudi</v>
      </c>
      <c r="H24" s="78">
        <f ca="1">IF(B24=1,VLOOKUP(_xlfn.SHEET(),Listes!$F:$H,3,0),IF(TEXT(H23+1,"mmmm")&lt;&gt;TEXT(H23,"mmmm"),"",H23+1))</f>
        <v>45491</v>
      </c>
      <c r="I24" s="37" t="s">
        <v>187</v>
      </c>
      <c r="J24" s="38">
        <f>IF(OR(I24=0,LEFT(I24,1)="A"),0,INDEX(Listes!Q:V,MATCH(I24,Listes!Q:Q,0),2))</f>
        <v>0.33333333333333331</v>
      </c>
      <c r="K24" s="38">
        <f>IF(OR(I24=0,LEFT(I24,1)="A"),0,INDEX(Listes!Q:V,MATCH(I24,Listes!Q:Q,0),3))</f>
        <v>0.5</v>
      </c>
      <c r="L24" s="37"/>
      <c r="M24" s="38">
        <f>IF(L24=0,0,IF(AND(LEFT(I24,1)="M",L24&lt;&gt;0),INDEX(Listes!J:O,MATCH(L24,Listes!J:J,1),3),IF(AND(LEFT(I24,1)="N",L24&lt;&gt;0),INDEX(Listes!J:O,MATCH(L24,Listes!J:J,1),3),IF(AND(LEFT(I24,1)="A",L24&lt;&gt;0),INDEX(Listes!J:O,MATCH(L24,Listes!J:J,1),3),IF(AND(LEFT(I24,1)="J",L24&lt;&gt;0),INDEX(Listes!J:O,MATCH(L24,Listes!J:J,1),3),IF(AND(LEFT(I24,1)="T",L24&lt;&gt;0),INDEX(Listes!J:O,MATCH(L24,Listes!J:J,1),3),"horaire"))))))</f>
        <v>0</v>
      </c>
      <c r="N24" s="38">
        <f>IFERROR(IF(M24="$horaire","à compléter",IF(AND(M24="$DEMI",INDEX(Listes!J:O,MATCH(L24,Listes!J:J,1),6)="oui"),(K24-J24),0)),0)</f>
        <v>0</v>
      </c>
      <c r="O24" s="40">
        <f>IF(OR(I24=0,LEFT(I24,1)="A"),0,INDEX(Listes!Q:V,MATCH(I24,Listes!Q:Q,0),4))</f>
        <v>0.5625</v>
      </c>
      <c r="P24" s="42">
        <f>IF(OR(I24=0,LEFT(I24,1)="A"),0,INDEX(Listes!Q:V,MATCH(I24,Listes!Q:Q,0),5))</f>
        <v>0.70833333333333337</v>
      </c>
      <c r="Q24" s="37"/>
      <c r="R24" s="38">
        <f>IF(Q24=0,0,IF(AND(LEFT(I24,1)="M",Q24&lt;&gt;0),INDEX(Listes!J:O,MATCH(Q24,Listes!J:J,1),3),IF(AND(LEFT(I24,1)="N",Q24&lt;&gt;0),INDEX(Listes!J:O,MATCH(Q24,Listes!J:J,1),3),IF(AND(LEFT(I24,1)="A",Q24&lt;&gt;0),INDEX(Listes!J:O,MATCH(Q24,Listes!J:J,1),3),IF(AND(LEFT(I24,1)="J",Q24&lt;&gt;0),INDEX(Listes!J:O,MATCH(Q24,Listes!J:J,1),3),IF(AND(LEFT(I24,1)="T",Q24&lt;&gt;0),INDEX(Listes!J:O,MATCH(Q24,Listes!J:J,1),3),"horaire"))))))</f>
        <v>0</v>
      </c>
      <c r="S24" s="38">
        <f>IFERROR(IF(R24="$horaire","à compléter",IF(AND(R24="$DEMI2",INDEX(Listes!J:O,MATCH(Q24,Listes!J:J,1),6)="oui"),(P24-O24),0)),0)</f>
        <v>0</v>
      </c>
      <c r="T24" s="37"/>
      <c r="U24" s="37">
        <f t="shared" si="3"/>
        <v>0</v>
      </c>
      <c r="V24" s="70">
        <f>IF(I24=0,0,INDEX(Listes!Q:V,MATCH(I24,Listes!Q:Q,1),6))</f>
        <v>7.5000000000000009</v>
      </c>
      <c r="W24" s="71">
        <f>IF(I24=0,0,IF(AND(LEFT(I24,1)="A",O24&lt;=P24),(P24-O24)*24,IF(J24&lt;=K24,(K24-J24)*24,((Listes!$H$21-J24)*24+(K24-Listes!$H$21)*24))+IF(O24&lt;=P24,(P24-O24)*24,(Listes!$H$21-O24)*24+(P24-Listes!$G$21)*24)))-X24+(U24*24)</f>
        <v>7.5000000000000009</v>
      </c>
      <c r="X24" s="70">
        <f>IFERROR(IF(IFERROR(INDEX(Listes!J:O,MATCH(L24,Listes!J:J,1),6),0)="oui",N24*24,0),0)+IFERROR(IF(IFERROR(INDEX(Listes!J:O,MATCH(Q24,Listes!J:J,1),6),0)="oui",S24*24,0),0)</f>
        <v>0</v>
      </c>
      <c r="Y24" s="70">
        <f t="shared" ca="1" si="21"/>
        <v>0</v>
      </c>
      <c r="Z24" s="71">
        <f t="shared" si="19"/>
        <v>1</v>
      </c>
      <c r="AA24" s="70">
        <f t="shared" si="6"/>
        <v>0</v>
      </c>
      <c r="AB24" s="70">
        <f>IF(I24=0,0,IF(AND(J24&gt;K24,J24&gt;=Listes!$G$22),MOD(MIN(K24,Listes!$H$22)-J24,1),IF(OR(J24&gt;K24,K24&gt;=Listes!$G$22),MOD(K24-Listes!$G$22,1),IF(K24&lt;=Listes!$H$22,MOD(K24-J24,1),IF(J24&lt;=Listes!$H$22,MOD(Listes!$H$22-J24,1),0))))+IF(AND(O24&gt;P24,O24&gt;=Listes!$G$22),MOD(MIN(P24,Listes!$H$22)-O24,1),IF(OR(O24&gt;P24,P24&gt;=Listes!$G$22),MOD(P24-Listes!$G$22,1),0)))*24</f>
        <v>0</v>
      </c>
      <c r="AC24" s="71">
        <f t="shared" ca="1" si="15"/>
        <v>0</v>
      </c>
      <c r="AD24" s="71">
        <f ca="1">IF(IFERROR(VLOOKUP(H24,Listes!$H$3:$H$20,1,0),0)&lt;&gt;0,W24,0)</f>
        <v>0</v>
      </c>
      <c r="AE24" s="71">
        <f t="shared" si="20"/>
        <v>0</v>
      </c>
      <c r="AF24" s="44"/>
      <c r="AG24" s="44"/>
      <c r="AH24" s="44"/>
      <c r="AI24" s="44"/>
      <c r="AJ24" s="44"/>
      <c r="AK24" s="44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79" t="str">
        <f t="shared" si="8"/>
        <v>MAT1</v>
      </c>
      <c r="BA24" s="80">
        <f t="shared" si="9"/>
        <v>0</v>
      </c>
      <c r="BB24" s="81">
        <f ca="1">JUIL!H24</f>
        <v>45491</v>
      </c>
      <c r="BC24" s="81">
        <f ca="1">JUIL!H24</f>
        <v>45491</v>
      </c>
      <c r="BD24" s="77" t="s">
        <v>81</v>
      </c>
      <c r="BE24" s="73" t="str">
        <f t="shared" si="10"/>
        <v>$jour</v>
      </c>
      <c r="BF24" s="71">
        <f t="shared" si="11"/>
        <v>0</v>
      </c>
      <c r="BG24" s="73"/>
      <c r="BH24" s="73"/>
      <c r="BI24" s="72" t="str">
        <f t="shared" si="16"/>
        <v>MAT1</v>
      </c>
      <c r="BL24" s="55" cm="1">
        <f t="array" ref="BL24">INDEX($5:$5,COLUMN($Z22)+B24-1)</f>
        <v>8</v>
      </c>
      <c r="BM24" s="55" cm="1">
        <f t="array" ref="BM24">IF(INDEX($4:$4,COLUMN($Z22)+B24-1)="Heures",SUMIF(C:C,BI24,AQ:AQ)*24,SUMIF(C:C,BI24,AQ:AQ))</f>
        <v>0</v>
      </c>
      <c r="BO24" s="55">
        <f t="shared" si="12"/>
        <v>0</v>
      </c>
      <c r="BS24" s="106">
        <f ca="1">VLOOKUP(_xlfn.SHEET(),Listes!$A:$B,2,0)</f>
        <v>45474</v>
      </c>
      <c r="BT24" s="106">
        <f t="shared" ca="1" si="17"/>
        <v>45474</v>
      </c>
      <c r="BU24" s="55">
        <f t="shared" si="13"/>
        <v>0</v>
      </c>
    </row>
    <row r="25" spans="1:73" ht="18" customHeight="1">
      <c r="A25" s="69" t="str">
        <f>Listes!$AD$2</f>
        <v>MANAGER</v>
      </c>
      <c r="B25" s="75">
        <f t="shared" si="18"/>
        <v>19</v>
      </c>
      <c r="C25" s="69" t="str" cm="1">
        <f t="array" ref="C25">INDEX(Listes!$Z$2:$Z$31,1+(ROW()-7)/31+INT((ROW()-7)/(31*30)))</f>
        <v>MAT1</v>
      </c>
      <c r="D25" s="69" t="str">
        <f>IFERROR(INDEX(Listes!Z:AA,MATCH(C25,Listes!Z:Z,0),2),"")</f>
        <v>Matricule 1</v>
      </c>
      <c r="E25" s="77" t="str">
        <f t="shared" ca="1" si="1"/>
        <v>juillet</v>
      </c>
      <c r="F25" s="120">
        <f t="shared" ca="1" si="14"/>
        <v>29</v>
      </c>
      <c r="G25" s="78" t="str">
        <f t="shared" ca="1" si="2"/>
        <v>vendredi</v>
      </c>
      <c r="H25" s="78">
        <f ca="1">IF(B25=1,VLOOKUP(_xlfn.SHEET(),Listes!$F:$H,3,0),IF(TEXT(H24+1,"mmmm")&lt;&gt;TEXT(H24,"mmmm"),"",H24+1))</f>
        <v>45492</v>
      </c>
      <c r="I25" s="37" t="s">
        <v>187</v>
      </c>
      <c r="J25" s="38">
        <f>IF(OR(I25=0,LEFT(I25,1)="A"),0,INDEX(Listes!Q:V,MATCH(I25,Listes!Q:Q,0),2))</f>
        <v>0.33333333333333331</v>
      </c>
      <c r="K25" s="38">
        <f>IF(OR(I25=0,LEFT(I25,1)="A"),0,INDEX(Listes!Q:V,MATCH(I25,Listes!Q:Q,0),3))</f>
        <v>0.5</v>
      </c>
      <c r="L25" s="37"/>
      <c r="M25" s="38">
        <f>IF(L25=0,0,IF(AND(LEFT(I25,1)="M",L25&lt;&gt;0),INDEX(Listes!J:O,MATCH(L25,Listes!J:J,1),3),IF(AND(LEFT(I25,1)="N",L25&lt;&gt;0),INDEX(Listes!J:O,MATCH(L25,Listes!J:J,1),3),IF(AND(LEFT(I25,1)="A",L25&lt;&gt;0),INDEX(Listes!J:O,MATCH(L25,Listes!J:J,1),3),IF(AND(LEFT(I25,1)="J",L25&lt;&gt;0),INDEX(Listes!J:O,MATCH(L25,Listes!J:J,1),3),IF(AND(LEFT(I25,1)="T",L25&lt;&gt;0),INDEX(Listes!J:O,MATCH(L25,Listes!J:J,1),3),"horaire"))))))</f>
        <v>0</v>
      </c>
      <c r="N25" s="38">
        <f>IFERROR(IF(M25="$horaire","à compléter",IF(AND(M25="$DEMI",INDEX(Listes!J:O,MATCH(L25,Listes!J:J,1),6)="oui"),(K25-J25),0)),0)</f>
        <v>0</v>
      </c>
      <c r="O25" s="40">
        <f>IF(OR(I25=0,LEFT(I25,1)="A"),0,INDEX(Listes!Q:V,MATCH(I25,Listes!Q:Q,0),4))</f>
        <v>0.5625</v>
      </c>
      <c r="P25" s="42">
        <f>IF(OR(I25=0,LEFT(I25,1)="A"),0,INDEX(Listes!Q:V,MATCH(I25,Listes!Q:Q,0),5))</f>
        <v>0.70833333333333337</v>
      </c>
      <c r="Q25" s="37"/>
      <c r="R25" s="38">
        <f>IF(Q25=0,0,IF(AND(LEFT(I25,1)="M",Q25&lt;&gt;0),INDEX(Listes!J:O,MATCH(Q25,Listes!J:J,1),3),IF(AND(LEFT(I25,1)="N",Q25&lt;&gt;0),INDEX(Listes!J:O,MATCH(Q25,Listes!J:J,1),3),IF(AND(LEFT(I25,1)="A",Q25&lt;&gt;0),INDEX(Listes!J:O,MATCH(Q25,Listes!J:J,1),3),IF(AND(LEFT(I25,1)="J",Q25&lt;&gt;0),INDEX(Listes!J:O,MATCH(Q25,Listes!J:J,1),3),IF(AND(LEFT(I25,1)="T",Q25&lt;&gt;0),INDEX(Listes!J:O,MATCH(Q25,Listes!J:J,1),3),"horaire"))))))</f>
        <v>0</v>
      </c>
      <c r="S25" s="38">
        <f>IFERROR(IF(R25="$horaire","à compléter",IF(AND(R25="$DEMI2",INDEX(Listes!J:O,MATCH(Q25,Listes!J:J,1),6)="oui"),(P25-O25),0)),0)</f>
        <v>0</v>
      </c>
      <c r="T25" s="37"/>
      <c r="U25" s="37">
        <f t="shared" si="3"/>
        <v>0</v>
      </c>
      <c r="V25" s="70">
        <f>IF(I25=0,0,INDEX(Listes!Q:V,MATCH(I25,Listes!Q:Q,1),6))</f>
        <v>7.5000000000000009</v>
      </c>
      <c r="W25" s="71">
        <f>IF(I25=0,0,IF(AND(LEFT(I25,1)="A",O25&lt;=P25),(P25-O25)*24,IF(J25&lt;=K25,(K25-J25)*24,((Listes!$H$21-J25)*24+(K25-Listes!$H$21)*24))+IF(O25&lt;=P25,(P25-O25)*24,(Listes!$H$21-O25)*24+(P25-Listes!$G$21)*24)))-X25+(U25*24)</f>
        <v>7.5000000000000009</v>
      </c>
      <c r="X25" s="70">
        <f>IFERROR(IF(IFERROR(INDEX(Listes!J:O,MATCH(L25,Listes!J:J,1),6),0)="oui",N25*24,0),0)+IFERROR(IF(IFERROR(INDEX(Listes!J:O,MATCH(Q25,Listes!J:J,1),6),0)="oui",S25*24,0),0)</f>
        <v>0</v>
      </c>
      <c r="Y25" s="70">
        <f t="shared" ca="1" si="21"/>
        <v>0</v>
      </c>
      <c r="Z25" s="71">
        <f t="shared" si="19"/>
        <v>1</v>
      </c>
      <c r="AA25" s="70">
        <f t="shared" si="6"/>
        <v>0</v>
      </c>
      <c r="AB25" s="70">
        <f>IF(I25=0,0,IF(AND(J25&gt;K25,J25&gt;=Listes!$G$22),MOD(MIN(K25,Listes!$H$22)-J25,1),IF(OR(J25&gt;K25,K25&gt;=Listes!$G$22),MOD(K25-Listes!$G$22,1),IF(K25&lt;=Listes!$H$22,MOD(K25-J25,1),IF(J25&lt;=Listes!$H$22,MOD(Listes!$H$22-J25,1),0))))+IF(AND(O25&gt;P25,O25&gt;=Listes!$G$22),MOD(MIN(P25,Listes!$H$22)-O25,1),IF(OR(O25&gt;P25,P25&gt;=Listes!$G$22),MOD(P25-Listes!$G$22,1),0)))*24</f>
        <v>0</v>
      </c>
      <c r="AC25" s="71">
        <f t="shared" ca="1" si="15"/>
        <v>0</v>
      </c>
      <c r="AD25" s="71">
        <f ca="1">IF(IFERROR(VLOOKUP(H25,Listes!$H$3:$H$20,1,0),0)&lt;&gt;0,W25,0)</f>
        <v>0</v>
      </c>
      <c r="AE25" s="71">
        <f t="shared" si="20"/>
        <v>0</v>
      </c>
      <c r="AF25" s="44"/>
      <c r="AG25" s="44"/>
      <c r="AH25" s="44"/>
      <c r="AI25" s="44"/>
      <c r="AJ25" s="44"/>
      <c r="AK25" s="44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79" t="str">
        <f t="shared" si="8"/>
        <v>MAT1</v>
      </c>
      <c r="BA25" s="80">
        <f t="shared" si="9"/>
        <v>0</v>
      </c>
      <c r="BB25" s="81">
        <f ca="1">JUIL!H25</f>
        <v>45492</v>
      </c>
      <c r="BC25" s="81">
        <f ca="1">JUIL!H25</f>
        <v>45492</v>
      </c>
      <c r="BD25" s="77" t="s">
        <v>81</v>
      </c>
      <c r="BE25" s="73" t="str">
        <f t="shared" si="10"/>
        <v>$jour</v>
      </c>
      <c r="BF25" s="71">
        <f t="shared" si="11"/>
        <v>0</v>
      </c>
      <c r="BG25" s="73"/>
      <c r="BH25" s="73"/>
      <c r="BI25" s="72" t="str">
        <f t="shared" si="16"/>
        <v>MAT1</v>
      </c>
      <c r="BL25" s="55" cm="1">
        <f t="array" ref="BL25">INDEX($5:$5,COLUMN($Z23)+B25-1)</f>
        <v>9</v>
      </c>
      <c r="BM25" s="55" cm="1">
        <f t="array" ref="BM25">IF(INDEX($4:$4,COLUMN($Z23)+B25-1)="Heures",SUMIF(C:C,BI25,AR:AR)*24,SUMIF(C:C,BI25,AR:AR))</f>
        <v>0</v>
      </c>
      <c r="BO25" s="55">
        <f t="shared" si="12"/>
        <v>0</v>
      </c>
      <c r="BS25" s="106">
        <f ca="1">VLOOKUP(_xlfn.SHEET(),Listes!$A:$B,2,0)</f>
        <v>45474</v>
      </c>
      <c r="BT25" s="106">
        <f t="shared" ca="1" si="17"/>
        <v>45474</v>
      </c>
      <c r="BU25" s="55">
        <f t="shared" si="13"/>
        <v>0</v>
      </c>
    </row>
    <row r="26" spans="1:73" ht="18" customHeight="1">
      <c r="A26" s="69" t="str">
        <f>Listes!$AD$2</f>
        <v>MANAGER</v>
      </c>
      <c r="B26" s="75">
        <f t="shared" si="18"/>
        <v>20</v>
      </c>
      <c r="C26" s="69" t="str" cm="1">
        <f t="array" ref="C26">INDEX(Listes!$Z$2:$Z$31,1+(ROW()-7)/31+INT((ROW()-7)/(31*30)))</f>
        <v>MAT1</v>
      </c>
      <c r="D26" s="69" t="str">
        <f>IFERROR(INDEX(Listes!Z:AA,MATCH(C26,Listes!Z:Z,0),2),"")</f>
        <v>Matricule 1</v>
      </c>
      <c r="E26" s="77" t="str">
        <f t="shared" ca="1" si="1"/>
        <v>juillet</v>
      </c>
      <c r="F26" s="120">
        <f t="shared" ca="1" si="14"/>
        <v>29</v>
      </c>
      <c r="G26" s="78" t="str">
        <f t="shared" ca="1" si="2"/>
        <v>samedi</v>
      </c>
      <c r="H26" s="78">
        <f ca="1">IF(B26=1,VLOOKUP(_xlfn.SHEET(),Listes!$F:$H,3,0),IF(TEXT(H25+1,"mmmm")&lt;&gt;TEXT(H25,"mmmm"),"",H25+1))</f>
        <v>45493</v>
      </c>
      <c r="I26" s="37" t="s">
        <v>187</v>
      </c>
      <c r="J26" s="38">
        <f>IF(OR(I26=0,LEFT(I26,1)="A"),0,INDEX(Listes!Q:V,MATCH(I26,Listes!Q:Q,0),2))</f>
        <v>0.33333333333333331</v>
      </c>
      <c r="K26" s="38">
        <f>IF(OR(I26=0,LEFT(I26,1)="A"),0,INDEX(Listes!Q:V,MATCH(I26,Listes!Q:Q,0),3))</f>
        <v>0.5</v>
      </c>
      <c r="L26" s="37"/>
      <c r="M26" s="38">
        <f>IF(L26=0,0,IF(AND(LEFT(I26,1)="M",L26&lt;&gt;0),INDEX(Listes!J:O,MATCH(L26,Listes!J:J,1),3),IF(AND(LEFT(I26,1)="N",L26&lt;&gt;0),INDEX(Listes!J:O,MATCH(L26,Listes!J:J,1),3),IF(AND(LEFT(I26,1)="A",L26&lt;&gt;0),INDEX(Listes!J:O,MATCH(L26,Listes!J:J,1),3),IF(AND(LEFT(I26,1)="J",L26&lt;&gt;0),INDEX(Listes!J:O,MATCH(L26,Listes!J:J,1),3),IF(AND(LEFT(I26,1)="T",L26&lt;&gt;0),INDEX(Listes!J:O,MATCH(L26,Listes!J:J,1),3),"horaire"))))))</f>
        <v>0</v>
      </c>
      <c r="N26" s="38">
        <f>IFERROR(IF(M26="$horaire","à compléter",IF(AND(M26="$DEMI",INDEX(Listes!J:O,MATCH(L26,Listes!J:J,1),6)="oui"),(K26-J26),0)),0)</f>
        <v>0</v>
      </c>
      <c r="O26" s="40">
        <f>IF(OR(I26=0,LEFT(I26,1)="A"),0,INDEX(Listes!Q:V,MATCH(I26,Listes!Q:Q,0),4))</f>
        <v>0.5625</v>
      </c>
      <c r="P26" s="42">
        <f>IF(OR(I26=0,LEFT(I26,1)="A"),0,INDEX(Listes!Q:V,MATCH(I26,Listes!Q:Q,0),5))</f>
        <v>0.70833333333333337</v>
      </c>
      <c r="Q26" s="37"/>
      <c r="R26" s="38">
        <f>IF(Q26=0,0,IF(AND(LEFT(I26,1)="M",Q26&lt;&gt;0),INDEX(Listes!J:O,MATCH(Q26,Listes!J:J,1),3),IF(AND(LEFT(I26,1)="N",Q26&lt;&gt;0),INDEX(Listes!J:O,MATCH(Q26,Listes!J:J,1),3),IF(AND(LEFT(I26,1)="A",Q26&lt;&gt;0),INDEX(Listes!J:O,MATCH(Q26,Listes!J:J,1),3),IF(AND(LEFT(I26,1)="J",Q26&lt;&gt;0),INDEX(Listes!J:O,MATCH(Q26,Listes!J:J,1),3),IF(AND(LEFT(I26,1)="T",Q26&lt;&gt;0),INDEX(Listes!J:O,MATCH(Q26,Listes!J:J,1),3),"horaire"))))))</f>
        <v>0</v>
      </c>
      <c r="S26" s="38">
        <f>IFERROR(IF(R26="$horaire","à compléter",IF(AND(R26="$DEMI2",INDEX(Listes!J:O,MATCH(Q26,Listes!J:J,1),6)="oui"),(P26-O26),0)),0)</f>
        <v>0</v>
      </c>
      <c r="T26" s="37"/>
      <c r="U26" s="37">
        <f t="shared" si="3"/>
        <v>0</v>
      </c>
      <c r="V26" s="70">
        <f>IF(I26=0,0,INDEX(Listes!Q:V,MATCH(I26,Listes!Q:Q,1),6))</f>
        <v>7.5000000000000009</v>
      </c>
      <c r="W26" s="71">
        <f>IF(I26=0,0,IF(AND(LEFT(I26,1)="A",O26&lt;=P26),(P26-O26)*24,IF(J26&lt;=K26,(K26-J26)*24,((Listes!$H$21-J26)*24+(K26-Listes!$H$21)*24))+IF(O26&lt;=P26,(P26-O26)*24,(Listes!$H$21-O26)*24+(P26-Listes!$G$21)*24)))-X26+(U26*24)</f>
        <v>7.5000000000000009</v>
      </c>
      <c r="X26" s="70">
        <f>IFERROR(IF(IFERROR(INDEX(Listes!J:O,MATCH(L26,Listes!J:J,1),6),0)="oui",N26*24,0),0)+IFERROR(IF(IFERROR(INDEX(Listes!J:O,MATCH(Q26,Listes!J:J,1),6),0)="oui",S26*24,0),0)</f>
        <v>0</v>
      </c>
      <c r="Y26" s="70">
        <f t="shared" ca="1" si="21"/>
        <v>7.5000000000000009</v>
      </c>
      <c r="Z26" s="71">
        <f t="shared" si="19"/>
        <v>1</v>
      </c>
      <c r="AA26" s="70">
        <f t="shared" si="6"/>
        <v>0</v>
      </c>
      <c r="AB26" s="70">
        <f>IF(I26=0,0,IF(AND(J26&gt;K26,J26&gt;=Listes!$G$22),MOD(MIN(K26,Listes!$H$22)-J26,1),IF(OR(J26&gt;K26,K26&gt;=Listes!$G$22),MOD(K26-Listes!$G$22,1),IF(K26&lt;=Listes!$H$22,MOD(K26-J26,1),IF(J26&lt;=Listes!$H$22,MOD(Listes!$H$22-J26,1),0))))+IF(AND(O26&gt;P26,O26&gt;=Listes!$G$22),MOD(MIN(P26,Listes!$H$22)-O26,1),IF(OR(O26&gt;P26,P26&gt;=Listes!$G$22),MOD(P26-Listes!$G$22,1),0)))*24</f>
        <v>0</v>
      </c>
      <c r="AC26" s="71">
        <f t="shared" ca="1" si="15"/>
        <v>0</v>
      </c>
      <c r="AD26" s="71">
        <f ca="1">IF(IFERROR(VLOOKUP(H26,Listes!$H$3:$H$20,1,0),0)&lt;&gt;0,W26,0)</f>
        <v>0</v>
      </c>
      <c r="AE26" s="71">
        <f t="shared" si="20"/>
        <v>0</v>
      </c>
      <c r="AF26" s="44"/>
      <c r="AG26" s="44"/>
      <c r="AH26" s="44"/>
      <c r="AI26" s="44"/>
      <c r="AJ26" s="44"/>
      <c r="AK26" s="44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79" t="str">
        <f t="shared" si="8"/>
        <v>MAT1</v>
      </c>
      <c r="BA26" s="80">
        <f t="shared" si="9"/>
        <v>0</v>
      </c>
      <c r="BB26" s="81">
        <f ca="1">JUIL!H26</f>
        <v>45493</v>
      </c>
      <c r="BC26" s="81">
        <f ca="1">JUIL!H26</f>
        <v>45493</v>
      </c>
      <c r="BD26" s="77" t="s">
        <v>81</v>
      </c>
      <c r="BE26" s="73" t="str">
        <f t="shared" si="10"/>
        <v>$jour</v>
      </c>
      <c r="BF26" s="71">
        <f t="shared" si="11"/>
        <v>0</v>
      </c>
      <c r="BG26" s="73"/>
      <c r="BH26" s="73"/>
      <c r="BI26" s="72" t="str">
        <f t="shared" si="16"/>
        <v>MAT1</v>
      </c>
      <c r="BL26" s="55" cm="1">
        <f t="array" ref="BL26">INDEX($5:$5,COLUMN($Z24)+B26-1)</f>
        <v>10</v>
      </c>
      <c r="BM26" s="55" cm="1">
        <f t="array" ref="BM26">IF(INDEX($4:$4,COLUMN($Z24)+B26-1)="Heures",SUMIF(C:C,BI26,AS:AS)*24,SUMIF(C:C,BI26,AS:AS))</f>
        <v>0</v>
      </c>
      <c r="BO26" s="55">
        <f t="shared" si="12"/>
        <v>0</v>
      </c>
      <c r="BS26" s="106">
        <f ca="1">VLOOKUP(_xlfn.SHEET(),Listes!$A:$B,2,0)</f>
        <v>45474</v>
      </c>
      <c r="BT26" s="106">
        <f t="shared" ca="1" si="17"/>
        <v>45474</v>
      </c>
      <c r="BU26" s="55">
        <f t="shared" si="13"/>
        <v>0</v>
      </c>
    </row>
    <row r="27" spans="1:73" ht="18" customHeight="1">
      <c r="A27" s="69" t="str">
        <f>Listes!$AD$2</f>
        <v>MANAGER</v>
      </c>
      <c r="B27" s="75">
        <f t="shared" si="18"/>
        <v>21</v>
      </c>
      <c r="C27" s="69" t="str" cm="1">
        <f t="array" ref="C27">INDEX(Listes!$Z$2:$Z$31,1+(ROW()-7)/31+INT((ROW()-7)/(31*30)))</f>
        <v>MAT1</v>
      </c>
      <c r="D27" s="69" t="str">
        <f>IFERROR(INDEX(Listes!Z:AA,MATCH(C27,Listes!Z:Z,0),2),"")</f>
        <v>Matricule 1</v>
      </c>
      <c r="E27" s="77" t="str">
        <f t="shared" ca="1" si="1"/>
        <v>juillet</v>
      </c>
      <c r="F27" s="120">
        <f t="shared" ca="1" si="14"/>
        <v>29</v>
      </c>
      <c r="G27" s="78" t="str">
        <f t="shared" ca="1" si="2"/>
        <v>dimanche</v>
      </c>
      <c r="H27" s="78">
        <f ca="1">IF(B27=1,VLOOKUP(_xlfn.SHEET(),Listes!$F:$H,3,0),IF(TEXT(H26+1,"mmmm")&lt;&gt;TEXT(H26,"mmmm"),"",H26+1))</f>
        <v>45494</v>
      </c>
      <c r="I27" s="37" t="s">
        <v>187</v>
      </c>
      <c r="J27" s="38">
        <f>IF(OR(I27=0,LEFT(I27,1)="A"),0,INDEX(Listes!Q:V,MATCH(I27,Listes!Q:Q,0),2))</f>
        <v>0.33333333333333331</v>
      </c>
      <c r="K27" s="38">
        <f>IF(OR(I27=0,LEFT(I27,1)="A"),0,INDEX(Listes!Q:V,MATCH(I27,Listes!Q:Q,0),3))</f>
        <v>0.5</v>
      </c>
      <c r="L27" s="37"/>
      <c r="M27" s="38">
        <f>IF(L27=0,0,IF(AND(LEFT(I27,1)="M",L27&lt;&gt;0),INDEX(Listes!J:O,MATCH(L27,Listes!J:J,1),3),IF(AND(LEFT(I27,1)="N",L27&lt;&gt;0),INDEX(Listes!J:O,MATCH(L27,Listes!J:J,1),3),IF(AND(LEFT(I27,1)="A",L27&lt;&gt;0),INDEX(Listes!J:O,MATCH(L27,Listes!J:J,1),3),IF(AND(LEFT(I27,1)="J",L27&lt;&gt;0),INDEX(Listes!J:O,MATCH(L27,Listes!J:J,1),3),IF(AND(LEFT(I27,1)="T",L27&lt;&gt;0),INDEX(Listes!J:O,MATCH(L27,Listes!J:J,1),3),"horaire"))))))</f>
        <v>0</v>
      </c>
      <c r="N27" s="38">
        <f>IFERROR(IF(M27="$horaire","à compléter",IF(AND(M27="$DEMI",INDEX(Listes!J:O,MATCH(L27,Listes!J:J,1),6)="oui"),(K27-J27),0)),0)</f>
        <v>0</v>
      </c>
      <c r="O27" s="40">
        <f>IF(OR(I27=0,LEFT(I27,1)="A"),0,INDEX(Listes!Q:V,MATCH(I27,Listes!Q:Q,0),4))</f>
        <v>0.5625</v>
      </c>
      <c r="P27" s="42">
        <f>IF(OR(I27=0,LEFT(I27,1)="A"),0,INDEX(Listes!Q:V,MATCH(I27,Listes!Q:Q,0),5))</f>
        <v>0.70833333333333337</v>
      </c>
      <c r="Q27" s="37"/>
      <c r="R27" s="38">
        <f>IF(Q27=0,0,IF(AND(LEFT(I27,1)="M",Q27&lt;&gt;0),INDEX(Listes!J:O,MATCH(Q27,Listes!J:J,1),3),IF(AND(LEFT(I27,1)="N",Q27&lt;&gt;0),INDEX(Listes!J:O,MATCH(Q27,Listes!J:J,1),3),IF(AND(LEFT(I27,1)="A",Q27&lt;&gt;0),INDEX(Listes!J:O,MATCH(Q27,Listes!J:J,1),3),IF(AND(LEFT(I27,1)="J",Q27&lt;&gt;0),INDEX(Listes!J:O,MATCH(Q27,Listes!J:J,1),3),IF(AND(LEFT(I27,1)="T",Q27&lt;&gt;0),INDEX(Listes!J:O,MATCH(Q27,Listes!J:J,1),3),"horaire"))))))</f>
        <v>0</v>
      </c>
      <c r="S27" s="38">
        <f>IFERROR(IF(R27="$horaire","à compléter",IF(AND(R27="$DEMI2",INDEX(Listes!J:O,MATCH(Q27,Listes!J:J,1),6)="oui"),(P27-O27),0)),0)</f>
        <v>0</v>
      </c>
      <c r="T27" s="37"/>
      <c r="U27" s="37">
        <f t="shared" si="3"/>
        <v>0</v>
      </c>
      <c r="V27" s="70">
        <f>IF(I27=0,0,INDEX(Listes!Q:V,MATCH(I27,Listes!Q:Q,1),6))</f>
        <v>7.5000000000000009</v>
      </c>
      <c r="W27" s="71">
        <f>IF(I27=0,0,IF(AND(LEFT(I27,1)="A",O27&lt;=P27),(P27-O27)*24,IF(J27&lt;=K27,(K27-J27)*24,((Listes!$H$21-J27)*24+(K27-Listes!$H$21)*24))+IF(O27&lt;=P27,(P27-O27)*24,(Listes!$H$21-O27)*24+(P27-Listes!$G$21)*24)))-X27+(U27*24)</f>
        <v>7.5000000000000009</v>
      </c>
      <c r="X27" s="70">
        <f>IFERROR(IF(IFERROR(INDEX(Listes!J:O,MATCH(L27,Listes!J:J,1),6),0)="oui",N27*24,0),0)+IFERROR(IF(IFERROR(INDEX(Listes!J:O,MATCH(Q27,Listes!J:J,1),6),0)="oui",S27*24,0),0)</f>
        <v>0</v>
      </c>
      <c r="Y27" s="70">
        <f t="shared" ca="1" si="21"/>
        <v>7.5000000000000009</v>
      </c>
      <c r="Z27" s="71">
        <f t="shared" si="19"/>
        <v>1</v>
      </c>
      <c r="AA27" s="70">
        <f t="shared" si="6"/>
        <v>0</v>
      </c>
      <c r="AB27" s="70">
        <f>IF(I27=0,0,IF(AND(J27&gt;K27,J27&gt;=Listes!$G$22),MOD(MIN(K27,Listes!$H$22)-J27,1),IF(OR(J27&gt;K27,K27&gt;=Listes!$G$22),MOD(K27-Listes!$G$22,1),IF(K27&lt;=Listes!$H$22,MOD(K27-J27,1),IF(J27&lt;=Listes!$H$22,MOD(Listes!$H$22-J27,1),0))))+IF(AND(O27&gt;P27,O27&gt;=Listes!$G$22),MOD(MIN(P27,Listes!$H$22)-O27,1),IF(OR(O27&gt;P27,P27&gt;=Listes!$G$22),MOD(P27-Listes!$G$22,1),0)))*24</f>
        <v>0</v>
      </c>
      <c r="AC27" s="71">
        <f t="shared" ca="1" si="15"/>
        <v>7.5000000000000009</v>
      </c>
      <c r="AD27" s="71">
        <f ca="1">IF(IFERROR(VLOOKUP(H27,Listes!$H$3:$H$20,1,0),0)&lt;&gt;0,W27,0)</f>
        <v>0</v>
      </c>
      <c r="AE27" s="71">
        <f t="shared" si="20"/>
        <v>0</v>
      </c>
      <c r="AF27" s="44"/>
      <c r="AG27" s="44"/>
      <c r="AH27" s="44"/>
      <c r="AI27" s="44"/>
      <c r="AJ27" s="44"/>
      <c r="AK27" s="44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79" t="str">
        <f t="shared" si="8"/>
        <v>MAT1</v>
      </c>
      <c r="BA27" s="80">
        <f t="shared" si="9"/>
        <v>0</v>
      </c>
      <c r="BB27" s="81">
        <f ca="1">JUIL!H27</f>
        <v>45494</v>
      </c>
      <c r="BC27" s="81">
        <f ca="1">JUIL!H27</f>
        <v>45494</v>
      </c>
      <c r="BD27" s="77" t="s">
        <v>81</v>
      </c>
      <c r="BE27" s="73" t="str">
        <f t="shared" si="10"/>
        <v>$jour</v>
      </c>
      <c r="BF27" s="71">
        <f t="shared" si="11"/>
        <v>0</v>
      </c>
      <c r="BG27" s="73"/>
      <c r="BH27" s="73"/>
      <c r="BI27" s="72" t="str">
        <f t="shared" si="16"/>
        <v>MAT1</v>
      </c>
      <c r="BL27" s="55" cm="1">
        <f t="array" ref="BL27">INDEX($5:$5,COLUMN($Z25)+B27-1)</f>
        <v>11</v>
      </c>
      <c r="BM27" s="55" cm="1">
        <f t="array" ref="BM27">IF(INDEX($4:$4,COLUMN($Z25)+B27-1)="Heures",SUMIF(C:C,BI27,AT:AT)*24,SUMIF(C:C,BI27,AT:AT))</f>
        <v>0</v>
      </c>
      <c r="BO27" s="55">
        <f t="shared" si="12"/>
        <v>0</v>
      </c>
      <c r="BS27" s="106">
        <f ca="1">VLOOKUP(_xlfn.SHEET(),Listes!$A:$B,2,0)</f>
        <v>45474</v>
      </c>
      <c r="BT27" s="106">
        <f t="shared" ca="1" si="17"/>
        <v>45474</v>
      </c>
      <c r="BU27" s="55">
        <f t="shared" si="13"/>
        <v>0</v>
      </c>
    </row>
    <row r="28" spans="1:73" ht="18" customHeight="1">
      <c r="A28" s="69" t="str">
        <f>Listes!$AD$2</f>
        <v>MANAGER</v>
      </c>
      <c r="B28" s="75">
        <f t="shared" si="18"/>
        <v>22</v>
      </c>
      <c r="C28" s="69" t="str" cm="1">
        <f t="array" ref="C28">INDEX(Listes!$Z$2:$Z$31,1+(ROW()-7)/31+INT((ROW()-7)/(31*30)))</f>
        <v>MAT1</v>
      </c>
      <c r="D28" s="69" t="str">
        <f>IFERROR(INDEX(Listes!Z:AA,MATCH(C28,Listes!Z:Z,0),2),"")</f>
        <v>Matricule 1</v>
      </c>
      <c r="E28" s="77" t="str">
        <f t="shared" ca="1" si="1"/>
        <v>juillet</v>
      </c>
      <c r="F28" s="120">
        <f t="shared" ca="1" si="14"/>
        <v>30</v>
      </c>
      <c r="G28" s="78" t="str">
        <f t="shared" ca="1" si="2"/>
        <v>lundi</v>
      </c>
      <c r="H28" s="78">
        <f ca="1">IF(B28=1,VLOOKUP(_xlfn.SHEET(),Listes!$F:$H,3,0),IF(TEXT(H27+1,"mmmm")&lt;&gt;TEXT(H27,"mmmm"),"",H27+1))</f>
        <v>45495</v>
      </c>
      <c r="I28" s="37" t="s">
        <v>187</v>
      </c>
      <c r="J28" s="38">
        <f>IF(OR(I28=0,LEFT(I28,1)="A"),0,INDEX(Listes!Q:V,MATCH(I28,Listes!Q:Q,0),2))</f>
        <v>0.33333333333333331</v>
      </c>
      <c r="K28" s="38">
        <f>IF(OR(I28=0,LEFT(I28,1)="A"),0,INDEX(Listes!Q:V,MATCH(I28,Listes!Q:Q,0),3))</f>
        <v>0.5</v>
      </c>
      <c r="L28" s="37"/>
      <c r="M28" s="38">
        <f>IF(L28=0,0,IF(AND(LEFT(I28,1)="M",L28&lt;&gt;0),INDEX(Listes!J:O,MATCH(L28,Listes!J:J,1),3),IF(AND(LEFT(I28,1)="N",L28&lt;&gt;0),INDEX(Listes!J:O,MATCH(L28,Listes!J:J,1),3),IF(AND(LEFT(I28,1)="A",L28&lt;&gt;0),INDEX(Listes!J:O,MATCH(L28,Listes!J:J,1),3),IF(AND(LEFT(I28,1)="J",L28&lt;&gt;0),INDEX(Listes!J:O,MATCH(L28,Listes!J:J,1),3),IF(AND(LEFT(I28,1)="T",L28&lt;&gt;0),INDEX(Listes!J:O,MATCH(L28,Listes!J:J,1),3),"horaire"))))))</f>
        <v>0</v>
      </c>
      <c r="N28" s="38">
        <f>IFERROR(IF(M28="$horaire","à compléter",IF(AND(M28="$DEMI",INDEX(Listes!J:O,MATCH(L28,Listes!J:J,1),6)="oui"),(K28-J28),0)),0)</f>
        <v>0</v>
      </c>
      <c r="O28" s="40">
        <f>IF(OR(I28=0,LEFT(I28,1)="A"),0,INDEX(Listes!Q:V,MATCH(I28,Listes!Q:Q,0),4))</f>
        <v>0.5625</v>
      </c>
      <c r="P28" s="42">
        <f>IF(OR(I28=0,LEFT(I28,1)="A"),0,INDEX(Listes!Q:V,MATCH(I28,Listes!Q:Q,0),5))</f>
        <v>0.70833333333333337</v>
      </c>
      <c r="Q28" s="37"/>
      <c r="R28" s="38">
        <f>IF(Q28=0,0,IF(AND(LEFT(I28,1)="M",Q28&lt;&gt;0),INDEX(Listes!J:O,MATCH(Q28,Listes!J:J,1),3),IF(AND(LEFT(I28,1)="N",Q28&lt;&gt;0),INDEX(Listes!J:O,MATCH(Q28,Listes!J:J,1),3),IF(AND(LEFT(I28,1)="A",Q28&lt;&gt;0),INDEX(Listes!J:O,MATCH(Q28,Listes!J:J,1),3),IF(AND(LEFT(I28,1)="J",Q28&lt;&gt;0),INDEX(Listes!J:O,MATCH(Q28,Listes!J:J,1),3),IF(AND(LEFT(I28,1)="T",Q28&lt;&gt;0),INDEX(Listes!J:O,MATCH(Q28,Listes!J:J,1),3),"horaire"))))))</f>
        <v>0</v>
      </c>
      <c r="S28" s="38">
        <f>IFERROR(IF(R28="$horaire","à compléter",IF(AND(R28="$DEMI2",INDEX(Listes!J:O,MATCH(Q28,Listes!J:J,1),6)="oui"),(P28-O28),0)),0)</f>
        <v>0</v>
      </c>
      <c r="T28" s="37"/>
      <c r="U28" s="37">
        <f t="shared" si="3"/>
        <v>0</v>
      </c>
      <c r="V28" s="70">
        <f>IF(I28=0,0,INDEX(Listes!Q:V,MATCH(I28,Listes!Q:Q,1),6))</f>
        <v>7.5000000000000009</v>
      </c>
      <c r="W28" s="71">
        <f>IF(I28=0,0,IF(AND(LEFT(I28,1)="A",O28&lt;=P28),(P28-O28)*24,IF(J28&lt;=K28,(K28-J28)*24,((Listes!$H$21-J28)*24+(K28-Listes!$H$21)*24))+IF(O28&lt;=P28,(P28-O28)*24,(Listes!$H$21-O28)*24+(P28-Listes!$G$21)*24)))-X28+(U28*24)</f>
        <v>7.5000000000000009</v>
      </c>
      <c r="X28" s="70">
        <f>IFERROR(IF(IFERROR(INDEX(Listes!J:O,MATCH(L28,Listes!J:J,1),6),0)="oui",N28*24,0),0)+IFERROR(IF(IFERROR(INDEX(Listes!J:O,MATCH(Q28,Listes!J:J,1),6),0)="oui",S28*24,0),0)</f>
        <v>0</v>
      </c>
      <c r="Y28" s="70">
        <f t="shared" ca="1" si="21"/>
        <v>0</v>
      </c>
      <c r="Z28" s="71">
        <f t="shared" si="19"/>
        <v>1</v>
      </c>
      <c r="AA28" s="70">
        <f t="shared" si="6"/>
        <v>0</v>
      </c>
      <c r="AB28" s="70">
        <f>IF(I28=0,0,IF(AND(J28&gt;K28,J28&gt;=Listes!$G$22),MOD(MIN(K28,Listes!$H$22)-J28,1),IF(OR(J28&gt;K28,K28&gt;=Listes!$G$22),MOD(K28-Listes!$G$22,1),IF(K28&lt;=Listes!$H$22,MOD(K28-J28,1),IF(J28&lt;=Listes!$H$22,MOD(Listes!$H$22-J28,1),0))))+IF(AND(O28&gt;P28,O28&gt;=Listes!$G$22),MOD(MIN(P28,Listes!$H$22)-O28,1),IF(OR(O28&gt;P28,P28&gt;=Listes!$G$22),MOD(P28-Listes!$G$22,1),0)))*24</f>
        <v>0</v>
      </c>
      <c r="AC28" s="71">
        <f t="shared" ca="1" si="15"/>
        <v>0</v>
      </c>
      <c r="AD28" s="71">
        <f ca="1">IF(IFERROR(VLOOKUP(H28,Listes!$H$3:$H$20,1,0),0)&lt;&gt;0,W28,0)</f>
        <v>0</v>
      </c>
      <c r="AE28" s="71">
        <f t="shared" si="20"/>
        <v>0</v>
      </c>
      <c r="AF28" s="44"/>
      <c r="AG28" s="44"/>
      <c r="AH28" s="44"/>
      <c r="AI28" s="44"/>
      <c r="AJ28" s="44"/>
      <c r="AK28" s="44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79" t="str">
        <f t="shared" si="8"/>
        <v>MAT1</v>
      </c>
      <c r="BA28" s="80">
        <f t="shared" si="9"/>
        <v>0</v>
      </c>
      <c r="BB28" s="81">
        <f ca="1">JUIL!H28</f>
        <v>45495</v>
      </c>
      <c r="BC28" s="81">
        <f ca="1">JUIL!H28</f>
        <v>45495</v>
      </c>
      <c r="BD28" s="77" t="s">
        <v>81</v>
      </c>
      <c r="BE28" s="73" t="str">
        <f t="shared" si="10"/>
        <v>$jour</v>
      </c>
      <c r="BF28" s="71">
        <f t="shared" si="11"/>
        <v>0</v>
      </c>
      <c r="BG28" s="73"/>
      <c r="BH28" s="73"/>
      <c r="BI28" s="72" t="str">
        <f t="shared" si="16"/>
        <v>MAT1</v>
      </c>
      <c r="BL28" s="55" cm="1">
        <f t="array" ref="BL28">INDEX($5:$5,COLUMN($Z26)+B28-1)</f>
        <v>12</v>
      </c>
      <c r="BM28" s="55" cm="1">
        <f t="array" ref="BM28">IF(INDEX($4:$4,COLUMN($Z26)+B28-1)="Heures",SUMIF(C:C,BI28,AU:AU)*24,SUMIF(C:C,BI28,AU:AU))</f>
        <v>0</v>
      </c>
      <c r="BO28" s="55">
        <f t="shared" si="12"/>
        <v>0</v>
      </c>
      <c r="BS28" s="106">
        <f ca="1">VLOOKUP(_xlfn.SHEET(),Listes!$A:$B,2,0)</f>
        <v>45474</v>
      </c>
      <c r="BT28" s="106">
        <f t="shared" ca="1" si="17"/>
        <v>45474</v>
      </c>
      <c r="BU28" s="55">
        <f t="shared" si="13"/>
        <v>0</v>
      </c>
    </row>
    <row r="29" spans="1:73" ht="18" customHeight="1">
      <c r="A29" s="69" t="str">
        <f>Listes!$AD$2</f>
        <v>MANAGER</v>
      </c>
      <c r="B29" s="75">
        <f t="shared" si="18"/>
        <v>23</v>
      </c>
      <c r="C29" s="69" t="str" cm="1">
        <f t="array" ref="C29">INDEX(Listes!$Z$2:$Z$31,1+(ROW()-7)/31+INT((ROW()-7)/(31*30)))</f>
        <v>MAT1</v>
      </c>
      <c r="D29" s="69" t="str">
        <f>IFERROR(INDEX(Listes!Z:AA,MATCH(C29,Listes!Z:Z,0),2),"")</f>
        <v>Matricule 1</v>
      </c>
      <c r="E29" s="77" t="str">
        <f t="shared" ca="1" si="1"/>
        <v>juillet</v>
      </c>
      <c r="F29" s="120">
        <f t="shared" ca="1" si="14"/>
        <v>30</v>
      </c>
      <c r="G29" s="78" t="str">
        <f t="shared" ca="1" si="2"/>
        <v>mardi</v>
      </c>
      <c r="H29" s="78">
        <f ca="1">IF(B29=1,VLOOKUP(_xlfn.SHEET(),Listes!$F:$H,3,0),IF(TEXT(H28+1,"mmmm")&lt;&gt;TEXT(H28,"mmmm"),"",H28+1))</f>
        <v>45496</v>
      </c>
      <c r="I29" s="37" t="s">
        <v>187</v>
      </c>
      <c r="J29" s="38">
        <f>IF(OR(I29=0,LEFT(I29,1)="A"),0,INDEX(Listes!Q:V,MATCH(I29,Listes!Q:Q,0),2))</f>
        <v>0.33333333333333331</v>
      </c>
      <c r="K29" s="38">
        <f>IF(OR(I29=0,LEFT(I29,1)="A"),0,INDEX(Listes!Q:V,MATCH(I29,Listes!Q:Q,0),3))</f>
        <v>0.5</v>
      </c>
      <c r="L29" s="37"/>
      <c r="M29" s="38">
        <f>IF(L29=0,0,IF(AND(LEFT(I29,1)="M",L29&lt;&gt;0),INDEX(Listes!J:O,MATCH(L29,Listes!J:J,1),3),IF(AND(LEFT(I29,1)="N",L29&lt;&gt;0),INDEX(Listes!J:O,MATCH(L29,Listes!J:J,1),3),IF(AND(LEFT(I29,1)="A",L29&lt;&gt;0),INDEX(Listes!J:O,MATCH(L29,Listes!J:J,1),3),IF(AND(LEFT(I29,1)="J",L29&lt;&gt;0),INDEX(Listes!J:O,MATCH(L29,Listes!J:J,1),3),IF(AND(LEFT(I29,1)="T",L29&lt;&gt;0),INDEX(Listes!J:O,MATCH(L29,Listes!J:J,1),3),"horaire"))))))</f>
        <v>0</v>
      </c>
      <c r="N29" s="38">
        <f>IFERROR(IF(M29="$horaire","à compléter",IF(AND(M29="$DEMI",INDEX(Listes!J:O,MATCH(L29,Listes!J:J,1),6)="oui"),(K29-J29),0)),0)</f>
        <v>0</v>
      </c>
      <c r="O29" s="40">
        <f>IF(OR(I29=0,LEFT(I29,1)="A"),0,INDEX(Listes!Q:V,MATCH(I29,Listes!Q:Q,0),4))</f>
        <v>0.5625</v>
      </c>
      <c r="P29" s="42">
        <f>IF(OR(I29=0,LEFT(I29,1)="A"),0,INDEX(Listes!Q:V,MATCH(I29,Listes!Q:Q,0),5))</f>
        <v>0.70833333333333337</v>
      </c>
      <c r="Q29" s="37"/>
      <c r="R29" s="38">
        <f>IF(Q29=0,0,IF(AND(LEFT(I29,1)="M",Q29&lt;&gt;0),INDEX(Listes!J:O,MATCH(Q29,Listes!J:J,1),3),IF(AND(LEFT(I29,1)="N",Q29&lt;&gt;0),INDEX(Listes!J:O,MATCH(Q29,Listes!J:J,1),3),IF(AND(LEFT(I29,1)="A",Q29&lt;&gt;0),INDEX(Listes!J:O,MATCH(Q29,Listes!J:J,1),3),IF(AND(LEFT(I29,1)="J",Q29&lt;&gt;0),INDEX(Listes!J:O,MATCH(Q29,Listes!J:J,1),3),IF(AND(LEFT(I29,1)="T",Q29&lt;&gt;0),INDEX(Listes!J:O,MATCH(Q29,Listes!J:J,1),3),"horaire"))))))</f>
        <v>0</v>
      </c>
      <c r="S29" s="38">
        <f>IFERROR(IF(R29="$horaire","à compléter",IF(AND(R29="$DEMI2",INDEX(Listes!J:O,MATCH(Q29,Listes!J:J,1),6)="oui"),(P29-O29),0)),0)</f>
        <v>0</v>
      </c>
      <c r="T29" s="37"/>
      <c r="U29" s="37">
        <f t="shared" si="3"/>
        <v>0</v>
      </c>
      <c r="V29" s="70">
        <f>IF(I29=0,0,INDEX(Listes!Q:V,MATCH(I29,Listes!Q:Q,1),6))</f>
        <v>7.5000000000000009</v>
      </c>
      <c r="W29" s="71">
        <f>IF(I29=0,0,IF(AND(LEFT(I29,1)="A",O29&lt;=P29),(P29-O29)*24,IF(J29&lt;=K29,(K29-J29)*24,((Listes!$H$21-J29)*24+(K29-Listes!$H$21)*24))+IF(O29&lt;=P29,(P29-O29)*24,(Listes!$H$21-O29)*24+(P29-Listes!$G$21)*24)))-X29+(U29*24)</f>
        <v>7.5000000000000009</v>
      </c>
      <c r="X29" s="70">
        <f>IFERROR(IF(IFERROR(INDEX(Listes!J:O,MATCH(L29,Listes!J:J,1),6),0)="oui",N29*24,0),0)+IFERROR(IF(IFERROR(INDEX(Listes!J:O,MATCH(Q29,Listes!J:J,1),6),0)="oui",S29*24,0),0)</f>
        <v>0</v>
      </c>
      <c r="Y29" s="70">
        <f t="shared" ca="1" si="21"/>
        <v>0</v>
      </c>
      <c r="Z29" s="71">
        <f t="shared" si="19"/>
        <v>1</v>
      </c>
      <c r="AA29" s="70">
        <f t="shared" si="6"/>
        <v>0</v>
      </c>
      <c r="AB29" s="70">
        <f>IF(I29=0,0,IF(AND(J29&gt;K29,J29&gt;=Listes!$G$22),MOD(MIN(K29,Listes!$H$22)-J29,1),IF(OR(J29&gt;K29,K29&gt;=Listes!$G$22),MOD(K29-Listes!$G$22,1),IF(K29&lt;=Listes!$H$22,MOD(K29-J29,1),IF(J29&lt;=Listes!$H$22,MOD(Listes!$H$22-J29,1),0))))+IF(AND(O29&gt;P29,O29&gt;=Listes!$G$22),MOD(MIN(P29,Listes!$H$22)-O29,1),IF(OR(O29&gt;P29,P29&gt;=Listes!$G$22),MOD(P29-Listes!$G$22,1),0)))*24</f>
        <v>0</v>
      </c>
      <c r="AC29" s="71">
        <f t="shared" ca="1" si="15"/>
        <v>0</v>
      </c>
      <c r="AD29" s="71">
        <f ca="1">IF(IFERROR(VLOOKUP(H29,Listes!$H$3:$H$20,1,0),0)&lt;&gt;0,W29,0)</f>
        <v>0</v>
      </c>
      <c r="AE29" s="71">
        <f t="shared" si="20"/>
        <v>0</v>
      </c>
      <c r="AF29" s="44"/>
      <c r="AG29" s="44"/>
      <c r="AH29" s="44"/>
      <c r="AI29" s="44"/>
      <c r="AJ29" s="44"/>
      <c r="AK29" s="44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79" t="str">
        <f t="shared" si="8"/>
        <v>MAT1</v>
      </c>
      <c r="BA29" s="80">
        <f t="shared" si="9"/>
        <v>0</v>
      </c>
      <c r="BB29" s="81">
        <f ca="1">JUIL!H29</f>
        <v>45496</v>
      </c>
      <c r="BC29" s="81">
        <f ca="1">JUIL!H29</f>
        <v>45496</v>
      </c>
      <c r="BD29" s="77" t="s">
        <v>81</v>
      </c>
      <c r="BE29" s="73" t="str">
        <f t="shared" si="10"/>
        <v>$jour</v>
      </c>
      <c r="BF29" s="71">
        <f t="shared" si="11"/>
        <v>0</v>
      </c>
      <c r="BG29" s="73"/>
      <c r="BH29" s="73"/>
      <c r="BI29" s="72" t="str">
        <f t="shared" si="16"/>
        <v>MAT1</v>
      </c>
      <c r="BL29" s="55" cm="1">
        <f t="array" ref="BL29">INDEX($5:$5,COLUMN($Z27)+B29-1)</f>
        <v>13</v>
      </c>
      <c r="BM29" s="55" cm="1">
        <f t="array" ref="BM29">IF(INDEX($4:$4,COLUMN($Z27)+B29-1)="Heures",SUMIF(C:C,BI29,AV:AV)*24,SUMIF(C:C,BI29,AV:AV))</f>
        <v>0</v>
      </c>
      <c r="BO29" s="55">
        <f t="shared" si="12"/>
        <v>0</v>
      </c>
      <c r="BS29" s="106">
        <f ca="1">VLOOKUP(_xlfn.SHEET(),Listes!$A:$B,2,0)</f>
        <v>45474</v>
      </c>
      <c r="BT29" s="106">
        <f t="shared" ca="1" si="17"/>
        <v>45474</v>
      </c>
      <c r="BU29" s="55">
        <f t="shared" si="13"/>
        <v>0</v>
      </c>
    </row>
    <row r="30" spans="1:73" ht="18" customHeight="1">
      <c r="A30" s="69" t="str">
        <f>Listes!$AD$2</f>
        <v>MANAGER</v>
      </c>
      <c r="B30" s="75">
        <f t="shared" si="18"/>
        <v>24</v>
      </c>
      <c r="C30" s="69" t="str" cm="1">
        <f t="array" ref="C30">INDEX(Listes!$Z$2:$Z$31,1+(ROW()-7)/31+INT((ROW()-7)/(31*30)))</f>
        <v>MAT1</v>
      </c>
      <c r="D30" s="69" t="str">
        <f>IFERROR(INDEX(Listes!Z:AA,MATCH(C30,Listes!Z:Z,0),2),"")</f>
        <v>Matricule 1</v>
      </c>
      <c r="E30" s="77" t="str">
        <f t="shared" ca="1" si="1"/>
        <v>juillet</v>
      </c>
      <c r="F30" s="120">
        <f t="shared" ca="1" si="14"/>
        <v>30</v>
      </c>
      <c r="G30" s="78" t="str">
        <f t="shared" ca="1" si="2"/>
        <v>mercredi</v>
      </c>
      <c r="H30" s="78">
        <f ca="1">IF(B30=1,VLOOKUP(_xlfn.SHEET(),Listes!$F:$H,3,0),IF(TEXT(H29+1,"mmmm")&lt;&gt;TEXT(H29,"mmmm"),"",H29+1))</f>
        <v>45497</v>
      </c>
      <c r="I30" s="37" t="s">
        <v>187</v>
      </c>
      <c r="J30" s="38">
        <f>IF(OR(I30=0,LEFT(I30,1)="A"),0,INDEX(Listes!Q:V,MATCH(I30,Listes!Q:Q,0),2))</f>
        <v>0.33333333333333331</v>
      </c>
      <c r="K30" s="38">
        <f>IF(OR(I30=0,LEFT(I30,1)="A"),0,INDEX(Listes!Q:V,MATCH(I30,Listes!Q:Q,0),3))</f>
        <v>0.5</v>
      </c>
      <c r="L30" s="37"/>
      <c r="M30" s="38">
        <f>IF(L30=0,0,IF(AND(LEFT(I30,1)="M",L30&lt;&gt;0),INDEX(Listes!J:O,MATCH(L30,Listes!J:J,1),3),IF(AND(LEFT(I30,1)="N",L30&lt;&gt;0),INDEX(Listes!J:O,MATCH(L30,Listes!J:J,1),3),IF(AND(LEFT(I30,1)="A",L30&lt;&gt;0),INDEX(Listes!J:O,MATCH(L30,Listes!J:J,1),3),IF(AND(LEFT(I30,1)="J",L30&lt;&gt;0),INDEX(Listes!J:O,MATCH(L30,Listes!J:J,1),3),IF(AND(LEFT(I30,1)="T",L30&lt;&gt;0),INDEX(Listes!J:O,MATCH(L30,Listes!J:J,1),3),"horaire"))))))</f>
        <v>0</v>
      </c>
      <c r="N30" s="38">
        <f>IFERROR(IF(M30="$horaire","à compléter",IF(AND(M30="$DEMI",INDEX(Listes!J:O,MATCH(L30,Listes!J:J,1),6)="oui"),(K30-J30),0)),0)</f>
        <v>0</v>
      </c>
      <c r="O30" s="40">
        <f>IF(OR(I30=0,LEFT(I30,1)="A"),0,INDEX(Listes!Q:V,MATCH(I30,Listes!Q:Q,0),4))</f>
        <v>0.5625</v>
      </c>
      <c r="P30" s="42">
        <f>IF(OR(I30=0,LEFT(I30,1)="A"),0,INDEX(Listes!Q:V,MATCH(I30,Listes!Q:Q,0),5))</f>
        <v>0.70833333333333337</v>
      </c>
      <c r="Q30" s="37"/>
      <c r="R30" s="38">
        <f>IF(Q30=0,0,IF(AND(LEFT(I30,1)="M",Q30&lt;&gt;0),INDEX(Listes!J:O,MATCH(Q30,Listes!J:J,1),3),IF(AND(LEFT(I30,1)="N",Q30&lt;&gt;0),INDEX(Listes!J:O,MATCH(Q30,Listes!J:J,1),3),IF(AND(LEFT(I30,1)="A",Q30&lt;&gt;0),INDEX(Listes!J:O,MATCH(Q30,Listes!J:J,1),3),IF(AND(LEFT(I30,1)="J",Q30&lt;&gt;0),INDEX(Listes!J:O,MATCH(Q30,Listes!J:J,1),3),IF(AND(LEFT(I30,1)="T",Q30&lt;&gt;0),INDEX(Listes!J:O,MATCH(Q30,Listes!J:J,1),3),"horaire"))))))</f>
        <v>0</v>
      </c>
      <c r="S30" s="38">
        <f>IFERROR(IF(R30="$horaire","à compléter",IF(AND(R30="$DEMI2",INDEX(Listes!J:O,MATCH(Q30,Listes!J:J,1),6)="oui"),(P30-O30),0)),0)</f>
        <v>0</v>
      </c>
      <c r="T30" s="37"/>
      <c r="U30" s="37">
        <f t="shared" si="3"/>
        <v>0</v>
      </c>
      <c r="V30" s="70">
        <f>IF(I30=0,0,INDEX(Listes!Q:V,MATCH(I30,Listes!Q:Q,1),6))</f>
        <v>7.5000000000000009</v>
      </c>
      <c r="W30" s="71">
        <f>IF(I30=0,0,IF(AND(LEFT(I30,1)="A",O30&lt;=P30),(P30-O30)*24,IF(J30&lt;=K30,(K30-J30)*24,((Listes!$H$21-J30)*24+(K30-Listes!$H$21)*24))+IF(O30&lt;=P30,(P30-O30)*24,(Listes!$H$21-O30)*24+(P30-Listes!$G$21)*24)))-X30+(U30*24)</f>
        <v>7.5000000000000009</v>
      </c>
      <c r="X30" s="70">
        <f>IFERROR(IF(IFERROR(INDEX(Listes!J:O,MATCH(L30,Listes!J:J,1),6),0)="oui",N30*24,0),0)+IFERROR(IF(IFERROR(INDEX(Listes!J:O,MATCH(Q30,Listes!J:J,1),6),0)="oui",S30*24,0),0)</f>
        <v>0</v>
      </c>
      <c r="Y30" s="70">
        <f t="shared" ca="1" si="21"/>
        <v>0</v>
      </c>
      <c r="Z30" s="71">
        <f t="shared" si="19"/>
        <v>1</v>
      </c>
      <c r="AA30" s="70">
        <f t="shared" si="6"/>
        <v>0</v>
      </c>
      <c r="AB30" s="70">
        <f>IF(I30=0,0,IF(AND(J30&gt;K30,J30&gt;=Listes!$G$22),MOD(MIN(K30,Listes!$H$22)-J30,1),IF(OR(J30&gt;K30,K30&gt;=Listes!$G$22),MOD(K30-Listes!$G$22,1),IF(K30&lt;=Listes!$H$22,MOD(K30-J30,1),IF(J30&lt;=Listes!$H$22,MOD(Listes!$H$22-J30,1),0))))+IF(AND(O30&gt;P30,O30&gt;=Listes!$G$22),MOD(MIN(P30,Listes!$H$22)-O30,1),IF(OR(O30&gt;P30,P30&gt;=Listes!$G$22),MOD(P30-Listes!$G$22,1),0)))*24</f>
        <v>0</v>
      </c>
      <c r="AC30" s="71">
        <f t="shared" ca="1" si="15"/>
        <v>0</v>
      </c>
      <c r="AD30" s="71">
        <f ca="1">IF(IFERROR(VLOOKUP(H30,Listes!$H$3:$H$20,1,0),0)&lt;&gt;0,W30,0)</f>
        <v>0</v>
      </c>
      <c r="AE30" s="71">
        <f t="shared" si="20"/>
        <v>0</v>
      </c>
      <c r="AF30" s="44"/>
      <c r="AG30" s="44"/>
      <c r="AH30" s="44"/>
      <c r="AI30" s="44"/>
      <c r="AJ30" s="44"/>
      <c r="AK30" s="44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79" t="str">
        <f t="shared" si="8"/>
        <v>MAT1</v>
      </c>
      <c r="BA30" s="80">
        <f t="shared" si="9"/>
        <v>0</v>
      </c>
      <c r="BB30" s="81">
        <f ca="1">JUIL!H30</f>
        <v>45497</v>
      </c>
      <c r="BC30" s="81">
        <f ca="1">JUIL!H30</f>
        <v>45497</v>
      </c>
      <c r="BD30" s="77" t="s">
        <v>81</v>
      </c>
      <c r="BE30" s="73" t="str">
        <f t="shared" si="10"/>
        <v>$jour</v>
      </c>
      <c r="BF30" s="71">
        <f t="shared" si="11"/>
        <v>0</v>
      </c>
      <c r="BG30" s="73"/>
      <c r="BH30" s="73"/>
      <c r="BI30" s="72" t="str">
        <f t="shared" si="16"/>
        <v>MAT1</v>
      </c>
      <c r="BL30" s="55" cm="1">
        <f t="array" ref="BL30">INDEX($5:$5,COLUMN($Z28)+B30-1)</f>
        <v>14</v>
      </c>
      <c r="BM30" s="55" cm="1">
        <f t="array" ref="BM30">IF(INDEX($4:$4,COLUMN($Z28)+B30-1)="Heures",SUMIF(C:C,BI30,AW:AW)*24,SUMIF(C:C,BI30,AW:AW))</f>
        <v>0</v>
      </c>
      <c r="BO30" s="55">
        <f t="shared" si="12"/>
        <v>0</v>
      </c>
      <c r="BS30" s="106">
        <f ca="1">VLOOKUP(_xlfn.SHEET(),Listes!$A:$B,2,0)</f>
        <v>45474</v>
      </c>
      <c r="BT30" s="106">
        <f t="shared" ca="1" si="17"/>
        <v>45474</v>
      </c>
      <c r="BU30" s="55">
        <f t="shared" si="13"/>
        <v>0</v>
      </c>
    </row>
    <row r="31" spans="1:73" ht="18" customHeight="1">
      <c r="A31" s="69" t="str">
        <f>Listes!$AD$2</f>
        <v>MANAGER</v>
      </c>
      <c r="B31" s="75">
        <f t="shared" si="18"/>
        <v>25</v>
      </c>
      <c r="C31" s="69" t="str" cm="1">
        <f t="array" ref="C31">INDEX(Listes!$Z$2:$Z$31,1+(ROW()-7)/31+INT((ROW()-7)/(31*30)))</f>
        <v>MAT1</v>
      </c>
      <c r="D31" s="69" t="str">
        <f>IFERROR(INDEX(Listes!Z:AA,MATCH(C31,Listes!Z:Z,0),2),"")</f>
        <v>Matricule 1</v>
      </c>
      <c r="E31" s="77" t="str">
        <f t="shared" ca="1" si="1"/>
        <v>juillet</v>
      </c>
      <c r="F31" s="120">
        <f t="shared" ca="1" si="14"/>
        <v>30</v>
      </c>
      <c r="G31" s="78" t="str">
        <f t="shared" ca="1" si="2"/>
        <v>jeudi</v>
      </c>
      <c r="H31" s="78">
        <f ca="1">IF(B31=1,VLOOKUP(_xlfn.SHEET(),Listes!$F:$H,3,0),IF(TEXT(H30+1,"mmmm")&lt;&gt;TEXT(H30,"mmmm"),"",H30+1))</f>
        <v>45498</v>
      </c>
      <c r="I31" s="37" t="s">
        <v>187</v>
      </c>
      <c r="J31" s="38">
        <f>IF(OR(I31=0,LEFT(I31,1)="A"),0,INDEX(Listes!Q:V,MATCH(I31,Listes!Q:Q,0),2))</f>
        <v>0.33333333333333331</v>
      </c>
      <c r="K31" s="38">
        <f>IF(OR(I31=0,LEFT(I31,1)="A"),0,INDEX(Listes!Q:V,MATCH(I31,Listes!Q:Q,0),3))</f>
        <v>0.5</v>
      </c>
      <c r="L31" s="37"/>
      <c r="M31" s="38">
        <f>IF(L31=0,0,IF(AND(LEFT(I31,1)="M",L31&lt;&gt;0),INDEX(Listes!J:O,MATCH(L31,Listes!J:J,1),3),IF(AND(LEFT(I31,1)="N",L31&lt;&gt;0),INDEX(Listes!J:O,MATCH(L31,Listes!J:J,1),3),IF(AND(LEFT(I31,1)="A",L31&lt;&gt;0),INDEX(Listes!J:O,MATCH(L31,Listes!J:J,1),3),IF(AND(LEFT(I31,1)="J",L31&lt;&gt;0),INDEX(Listes!J:O,MATCH(L31,Listes!J:J,1),3),IF(AND(LEFT(I31,1)="T",L31&lt;&gt;0),INDEX(Listes!J:O,MATCH(L31,Listes!J:J,1),3),"horaire"))))))</f>
        <v>0</v>
      </c>
      <c r="N31" s="38">
        <f>IFERROR(IF(M31="$horaire","à compléter",IF(AND(M31="$DEMI",INDEX(Listes!J:O,MATCH(L31,Listes!J:J,1),6)="oui"),(K31-J31),0)),0)</f>
        <v>0</v>
      </c>
      <c r="O31" s="40">
        <f>IF(OR(I31=0,LEFT(I31,1)="A"),0,INDEX(Listes!Q:V,MATCH(I31,Listes!Q:Q,0),4))</f>
        <v>0.5625</v>
      </c>
      <c r="P31" s="42">
        <f>IF(OR(I31=0,LEFT(I31,1)="A"),0,INDEX(Listes!Q:V,MATCH(I31,Listes!Q:Q,0),5))</f>
        <v>0.70833333333333337</v>
      </c>
      <c r="Q31" s="37"/>
      <c r="R31" s="38">
        <f>IF(Q31=0,0,IF(AND(LEFT(I31,1)="M",Q31&lt;&gt;0),INDEX(Listes!J:O,MATCH(Q31,Listes!J:J,1),3),IF(AND(LEFT(I31,1)="N",Q31&lt;&gt;0),INDEX(Listes!J:O,MATCH(Q31,Listes!J:J,1),3),IF(AND(LEFT(I31,1)="A",Q31&lt;&gt;0),INDEX(Listes!J:O,MATCH(Q31,Listes!J:J,1),3),IF(AND(LEFT(I31,1)="J",Q31&lt;&gt;0),INDEX(Listes!J:O,MATCH(Q31,Listes!J:J,1),3),IF(AND(LEFT(I31,1)="T",Q31&lt;&gt;0),INDEX(Listes!J:O,MATCH(Q31,Listes!J:J,1),3),"horaire"))))))</f>
        <v>0</v>
      </c>
      <c r="S31" s="38">
        <f>IFERROR(IF(R31="$horaire","à compléter",IF(AND(R31="$DEMI2",INDEX(Listes!J:O,MATCH(Q31,Listes!J:J,1),6)="oui"),(P31-O31),0)),0)</f>
        <v>0</v>
      </c>
      <c r="T31" s="37"/>
      <c r="U31" s="37">
        <f t="shared" si="3"/>
        <v>0</v>
      </c>
      <c r="V31" s="70">
        <f>IF(I31=0,0,INDEX(Listes!Q:V,MATCH(I31,Listes!Q:Q,1),6))</f>
        <v>7.5000000000000009</v>
      </c>
      <c r="W31" s="71">
        <f>IF(I31=0,0,IF(AND(LEFT(I31,1)="A",O31&lt;=P31),(P31-O31)*24,IF(J31&lt;=K31,(K31-J31)*24,((Listes!$H$21-J31)*24+(K31-Listes!$H$21)*24))+IF(O31&lt;=P31,(P31-O31)*24,(Listes!$H$21-O31)*24+(P31-Listes!$G$21)*24)))-X31+(U31*24)</f>
        <v>7.5000000000000009</v>
      </c>
      <c r="X31" s="70">
        <f>IFERROR(IF(IFERROR(INDEX(Listes!J:O,MATCH(L31,Listes!J:J,1),6),0)="oui",N31*24,0),0)+IFERROR(IF(IFERROR(INDEX(Listes!J:O,MATCH(Q31,Listes!J:J,1),6),0)="oui",S31*24,0),0)</f>
        <v>0</v>
      </c>
      <c r="Y31" s="70">
        <f t="shared" ca="1" si="21"/>
        <v>0</v>
      </c>
      <c r="Z31" s="71">
        <f t="shared" si="19"/>
        <v>1</v>
      </c>
      <c r="AA31" s="70">
        <f t="shared" si="6"/>
        <v>0</v>
      </c>
      <c r="AB31" s="70">
        <f>IF(I31=0,0,IF(AND(J31&gt;K31,J31&gt;=Listes!$G$22),MOD(MIN(K31,Listes!$H$22)-J31,1),IF(OR(J31&gt;K31,K31&gt;=Listes!$G$22),MOD(K31-Listes!$G$22,1),IF(K31&lt;=Listes!$H$22,MOD(K31-J31,1),IF(J31&lt;=Listes!$H$22,MOD(Listes!$H$22-J31,1),0))))+IF(AND(O31&gt;P31,O31&gt;=Listes!$G$22),MOD(MIN(P31,Listes!$H$22)-O31,1),IF(OR(O31&gt;P31,P31&gt;=Listes!$G$22),MOD(P31-Listes!$G$22,1),0)))*24</f>
        <v>0</v>
      </c>
      <c r="AC31" s="71">
        <f t="shared" ca="1" si="15"/>
        <v>0</v>
      </c>
      <c r="AD31" s="71">
        <f ca="1">IF(IFERROR(VLOOKUP(H31,Listes!$H$3:$H$20,1,0),0)&lt;&gt;0,W31,0)</f>
        <v>0</v>
      </c>
      <c r="AE31" s="71">
        <f t="shared" si="20"/>
        <v>0</v>
      </c>
      <c r="AF31" s="44"/>
      <c r="AG31" s="44"/>
      <c r="AH31" s="44"/>
      <c r="AI31" s="44"/>
      <c r="AJ31" s="44"/>
      <c r="AK31" s="44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79" t="str">
        <f t="shared" si="8"/>
        <v>MAT1</v>
      </c>
      <c r="BA31" s="80">
        <f t="shared" si="9"/>
        <v>0</v>
      </c>
      <c r="BB31" s="81">
        <f ca="1">JUIL!H31</f>
        <v>45498</v>
      </c>
      <c r="BC31" s="81">
        <f ca="1">JUIL!H31</f>
        <v>45498</v>
      </c>
      <c r="BD31" s="77" t="s">
        <v>81</v>
      </c>
      <c r="BE31" s="73" t="str">
        <f t="shared" si="10"/>
        <v>$jour</v>
      </c>
      <c r="BF31" s="71">
        <f t="shared" si="11"/>
        <v>0</v>
      </c>
      <c r="BG31" s="73"/>
      <c r="BH31" s="73"/>
      <c r="BI31" s="72" t="str">
        <f t="shared" si="16"/>
        <v>MAT1</v>
      </c>
      <c r="BL31" s="55" cm="1">
        <f t="array" ref="BL31">INDEX($5:$5,COLUMN($Z29)+B31-1)</f>
        <v>15</v>
      </c>
      <c r="BM31" s="55" cm="1">
        <f t="array" ref="BM31">IF(INDEX($4:$4,COLUMN($Z29)+B31-1)="Heures",SUMIF(C:C,BI31,AX:AX)*24,SUMIF(C:C,BI31,AX:AX))</f>
        <v>0</v>
      </c>
      <c r="BO31" s="55">
        <f t="shared" si="12"/>
        <v>0</v>
      </c>
      <c r="BS31" s="106">
        <f ca="1">VLOOKUP(_xlfn.SHEET(),Listes!$A:$B,2,0)</f>
        <v>45474</v>
      </c>
      <c r="BT31" s="106">
        <f t="shared" ca="1" si="17"/>
        <v>45474</v>
      </c>
      <c r="BU31" s="55">
        <f t="shared" si="13"/>
        <v>0</v>
      </c>
    </row>
    <row r="32" spans="1:73" ht="18" customHeight="1">
      <c r="A32" s="69" t="str">
        <f>Listes!$AD$2</f>
        <v>MANAGER</v>
      </c>
      <c r="B32" s="75">
        <f t="shared" si="18"/>
        <v>26</v>
      </c>
      <c r="C32" s="69" t="str" cm="1">
        <f t="array" ref="C32">INDEX(Listes!$Z$2:$Z$31,1+(ROW()-7)/31+INT((ROW()-7)/(31*30)))</f>
        <v>MAT1</v>
      </c>
      <c r="D32" s="69" t="str">
        <f>IFERROR(INDEX(Listes!Z:AA,MATCH(C32,Listes!Z:Z,0),2),"")</f>
        <v>Matricule 1</v>
      </c>
      <c r="E32" s="77" t="str">
        <f t="shared" ca="1" si="1"/>
        <v>juillet</v>
      </c>
      <c r="F32" s="120">
        <f t="shared" ca="1" si="14"/>
        <v>30</v>
      </c>
      <c r="G32" s="78" t="str">
        <f t="shared" ca="1" si="2"/>
        <v>vendredi</v>
      </c>
      <c r="H32" s="78">
        <f ca="1">IF(B32=1,VLOOKUP(_xlfn.SHEET(),Listes!$F:$H,3,0),IF(TEXT(H31+1,"mmmm")&lt;&gt;TEXT(H31,"mmmm"),"",H31+1))</f>
        <v>45499</v>
      </c>
      <c r="I32" s="37" t="s">
        <v>187</v>
      </c>
      <c r="J32" s="38">
        <f>IF(OR(I32=0,LEFT(I32,1)="A"),0,INDEX(Listes!Q:V,MATCH(I32,Listes!Q:Q,0),2))</f>
        <v>0.33333333333333331</v>
      </c>
      <c r="K32" s="38">
        <f>IF(OR(I32=0,LEFT(I32,1)="A"),0,INDEX(Listes!Q:V,MATCH(I32,Listes!Q:Q,0),3))</f>
        <v>0.5</v>
      </c>
      <c r="L32" s="37"/>
      <c r="M32" s="38">
        <f>IF(L32=0,0,IF(AND(LEFT(I32,1)="M",L32&lt;&gt;0),INDEX(Listes!J:O,MATCH(L32,Listes!J:J,1),3),IF(AND(LEFT(I32,1)="N",L32&lt;&gt;0),INDEX(Listes!J:O,MATCH(L32,Listes!J:J,1),3),IF(AND(LEFT(I32,1)="A",L32&lt;&gt;0),INDEX(Listes!J:O,MATCH(L32,Listes!J:J,1),3),IF(AND(LEFT(I32,1)="J",L32&lt;&gt;0),INDEX(Listes!J:O,MATCH(L32,Listes!J:J,1),3),IF(AND(LEFT(I32,1)="T",L32&lt;&gt;0),INDEX(Listes!J:O,MATCH(L32,Listes!J:J,1),3),"horaire"))))))</f>
        <v>0</v>
      </c>
      <c r="N32" s="38">
        <f>IFERROR(IF(M32="$horaire","à compléter",IF(AND(M32="$DEMI",INDEX(Listes!J:O,MATCH(L32,Listes!J:J,1),6)="oui"),(K32-J32),0)),0)</f>
        <v>0</v>
      </c>
      <c r="O32" s="40">
        <f>IF(OR(I32=0,LEFT(I32,1)="A"),0,INDEX(Listes!Q:V,MATCH(I32,Listes!Q:Q,0),4))</f>
        <v>0.5625</v>
      </c>
      <c r="P32" s="42">
        <f>IF(OR(I32=0,LEFT(I32,1)="A"),0,INDEX(Listes!Q:V,MATCH(I32,Listes!Q:Q,0),5))</f>
        <v>0.70833333333333337</v>
      </c>
      <c r="Q32" s="37"/>
      <c r="R32" s="38">
        <f>IF(Q32=0,0,IF(AND(LEFT(I32,1)="M",Q32&lt;&gt;0),INDEX(Listes!J:O,MATCH(Q32,Listes!J:J,1),3),IF(AND(LEFT(I32,1)="N",Q32&lt;&gt;0),INDEX(Listes!J:O,MATCH(Q32,Listes!J:J,1),3),IF(AND(LEFT(I32,1)="A",Q32&lt;&gt;0),INDEX(Listes!J:O,MATCH(Q32,Listes!J:J,1),3),IF(AND(LEFT(I32,1)="J",Q32&lt;&gt;0),INDEX(Listes!J:O,MATCH(Q32,Listes!J:J,1),3),IF(AND(LEFT(I32,1)="T",Q32&lt;&gt;0),INDEX(Listes!J:O,MATCH(Q32,Listes!J:J,1),3),"horaire"))))))</f>
        <v>0</v>
      </c>
      <c r="S32" s="38">
        <f>IFERROR(IF(R32="$horaire","à compléter",IF(AND(R32="$DEMI2",INDEX(Listes!J:O,MATCH(Q32,Listes!J:J,1),6)="oui"),(P32-O32),0)),0)</f>
        <v>0</v>
      </c>
      <c r="T32" s="37"/>
      <c r="U32" s="37">
        <f t="shared" si="3"/>
        <v>0</v>
      </c>
      <c r="V32" s="70">
        <f>IF(I32=0,0,INDEX(Listes!Q:V,MATCH(I32,Listes!Q:Q,1),6))</f>
        <v>7.5000000000000009</v>
      </c>
      <c r="W32" s="71">
        <f>IF(I32=0,0,IF(AND(LEFT(I32,1)="A",O32&lt;=P32),(P32-O32)*24,IF(J32&lt;=K32,(K32-J32)*24,((Listes!$H$21-J32)*24+(K32-Listes!$H$21)*24))+IF(O32&lt;=P32,(P32-O32)*24,(Listes!$H$21-O32)*24+(P32-Listes!$G$21)*24)))-X32+(U32*24)</f>
        <v>7.5000000000000009</v>
      </c>
      <c r="X32" s="70">
        <f>IFERROR(IF(IFERROR(INDEX(Listes!J:O,MATCH(L32,Listes!J:J,1),6),0)="oui",N32*24,0),0)+IFERROR(IF(IFERROR(INDEX(Listes!J:O,MATCH(Q32,Listes!J:J,1),6),0)="oui",S32*24,0),0)</f>
        <v>0</v>
      </c>
      <c r="Y32" s="70">
        <f t="shared" ca="1" si="21"/>
        <v>0</v>
      </c>
      <c r="Z32" s="71">
        <f t="shared" si="19"/>
        <v>1</v>
      </c>
      <c r="AA32" s="70">
        <f t="shared" si="6"/>
        <v>0</v>
      </c>
      <c r="AB32" s="70">
        <f>IF(I32=0,0,IF(AND(J32&gt;K32,J32&gt;=Listes!$G$22),MOD(MIN(K32,Listes!$H$22)-J32,1),IF(OR(J32&gt;K32,K32&gt;=Listes!$G$22),MOD(K32-Listes!$G$22,1),IF(K32&lt;=Listes!$H$22,MOD(K32-J32,1),IF(J32&lt;=Listes!$H$22,MOD(Listes!$H$22-J32,1),0))))+IF(AND(O32&gt;P32,O32&gt;=Listes!$G$22),MOD(MIN(P32,Listes!$H$22)-O32,1),IF(OR(O32&gt;P32,P32&gt;=Listes!$G$22),MOD(P32-Listes!$G$22,1),0)))*24</f>
        <v>0</v>
      </c>
      <c r="AC32" s="71">
        <f t="shared" ca="1" si="15"/>
        <v>0</v>
      </c>
      <c r="AD32" s="71">
        <f ca="1">IF(IFERROR(VLOOKUP(H32,Listes!$H$3:$H$20,1,0),0)&lt;&gt;0,W32,0)</f>
        <v>0</v>
      </c>
      <c r="AE32" s="71">
        <f t="shared" si="20"/>
        <v>0</v>
      </c>
      <c r="AF32" s="44"/>
      <c r="AG32" s="44"/>
      <c r="AH32" s="44"/>
      <c r="AI32" s="44"/>
      <c r="AJ32" s="44"/>
      <c r="AK32" s="44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79" t="str">
        <f t="shared" si="8"/>
        <v>MAT1</v>
      </c>
      <c r="BA32" s="80">
        <f t="shared" si="9"/>
        <v>0</v>
      </c>
      <c r="BB32" s="81">
        <f ca="1">JUIL!H32</f>
        <v>45499</v>
      </c>
      <c r="BC32" s="81">
        <f ca="1">JUIL!H32</f>
        <v>45499</v>
      </c>
      <c r="BD32" s="77" t="s">
        <v>81</v>
      </c>
      <c r="BE32" s="73" t="str">
        <f t="shared" si="10"/>
        <v>$jour</v>
      </c>
      <c r="BF32" s="71">
        <f t="shared" si="11"/>
        <v>0</v>
      </c>
      <c r="BG32" s="73"/>
      <c r="BH32" s="73"/>
      <c r="BI32" s="72" t="str">
        <f t="shared" si="16"/>
        <v>MAT1</v>
      </c>
      <c r="BL32" s="55" cm="1">
        <f t="array" ref="BL32">INDEX($5:$5,COLUMN($Z30)+B32-1)</f>
        <v>16</v>
      </c>
      <c r="BM32" s="55" cm="1">
        <f t="array" ref="BM32">IF(INDEX($4:$4,COLUMN($Z30)+B32-1)="Heures",SUMIF(C:C,BI32,AY:AY)*24,SUMIF(C:C,BI32,AY:AY))</f>
        <v>0</v>
      </c>
      <c r="BO32" s="55">
        <f t="shared" si="12"/>
        <v>0</v>
      </c>
      <c r="BS32" s="106">
        <f ca="1">VLOOKUP(_xlfn.SHEET(),Listes!$A:$B,2,0)</f>
        <v>45474</v>
      </c>
      <c r="BT32" s="106">
        <f t="shared" ca="1" si="17"/>
        <v>45474</v>
      </c>
      <c r="BU32" s="55">
        <f t="shared" si="13"/>
        <v>0</v>
      </c>
    </row>
    <row r="33" spans="1:73" ht="18" customHeight="1">
      <c r="A33" s="69" t="str">
        <f>Listes!$AD$2</f>
        <v>MANAGER</v>
      </c>
      <c r="B33" s="75">
        <f t="shared" si="18"/>
        <v>27</v>
      </c>
      <c r="C33" s="69" t="str" cm="1">
        <f t="array" ref="C33">INDEX(Listes!$Z$2:$Z$31,1+(ROW()-7)/31+INT((ROW()-7)/(31*30)))</f>
        <v>MAT1</v>
      </c>
      <c r="D33" s="69" t="str">
        <f>IFERROR(INDEX(Listes!Z:AA,MATCH(C33,Listes!Z:Z,0),2),"")</f>
        <v>Matricule 1</v>
      </c>
      <c r="E33" s="77" t="str">
        <f t="shared" ca="1" si="1"/>
        <v>juillet</v>
      </c>
      <c r="F33" s="120">
        <f t="shared" ca="1" si="14"/>
        <v>30</v>
      </c>
      <c r="G33" s="78" t="str">
        <f t="shared" ca="1" si="2"/>
        <v>samedi</v>
      </c>
      <c r="H33" s="78">
        <f ca="1">IF(B33=1,VLOOKUP(_xlfn.SHEET(),Listes!$F:$H,3,0),IF(TEXT(H32+1,"mmmm")&lt;&gt;TEXT(H32,"mmmm"),"",H32+1))</f>
        <v>45500</v>
      </c>
      <c r="I33" s="37" t="s">
        <v>187</v>
      </c>
      <c r="J33" s="38">
        <f>IF(OR(I33=0,LEFT(I33,1)="A"),0,INDEX(Listes!Q:V,MATCH(I33,Listes!Q:Q,0),2))</f>
        <v>0.33333333333333331</v>
      </c>
      <c r="K33" s="38">
        <f>IF(OR(I33=0,LEFT(I33,1)="A"),0,INDEX(Listes!Q:V,MATCH(I33,Listes!Q:Q,0),3))</f>
        <v>0.5</v>
      </c>
      <c r="L33" s="37"/>
      <c r="M33" s="38">
        <f>IF(L33=0,0,IF(AND(LEFT(I33,1)="M",L33&lt;&gt;0),INDEX(Listes!J:O,MATCH(L33,Listes!J:J,1),3),IF(AND(LEFT(I33,1)="N",L33&lt;&gt;0),INDEX(Listes!J:O,MATCH(L33,Listes!J:J,1),3),IF(AND(LEFT(I33,1)="A",L33&lt;&gt;0),INDEX(Listes!J:O,MATCH(L33,Listes!J:J,1),3),IF(AND(LEFT(I33,1)="J",L33&lt;&gt;0),INDEX(Listes!J:O,MATCH(L33,Listes!J:J,1),3),IF(AND(LEFT(I33,1)="T",L33&lt;&gt;0),INDEX(Listes!J:O,MATCH(L33,Listes!J:J,1),3),"horaire"))))))</f>
        <v>0</v>
      </c>
      <c r="N33" s="38">
        <f>IFERROR(IF(M33="$horaire","à compléter",IF(AND(M33="$DEMI",INDEX(Listes!J:O,MATCH(L33,Listes!J:J,1),6)="oui"),(K33-J33),0)),0)</f>
        <v>0</v>
      </c>
      <c r="O33" s="40">
        <f>IF(OR(I33=0,LEFT(I33,1)="A"),0,INDEX(Listes!Q:V,MATCH(I33,Listes!Q:Q,0),4))</f>
        <v>0.5625</v>
      </c>
      <c r="P33" s="42">
        <f>IF(OR(I33=0,LEFT(I33,1)="A"),0,INDEX(Listes!Q:V,MATCH(I33,Listes!Q:Q,0),5))</f>
        <v>0.70833333333333337</v>
      </c>
      <c r="Q33" s="37"/>
      <c r="R33" s="38">
        <f>IF(Q33=0,0,IF(AND(LEFT(I33,1)="M",Q33&lt;&gt;0),INDEX(Listes!J:O,MATCH(Q33,Listes!J:J,1),3),IF(AND(LEFT(I33,1)="N",Q33&lt;&gt;0),INDEX(Listes!J:O,MATCH(Q33,Listes!J:J,1),3),IF(AND(LEFT(I33,1)="A",Q33&lt;&gt;0),INDEX(Listes!J:O,MATCH(Q33,Listes!J:J,1),3),IF(AND(LEFT(I33,1)="J",Q33&lt;&gt;0),INDEX(Listes!J:O,MATCH(Q33,Listes!J:J,1),3),IF(AND(LEFT(I33,1)="T",Q33&lt;&gt;0),INDEX(Listes!J:O,MATCH(Q33,Listes!J:J,1),3),"horaire"))))))</f>
        <v>0</v>
      </c>
      <c r="S33" s="38">
        <f>IFERROR(IF(R33="$horaire","à compléter",IF(AND(R33="$DEMI2",INDEX(Listes!J:O,MATCH(Q33,Listes!J:J,1),6)="oui"),(P33-O33),0)),0)</f>
        <v>0</v>
      </c>
      <c r="T33" s="37"/>
      <c r="U33" s="37">
        <f t="shared" si="3"/>
        <v>0</v>
      </c>
      <c r="V33" s="70">
        <f>IF(I33=0,0,INDEX(Listes!Q:V,MATCH(I33,Listes!Q:Q,1),6))</f>
        <v>7.5000000000000009</v>
      </c>
      <c r="W33" s="71">
        <f>IF(I33=0,0,IF(AND(LEFT(I33,1)="A",O33&lt;=P33),(P33-O33)*24,IF(J33&lt;=K33,(K33-J33)*24,((Listes!$H$21-J33)*24+(K33-Listes!$H$21)*24))+IF(O33&lt;=P33,(P33-O33)*24,(Listes!$H$21-O33)*24+(P33-Listes!$G$21)*24)))-X33+(U33*24)</f>
        <v>7.5000000000000009</v>
      </c>
      <c r="X33" s="70">
        <f>IFERROR(IF(IFERROR(INDEX(Listes!J:O,MATCH(L33,Listes!J:J,1),6),0)="oui",N33*24,0),0)+IFERROR(IF(IFERROR(INDEX(Listes!J:O,MATCH(Q33,Listes!J:J,1),6),0)="oui",S33*24,0),0)</f>
        <v>0</v>
      </c>
      <c r="Y33" s="70">
        <f t="shared" ca="1" si="21"/>
        <v>7.5000000000000009</v>
      </c>
      <c r="Z33" s="71">
        <f t="shared" si="19"/>
        <v>1</v>
      </c>
      <c r="AA33" s="70">
        <f t="shared" si="6"/>
        <v>0</v>
      </c>
      <c r="AB33" s="70">
        <f>IF(I33=0,0,IF(AND(J33&gt;K33,J33&gt;=Listes!$G$22),MOD(MIN(K33,Listes!$H$22)-J33,1),IF(OR(J33&gt;K33,K33&gt;=Listes!$G$22),MOD(K33-Listes!$G$22,1),IF(K33&lt;=Listes!$H$22,MOD(K33-J33,1),IF(J33&lt;=Listes!$H$22,MOD(Listes!$H$22-J33,1),0))))+IF(AND(O33&gt;P33,O33&gt;=Listes!$G$22),MOD(MIN(P33,Listes!$H$22)-O33,1),IF(OR(O33&gt;P33,P33&gt;=Listes!$G$22),MOD(P33-Listes!$G$22,1),0)))*24</f>
        <v>0</v>
      </c>
      <c r="AC33" s="71">
        <f t="shared" ca="1" si="15"/>
        <v>0</v>
      </c>
      <c r="AD33" s="71">
        <f ca="1">IF(IFERROR(VLOOKUP(H33,Listes!$H$3:$H$20,1,0),0)&lt;&gt;0,W33,0)</f>
        <v>0</v>
      </c>
      <c r="AE33" s="71">
        <f t="shared" si="20"/>
        <v>0</v>
      </c>
      <c r="AF33" s="44"/>
      <c r="AG33" s="44"/>
      <c r="AH33" s="44"/>
      <c r="AI33" s="44"/>
      <c r="AJ33" s="44"/>
      <c r="AK33" s="44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79" t="str">
        <f t="shared" si="8"/>
        <v>MAT1</v>
      </c>
      <c r="BA33" s="80">
        <f t="shared" si="9"/>
        <v>0</v>
      </c>
      <c r="BB33" s="81">
        <f ca="1">JUIL!H33</f>
        <v>45500</v>
      </c>
      <c r="BC33" s="81">
        <f ca="1">JUIL!H33</f>
        <v>45500</v>
      </c>
      <c r="BD33" s="77" t="s">
        <v>81</v>
      </c>
      <c r="BE33" s="73" t="str">
        <f t="shared" si="10"/>
        <v>$jour</v>
      </c>
      <c r="BF33" s="71">
        <f t="shared" si="11"/>
        <v>0</v>
      </c>
      <c r="BG33" s="73"/>
      <c r="BH33" s="73"/>
      <c r="BI33" s="72" t="str">
        <f t="shared" si="16"/>
        <v>MAT1</v>
      </c>
      <c r="BS33" s="106">
        <f ca="1">VLOOKUP(_xlfn.SHEET(),Listes!$A:$B,2,0)</f>
        <v>45474</v>
      </c>
      <c r="BT33" s="106">
        <f t="shared" ca="1" si="17"/>
        <v>45474</v>
      </c>
      <c r="BU33" s="55">
        <f>IF(OR(BP33&lt;&gt;0,BR33&lt;&gt;0),"a importer",0)</f>
        <v>0</v>
      </c>
    </row>
    <row r="34" spans="1:73" ht="18" customHeight="1">
      <c r="A34" s="69" t="str">
        <f>Listes!$AD$2</f>
        <v>MANAGER</v>
      </c>
      <c r="B34" s="75">
        <f t="shared" si="18"/>
        <v>28</v>
      </c>
      <c r="C34" s="69" t="str" cm="1">
        <f t="array" ref="C34">INDEX(Listes!$Z$2:$Z$31,1+(ROW()-7)/31+INT((ROW()-7)/(31*30)))</f>
        <v>MAT1</v>
      </c>
      <c r="D34" s="69" t="str">
        <f>IFERROR(INDEX(Listes!Z:AA,MATCH(C34,Listes!Z:Z,0),2),"")</f>
        <v>Matricule 1</v>
      </c>
      <c r="E34" s="77" t="str">
        <f t="shared" ca="1" si="1"/>
        <v>juillet</v>
      </c>
      <c r="F34" s="120">
        <f t="shared" ca="1" si="14"/>
        <v>30</v>
      </c>
      <c r="G34" s="78" t="str">
        <f t="shared" ca="1" si="2"/>
        <v>dimanche</v>
      </c>
      <c r="H34" s="78">
        <f ca="1">IF(B34=1,VLOOKUP(_xlfn.SHEET(),Listes!$F:$H,3,0),IF(TEXT(H33+1,"mmmm")&lt;&gt;TEXT(H33,"mmmm"),"",H33+1))</f>
        <v>45501</v>
      </c>
      <c r="I34" s="37" t="s">
        <v>187</v>
      </c>
      <c r="J34" s="38">
        <f>IF(OR(I34=0,LEFT(I34,1)="A"),0,INDEX(Listes!Q:V,MATCH(I34,Listes!Q:Q,0),2))</f>
        <v>0.33333333333333331</v>
      </c>
      <c r="K34" s="38">
        <f>IF(OR(I34=0,LEFT(I34,1)="A"),0,INDEX(Listes!Q:V,MATCH(I34,Listes!Q:Q,0),3))</f>
        <v>0.5</v>
      </c>
      <c r="L34" s="37"/>
      <c r="M34" s="38">
        <f>IF(L34=0,0,IF(AND(LEFT(I34,1)="M",L34&lt;&gt;0),INDEX(Listes!J:O,MATCH(L34,Listes!J:J,1),3),IF(AND(LEFT(I34,1)="N",L34&lt;&gt;0),INDEX(Listes!J:O,MATCH(L34,Listes!J:J,1),3),IF(AND(LEFT(I34,1)="A",L34&lt;&gt;0),INDEX(Listes!J:O,MATCH(L34,Listes!J:J,1),3),IF(AND(LEFT(I34,1)="J",L34&lt;&gt;0),INDEX(Listes!J:O,MATCH(L34,Listes!J:J,1),3),IF(AND(LEFT(I34,1)="T",L34&lt;&gt;0),INDEX(Listes!J:O,MATCH(L34,Listes!J:J,1),3),"horaire"))))))</f>
        <v>0</v>
      </c>
      <c r="N34" s="38">
        <f>IFERROR(IF(M34="$horaire","à compléter",IF(AND(M34="$DEMI",INDEX(Listes!J:O,MATCH(L34,Listes!J:J,1),6)="oui"),(K34-J34),0)),0)</f>
        <v>0</v>
      </c>
      <c r="O34" s="40">
        <f>IF(OR(I34=0,LEFT(I34,1)="A"),0,INDEX(Listes!Q:V,MATCH(I34,Listes!Q:Q,0),4))</f>
        <v>0.5625</v>
      </c>
      <c r="P34" s="42">
        <f>IF(OR(I34=0,LEFT(I34,1)="A"),0,INDEX(Listes!Q:V,MATCH(I34,Listes!Q:Q,0),5))</f>
        <v>0.70833333333333337</v>
      </c>
      <c r="Q34" s="37"/>
      <c r="R34" s="38">
        <f>IF(Q34=0,0,IF(AND(LEFT(I34,1)="M",Q34&lt;&gt;0),INDEX(Listes!J:O,MATCH(Q34,Listes!J:J,1),3),IF(AND(LEFT(I34,1)="N",Q34&lt;&gt;0),INDEX(Listes!J:O,MATCH(Q34,Listes!J:J,1),3),IF(AND(LEFT(I34,1)="A",Q34&lt;&gt;0),INDEX(Listes!J:O,MATCH(Q34,Listes!J:J,1),3),IF(AND(LEFT(I34,1)="J",Q34&lt;&gt;0),INDEX(Listes!J:O,MATCH(Q34,Listes!J:J,1),3),IF(AND(LEFT(I34,1)="T",Q34&lt;&gt;0),INDEX(Listes!J:O,MATCH(Q34,Listes!J:J,1),3),"horaire"))))))</f>
        <v>0</v>
      </c>
      <c r="S34" s="38">
        <f>IFERROR(IF(R34="$horaire","à compléter",IF(AND(R34="$DEMI2",INDEX(Listes!J:O,MATCH(Q34,Listes!J:J,1),6)="oui"),(P34-O34),0)),0)</f>
        <v>0</v>
      </c>
      <c r="T34" s="37"/>
      <c r="U34" s="37">
        <f t="shared" si="3"/>
        <v>0</v>
      </c>
      <c r="V34" s="70">
        <f>IF(I34=0,0,INDEX(Listes!Q:V,MATCH(I34,Listes!Q:Q,1),6))</f>
        <v>7.5000000000000009</v>
      </c>
      <c r="W34" s="71">
        <f>IF(I34=0,0,IF(AND(LEFT(I34,1)="A",O34&lt;=P34),(P34-O34)*24,IF(J34&lt;=K34,(K34-J34)*24,((Listes!$H$21-J34)*24+(K34-Listes!$H$21)*24))+IF(O34&lt;=P34,(P34-O34)*24,(Listes!$H$21-O34)*24+(P34-Listes!$G$21)*24)))-X34+(U34*24)</f>
        <v>7.5000000000000009</v>
      </c>
      <c r="X34" s="70">
        <f>IFERROR(IF(IFERROR(INDEX(Listes!J:O,MATCH(L34,Listes!J:J,1),6),0)="oui",N34*24,0),0)+IFERROR(IF(IFERROR(INDEX(Listes!J:O,MATCH(Q34,Listes!J:J,1),6),0)="oui",S34*24,0),0)</f>
        <v>0</v>
      </c>
      <c r="Y34" s="70">
        <f t="shared" ca="1" si="21"/>
        <v>7.5000000000000009</v>
      </c>
      <c r="Z34" s="71">
        <f t="shared" si="19"/>
        <v>1</v>
      </c>
      <c r="AA34" s="70">
        <f t="shared" si="6"/>
        <v>0</v>
      </c>
      <c r="AB34" s="70">
        <f>IF(I34=0,0,IF(AND(J34&gt;K34,J34&gt;=Listes!$G$22),MOD(MIN(K34,Listes!$H$22)-J34,1),IF(OR(J34&gt;K34,K34&gt;=Listes!$G$22),MOD(K34-Listes!$G$22,1),IF(K34&lt;=Listes!$H$22,MOD(K34-J34,1),IF(J34&lt;=Listes!$H$22,MOD(Listes!$H$22-J34,1),0))))+IF(AND(O34&gt;P34,O34&gt;=Listes!$G$22),MOD(MIN(P34,Listes!$H$22)-O34,1),IF(OR(O34&gt;P34,P34&gt;=Listes!$G$22),MOD(P34-Listes!$G$22,1),0)))*24</f>
        <v>0</v>
      </c>
      <c r="AC34" s="71">
        <f t="shared" ca="1" si="15"/>
        <v>7.5000000000000009</v>
      </c>
      <c r="AD34" s="71">
        <f ca="1">IF(IFERROR(VLOOKUP(H34,Listes!$H$3:$H$20,1,0),0)&lt;&gt;0,W34,0)</f>
        <v>0</v>
      </c>
      <c r="AE34" s="71">
        <f t="shared" si="20"/>
        <v>0</v>
      </c>
      <c r="AF34" s="44"/>
      <c r="AG34" s="44"/>
      <c r="AH34" s="44"/>
      <c r="AI34" s="44"/>
      <c r="AJ34" s="44"/>
      <c r="AK34" s="44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79" t="str">
        <f t="shared" si="8"/>
        <v>MAT1</v>
      </c>
      <c r="BA34" s="80">
        <f t="shared" si="9"/>
        <v>0</v>
      </c>
      <c r="BB34" s="81">
        <f ca="1">JUIL!H34</f>
        <v>45501</v>
      </c>
      <c r="BC34" s="81">
        <f ca="1">JUIL!H34</f>
        <v>45501</v>
      </c>
      <c r="BD34" s="77" t="s">
        <v>81</v>
      </c>
      <c r="BE34" s="73" t="str">
        <f t="shared" si="10"/>
        <v>$jour</v>
      </c>
      <c r="BF34" s="71">
        <f t="shared" si="11"/>
        <v>0</v>
      </c>
      <c r="BG34" s="73"/>
      <c r="BH34" s="73"/>
      <c r="BI34" s="72" t="str">
        <f t="shared" si="16"/>
        <v>MAT1</v>
      </c>
      <c r="BS34" s="106">
        <f ca="1">VLOOKUP(_xlfn.SHEET(),Listes!$A:$B,2,0)</f>
        <v>45474</v>
      </c>
      <c r="BT34" s="106">
        <f t="shared" ca="1" si="17"/>
        <v>45474</v>
      </c>
      <c r="BU34" s="55">
        <f>IF(OR(BP34&lt;&gt;0,BR34&lt;&gt;0),"a importer",0)</f>
        <v>0</v>
      </c>
    </row>
    <row r="35" spans="1:73" ht="18" customHeight="1">
      <c r="A35" s="69" t="str">
        <f>Listes!$AD$2</f>
        <v>MANAGER</v>
      </c>
      <c r="B35" s="75">
        <f t="shared" si="18"/>
        <v>29</v>
      </c>
      <c r="C35" s="69" t="str" cm="1">
        <f t="array" ref="C35">INDEX(Listes!$Z$2:$Z$31,1+(ROW()-7)/31+INT((ROW()-7)/(31*30)))</f>
        <v>MAT1</v>
      </c>
      <c r="D35" s="69" t="str">
        <f>IFERROR(INDEX(Listes!Z:AA,MATCH(C35,Listes!Z:Z,0),2),"")</f>
        <v>Matricule 1</v>
      </c>
      <c r="E35" s="77" t="str">
        <f t="shared" ca="1" si="1"/>
        <v>juillet</v>
      </c>
      <c r="F35" s="120">
        <f t="shared" ca="1" si="14"/>
        <v>31</v>
      </c>
      <c r="G35" s="78" t="str">
        <f t="shared" ca="1" si="2"/>
        <v>lundi</v>
      </c>
      <c r="H35" s="78">
        <f ca="1">IF(B35=1,VLOOKUP(_xlfn.SHEET(),Listes!$F:$H,3,0),IF(TEXT(H34+1,"mmmm")&lt;&gt;TEXT(H34,"mmmm"),"",H34+1))</f>
        <v>45502</v>
      </c>
      <c r="I35" s="37" t="s">
        <v>187</v>
      </c>
      <c r="J35" s="38">
        <f>IF(OR(I35=0,LEFT(I35,1)="A"),0,INDEX(Listes!Q:V,MATCH(I35,Listes!Q:Q,0),2))</f>
        <v>0.33333333333333331</v>
      </c>
      <c r="K35" s="38">
        <f>IF(OR(I35=0,LEFT(I35,1)="A"),0,INDEX(Listes!Q:V,MATCH(I35,Listes!Q:Q,0),3))</f>
        <v>0.5</v>
      </c>
      <c r="L35" s="37"/>
      <c r="M35" s="38">
        <f>IF(L35=0,0,IF(AND(LEFT(I35,1)="M",L35&lt;&gt;0),INDEX(Listes!J:O,MATCH(L35,Listes!J:J,1),3),IF(AND(LEFT(I35,1)="N",L35&lt;&gt;0),INDEX(Listes!J:O,MATCH(L35,Listes!J:J,1),3),IF(AND(LEFT(I35,1)="A",L35&lt;&gt;0),INDEX(Listes!J:O,MATCH(L35,Listes!J:J,1),3),IF(AND(LEFT(I35,1)="J",L35&lt;&gt;0),INDEX(Listes!J:O,MATCH(L35,Listes!J:J,1),3),IF(AND(LEFT(I35,1)="T",L35&lt;&gt;0),INDEX(Listes!J:O,MATCH(L35,Listes!J:J,1),3),"horaire"))))))</f>
        <v>0</v>
      </c>
      <c r="N35" s="38">
        <f>IFERROR(IF(M35="$horaire","à compléter",IF(AND(M35="$DEMI",INDEX(Listes!J:O,MATCH(L35,Listes!J:J,1),6)="oui"),(K35-J35),0)),0)</f>
        <v>0</v>
      </c>
      <c r="O35" s="40">
        <f>IF(OR(I35=0,LEFT(I35,1)="A"),0,INDEX(Listes!Q:V,MATCH(I35,Listes!Q:Q,0),4))</f>
        <v>0.5625</v>
      </c>
      <c r="P35" s="42">
        <f>IF(OR(I35=0,LEFT(I35,1)="A"),0,INDEX(Listes!Q:V,MATCH(I35,Listes!Q:Q,0),5))</f>
        <v>0.70833333333333337</v>
      </c>
      <c r="Q35" s="37"/>
      <c r="R35" s="38">
        <f>IF(Q35=0,0,IF(AND(LEFT(I35,1)="M",Q35&lt;&gt;0),INDEX(Listes!J:O,MATCH(Q35,Listes!J:J,1),3),IF(AND(LEFT(I35,1)="N",Q35&lt;&gt;0),INDEX(Listes!J:O,MATCH(Q35,Listes!J:J,1),3),IF(AND(LEFT(I35,1)="A",Q35&lt;&gt;0),INDEX(Listes!J:O,MATCH(Q35,Listes!J:J,1),3),IF(AND(LEFT(I35,1)="J",Q35&lt;&gt;0),INDEX(Listes!J:O,MATCH(Q35,Listes!J:J,1),3),IF(AND(LEFT(I35,1)="T",Q35&lt;&gt;0),INDEX(Listes!J:O,MATCH(Q35,Listes!J:J,1),3),"horaire"))))))</f>
        <v>0</v>
      </c>
      <c r="S35" s="38">
        <f>IFERROR(IF(R35="$horaire","à compléter",IF(AND(R35="$DEMI2",INDEX(Listes!J:O,MATCH(Q35,Listes!J:J,1),6)="oui"),(P35-O35),0)),0)</f>
        <v>0</v>
      </c>
      <c r="T35" s="37"/>
      <c r="U35" s="37">
        <f t="shared" si="3"/>
        <v>0</v>
      </c>
      <c r="V35" s="70">
        <f>IF(I35=0,0,INDEX(Listes!Q:V,MATCH(I35,Listes!Q:Q,1),6))</f>
        <v>7.5000000000000009</v>
      </c>
      <c r="W35" s="71">
        <f>IF(I35=0,0,IF(AND(LEFT(I35,1)="A",O35&lt;=P35),(P35-O35)*24,IF(J35&lt;=K35,(K35-J35)*24,((Listes!$H$21-J35)*24+(K35-Listes!$H$21)*24))+IF(O35&lt;=P35,(P35-O35)*24,(Listes!$H$21-O35)*24+(P35-Listes!$G$21)*24)))-X35+(U35*24)</f>
        <v>7.5000000000000009</v>
      </c>
      <c r="X35" s="70">
        <f>IFERROR(IF(IFERROR(INDEX(Listes!J:O,MATCH(L35,Listes!J:J,1),6),0)="oui",N35*24,0),0)+IFERROR(IF(IFERROR(INDEX(Listes!J:O,MATCH(Q35,Listes!J:J,1),6),0)="oui",S35*24,0),0)</f>
        <v>0</v>
      </c>
      <c r="Y35" s="70">
        <f t="shared" ca="1" si="21"/>
        <v>0</v>
      </c>
      <c r="Z35" s="71">
        <f t="shared" si="19"/>
        <v>1</v>
      </c>
      <c r="AA35" s="70">
        <f t="shared" si="6"/>
        <v>0</v>
      </c>
      <c r="AB35" s="70">
        <f>IF(I35=0,0,IF(AND(J35&gt;K35,J35&gt;=Listes!$G$22),MOD(MIN(K35,Listes!$H$22)-J35,1),IF(OR(J35&gt;K35,K35&gt;=Listes!$G$22),MOD(K35-Listes!$G$22,1),IF(K35&lt;=Listes!$H$22,MOD(K35-J35,1),IF(J35&lt;=Listes!$H$22,MOD(Listes!$H$22-J35,1),0))))+IF(AND(O35&gt;P35,O35&gt;=Listes!$G$22),MOD(MIN(P35,Listes!$H$22)-O35,1),IF(OR(O35&gt;P35,P35&gt;=Listes!$G$22),MOD(P35-Listes!$G$22,1),0)))*24</f>
        <v>0</v>
      </c>
      <c r="AC35" s="71">
        <f t="shared" ca="1" si="15"/>
        <v>0</v>
      </c>
      <c r="AD35" s="71">
        <f ca="1">IF(IFERROR(VLOOKUP(H35,Listes!$H$3:$H$20,1,0),0)&lt;&gt;0,W35,0)</f>
        <v>0</v>
      </c>
      <c r="AE35" s="71">
        <f t="shared" si="20"/>
        <v>0</v>
      </c>
      <c r="AF35" s="44"/>
      <c r="AG35" s="44"/>
      <c r="AH35" s="44"/>
      <c r="AI35" s="44"/>
      <c r="AJ35" s="44"/>
      <c r="AK35" s="44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79" t="str">
        <f t="shared" si="8"/>
        <v>MAT1</v>
      </c>
      <c r="BA35" s="80">
        <f t="shared" si="9"/>
        <v>0</v>
      </c>
      <c r="BB35" s="81">
        <f ca="1">JUIL!H35</f>
        <v>45502</v>
      </c>
      <c r="BC35" s="81">
        <f ca="1">JUIL!H35</f>
        <v>45502</v>
      </c>
      <c r="BD35" s="77" t="s">
        <v>81</v>
      </c>
      <c r="BE35" s="73" t="str">
        <f t="shared" si="10"/>
        <v>$jour</v>
      </c>
      <c r="BF35" s="71">
        <f t="shared" si="11"/>
        <v>0</v>
      </c>
      <c r="BG35" s="73"/>
      <c r="BH35" s="73"/>
      <c r="BI35" s="72" t="str">
        <f t="shared" si="16"/>
        <v>MAT1</v>
      </c>
      <c r="BS35" s="106">
        <f ca="1">VLOOKUP(_xlfn.SHEET(),Listes!$A:$B,2,0)</f>
        <v>45474</v>
      </c>
      <c r="BT35" s="106">
        <f t="shared" ca="1" si="17"/>
        <v>45474</v>
      </c>
      <c r="BU35" s="55">
        <f>IF(OR(BP35&lt;&gt;0,BR35&lt;&gt;0),"a importer",0)</f>
        <v>0</v>
      </c>
    </row>
    <row r="36" spans="1:73" ht="18" customHeight="1">
      <c r="A36" s="69" t="str">
        <f>Listes!$AD$2</f>
        <v>MANAGER</v>
      </c>
      <c r="B36" s="75">
        <f t="shared" si="18"/>
        <v>30</v>
      </c>
      <c r="C36" s="69" t="str" cm="1">
        <f t="array" ref="C36">INDEX(Listes!$Z$2:$Z$31,1+(ROW()-7)/31+INT((ROW()-7)/(31*30)))</f>
        <v>MAT1</v>
      </c>
      <c r="D36" s="69" t="str">
        <f>IFERROR(INDEX(Listes!Z:AA,MATCH(C36,Listes!Z:Z,0),2),"")</f>
        <v>Matricule 1</v>
      </c>
      <c r="E36" s="77" t="str">
        <f t="shared" ca="1" si="1"/>
        <v>juillet</v>
      </c>
      <c r="F36" s="120">
        <f t="shared" ca="1" si="14"/>
        <v>31</v>
      </c>
      <c r="G36" s="78" t="str">
        <f t="shared" ca="1" si="2"/>
        <v>mardi</v>
      </c>
      <c r="H36" s="78">
        <f ca="1">IF(B36=1,VLOOKUP(_xlfn.SHEET(),Listes!$F:$H,3,0),IF(TEXT(H35+1,"mmmm")&lt;&gt;TEXT(H35,"mmmm"),"",H35+1))</f>
        <v>45503</v>
      </c>
      <c r="I36" s="37" t="s">
        <v>187</v>
      </c>
      <c r="J36" s="38">
        <f>IF(OR(I36=0,LEFT(I36,1)="A"),0,INDEX(Listes!Q:V,MATCH(I36,Listes!Q:Q,0),2))</f>
        <v>0.33333333333333331</v>
      </c>
      <c r="K36" s="38">
        <f>IF(OR(I36=0,LEFT(I36,1)="A"),0,INDEX(Listes!Q:V,MATCH(I36,Listes!Q:Q,0),3))</f>
        <v>0.5</v>
      </c>
      <c r="L36" s="37"/>
      <c r="M36" s="38">
        <f>IF(L36=0,0,IF(AND(LEFT(I36,1)="M",L36&lt;&gt;0),INDEX(Listes!J:O,MATCH(L36,Listes!J:J,1),3),IF(AND(LEFT(I36,1)="N",L36&lt;&gt;0),INDEX(Listes!J:O,MATCH(L36,Listes!J:J,1),3),IF(AND(LEFT(I36,1)="A",L36&lt;&gt;0),INDEX(Listes!J:O,MATCH(L36,Listes!J:J,1),3),IF(AND(LEFT(I36,1)="J",L36&lt;&gt;0),INDEX(Listes!J:O,MATCH(L36,Listes!J:J,1),3),IF(AND(LEFT(I36,1)="T",L36&lt;&gt;0),INDEX(Listes!J:O,MATCH(L36,Listes!J:J,1),3),"horaire"))))))</f>
        <v>0</v>
      </c>
      <c r="N36" s="38">
        <f>IFERROR(IF(M36="$horaire","à compléter",IF(AND(M36="$DEMI",INDEX(Listes!J:O,MATCH(L36,Listes!J:J,1),6)="oui"),(K36-J36),0)),0)</f>
        <v>0</v>
      </c>
      <c r="O36" s="40">
        <f>IF(OR(I36=0,LEFT(I36,1)="A"),0,INDEX(Listes!Q:V,MATCH(I36,Listes!Q:Q,0),4))</f>
        <v>0.5625</v>
      </c>
      <c r="P36" s="42">
        <f>IF(OR(I36=0,LEFT(I36,1)="A"),0,INDEX(Listes!Q:V,MATCH(I36,Listes!Q:Q,0),5))</f>
        <v>0.70833333333333337</v>
      </c>
      <c r="Q36" s="37"/>
      <c r="R36" s="38">
        <f>IF(Q36=0,0,IF(AND(LEFT(I36,1)="M",Q36&lt;&gt;0),INDEX(Listes!J:O,MATCH(Q36,Listes!J:J,1),3),IF(AND(LEFT(I36,1)="N",Q36&lt;&gt;0),INDEX(Listes!J:O,MATCH(Q36,Listes!J:J,1),3),IF(AND(LEFT(I36,1)="A",Q36&lt;&gt;0),INDEX(Listes!J:O,MATCH(Q36,Listes!J:J,1),3),IF(AND(LEFT(I36,1)="J",Q36&lt;&gt;0),INDEX(Listes!J:O,MATCH(Q36,Listes!J:J,1),3),IF(AND(LEFT(I36,1)="T",Q36&lt;&gt;0),INDEX(Listes!J:O,MATCH(Q36,Listes!J:J,1),3),"horaire"))))))</f>
        <v>0</v>
      </c>
      <c r="S36" s="38">
        <f>IFERROR(IF(R36="$horaire","à compléter",IF(AND(R36="$DEMI2",INDEX(Listes!J:O,MATCH(Q36,Listes!J:J,1),6)="oui"),(P36-O36),0)),0)</f>
        <v>0</v>
      </c>
      <c r="T36" s="37"/>
      <c r="U36" s="37">
        <f t="shared" si="3"/>
        <v>0</v>
      </c>
      <c r="V36" s="70">
        <f>IF(I36=0,0,INDEX(Listes!Q:V,MATCH(I36,Listes!Q:Q,1),6))</f>
        <v>7.5000000000000009</v>
      </c>
      <c r="W36" s="71">
        <f>IF(I36=0,0,IF(AND(LEFT(I36,1)="A",O36&lt;=P36),(P36-O36)*24,IF(J36&lt;=K36,(K36-J36)*24,((Listes!$H$21-J36)*24+(K36-Listes!$H$21)*24))+IF(O36&lt;=P36,(P36-O36)*24,(Listes!$H$21-O36)*24+(P36-Listes!$G$21)*24)))-X36+(U36*24)</f>
        <v>7.5000000000000009</v>
      </c>
      <c r="X36" s="70">
        <f>IFERROR(IF(IFERROR(INDEX(Listes!J:O,MATCH(L36,Listes!J:J,1),6),0)="oui",N36*24,0),0)+IFERROR(IF(IFERROR(INDEX(Listes!J:O,MATCH(Q36,Listes!J:J,1),6),0)="oui",S36*24,0),0)</f>
        <v>0</v>
      </c>
      <c r="Y36" s="70">
        <f t="shared" ca="1" si="21"/>
        <v>0</v>
      </c>
      <c r="Z36" s="71">
        <f t="shared" si="19"/>
        <v>1</v>
      </c>
      <c r="AA36" s="70">
        <f t="shared" si="6"/>
        <v>0</v>
      </c>
      <c r="AB36" s="70">
        <f>IF(I36=0,0,IF(AND(J36&gt;K36,J36&gt;=Listes!$G$22),MOD(MIN(K36,Listes!$H$22)-J36,1),IF(OR(J36&gt;K36,K36&gt;=Listes!$G$22),MOD(K36-Listes!$G$22,1),IF(K36&lt;=Listes!$H$22,MOD(K36-J36,1),IF(J36&lt;=Listes!$H$22,MOD(Listes!$H$22-J36,1),0))))+IF(AND(O36&gt;P36,O36&gt;=Listes!$G$22),MOD(MIN(P36,Listes!$H$22)-O36,1),IF(OR(O36&gt;P36,P36&gt;=Listes!$G$22),MOD(P36-Listes!$G$22,1),0)))*24</f>
        <v>0</v>
      </c>
      <c r="AC36" s="71">
        <f t="shared" ca="1" si="15"/>
        <v>0</v>
      </c>
      <c r="AD36" s="71">
        <f ca="1">IF(IFERROR(VLOOKUP(H36,Listes!$H$3:$H$20,1,0),0)&lt;&gt;0,W36,0)</f>
        <v>0</v>
      </c>
      <c r="AE36" s="71">
        <f t="shared" si="20"/>
        <v>0</v>
      </c>
      <c r="AF36" s="44"/>
      <c r="AG36" s="44"/>
      <c r="AH36" s="44"/>
      <c r="AI36" s="44"/>
      <c r="AJ36" s="44"/>
      <c r="AK36" s="44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79" t="str">
        <f t="shared" si="8"/>
        <v>MAT1</v>
      </c>
      <c r="BA36" s="80">
        <f t="shared" si="9"/>
        <v>0</v>
      </c>
      <c r="BB36" s="81">
        <f ca="1">JUIL!H36</f>
        <v>45503</v>
      </c>
      <c r="BC36" s="81">
        <f ca="1">JUIL!H36</f>
        <v>45503</v>
      </c>
      <c r="BD36" s="77" t="s">
        <v>81</v>
      </c>
      <c r="BE36" s="73" t="str">
        <f t="shared" si="10"/>
        <v>$jour</v>
      </c>
      <c r="BF36" s="71">
        <f t="shared" si="11"/>
        <v>0</v>
      </c>
      <c r="BG36" s="73"/>
      <c r="BH36" s="73"/>
      <c r="BI36" s="72" t="str">
        <f t="shared" si="16"/>
        <v>MAT1</v>
      </c>
      <c r="BS36" s="106">
        <f ca="1">VLOOKUP(_xlfn.SHEET(),Listes!$A:$B,2,0)</f>
        <v>45474</v>
      </c>
      <c r="BT36" s="106">
        <f t="shared" ca="1" si="17"/>
        <v>45474</v>
      </c>
      <c r="BU36" s="55">
        <f>IF(OR(BP36&lt;&gt;0,BR36&lt;&gt;0),"a importer",0)</f>
        <v>0</v>
      </c>
    </row>
    <row r="37" spans="1:73" ht="18" customHeight="1">
      <c r="A37" s="69" t="str">
        <f>Listes!$AD$2</f>
        <v>MANAGER</v>
      </c>
      <c r="B37" s="77">
        <f t="shared" si="18"/>
        <v>31</v>
      </c>
      <c r="C37" s="69" t="str" cm="1">
        <f t="array" ref="C37">INDEX(Listes!$Z$2:$Z$31,1+(ROW()-7)/31+INT((ROW()-7)/(31*30)))</f>
        <v>MAT1</v>
      </c>
      <c r="D37" s="69" t="str">
        <f>IFERROR(INDEX(Listes!Z:AA,MATCH(C37,Listes!Z:Z,0),2),"")</f>
        <v>Matricule 1</v>
      </c>
      <c r="E37" s="77" t="str">
        <f t="shared" ca="1" si="1"/>
        <v>juillet</v>
      </c>
      <c r="F37" s="120">
        <f t="shared" ca="1" si="14"/>
        <v>31</v>
      </c>
      <c r="G37" s="78" t="str">
        <f t="shared" ca="1" si="2"/>
        <v>mercredi</v>
      </c>
      <c r="H37" s="78">
        <f ca="1">IF(B37=1,VLOOKUP(_xlfn.SHEET(),Listes!$F:$H,3,0),IF(TEXT(H36+1,"mmmm")&lt;&gt;TEXT(H36,"mmmm"),"",H36+1))</f>
        <v>45504</v>
      </c>
      <c r="I37" s="37" t="s">
        <v>187</v>
      </c>
      <c r="J37" s="38">
        <f>IF(OR(I37=0,LEFT(I37,1)="A"),0,INDEX(Listes!Q:V,MATCH(I37,Listes!Q:Q,0),2))</f>
        <v>0.33333333333333331</v>
      </c>
      <c r="K37" s="38">
        <f>IF(OR(I37=0,LEFT(I37,1)="A"),0,INDEX(Listes!Q:V,MATCH(I37,Listes!Q:Q,0),3))</f>
        <v>0.5</v>
      </c>
      <c r="L37" s="37"/>
      <c r="M37" s="38">
        <f>IF(L37=0,0,IF(AND(LEFT(I37,1)="M",L37&lt;&gt;0),INDEX(Listes!J:O,MATCH(L37,Listes!J:J,1),3),IF(AND(LEFT(I37,1)="N",L37&lt;&gt;0),INDEX(Listes!J:O,MATCH(L37,Listes!J:J,1),3),IF(AND(LEFT(I37,1)="A",L37&lt;&gt;0),INDEX(Listes!J:O,MATCH(L37,Listes!J:J,1),3),IF(AND(LEFT(I37,1)="J",L37&lt;&gt;0),INDEX(Listes!J:O,MATCH(L37,Listes!J:J,1),3),IF(AND(LEFT(I37,1)="T",L37&lt;&gt;0),INDEX(Listes!J:O,MATCH(L37,Listes!J:J,1),3),"horaire"))))))</f>
        <v>0</v>
      </c>
      <c r="N37" s="38">
        <f>IFERROR(IF(M37="$horaire","à compléter",IF(AND(M37="$DEMI",INDEX(Listes!J:O,MATCH(L37,Listes!J:J,1),6)="oui"),(K37-J37),0)),0)</f>
        <v>0</v>
      </c>
      <c r="O37" s="40">
        <f>IF(OR(I37=0,LEFT(I37,1)="A"),0,INDEX(Listes!Q:V,MATCH(I37,Listes!Q:Q,0),4))</f>
        <v>0.5625</v>
      </c>
      <c r="P37" s="42">
        <f>IF(OR(I37=0,LEFT(I37,1)="A"),0,INDEX(Listes!Q:V,MATCH(I37,Listes!Q:Q,0),5))</f>
        <v>0.70833333333333337</v>
      </c>
      <c r="Q37" s="37"/>
      <c r="R37" s="38">
        <f>IF(Q37=0,0,IF(AND(LEFT(I37,1)="M",Q37&lt;&gt;0),INDEX(Listes!J:O,MATCH(Q37,Listes!J:J,1),3),IF(AND(LEFT(I37,1)="N",Q37&lt;&gt;0),INDEX(Listes!J:O,MATCH(Q37,Listes!J:J,1),3),IF(AND(LEFT(I37,1)="A",Q37&lt;&gt;0),INDEX(Listes!J:O,MATCH(Q37,Listes!J:J,1),3),IF(AND(LEFT(I37,1)="J",Q37&lt;&gt;0),INDEX(Listes!J:O,MATCH(Q37,Listes!J:J,1),3),IF(AND(LEFT(I37,1)="T",Q37&lt;&gt;0),INDEX(Listes!J:O,MATCH(Q37,Listes!J:J,1),3),"horaire"))))))</f>
        <v>0</v>
      </c>
      <c r="S37" s="38">
        <f>IFERROR(IF(R37="$horaire","à compléter",IF(AND(R37="$DEMI2",INDEX(Listes!J:O,MATCH(Q37,Listes!J:J,1),6)="oui"),(P37-O37),0)),0)</f>
        <v>0</v>
      </c>
      <c r="T37" s="37"/>
      <c r="U37" s="37">
        <f t="shared" si="3"/>
        <v>0</v>
      </c>
      <c r="V37" s="70">
        <f>IF(I37=0,0,INDEX(Listes!Q:V,MATCH(I37,Listes!Q:Q,1),6))</f>
        <v>7.5000000000000009</v>
      </c>
      <c r="W37" s="71">
        <f>IF(I37=0,0,IF(AND(LEFT(I37,1)="A",O37&lt;=P37),(P37-O37)*24,IF(J37&lt;=K37,(K37-J37)*24,((Listes!$H$21-J37)*24+(K37-Listes!$H$21)*24))+IF(O37&lt;=P37,(P37-O37)*24,(Listes!$H$21-O37)*24+(P37-Listes!$G$21)*24)))-X37+(U37*24)</f>
        <v>7.5000000000000009</v>
      </c>
      <c r="X37" s="70">
        <f>IFERROR(IF(IFERROR(INDEX(Listes!J:O,MATCH(L37,Listes!J:J,1),6),0)="oui",N37*24,0),0)+IFERROR(IF(IFERROR(INDEX(Listes!J:O,MATCH(Q37,Listes!J:J,1),6),0)="oui",S37*24,0),0)</f>
        <v>0</v>
      </c>
      <c r="Y37" s="70">
        <f t="shared" ca="1" si="21"/>
        <v>0</v>
      </c>
      <c r="Z37" s="71">
        <f t="shared" si="19"/>
        <v>1</v>
      </c>
      <c r="AA37" s="70">
        <f t="shared" si="6"/>
        <v>0</v>
      </c>
      <c r="AB37" s="70">
        <f>IF(I37=0,0,IF(AND(J37&gt;K37,J37&gt;=Listes!$G$22),MOD(MIN(K37,Listes!$H$22)-J37,1),IF(OR(J37&gt;K37,K37&gt;=Listes!$G$22),MOD(K37-Listes!$G$22,1),IF(K37&lt;=Listes!$H$22,MOD(K37-J37,1),IF(J37&lt;=Listes!$H$22,MOD(Listes!$H$22-J37,1),0))))+IF(AND(O37&gt;P37,O37&gt;=Listes!$G$22),MOD(MIN(P37,Listes!$H$22)-O37,1),IF(OR(O37&gt;P37,P37&gt;=Listes!$G$22),MOD(P37-Listes!$G$22,1),0)))*24</f>
        <v>0</v>
      </c>
      <c r="AC37" s="71">
        <f t="shared" ca="1" si="15"/>
        <v>0</v>
      </c>
      <c r="AD37" s="71">
        <f ca="1">IF(IFERROR(VLOOKUP(H37,Listes!$H$3:$H$20,1,0),0)&lt;&gt;0,W37,0)</f>
        <v>0</v>
      </c>
      <c r="AE37" s="71">
        <f t="shared" si="20"/>
        <v>0</v>
      </c>
      <c r="AF37" s="44"/>
      <c r="AG37" s="44"/>
      <c r="AH37" s="44"/>
      <c r="AI37" s="44"/>
      <c r="AJ37" s="44"/>
      <c r="AK37" s="44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79" t="str">
        <f t="shared" si="8"/>
        <v>MAT1</v>
      </c>
      <c r="BA37" s="80">
        <f t="shared" si="9"/>
        <v>0</v>
      </c>
      <c r="BB37" s="81">
        <f ca="1">JUIL!H37</f>
        <v>45504</v>
      </c>
      <c r="BC37" s="81">
        <f ca="1">JUIL!H37</f>
        <v>45504</v>
      </c>
      <c r="BD37" s="77" t="s">
        <v>81</v>
      </c>
      <c r="BE37" s="73" t="str">
        <f t="shared" si="10"/>
        <v>$jour</v>
      </c>
      <c r="BF37" s="71">
        <f t="shared" si="11"/>
        <v>0</v>
      </c>
      <c r="BG37" s="73"/>
      <c r="BH37" s="73"/>
      <c r="BI37" s="72" t="str">
        <f t="shared" si="16"/>
        <v>MAT1</v>
      </c>
      <c r="BS37" s="106">
        <f ca="1">VLOOKUP(_xlfn.SHEET(),Listes!$A:$B,2,0)</f>
        <v>45474</v>
      </c>
      <c r="BT37" s="106">
        <f t="shared" ca="1" si="17"/>
        <v>45474</v>
      </c>
      <c r="BU37" s="55">
        <f>IF(OR(BP37&lt;&gt;0,BR37&lt;&gt;0),"a importer",0)</f>
        <v>0</v>
      </c>
    </row>
  </sheetData>
  <sheetProtection autoFilter="0"/>
  <autoFilter ref="A6:BH37" xr:uid="{00000000-0001-0000-0000-000000000000}"/>
  <conditionalFormatting sqref="A7:U37">
    <cfRule type="expression" dxfId="7" priority="2">
      <formula>SEARCH("dimanche",$G7)</formula>
    </cfRule>
    <cfRule type="expression" dxfId="6" priority="3">
      <formula>SEARCH("samedi",$G7)</formula>
    </cfRule>
  </conditionalFormatting>
  <dataValidations count="1">
    <dataValidation type="list" allowBlank="1" showInputMessage="1" showErrorMessage="1" sqref="AI7:AI37" xr:uid="{6A950536-40BA-4488-9202-64464F6AF522}">
      <formula1>"1,"</formula1>
    </dataValidation>
  </dataValidations>
  <pageMargins left="0.19685039370078741" right="0.19685039370078741" top="0.98425196850393704" bottom="0.98425196850393704" header="0.51181102362204722" footer="0.51181102362204722"/>
  <pageSetup paperSize="9" scale="35" firstPageNumber="0" orientation="landscape" horizontalDpi="300" verticalDpi="300" r:id="rId1"/>
  <headerFooter alignWithMargins="0">
    <oddHeader>&amp;L&amp;D&amp;C&amp;"Arial,Gras"FEUILLE SAISIE ELEMENTS VARIABLES DE PAIE
MOIS DE JUIN</oddHeader>
    <oddFooter>&amp;R&amp;P/6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547FEC7-AF33-4B31-9210-FBB03ED0DCD0}">
            <xm:f>+COUNTIF(Listes!$H$3:$H$20,$H7)&gt;0</xm:f>
            <x14:dxf>
              <fill>
                <patternFill>
                  <bgColor theme="0" tint="-0.24994659260841701"/>
                </patternFill>
              </fill>
            </x14:dxf>
          </x14:cfRule>
          <xm:sqref>A7:U1048576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2694A6-08AE-4D9F-86FC-D282D07174C4}">
          <x14:formula1>
            <xm:f>Listes!$J$2:$J$40</xm:f>
          </x14:formula1>
          <xm:sqref>Q7:Q37 L7:L37</xm:sqref>
        </x14:dataValidation>
        <x14:dataValidation type="list" allowBlank="1" showInputMessage="1" showErrorMessage="1" xr:uid="{1E404D50-1445-4FEE-B010-AE5C44B376C3}">
          <x14:formula1>
            <xm:f>Listes!$Q$3:$Q$55</xm:f>
          </x14:formula1>
          <xm:sqref>I7:I37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95B9-6FB4-4BD1-971F-CCDF0D4CA9DA}">
  <sheetPr codeName="Feuil26">
    <tabColor rgb="FFFFD200"/>
  </sheetPr>
  <dimension ref="A1:BV37"/>
  <sheetViews>
    <sheetView showZeros="0" zoomScale="70" zoomScaleNormal="70" workbookViewId="0">
      <pane ySplit="6" topLeftCell="A7" activePane="bottomLeft" state="frozen"/>
      <selection activeCell="B6" sqref="B6"/>
      <selection pane="bottomLeft" activeCell="D13" sqref="D13"/>
    </sheetView>
  </sheetViews>
  <sheetFormatPr baseColWidth="10" defaultColWidth="11.42578125" defaultRowHeight="18" customHeight="1" outlineLevelRow="1" outlineLevelCol="2"/>
  <cols>
    <col min="1" max="1" width="12.42578125" style="55" customWidth="1"/>
    <col min="2" max="2" width="17" style="55" customWidth="1"/>
    <col min="3" max="3" width="127.85546875" style="55" bestFit="1" customWidth="1"/>
    <col min="4" max="4" width="25.28515625" style="55" customWidth="1"/>
    <col min="5" max="5" width="12.42578125" style="55" bestFit="1" customWidth="1"/>
    <col min="6" max="6" width="15.85546875" style="55" customWidth="1"/>
    <col min="7" max="8" width="16.7109375" style="55" customWidth="1"/>
    <col min="9" max="9" width="22.28515625" style="90" customWidth="1" outlineLevel="1"/>
    <col min="10" max="10" width="13.85546875" style="90" customWidth="1" outlineLevel="1"/>
    <col min="11" max="11" width="14.140625" style="90" customWidth="1" outlineLevel="1"/>
    <col min="12" max="12" width="15.5703125" style="90" customWidth="1" outlineLevel="1"/>
    <col min="13" max="13" width="13.85546875" style="90" customWidth="1" outlineLevel="1"/>
    <col min="14" max="14" width="14.140625" style="90" customWidth="1" outlineLevel="1"/>
    <col min="15" max="15" width="13.42578125" style="89" customWidth="1" outlineLevel="1"/>
    <col min="16" max="16" width="12.5703125" style="89" customWidth="1" outlineLevel="1"/>
    <col min="17" max="17" width="15.5703125" style="90" customWidth="1" outlineLevel="1"/>
    <col min="18" max="18" width="13.85546875" style="90" customWidth="1" outlineLevel="1"/>
    <col min="19" max="19" width="14.140625" style="90" customWidth="1" outlineLevel="1"/>
    <col min="20" max="20" width="13.28515625" style="90" customWidth="1" outlineLevel="1"/>
    <col min="21" max="21" width="16.28515625" style="90" customWidth="1" outlineLevel="2"/>
    <col min="22" max="22" width="19.85546875" style="55" customWidth="1" outlineLevel="1"/>
    <col min="23" max="24" width="15.85546875" style="55" customWidth="1" outlineLevel="1"/>
    <col min="25" max="25" width="17" style="116" customWidth="1" outlineLevel="1"/>
    <col min="26" max="31" width="13.28515625" style="55" customWidth="1"/>
    <col min="32" max="32" width="12.5703125" style="93" customWidth="1" outlineLevel="1"/>
    <col min="33" max="33" width="16.85546875" style="93" customWidth="1" outlineLevel="1"/>
    <col min="34" max="34" width="17.140625" style="93" bestFit="1" customWidth="1" outlineLevel="1"/>
    <col min="35" max="35" width="12.5703125" style="93" customWidth="1" outlineLevel="1"/>
    <col min="36" max="36" width="16.28515625" style="93" bestFit="1" customWidth="1" outlineLevel="1"/>
    <col min="37" max="37" width="15" style="93" bestFit="1" customWidth="1" outlineLevel="1"/>
    <col min="38" max="51" width="12" style="55" customWidth="1"/>
    <col min="52" max="52" width="14.42578125" style="72" customWidth="1" outlineLevel="2"/>
    <col min="53" max="53" width="20.5703125" style="55" customWidth="1" outlineLevel="2"/>
    <col min="54" max="55" width="11.42578125" style="74" customWidth="1" outlineLevel="2"/>
    <col min="56" max="60" width="11.42578125" style="55" customWidth="1" outlineLevel="2"/>
    <col min="61" max="61" width="12.7109375" style="55" customWidth="1" outlineLevel="1"/>
    <col min="62" max="64" width="11.42578125" style="55" customWidth="1" outlineLevel="1"/>
    <col min="65" max="65" width="12.140625" style="55" customWidth="1" outlineLevel="1"/>
    <col min="66" max="70" width="11.42578125" style="55" customWidth="1" outlineLevel="1"/>
    <col min="71" max="72" width="14.7109375" style="55" customWidth="1" outlineLevel="1"/>
    <col min="73" max="73" width="11.42578125" style="55" customWidth="1" outlineLevel="1"/>
    <col min="75" max="16384" width="11.42578125" style="55"/>
  </cols>
  <sheetData>
    <row r="1" spans="1:73" ht="58.5" customHeight="1">
      <c r="A1" s="26" t="s">
        <v>0</v>
      </c>
      <c r="B1" s="47"/>
      <c r="C1" s="47"/>
      <c r="D1" s="48"/>
      <c r="E1" s="48"/>
      <c r="F1" s="48"/>
      <c r="G1" s="49"/>
      <c r="H1" s="49"/>
      <c r="I1" s="83"/>
      <c r="J1" s="83"/>
      <c r="K1" s="83"/>
      <c r="L1" s="83"/>
      <c r="M1" s="83"/>
      <c r="N1" s="83"/>
      <c r="O1" s="82"/>
      <c r="P1" s="82"/>
      <c r="Q1" s="83"/>
      <c r="R1" s="83"/>
      <c r="S1" s="83"/>
      <c r="T1" s="83"/>
      <c r="U1" s="83"/>
      <c r="V1" s="50"/>
      <c r="W1" s="50"/>
      <c r="X1" s="50"/>
      <c r="Y1" s="50"/>
      <c r="Z1" s="50"/>
      <c r="AA1" s="50"/>
      <c r="AB1" s="50"/>
      <c r="AC1" s="50"/>
      <c r="AD1" s="50"/>
      <c r="AE1" s="50"/>
      <c r="AF1" s="91"/>
      <c r="AG1" s="91"/>
      <c r="AH1" s="91"/>
      <c r="AI1" s="91"/>
      <c r="AJ1" s="91"/>
      <c r="AK1" s="91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2" t="s">
        <v>1</v>
      </c>
      <c r="BB1" s="53"/>
      <c r="BC1" s="53"/>
      <c r="BD1" s="50"/>
      <c r="BE1" s="54"/>
      <c r="BF1" s="54"/>
      <c r="BG1" s="54"/>
      <c r="BH1" s="54"/>
      <c r="BI1" s="103" t="s">
        <v>2</v>
      </c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</row>
    <row r="2" spans="1:73" ht="13.5" customHeight="1">
      <c r="A2" s="56"/>
      <c r="B2" s="56"/>
      <c r="C2" s="56"/>
      <c r="D2" s="50"/>
      <c r="E2" s="50"/>
      <c r="F2" s="117"/>
      <c r="G2" s="50"/>
      <c r="H2" s="50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50"/>
      <c r="W2" s="50"/>
      <c r="X2" s="50"/>
      <c r="Y2" s="51"/>
      <c r="Z2" s="50"/>
      <c r="AA2" s="50"/>
      <c r="AB2" s="50"/>
      <c r="AC2" s="50"/>
      <c r="AD2" s="50"/>
      <c r="AE2" s="50"/>
      <c r="AF2" s="91"/>
      <c r="AG2" s="91"/>
      <c r="AH2" s="91"/>
      <c r="AI2" s="91"/>
      <c r="AJ2" s="91"/>
      <c r="AK2" s="91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7"/>
      <c r="BA2" s="50"/>
      <c r="BB2" s="53"/>
      <c r="BC2" s="53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4"/>
      <c r="BS2" s="50"/>
      <c r="BT2" s="50"/>
    </row>
    <row r="3" spans="1:73" ht="13.5" customHeight="1">
      <c r="A3" s="56"/>
      <c r="B3" s="56"/>
      <c r="C3" s="56" t="s">
        <v>323</v>
      </c>
      <c r="D3" s="50"/>
      <c r="E3" s="50"/>
      <c r="F3" s="117"/>
      <c r="G3" s="50"/>
      <c r="H3" s="50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50" t="str">
        <f>INDEX(Listes!J:O,MATCH(L10,Listes!J:J,1),6)</f>
        <v>non</v>
      </c>
      <c r="W3" s="50"/>
      <c r="X3" s="50"/>
      <c r="Y3" s="51"/>
      <c r="Z3" s="50"/>
      <c r="AA3" s="50"/>
      <c r="AB3" s="50"/>
      <c r="AC3" s="50"/>
      <c r="AD3" s="51"/>
      <c r="AE3" s="50"/>
      <c r="AF3" s="91"/>
      <c r="AG3" s="91"/>
      <c r="AH3" s="91"/>
      <c r="AI3" s="91"/>
      <c r="AJ3" s="91"/>
      <c r="AK3" s="91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7"/>
      <c r="BA3" s="50" t="s">
        <v>3</v>
      </c>
      <c r="BB3" s="53"/>
      <c r="BC3" s="53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</row>
    <row r="4" spans="1:73" ht="13.5" customHeight="1" outlineLevel="1">
      <c r="A4" s="56"/>
      <c r="B4" s="56"/>
      <c r="C4" s="56"/>
      <c r="D4" s="50"/>
      <c r="E4" s="50"/>
      <c r="F4" s="117"/>
      <c r="G4" s="50"/>
      <c r="H4" s="50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50"/>
      <c r="W4" s="50"/>
      <c r="X4" s="50"/>
      <c r="Y4" s="51"/>
      <c r="Z4" s="50" t="s">
        <v>4</v>
      </c>
      <c r="AA4" s="50" t="s">
        <v>4</v>
      </c>
      <c r="AB4" s="50" t="s">
        <v>4</v>
      </c>
      <c r="AC4" s="50" t="s">
        <v>4</v>
      </c>
      <c r="AD4" s="50" t="s">
        <v>4</v>
      </c>
      <c r="AE4" s="50" t="s">
        <v>4</v>
      </c>
      <c r="AF4" s="50" t="s">
        <v>4</v>
      </c>
      <c r="AG4" s="114" t="s">
        <v>5</v>
      </c>
      <c r="AH4" s="114" t="s">
        <v>5</v>
      </c>
      <c r="AI4" s="91" t="s">
        <v>4</v>
      </c>
      <c r="AJ4" s="114" t="s">
        <v>5</v>
      </c>
      <c r="AK4" s="114" t="s">
        <v>5</v>
      </c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7"/>
      <c r="BA4" s="50"/>
      <c r="BB4" s="53"/>
      <c r="BC4" s="53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</row>
    <row r="5" spans="1:73" s="121" customFormat="1" ht="90" customHeight="1">
      <c r="A5" s="58"/>
      <c r="B5" s="58"/>
      <c r="C5" s="58"/>
      <c r="D5" s="58"/>
      <c r="E5" s="59"/>
      <c r="F5" s="118" t="s">
        <v>6</v>
      </c>
      <c r="G5" s="60"/>
      <c r="H5" s="60"/>
      <c r="I5" s="112" t="s">
        <v>7</v>
      </c>
      <c r="J5" s="87" t="s">
        <v>8</v>
      </c>
      <c r="K5" s="87" t="s">
        <v>9</v>
      </c>
      <c r="L5" s="85" t="s">
        <v>10</v>
      </c>
      <c r="M5" s="87" t="s">
        <v>11</v>
      </c>
      <c r="N5" s="87" t="s">
        <v>12</v>
      </c>
      <c r="O5" s="86" t="s">
        <v>8</v>
      </c>
      <c r="P5" s="86" t="s">
        <v>9</v>
      </c>
      <c r="Q5" s="85" t="s">
        <v>13</v>
      </c>
      <c r="R5" s="87" t="s">
        <v>11</v>
      </c>
      <c r="S5" s="87" t="s">
        <v>12</v>
      </c>
      <c r="T5" s="102" t="s">
        <v>14</v>
      </c>
      <c r="U5" s="88"/>
      <c r="V5" s="61"/>
      <c r="W5" s="62"/>
      <c r="X5" s="62"/>
      <c r="Y5" s="62"/>
      <c r="Z5" s="63" t="s">
        <v>15</v>
      </c>
      <c r="AA5" s="64" t="s">
        <v>16</v>
      </c>
      <c r="AB5" s="63" t="s">
        <v>17</v>
      </c>
      <c r="AC5" s="63" t="s">
        <v>18</v>
      </c>
      <c r="AD5" s="63" t="s">
        <v>19</v>
      </c>
      <c r="AE5" s="63" t="s">
        <v>20</v>
      </c>
      <c r="AF5" s="92" t="s">
        <v>21</v>
      </c>
      <c r="AG5" s="92" t="s">
        <v>22</v>
      </c>
      <c r="AH5" s="92" t="s">
        <v>17</v>
      </c>
      <c r="AI5" s="92" t="s">
        <v>23</v>
      </c>
      <c r="AJ5" s="92" t="s">
        <v>24</v>
      </c>
      <c r="AK5" s="92" t="s">
        <v>25</v>
      </c>
      <c r="AL5" s="107">
        <v>3</v>
      </c>
      <c r="AM5" s="107">
        <v>4</v>
      </c>
      <c r="AN5" s="107">
        <v>5</v>
      </c>
      <c r="AO5" s="107">
        <v>6</v>
      </c>
      <c r="AP5" s="107">
        <f>AO5+1</f>
        <v>7</v>
      </c>
      <c r="AQ5" s="107">
        <f t="shared" ref="AQ5:AY5" si="0">AP5+1</f>
        <v>8</v>
      </c>
      <c r="AR5" s="107">
        <f t="shared" si="0"/>
        <v>9</v>
      </c>
      <c r="AS5" s="107">
        <f t="shared" si="0"/>
        <v>10</v>
      </c>
      <c r="AT5" s="107">
        <f t="shared" si="0"/>
        <v>11</v>
      </c>
      <c r="AU5" s="107">
        <f t="shared" si="0"/>
        <v>12</v>
      </c>
      <c r="AV5" s="107">
        <f t="shared" si="0"/>
        <v>13</v>
      </c>
      <c r="AW5" s="107">
        <f t="shared" si="0"/>
        <v>14</v>
      </c>
      <c r="AX5" s="107">
        <f t="shared" si="0"/>
        <v>15</v>
      </c>
      <c r="AY5" s="107">
        <f t="shared" si="0"/>
        <v>16</v>
      </c>
      <c r="AZ5" s="65" t="s">
        <v>26</v>
      </c>
      <c r="BA5" s="66" t="s">
        <v>27</v>
      </c>
      <c r="BB5" s="67" t="s">
        <v>28</v>
      </c>
      <c r="BC5" s="67" t="s">
        <v>29</v>
      </c>
      <c r="BD5" s="68" t="s">
        <v>30</v>
      </c>
      <c r="BE5" s="68" t="s">
        <v>31</v>
      </c>
      <c r="BF5" s="68" t="s">
        <v>32</v>
      </c>
      <c r="BG5" s="68" t="s">
        <v>33</v>
      </c>
      <c r="BH5" s="68" t="s">
        <v>34</v>
      </c>
      <c r="BI5" s="104" t="s">
        <v>271</v>
      </c>
      <c r="BJ5" s="104" t="s">
        <v>65</v>
      </c>
      <c r="BK5" s="104" t="s">
        <v>272</v>
      </c>
      <c r="BL5" s="104" t="s">
        <v>273</v>
      </c>
      <c r="BM5" s="104" t="s">
        <v>274</v>
      </c>
      <c r="BN5" s="104" t="s">
        <v>275</v>
      </c>
      <c r="BO5" s="104" t="s">
        <v>276</v>
      </c>
      <c r="BP5" s="104" t="s">
        <v>277</v>
      </c>
      <c r="BQ5" s="104" t="s">
        <v>278</v>
      </c>
      <c r="BR5" s="104" t="s">
        <v>70</v>
      </c>
      <c r="BS5" s="104" t="s">
        <v>67</v>
      </c>
      <c r="BT5" s="104" t="s">
        <v>68</v>
      </c>
      <c r="BU5" s="105"/>
    </row>
    <row r="6" spans="1:73" s="36" customFormat="1" ht="113.25" customHeight="1">
      <c r="A6" s="30" t="s">
        <v>35</v>
      </c>
      <c r="B6" s="30" t="s">
        <v>36</v>
      </c>
      <c r="C6" s="30" t="str">
        <f>Listes!Z1</f>
        <v>Matricule</v>
      </c>
      <c r="D6" s="30" t="str">
        <f>Listes!AA1</f>
        <v>Liste salariés</v>
      </c>
      <c r="E6" s="30" t="s">
        <v>37</v>
      </c>
      <c r="F6" s="119" t="s">
        <v>38</v>
      </c>
      <c r="G6" s="35" t="s">
        <v>39</v>
      </c>
      <c r="H6" s="35" t="s">
        <v>40</v>
      </c>
      <c r="I6" s="27" t="s">
        <v>41</v>
      </c>
      <c r="J6" s="28" t="s">
        <v>42</v>
      </c>
      <c r="K6" s="28" t="s">
        <v>43</v>
      </c>
      <c r="L6" s="46" t="s">
        <v>44</v>
      </c>
      <c r="M6" s="28" t="s">
        <v>45</v>
      </c>
      <c r="N6" s="28" t="s">
        <v>46</v>
      </c>
      <c r="O6" s="41" t="s">
        <v>42</v>
      </c>
      <c r="P6" s="41" t="s">
        <v>43</v>
      </c>
      <c r="Q6" s="46" t="s">
        <v>44</v>
      </c>
      <c r="R6" s="28" t="s">
        <v>45</v>
      </c>
      <c r="S6" s="28" t="s">
        <v>46</v>
      </c>
      <c r="T6" s="27" t="s">
        <v>47</v>
      </c>
      <c r="U6" s="45" t="s">
        <v>48</v>
      </c>
      <c r="V6" s="29" t="s">
        <v>49</v>
      </c>
      <c r="W6" s="29" t="s">
        <v>50</v>
      </c>
      <c r="X6" s="29" t="s">
        <v>51</v>
      </c>
      <c r="Y6" s="115" t="s">
        <v>52</v>
      </c>
      <c r="Z6" s="29" t="s">
        <v>53</v>
      </c>
      <c r="AA6" s="29" t="s">
        <v>54</v>
      </c>
      <c r="AB6" s="29" t="s">
        <v>55</v>
      </c>
      <c r="AC6" s="29" t="s">
        <v>56</v>
      </c>
      <c r="AD6" s="29" t="s">
        <v>57</v>
      </c>
      <c r="AE6" s="29" t="s">
        <v>58</v>
      </c>
      <c r="AF6" s="43" t="s">
        <v>59</v>
      </c>
      <c r="AG6" s="43" t="s">
        <v>60</v>
      </c>
      <c r="AH6" s="43" t="s">
        <v>61</v>
      </c>
      <c r="AI6" s="43" t="s">
        <v>62</v>
      </c>
      <c r="AJ6" s="43" t="s">
        <v>63</v>
      </c>
      <c r="AK6" s="43" t="s">
        <v>64</v>
      </c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31" t="s">
        <v>65</v>
      </c>
      <c r="BA6" s="32" t="s">
        <v>66</v>
      </c>
      <c r="BB6" s="33" t="s">
        <v>67</v>
      </c>
      <c r="BC6" s="33" t="s">
        <v>68</v>
      </c>
      <c r="BD6" s="34" t="s">
        <v>69</v>
      </c>
      <c r="BE6" s="34" t="s">
        <v>70</v>
      </c>
      <c r="BF6" s="34" t="s">
        <v>71</v>
      </c>
      <c r="BG6" s="34" t="s">
        <v>72</v>
      </c>
      <c r="BH6" s="34" t="s">
        <v>73</v>
      </c>
      <c r="BI6" s="104" t="s">
        <v>271</v>
      </c>
      <c r="BJ6" s="104" t="s">
        <v>65</v>
      </c>
      <c r="BK6" s="104" t="s">
        <v>272</v>
      </c>
      <c r="BL6" s="104" t="s">
        <v>273</v>
      </c>
      <c r="BM6" s="104" t="s">
        <v>274</v>
      </c>
      <c r="BN6" s="104" t="s">
        <v>275</v>
      </c>
      <c r="BO6" s="104" t="s">
        <v>276</v>
      </c>
      <c r="BP6" s="104" t="s">
        <v>277</v>
      </c>
      <c r="BQ6" s="104" t="s">
        <v>278</v>
      </c>
      <c r="BR6" s="104" t="s">
        <v>70</v>
      </c>
      <c r="BS6" s="104" t="s">
        <v>67</v>
      </c>
      <c r="BT6" s="104" t="s">
        <v>68</v>
      </c>
    </row>
    <row r="7" spans="1:73" ht="18" customHeight="1">
      <c r="A7" s="69" t="str">
        <f>Listes!$AD$2</f>
        <v>MANAGER</v>
      </c>
      <c r="B7" s="108">
        <f>IF(B6="ordre",Listes!$F$25,B6+1)</f>
        <v>1</v>
      </c>
      <c r="C7" s="69" t="str" cm="1">
        <f t="array" ref="C7">INDEX(Listes!$Z$2:$Z$31,1+(ROW()-7)/31+INT((ROW()-7)/(31*30)))</f>
        <v>MAT1</v>
      </c>
      <c r="D7" s="69" t="str">
        <f>IFERROR(INDEX(Listes!Z:AA,MATCH(C7,Listes!Z:Z,0),2),"")</f>
        <v>Matricule 1</v>
      </c>
      <c r="E7" s="69" t="str">
        <f t="shared" ref="E7:E37" ca="1" si="1">(TEXT(H7,"mmmm"))</f>
        <v>août</v>
      </c>
      <c r="F7" s="120">
        <f ca="1">IF(H7="","",_xlfn.ISOWEEKNUM(H7))</f>
        <v>31</v>
      </c>
      <c r="G7" s="78" t="str">
        <f t="shared" ref="G7:G37" ca="1" si="2">TEXT(H7,"jjjj")</f>
        <v>jeudi</v>
      </c>
      <c r="H7" s="78">
        <f ca="1">IF(B7=1,INDEX(Listes!F:H,MATCH(_xlfn.SHEET(),Listes!F:F,0),3),IF(TEXT(H6+1,"mmmm")&lt;&gt;TEXT(H6,"mmmm"),"",H6+1))</f>
        <v>45505</v>
      </c>
      <c r="I7" s="37"/>
      <c r="J7" s="38">
        <f>IF(OR(I7=0,LEFT(I7,1)="A"),0,INDEX(Listes!Q:V,MATCH(I7,Listes!Q:Q,0),2))</f>
        <v>0</v>
      </c>
      <c r="K7" s="38">
        <f>IF(OR(I7=0,LEFT(I7,1)="A"),0,INDEX(Listes!Q:V,MATCH(I7,Listes!Q:Q,0),3))</f>
        <v>0</v>
      </c>
      <c r="L7" s="37"/>
      <c r="M7" s="38">
        <f>IF(L7=0,0,IF(AND(LEFT(I7,1)="M",L7&lt;&gt;0),INDEX(Listes!J:O,MATCH(L7,Listes!J:J,1),3),IF(AND(LEFT(I7,1)="N",L7&lt;&gt;0),INDEX(Listes!J:O,MATCH(L7,Listes!J:J,1),3),IF(AND(LEFT(I7,1)="A",L7&lt;&gt;0),INDEX(Listes!J:O,MATCH(L7,Listes!J:J,1),3),IF(AND(LEFT(I7,1)="J",L7&lt;&gt;0),INDEX(Listes!J:O,MATCH(L7,Listes!J:J,1),3),IF(AND(LEFT(I7,1)="T",L7&lt;&gt;0),INDEX(Listes!J:O,MATCH(L7,Listes!J:J,1),3),"horaire"))))))</f>
        <v>0</v>
      </c>
      <c r="N7" s="38">
        <f>IFERROR(IF(M7="$horaire","à compléter",IF(AND(M7="$DEMI",INDEX(Listes!J:O,MATCH(L7,Listes!J:J,1),6)="oui"),(K7-J7),0)),0)</f>
        <v>0</v>
      </c>
      <c r="O7" s="40">
        <f>IF(OR(I7=0,LEFT(I7,1)="A"),0,INDEX(Listes!Q:V,MATCH(I7,Listes!Q:Q,0),4))</f>
        <v>0</v>
      </c>
      <c r="P7" s="42">
        <f>IF(OR(I7=0,LEFT(I7,1)="A"),0,INDEX(Listes!Q:V,MATCH(I7,Listes!Q:Q,0),5))</f>
        <v>0</v>
      </c>
      <c r="Q7" s="37"/>
      <c r="R7" s="38">
        <f>IF(Q7=0,0,IF(AND(LEFT(I7,1)="M",Q7&lt;&gt;0),INDEX(Listes!J:O,MATCH(Q7,Listes!J:J,1),3),IF(AND(LEFT(I7,1)="N",Q7&lt;&gt;0),INDEX(Listes!J:O,MATCH(Q7,Listes!J:J,1),3),IF(AND(LEFT(I7,1)="A",Q7&lt;&gt;0),INDEX(Listes!J:O,MATCH(Q7,Listes!J:J,1),3),IF(AND(LEFT(I7,1)="J",Q7&lt;&gt;0),INDEX(Listes!J:O,MATCH(Q7,Listes!J:J,1),3),IF(AND(LEFT(I7,1)="T",Q7&lt;&gt;0),INDEX(Listes!J:O,MATCH(Q7,Listes!J:J,1),3),"horaire"))))))</f>
        <v>0</v>
      </c>
      <c r="S7" s="38">
        <f>IFERROR(IF(R7="$horaire","à compléter",IF(AND(R7="$DEMI",VLOOKUP(Q7,Listes!$J:$O,6,0)="oui"),(P7-O7),0)),0)</f>
        <v>0</v>
      </c>
      <c r="T7" s="37"/>
      <c r="U7" s="37">
        <f t="shared" ref="U7:U37" si="3">IF(RIGHT(I7,2)="CH","00:30",0)</f>
        <v>0</v>
      </c>
      <c r="V7" s="70">
        <f>IF(I7=0,0,INDEX(Listes!Q:V,MATCH(I7,Listes!Q:Q,1),6))</f>
        <v>0</v>
      </c>
      <c r="W7" s="71">
        <f>IF(I7=0,0,IF(AND(LEFT(I7,1)="A",O7&lt;=P7),(P7-O7)*24,IF(J7&lt;=K7,(K7-J7)*24,((Listes!$H$21-J7)*24+(K7-Listes!$H$21)*24))+IF(O7&lt;=P7,(P7-O7)*24,(Listes!$H$21-O7)*24+(P7-Listes!$G$21)*24)))-X7+(U7*24)</f>
        <v>0</v>
      </c>
      <c r="X7" s="70">
        <f>IFERROR(IF(IFERROR(VLOOKUP(L7,Listes!$J:$O,6,0),0)="oui",N7*24,0),0)+IFERROR(IF(IFERROR(VLOOKUP(Q7,Listes!$J:$O,6,0),0)="oui",S7*24,0),0)</f>
        <v>0</v>
      </c>
      <c r="Y7" s="70">
        <f t="shared" ref="Y7:Y12" ca="1" si="4">W7-V7+IF(OR(G7="samedi",G7="dimanche"),W7,0)</f>
        <v>0</v>
      </c>
      <c r="Z7" s="71">
        <f t="shared" ref="Z7:Z8" si="5">IF(I7="",0,IF(OR(AND(LEFT(I7,1)="J",LEFT(I7,1)="T"),R7="$demi2"),0,1))-AA7-AE7</f>
        <v>0</v>
      </c>
      <c r="AA7" s="70">
        <f t="shared" ref="AA7:AA37" si="6">IF(I7=0,0,IF(AND(COUNTIF(Q7,0)+COUNTIF(L7,0)=0,AND((LEFT(I7,1)&lt;&gt;"J"),LEFT(I7,1)&lt;&gt;"T",LEFT(I7,1)&lt;&gt;"H")),1-AE7,0))</f>
        <v>0</v>
      </c>
      <c r="AB7" s="70">
        <f>IF(I7=0,0,IF(AND(J7&gt;K7,J7&gt;=Listes!$G$22),MOD(MIN(K7,Listes!$H$22)-J7,1),IF(OR(J7&gt;K7,K7&gt;=Listes!$G$22),MOD(K7-Listes!$G$22,1),IF(K7&lt;=Listes!$H$22,MOD(K7-J7,1),IF(J7&lt;=Listes!$H$22,MOD(Listes!$H$22-J7,1),0))))+IF(AND(O7&gt;P7,O7&gt;=Listes!$G$22),MOD(MIN(P7,Listes!$H$22)-O7,1),IF(OR(O7&gt;P7,P7&gt;=Listes!$G$22),MOD(P7-Listes!$G$22,1),0)))*24</f>
        <v>0</v>
      </c>
      <c r="AC7" s="71">
        <f ca="1">IF(G7="dimanche",W7,0)</f>
        <v>0</v>
      </c>
      <c r="AD7" s="71">
        <f ca="1">IF(IFERROR(VLOOKUP(H7,Listes!$H$3:$H$20,1,0),0)&lt;&gt;0,W7,0)</f>
        <v>0</v>
      </c>
      <c r="AE7" s="71">
        <f t="shared" ref="AE7:AE9" si="7">IF(AND(RIGHT(I7,2)&lt;&gt;"CH",I7),0,IF(OR(L7&lt;&gt;0,Q7&lt;&gt;0),0,1))</f>
        <v>0</v>
      </c>
      <c r="AF7" s="44"/>
      <c r="AG7" s="113"/>
      <c r="AH7" s="113"/>
      <c r="AI7" s="44"/>
      <c r="AJ7" s="113"/>
      <c r="AK7" s="113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79" t="str">
        <f t="shared" ref="AZ7:AZ37" si="8">C7</f>
        <v>MAT1</v>
      </c>
      <c r="BA7" s="73">
        <f t="shared" ref="BA7:BA37" si="9">IF(L7=Q7,L7,L7&amp;Q7)</f>
        <v>0</v>
      </c>
      <c r="BB7" s="74">
        <f ca="1">AOUT!H7</f>
        <v>45505</v>
      </c>
      <c r="BC7" s="74">
        <f ca="1">AOUT!H7</f>
        <v>45505</v>
      </c>
      <c r="BD7" s="55" t="s">
        <v>81</v>
      </c>
      <c r="BE7" s="73" t="str">
        <f t="shared" ref="BE7:BE37" si="10">IF(AND(M7="",R7=""),"",IF(AND(M7=0,R7="$demi2"),"$demi2",IF(AND(M7="$demi",R7=0),"$demi",IF(AND(M7="",R7="$horaire"),"$horaire",IF(AND(M7="$horaire",R7=""),"$horaire",IF(AND(M7="$demi",R7="$horaire"),"$demi$horaire",IF(AND(M7="$horaire",R7="$demi2"),"$horaire$demi2",IF(AND(M7="$horaire",R7="$horaire"),"$horaire","$jour"))))))))</f>
        <v>$jour</v>
      </c>
      <c r="BF7" s="71">
        <f t="shared" ref="BF7:BF37" si="11">IF(AND(M7="$horaire",R7&lt;&gt;"$horaire"),N7*24,IF(AND(M7&lt;&gt;"$horaire",R7="$horaire"),S7*24,IF(AND(M7="$horaire",R7="$horaire"),(N7*24)+(S7*24),0)))</f>
        <v>0</v>
      </c>
      <c r="BG7" s="73"/>
      <c r="BH7" s="73"/>
      <c r="BI7" s="72" t="str">
        <f>AZ7</f>
        <v>MAT1</v>
      </c>
      <c r="BL7" s="55" t="str" cm="1">
        <f t="array" ref="BL7">INDEX($5:$5,COLUMN($Z5)+B7-1)</f>
        <v>TRESTO</v>
      </c>
      <c r="BM7" s="55" cm="1">
        <f t="array" ref="BM7">IF(INDEX($4:$4,COLUMN($Z5)+B7-1)="Heures",SUMIF(C:C,BI7,Z:Z)*24,SUMIF(C:C,BI7,Z:Z))</f>
        <v>29</v>
      </c>
      <c r="BN7" s="169">
        <f>IFERROR(INDEX(Listes!A25:B34,MATCH(BL7,Listes!A:A,1),2),0)</f>
        <v>0</v>
      </c>
      <c r="BO7" s="55">
        <f t="shared" ref="BO7:BO32" si="12">BM7*BN7</f>
        <v>0</v>
      </c>
      <c r="BS7" s="168">
        <f ca="1">VLOOKUP(_xlfn.SHEET(),Listes!$A:$B,2,0)</f>
        <v>45505</v>
      </c>
      <c r="BT7" s="106">
        <f ca="1">+BS7</f>
        <v>45505</v>
      </c>
      <c r="BU7" s="55" t="str">
        <f t="shared" ref="BU7:BU32" si="13">IF(OR(BM7&lt;&gt;0,BO7&lt;&gt;0),"a importer",0)</f>
        <v>a importer</v>
      </c>
    </row>
    <row r="8" spans="1:73" ht="18" customHeight="1">
      <c r="A8" s="69" t="str">
        <f>Listes!$AD$2</f>
        <v>MANAGER</v>
      </c>
      <c r="B8" s="75">
        <f>IF(B7=31,1,B7+1)</f>
        <v>2</v>
      </c>
      <c r="C8" s="69" t="str" cm="1">
        <f t="array" ref="C8">INDEX(Listes!$Z$2:$Z$31,1+(ROW()-7)/31+INT((ROW()-7)/(31*30)))</f>
        <v>MAT1</v>
      </c>
      <c r="D8" s="69" t="str">
        <f>IFERROR(INDEX(Listes!Z:AA,MATCH(C8,Listes!Z:Z,0),2),"")</f>
        <v>Matricule 1</v>
      </c>
      <c r="E8" s="75" t="str">
        <f t="shared" ca="1" si="1"/>
        <v>août</v>
      </c>
      <c r="F8" s="120">
        <f t="shared" ref="F8:F37" ca="1" si="14">IF(H8="","",_xlfn.ISOWEEKNUM(H8))</f>
        <v>31</v>
      </c>
      <c r="G8" s="78" t="str">
        <f t="shared" ca="1" si="2"/>
        <v>vendredi</v>
      </c>
      <c r="H8" s="78">
        <f ca="1">IF(B8=1,INDEX(Listes!F:H,MATCH(_xlfn.SHEET(),Listes!F:F,0),3),IF(TEXT(H7+1,"mmmm")&lt;&gt;TEXT(H7,"mmmm"),"",H7+1))</f>
        <v>45506</v>
      </c>
      <c r="I8" s="37"/>
      <c r="J8" s="38">
        <f>IF(OR(I8=0,LEFT(I8,1)="A"),0,INDEX(Listes!Q:V,MATCH(I8,Listes!Q:Q,0),2))</f>
        <v>0</v>
      </c>
      <c r="K8" s="38">
        <f>IF(OR(I8=0,LEFT(I8,1)="A"),0,INDEX(Listes!Q:V,MATCH(I8,Listes!Q:Q,0),3))</f>
        <v>0</v>
      </c>
      <c r="L8" s="37"/>
      <c r="M8" s="38">
        <f>IF(L8=0,0,IF(AND(LEFT(I8,1)="M",L8&lt;&gt;0),INDEX(Listes!J:O,MATCH(L8,Listes!J:J,1),3),IF(AND(LEFT(I8,1)="N",L8&lt;&gt;0),INDEX(Listes!J:O,MATCH(L8,Listes!J:J,1),3),IF(AND(LEFT(I8,1)="A",L8&lt;&gt;0),INDEX(Listes!J:O,MATCH(L8,Listes!J:J,1),3),IF(AND(LEFT(I8,1)="J",L8&lt;&gt;0),INDEX(Listes!J:O,MATCH(L8,Listes!J:J,1),3),IF(AND(LEFT(I8,1)="T",L8&lt;&gt;0),INDEX(Listes!J:O,MATCH(L8,Listes!J:J,1),3),"horaire"))))))</f>
        <v>0</v>
      </c>
      <c r="N8" s="38">
        <f>IFERROR(IF(M8="$horaire","à compléter",IF(AND(M8="$DEMI",INDEX(Listes!J:O,MATCH(L8,Listes!J:J,1),6)="oui"),(K8-J8),0)),0)</f>
        <v>0</v>
      </c>
      <c r="O8" s="40">
        <f>IF(OR(I8=0,LEFT(I8,1)="A"),0,INDEX(Listes!Q:V,MATCH(I8,Listes!Q:Q,0),4))</f>
        <v>0</v>
      </c>
      <c r="P8" s="42">
        <f>IF(OR(I8=0,LEFT(I8,1)="A"),0,INDEX(Listes!Q:V,MATCH(I8,Listes!Q:Q,0),5))</f>
        <v>0</v>
      </c>
      <c r="Q8" s="37"/>
      <c r="R8" s="38">
        <f>IF(Q8=0,0,IF(AND(LEFT(I8,1)="M",Q8&lt;&gt;0),INDEX(Listes!J:O,MATCH(Q8,Listes!J:J,1),3),IF(AND(LEFT(I8,1)="N",Q8&lt;&gt;0),INDEX(Listes!J:O,MATCH(Q8,Listes!J:J,1),3),IF(AND(LEFT(I8,1)="A",Q8&lt;&gt;0),INDEX(Listes!J:O,MATCH(Q8,Listes!J:J,1),3),IF(AND(LEFT(I8,1)="J",Q8&lt;&gt;0),INDEX(Listes!J:O,MATCH(Q8,Listes!J:J,1),3),IF(AND(LEFT(I8,1)="T",Q8&lt;&gt;0),INDEX(Listes!J:O,MATCH(Q8,Listes!J:J,1),3),"horaire"))))))</f>
        <v>0</v>
      </c>
      <c r="S8" s="38">
        <f>IFERROR(IF(R8="$horaire","à compléter",IF(AND(R8="$DEMI",VLOOKUP(Q8,Listes!$J:$O,6,0)="oui"),(P8-O8),0)),0)</f>
        <v>0</v>
      </c>
      <c r="T8" s="37"/>
      <c r="U8" s="37">
        <f t="shared" si="3"/>
        <v>0</v>
      </c>
      <c r="V8" s="70">
        <f>IF(I8=0,0,INDEX(Listes!Q:V,MATCH(I8,Listes!Q:Q,1),6))</f>
        <v>0</v>
      </c>
      <c r="W8" s="71">
        <f>IF(I8=0,0,IF(AND(LEFT(I8,1)="A",O8&lt;=P8),(P8-O8)*24,IF(J8&lt;=K8,(K8-J8)*24,((Listes!$H$21-J8)*24+(K8-Listes!$H$21)*24))+IF(O8&lt;=P8,(P8-O8)*24,(Listes!$H$21-O8)*24+(P8-Listes!$G$21)*24)))-X8+(U8*24)</f>
        <v>0</v>
      </c>
      <c r="X8" s="70">
        <f>IFERROR(IF(IFERROR(VLOOKUP(L8,Listes!$J:$O,6,0),0)="oui",N8*24,0),0)+IFERROR(IF(IFERROR(VLOOKUP(Q8,Listes!$J:$O,6,0),0)="oui",S8*24,0),0)</f>
        <v>0</v>
      </c>
      <c r="Y8" s="70">
        <f t="shared" ca="1" si="4"/>
        <v>0</v>
      </c>
      <c r="Z8" s="71">
        <f t="shared" si="5"/>
        <v>0</v>
      </c>
      <c r="AA8" s="70">
        <f t="shared" si="6"/>
        <v>0</v>
      </c>
      <c r="AB8" s="70">
        <f>IF(I8=0,0,IF(AND(J8&gt;K8,J8&gt;=Listes!$G$22),MOD(MIN(K8,Listes!$H$22)-J8,1),IF(OR(J8&gt;K8,K8&gt;=Listes!$G$22),MOD(K8-Listes!$G$22,1),IF(K8&lt;=Listes!$H$22,MOD(K8-J8,1),IF(J8&lt;=Listes!$H$22,MOD(Listes!$H$22-J8,1),0))))+IF(AND(O8&gt;P8,O8&gt;=Listes!$G$22),MOD(MIN(P8,Listes!$H$22)-O8,1),IF(OR(O8&gt;P8,P8&gt;=Listes!$G$22),MOD(P8-Listes!$G$22,1),0)))*24</f>
        <v>0</v>
      </c>
      <c r="AC8" s="71">
        <f t="shared" ref="AC8:AC37" ca="1" si="15">IF(G8="dimanche",W8,0)</f>
        <v>0</v>
      </c>
      <c r="AD8" s="71">
        <f ca="1">IF(IFERROR(VLOOKUP(H8,Listes!$H$3:$H$20,1,0),0)&lt;&gt;0,W8,0)</f>
        <v>0</v>
      </c>
      <c r="AE8" s="71">
        <f t="shared" si="7"/>
        <v>0</v>
      </c>
      <c r="AF8" s="44"/>
      <c r="AG8" s="44"/>
      <c r="AH8" s="44"/>
      <c r="AI8" s="44"/>
      <c r="AJ8" s="44"/>
      <c r="AK8" s="44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72" t="str">
        <f t="shared" si="8"/>
        <v>MAT1</v>
      </c>
      <c r="BA8" s="76">
        <f t="shared" si="9"/>
        <v>0</v>
      </c>
      <c r="BB8" s="74">
        <f ca="1">AOUT!H8</f>
        <v>45506</v>
      </c>
      <c r="BC8" s="74">
        <f ca="1">AOUT!H8</f>
        <v>45506</v>
      </c>
      <c r="BD8" s="55" t="s">
        <v>81</v>
      </c>
      <c r="BE8" s="73" t="str">
        <f t="shared" si="10"/>
        <v>$jour</v>
      </c>
      <c r="BF8" s="71">
        <f t="shared" si="11"/>
        <v>0</v>
      </c>
      <c r="BG8" s="73"/>
      <c r="BH8" s="73"/>
      <c r="BI8" s="72" t="str">
        <f t="shared" ref="BI8:BI37" si="16">AZ8</f>
        <v>MAT1</v>
      </c>
      <c r="BL8" s="55" t="str" cm="1">
        <f t="array" ref="BL8">INDEX($5:$5,COLUMN($Z6)+B8-1)</f>
        <v>PANIJ</v>
      </c>
      <c r="BM8" s="55" cm="1">
        <f t="array" ref="BM8">IF(INDEX($4:$4,COLUMN($Z6)+B8-1)="Heures",SUMIF(C:C,BI8,AA:AA)*24,SUMIF(C:C,BI8,AA:AA))</f>
        <v>0</v>
      </c>
      <c r="BN8" s="55">
        <f>IFERROR(INDEX(Listes!A26:B35,MATCH(BL8,Listes!A:A,1),2),0)</f>
        <v>0</v>
      </c>
      <c r="BO8" s="55">
        <f t="shared" si="12"/>
        <v>0</v>
      </c>
      <c r="BS8" s="106">
        <f ca="1">VLOOKUP(_xlfn.SHEET(),Listes!$A:$B,2,0)</f>
        <v>45505</v>
      </c>
      <c r="BT8" s="106">
        <f t="shared" ref="BT8:BT37" ca="1" si="17">+BS8</f>
        <v>45505</v>
      </c>
      <c r="BU8" s="55">
        <f t="shared" si="13"/>
        <v>0</v>
      </c>
    </row>
    <row r="9" spans="1:73" ht="18" customHeight="1">
      <c r="A9" s="69" t="str">
        <f>Listes!$AD$2</f>
        <v>MANAGER</v>
      </c>
      <c r="B9" s="75">
        <f t="shared" ref="B9:B37" si="18">IF(B8=31,1,B8+1)</f>
        <v>3</v>
      </c>
      <c r="C9" s="69" t="str" cm="1">
        <f t="array" ref="C9">INDEX(Listes!$Z$2:$Z$31,1+(ROW()-7)/31+INT((ROW()-7)/(31*30)))</f>
        <v>MAT1</v>
      </c>
      <c r="D9" s="69" t="str">
        <f>IFERROR(INDEX(Listes!Z:AA,MATCH(C9,Listes!Z:Z,0),2),"")</f>
        <v>Matricule 1</v>
      </c>
      <c r="E9" s="77" t="str">
        <f t="shared" ca="1" si="1"/>
        <v>août</v>
      </c>
      <c r="F9" s="120">
        <f t="shared" ca="1" si="14"/>
        <v>31</v>
      </c>
      <c r="G9" s="78" t="str">
        <f t="shared" ca="1" si="2"/>
        <v>samedi</v>
      </c>
      <c r="H9" s="78">
        <f ca="1">IF(B9=1,INDEX(Listes!F:H,MATCH(_xlfn.SHEET(),Listes!F:F,0),3),IF(TEXT(H8+1,"mmmm")&lt;&gt;TEXT(H8,"mmmm"),"",H8+1))</f>
        <v>45507</v>
      </c>
      <c r="I9" s="37" t="s">
        <v>187</v>
      </c>
      <c r="J9" s="38">
        <f>IF(OR(I9=0,LEFT(I9,1)="A"),0,INDEX(Listes!Q:V,MATCH(I9,Listes!Q:Q,0),2))</f>
        <v>0.33333333333333331</v>
      </c>
      <c r="K9" s="38">
        <f>IF(OR(I9=0,LEFT(I9,1)="A"),0,INDEX(Listes!Q:V,MATCH(I9,Listes!Q:Q,0),3))</f>
        <v>0.5</v>
      </c>
      <c r="L9" s="37" t="s">
        <v>86</v>
      </c>
      <c r="M9" s="38" t="str">
        <f>IF(L9=0,0,IF(AND(LEFT(I9,1)="M",L9&lt;&gt;0),INDEX(Listes!J:O,MATCH(L9,Listes!J:J,1),3),IF(AND(LEFT(I9,1)="N",L9&lt;&gt;0),INDEX(Listes!J:O,MATCH(L9,Listes!J:J,1),3),IF(AND(LEFT(I9,1)="A",L9&lt;&gt;0),INDEX(Listes!J:O,MATCH(L9,Listes!J:J,1),3),IF(AND(LEFT(I9,1)="J",L9&lt;&gt;0),INDEX(Listes!J:O,MATCH(L9,Listes!J:J,1),3),IF(AND(LEFT(I9,1)="T",L9&lt;&gt;0),INDEX(Listes!J:O,MATCH(L9,Listes!J:J,1),3),"horaire"))))))</f>
        <v>$jour</v>
      </c>
      <c r="N9" s="38">
        <f>IFERROR(IF(M9="$horaire","à compléter",IF(AND(M9="$DEMI",INDEX(Listes!J:O,MATCH(L9,Listes!J:J,1),6)="oui"),(K9-J9),0)),0)</f>
        <v>0</v>
      </c>
      <c r="O9" s="40">
        <f>IF(OR(I9=0,LEFT(I9,1)="A"),0,INDEX(Listes!Q:V,MATCH(I9,Listes!Q:Q,0),4))</f>
        <v>0.5625</v>
      </c>
      <c r="P9" s="42">
        <f>IF(OR(I9=0,LEFT(I9,1)="A"),0,INDEX(Listes!Q:V,MATCH(I9,Listes!Q:Q,0),5))</f>
        <v>0.70833333333333337</v>
      </c>
      <c r="Q9" s="37" t="s">
        <v>86</v>
      </c>
      <c r="R9" s="38" t="str">
        <f>IF(Q9=0,0,IF(AND(LEFT(I9,1)="M",Q9&lt;&gt;0),INDEX(Listes!J:O,MATCH(Q9,Listes!J:J,1),3),IF(AND(LEFT(I9,1)="N",Q9&lt;&gt;0),INDEX(Listes!J:O,MATCH(Q9,Listes!J:J,1),3),IF(AND(LEFT(I9,1)="A",Q9&lt;&gt;0),INDEX(Listes!J:O,MATCH(Q9,Listes!J:J,1),3),IF(AND(LEFT(I9,1)="J",Q9&lt;&gt;0),INDEX(Listes!J:O,MATCH(Q9,Listes!J:J,1),3),IF(AND(LEFT(I9,1)="T",Q9&lt;&gt;0),INDEX(Listes!J:O,MATCH(Q9,Listes!J:J,1),3),"horaire"))))))</f>
        <v>$jour</v>
      </c>
      <c r="S9" s="38">
        <f>IFERROR(IF(R9="$horaire","à compléter",IF(AND(R9="$DEMI",VLOOKUP(Q9,Listes!$J:$O,6,0)="oui"),(P9-O9),0)),0)</f>
        <v>0</v>
      </c>
      <c r="T9" s="37"/>
      <c r="U9" s="37">
        <f t="shared" si="3"/>
        <v>0</v>
      </c>
      <c r="V9" s="70">
        <f>IF(I9=0,0,INDEX(Listes!Q:V,MATCH(I9,Listes!Q:Q,1),6))</f>
        <v>7.5000000000000009</v>
      </c>
      <c r="W9" s="71">
        <f>IF(I9=0,0,IF(AND(LEFT(I9,1)="A",O9&lt;=P9),(P9-O9)*24,IF(J9&lt;=K9,(K9-J9)*24,((Listes!$H$21-J9)*24+(K9-Listes!$H$21)*24))+IF(O9&lt;=P9,(P9-O9)*24,(Listes!$H$21-O9)*24+(P9-Listes!$G$21)*24)))-X9+(U9*24)</f>
        <v>7.5000000000000009</v>
      </c>
      <c r="X9" s="70">
        <f>IFERROR(IF(IFERROR(VLOOKUP(L9,Listes!$J:$O,6,0),0)="oui",N9*24,0),0)+IFERROR(IF(IFERROR(VLOOKUP(Q9,Listes!$J:$O,6,0),0)="oui",S9*24,0),0)</f>
        <v>0</v>
      </c>
      <c r="Y9" s="70">
        <f t="shared" ca="1" si="4"/>
        <v>7.5000000000000009</v>
      </c>
      <c r="Z9" s="71">
        <f>IF(I9="",0,IF(OR(AND(LEFT(I9,1)="J",LEFT(I9,1)="T"),R9="$demi2"),0,1))-AA9-AE9</f>
        <v>1</v>
      </c>
      <c r="AA9" s="70">
        <f t="shared" si="6"/>
        <v>0</v>
      </c>
      <c r="AB9" s="70">
        <f>IF(I9=0,0,IF(AND(J9&gt;K9,J9&gt;=Listes!$G$22),MOD(MIN(K9,Listes!$H$22)-J9,1),IF(OR(J9&gt;K9,K9&gt;=Listes!$G$22),MOD(K9-Listes!$G$22,1),IF(K9&lt;=Listes!$H$22,MOD(K9-J9,1),IF(J9&lt;=Listes!$H$22,MOD(Listes!$H$22-J9,1),0))))+IF(AND(O9&gt;P9,O9&gt;=Listes!$G$22),MOD(MIN(P9,Listes!$H$22)-O9,1),IF(OR(O9&gt;P9,P9&gt;=Listes!$G$22),MOD(P9-Listes!$G$22,1),0)))*24</f>
        <v>0</v>
      </c>
      <c r="AC9" s="71">
        <f t="shared" ca="1" si="15"/>
        <v>0</v>
      </c>
      <c r="AD9" s="71">
        <f ca="1">IF(IFERROR(VLOOKUP(H9,Listes!$H$3:$H$20,1,0),0)&lt;&gt;0,W9,0)</f>
        <v>0</v>
      </c>
      <c r="AE9" s="71">
        <f t="shared" si="7"/>
        <v>0</v>
      </c>
      <c r="AF9" s="44"/>
      <c r="AG9" s="44"/>
      <c r="AH9" s="44"/>
      <c r="AI9" s="44"/>
      <c r="AJ9" s="44"/>
      <c r="AK9" s="44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79" t="str">
        <f t="shared" si="8"/>
        <v>MAT1</v>
      </c>
      <c r="BA9" s="80" t="str">
        <f t="shared" si="9"/>
        <v>CONGP</v>
      </c>
      <c r="BB9" s="81">
        <f ca="1">AOUT!H9</f>
        <v>45507</v>
      </c>
      <c r="BC9" s="81">
        <f ca="1">AOUT!H9</f>
        <v>45507</v>
      </c>
      <c r="BD9" s="77" t="s">
        <v>81</v>
      </c>
      <c r="BE9" s="73" t="str">
        <f t="shared" si="10"/>
        <v>$jour</v>
      </c>
      <c r="BF9" s="71">
        <f t="shared" si="11"/>
        <v>0</v>
      </c>
      <c r="BG9" s="73"/>
      <c r="BH9" s="73"/>
      <c r="BI9" s="72" t="str">
        <f t="shared" si="16"/>
        <v>MAT1</v>
      </c>
      <c r="BL9" s="55" t="str" cm="1">
        <f t="array" ref="BL9">INDEX($5:$5,COLUMN($Z7)+B9-1)</f>
        <v>MAJN3</v>
      </c>
      <c r="BM9" s="55" cm="1">
        <f t="array" ref="BM9">IF(INDEX($4:$4,COLUMN($Z7)+B9-1)="Heures",SUMIF(C:C,BI9,AB:AB)*24,SUMIF(C:C,BI9,AB:AB))</f>
        <v>0</v>
      </c>
      <c r="BN9" s="55">
        <f>IFERROR(INDEX(Listes!A27:B36,MATCH(BL9,Listes!A:A,1),2),0)</f>
        <v>0</v>
      </c>
      <c r="BO9" s="55">
        <f t="shared" si="12"/>
        <v>0</v>
      </c>
      <c r="BS9" s="106">
        <f ca="1">VLOOKUP(_xlfn.SHEET(),Listes!$A:$B,2,0)</f>
        <v>45505</v>
      </c>
      <c r="BT9" s="106">
        <f t="shared" ca="1" si="17"/>
        <v>45505</v>
      </c>
      <c r="BU9" s="55">
        <f t="shared" si="13"/>
        <v>0</v>
      </c>
    </row>
    <row r="10" spans="1:73" ht="18" customHeight="1">
      <c r="A10" s="69" t="str">
        <f>Listes!$AD$2</f>
        <v>MANAGER</v>
      </c>
      <c r="B10" s="75">
        <f t="shared" si="18"/>
        <v>4</v>
      </c>
      <c r="C10" s="69" t="str" cm="1">
        <f t="array" ref="C10">INDEX(Listes!$Z$2:$Z$31,1+(ROW()-7)/31+INT((ROW()-7)/(31*30)))</f>
        <v>MAT1</v>
      </c>
      <c r="D10" s="69" t="str">
        <f>IFERROR(INDEX(Listes!Z:AA,MATCH(C10,Listes!Z:Z,0),2),"")</f>
        <v>Matricule 1</v>
      </c>
      <c r="E10" s="77" t="str">
        <f t="shared" ca="1" si="1"/>
        <v>août</v>
      </c>
      <c r="F10" s="120">
        <f t="shared" ca="1" si="14"/>
        <v>31</v>
      </c>
      <c r="G10" s="78" t="str">
        <f t="shared" ca="1" si="2"/>
        <v>dimanche</v>
      </c>
      <c r="H10" s="78">
        <f ca="1">IF(B10=1,INDEX(Listes!F:H,MATCH(_xlfn.SHEET(),Listes!F:F,0),3),IF(TEXT(H9+1,"mmmm")&lt;&gt;TEXT(H9,"mmmm"),"",H9+1))</f>
        <v>45508</v>
      </c>
      <c r="I10" s="37" t="s">
        <v>187</v>
      </c>
      <c r="J10" s="38">
        <f>IF(OR(I10=0,LEFT(I10,1)="A"),0,INDEX(Listes!Q:V,MATCH(I10,Listes!Q:Q,0),2))</f>
        <v>0.33333333333333331</v>
      </c>
      <c r="K10" s="38">
        <f>IF(OR(I10=0,LEFT(I10,1)="A"),0,INDEX(Listes!Q:V,MATCH(I10,Listes!Q:Q,0),3))</f>
        <v>0.5</v>
      </c>
      <c r="L10" s="37" t="s">
        <v>238</v>
      </c>
      <c r="M10" s="38" t="str">
        <f>IF(L10=0,0,IF(AND(LEFT(I10,1)="M",L10&lt;&gt;0),INDEX(Listes!J:O,MATCH(L10,Listes!J:J,1),3),IF(AND(LEFT(I10,1)="N",L10&lt;&gt;0),INDEX(Listes!J:O,MATCH(L10,Listes!J:J,1),3),IF(AND(LEFT(I10,1)="A",L10&lt;&gt;0),INDEX(Listes!J:O,MATCH(L10,Listes!J:J,1),3),IF(AND(LEFT(I10,1)="J",L10&lt;&gt;0),INDEX(Listes!J:O,MATCH(L10,Listes!J:J,1),3),IF(AND(LEFT(I10,1)="T",L10&lt;&gt;0),INDEX(Listes!J:O,MATCH(L10,Listes!J:J,1),3),"horaire"))))))</f>
        <v>$horaire</v>
      </c>
      <c r="N10" s="38" t="str">
        <f>IFERROR(IF(M10="$horaire","à compléter",IF(AND(M10="$DEMI",INDEX(Listes!J:O,MATCH(L10,Listes!J:J,1),6)="oui"),(K10-J10),0)),0)</f>
        <v>à compléter</v>
      </c>
      <c r="O10" s="40">
        <f>IF(OR(I10=0,LEFT(I10,1)="A"),0,INDEX(Listes!Q:V,MATCH(I10,Listes!Q:Q,0),4))</f>
        <v>0.5625</v>
      </c>
      <c r="P10" s="42">
        <f>IF(OR(I10=0,LEFT(I10,1)="A"),0,INDEX(Listes!Q:V,MATCH(I10,Listes!Q:Q,0),5))</f>
        <v>0.70833333333333337</v>
      </c>
      <c r="Q10" s="37" t="s">
        <v>241</v>
      </c>
      <c r="R10" s="38" t="str">
        <f>IF(Q10=0,0,IF(AND(LEFT(I10,1)="M",Q10&lt;&gt;0),INDEX(Listes!J:O,MATCH(Q10,Listes!J:J,1),3),IF(AND(LEFT(I10,1)="N",Q10&lt;&gt;0),INDEX(Listes!J:O,MATCH(Q10,Listes!J:J,1),3),IF(AND(LEFT(I10,1)="A",Q10&lt;&gt;0),INDEX(Listes!J:O,MATCH(Q10,Listes!J:J,1),3),IF(AND(LEFT(I10,1)="J",Q10&lt;&gt;0),INDEX(Listes!J:O,MATCH(Q10,Listes!J:J,1),3),IF(AND(LEFT(I10,1)="T",Q10&lt;&gt;0),INDEX(Listes!J:O,MATCH(Q10,Listes!J:J,1),3),"horaire"))))))</f>
        <v>$jour</v>
      </c>
      <c r="S10" s="38">
        <f>IFERROR(IF(R10="$horaire","à compléter",IF(AND(R10="$DEMI2",INDEX(Listes!J:O,MATCH(Q10,Listes!J:J,1),6)="oui"),(P10-O10),0)),0)</f>
        <v>0</v>
      </c>
      <c r="T10" s="37"/>
      <c r="U10" s="37">
        <f t="shared" si="3"/>
        <v>0</v>
      </c>
      <c r="V10" s="70">
        <f>IF(I10=0,0,INDEX(Listes!Q:V,MATCH(I10,Listes!Q:Q,1),6))</f>
        <v>7.5000000000000009</v>
      </c>
      <c r="W10" s="71">
        <f>IF(I10=0,0,IF(AND(LEFT(I10,1)="A",O10&lt;=P10),(P10-O10)*24,IF(J10&lt;=K10,(K10-J10)*24,((Listes!$H$21-J10)*24+(K10-Listes!$H$21)*24))+IF(O10&lt;=P10,(P10-O10)*24,(Listes!$H$21-O10)*24+(P10-Listes!$G$21)*24)))-X10+(U10*24)</f>
        <v>7.5000000000000009</v>
      </c>
      <c r="X10" s="70">
        <f>IFERROR(IF(IFERROR(INDEX(Listes!J:O,MATCH(L10,Listes!J:J,1),6),0)="oui",N10*24,0),0)+IFERROR(IF(IFERROR(INDEX(Listes!J:O,MATCH(Q10,Listes!J:J,1),6),0)="oui",S10*24,0),0)</f>
        <v>0</v>
      </c>
      <c r="Y10" s="70">
        <f t="shared" ca="1" si="4"/>
        <v>7.5000000000000009</v>
      </c>
      <c r="Z10" s="71">
        <f t="shared" ref="Z10:Z37" si="19">IF(I10="",0,IF(OR(AND(LEFT(I10,1)="J",LEFT(I10,1)="T"),R10="$demi2"),0,1))-AA10-AE10</f>
        <v>1</v>
      </c>
      <c r="AA10" s="70">
        <f t="shared" si="6"/>
        <v>0</v>
      </c>
      <c r="AB10" s="70">
        <f>IF(I10=0,0,IF(AND(J10&gt;K10,J10&gt;=Listes!$G$22),MOD(MIN(K10,Listes!$H$22)-J10,1),IF(OR(J10&gt;K10,K10&gt;=Listes!$G$22),MOD(K10-Listes!$G$22,1),IF(K10&lt;=Listes!$H$22,MOD(K10-J10,1),IF(J10&lt;=Listes!$H$22,MOD(Listes!$H$22-J10,1),0))))+IF(AND(O10&gt;P10,O10&gt;=Listes!$G$22),MOD(MIN(P10,Listes!$H$22)-O10,1),IF(OR(O10&gt;P10,P10&gt;=Listes!$G$22),MOD(P10-Listes!$G$22,1),0)))*24</f>
        <v>0</v>
      </c>
      <c r="AC10" s="71">
        <f t="shared" ca="1" si="15"/>
        <v>7.5000000000000009</v>
      </c>
      <c r="AD10" s="71">
        <f ca="1">IF(IFERROR(VLOOKUP(H10,Listes!$H$3:$H$20,1,0),0)&lt;&gt;0,W10,0)</f>
        <v>0</v>
      </c>
      <c r="AE10" s="71">
        <f>IF(AND(RIGHT(I10,2)&lt;&gt;"CH",I10),0,IF(OR(L10&lt;&gt;0,Q10&lt;&gt;0),0,1))</f>
        <v>0</v>
      </c>
      <c r="AF10" s="44"/>
      <c r="AG10" s="44"/>
      <c r="AH10" s="44"/>
      <c r="AI10" s="44"/>
      <c r="AJ10" s="44"/>
      <c r="AK10" s="44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79" t="str">
        <f t="shared" si="8"/>
        <v>MAT1</v>
      </c>
      <c r="BA10" s="80" t="str">
        <f t="shared" si="9"/>
        <v>RECTTRECUP</v>
      </c>
      <c r="BB10" s="81">
        <f ca="1">AOUT!H10</f>
        <v>45508</v>
      </c>
      <c r="BC10" s="81">
        <f ca="1">AOUT!H10</f>
        <v>45508</v>
      </c>
      <c r="BD10" s="77" t="s">
        <v>81</v>
      </c>
      <c r="BE10" s="73" t="str">
        <f t="shared" si="10"/>
        <v>$jour</v>
      </c>
      <c r="BF10" s="71" t="e">
        <f t="shared" si="11"/>
        <v>#VALUE!</v>
      </c>
      <c r="BG10" s="73"/>
      <c r="BH10" s="73"/>
      <c r="BI10" s="72" t="str">
        <f t="shared" si="16"/>
        <v>MAT1</v>
      </c>
      <c r="BL10" s="55" t="str" cm="1">
        <f t="array" ref="BL10">INDEX($5:$5,COLUMN($Z8)+B10-1)</f>
        <v>MAJDIM</v>
      </c>
      <c r="BM10" s="55" cm="1">
        <f t="array" aca="1" ref="BM10" ca="1">IF(INDEX($4:$4,COLUMN($Z8)+B10-1)="Heures",SUMIF(C:C,BI10,AC:AC)*24,SUMIF(C:C,BI10,AC:AC))</f>
        <v>30.000000000000004</v>
      </c>
      <c r="BN10" s="55">
        <f>IFERROR(INDEX(Listes!A28:B37,MATCH(BL10,Listes!A:A,1),2),0)</f>
        <v>0</v>
      </c>
      <c r="BO10" s="55">
        <f t="shared" ca="1" si="12"/>
        <v>0</v>
      </c>
      <c r="BS10" s="106">
        <f ca="1">VLOOKUP(_xlfn.SHEET(),Listes!$A:$B,2,0)</f>
        <v>45505</v>
      </c>
      <c r="BT10" s="106">
        <f t="shared" ca="1" si="17"/>
        <v>45505</v>
      </c>
      <c r="BU10" s="55" t="str">
        <f t="shared" ca="1" si="13"/>
        <v>a importer</v>
      </c>
    </row>
    <row r="11" spans="1:73" ht="18" customHeight="1">
      <c r="A11" s="69" t="str">
        <f>Listes!$AD$2</f>
        <v>MANAGER</v>
      </c>
      <c r="B11" s="75">
        <f t="shared" si="18"/>
        <v>5</v>
      </c>
      <c r="C11" s="69" t="str" cm="1">
        <f t="array" ref="C11">INDEX(Listes!$Z$2:$Z$31,1+(ROW()-7)/31+INT((ROW()-7)/(31*30)))</f>
        <v>MAT1</v>
      </c>
      <c r="D11" s="69" t="str">
        <f>IFERROR(INDEX(Listes!Z:AA,MATCH(C11,Listes!Z:Z,0),2),"")</f>
        <v>Matricule 1</v>
      </c>
      <c r="E11" s="77" t="str">
        <f t="shared" ca="1" si="1"/>
        <v>août</v>
      </c>
      <c r="F11" s="120">
        <f t="shared" ca="1" si="14"/>
        <v>32</v>
      </c>
      <c r="G11" s="78" t="str">
        <f t="shared" ca="1" si="2"/>
        <v>lundi</v>
      </c>
      <c r="H11" s="78">
        <f ca="1">IF(B11=1,INDEX(Listes!F:H,MATCH(_xlfn.SHEET(),Listes!F:F,0),3),IF(TEXT(H10+1,"mmmm")&lt;&gt;TEXT(H10,"mmmm"),"",H10+1))</f>
        <v>45509</v>
      </c>
      <c r="I11" s="37" t="s">
        <v>187</v>
      </c>
      <c r="J11" s="38">
        <f>IF(OR(I11=0,LEFT(I11,1)="A"),0,INDEX(Listes!Q:V,MATCH(I11,Listes!Q:Q,0),2))</f>
        <v>0.33333333333333331</v>
      </c>
      <c r="K11" s="38">
        <f>IF(OR(I11=0,LEFT(I11,1)="A"),0,INDEX(Listes!Q:V,MATCH(I11,Listes!Q:Q,0),3))</f>
        <v>0.5</v>
      </c>
      <c r="L11" s="37"/>
      <c r="M11" s="38">
        <f>IF(L11=0,0,IF(AND(LEFT(I11,1)="M",L11&lt;&gt;0),INDEX(Listes!J:O,MATCH(L11,Listes!J:J,1),3),IF(AND(LEFT(I11,1)="N",L11&lt;&gt;0),INDEX(Listes!J:O,MATCH(L11,Listes!J:J,1),3),IF(AND(LEFT(I11,1)="A",L11&lt;&gt;0),INDEX(Listes!J:O,MATCH(L11,Listes!J:J,1),3),IF(AND(LEFT(I11,1)="J",L11&lt;&gt;0),INDEX(Listes!J:O,MATCH(L11,Listes!J:J,1),3),IF(AND(LEFT(I11,1)="T",L11&lt;&gt;0),INDEX(Listes!J:O,MATCH(L11,Listes!J:J,1),3),"horaire"))))))</f>
        <v>0</v>
      </c>
      <c r="N11" s="38">
        <f>IFERROR(IF(M11="$horaire","à compléter",IF(AND(M11="$DEMI",INDEX(Listes!J:O,MATCH(L11,Listes!J:J,1),6)="oui"),(K11-J11),0)),0)</f>
        <v>0</v>
      </c>
      <c r="O11" s="40">
        <f>IF(OR(I11=0,LEFT(I11,1)="A"),0,INDEX(Listes!Q:V,MATCH(I11,Listes!Q:Q,0),4))</f>
        <v>0.5625</v>
      </c>
      <c r="P11" s="42">
        <f>IF(OR(I11=0,LEFT(I11,1)="A"),0,INDEX(Listes!Q:V,MATCH(I11,Listes!Q:Q,0),5))</f>
        <v>0.70833333333333337</v>
      </c>
      <c r="Q11" s="37" t="s">
        <v>244</v>
      </c>
      <c r="R11" s="38" t="str">
        <f>IF(Q11=0,0,IF(AND(LEFT(I11,1)="M",Q11&lt;&gt;0),INDEX(Listes!J:O,MATCH(Q11,Listes!J:J,1),3),IF(AND(LEFT(I11,1)="N",Q11&lt;&gt;0),INDEX(Listes!J:O,MATCH(Q11,Listes!J:J,1),3),IF(AND(LEFT(I11,1)="A",Q11&lt;&gt;0),INDEX(Listes!J:O,MATCH(Q11,Listes!J:J,1),3),IF(AND(LEFT(I11,1)="J",Q11&lt;&gt;0),INDEX(Listes!J:O,MATCH(Q11,Listes!J:J,1),3),IF(AND(LEFT(I11,1)="T",Q11&lt;&gt;0),INDEX(Listes!J:O,MATCH(Q11,Listes!J:J,1),3),"horaire"))))))</f>
        <v>$horaire</v>
      </c>
      <c r="S11" s="38" t="str">
        <f>IFERROR(IF(R11="$horaire","à compléter",IF(AND(R11="$DEMI2",INDEX(Listes!J:O,MATCH(Q11,Listes!J:J,1),6)="oui"),(P11-O11),0)),0)</f>
        <v>à compléter</v>
      </c>
      <c r="T11" s="37"/>
      <c r="U11" s="37">
        <f t="shared" si="3"/>
        <v>0</v>
      </c>
      <c r="V11" s="70">
        <f>IF(I11=0,0,INDEX(Listes!Q:V,MATCH(I11,Listes!Q:Q,1),6))</f>
        <v>7.5000000000000009</v>
      </c>
      <c r="W11" s="71">
        <f>IF(I11=0,0,IF(AND(LEFT(I11,1)="A",O11&lt;=P11),(P11-O11)*24,IF(J11&lt;=K11,(K11-J11)*24,((Listes!$H$21-J11)*24+(K11-Listes!$H$21)*24))+IF(O11&lt;=P11,(P11-O11)*24,(Listes!$H$21-O11)*24+(P11-Listes!$G$21)*24)))-X11+(U11*24)</f>
        <v>7.5000000000000009</v>
      </c>
      <c r="X11" s="70">
        <f>IFERROR(IF(IFERROR(INDEX(Listes!J:O,MATCH(L11,Listes!J:J,1),6),0)="oui",N11*24,0),0)+IFERROR(IF(IFERROR(INDEX(Listes!J:O,MATCH(Q11,Listes!J:J,1),6),0)="oui",S11*24,0),0)</f>
        <v>0</v>
      </c>
      <c r="Y11" s="70">
        <f t="shared" ca="1" si="4"/>
        <v>0</v>
      </c>
      <c r="Z11" s="71">
        <f t="shared" si="19"/>
        <v>1</v>
      </c>
      <c r="AA11" s="70">
        <f t="shared" si="6"/>
        <v>0</v>
      </c>
      <c r="AB11" s="70">
        <f>IF(I11=0,0,IF(AND(J11&gt;K11,J11&gt;=Listes!$G$22),MOD(MIN(K11,Listes!$H$22)-J11,1),IF(OR(J11&gt;K11,K11&gt;=Listes!$G$22),MOD(K11-Listes!$G$22,1),IF(K11&lt;=Listes!$H$22,MOD(K11-J11,1),IF(J11&lt;=Listes!$H$22,MOD(Listes!$H$22-J11,1),0))))+IF(AND(O11&gt;P11,O11&gt;=Listes!$G$22),MOD(MIN(P11,Listes!$H$22)-O11,1),IF(OR(O11&gt;P11,P11&gt;=Listes!$G$22),MOD(P11-Listes!$G$22,1),0)))*24</f>
        <v>0</v>
      </c>
      <c r="AC11" s="71">
        <f t="shared" ca="1" si="15"/>
        <v>0</v>
      </c>
      <c r="AD11" s="71">
        <f ca="1">IF(IFERROR(VLOOKUP(H11,Listes!$H$3:$H$20,1,0),0)&lt;&gt;0,W11,0)</f>
        <v>0</v>
      </c>
      <c r="AE11" s="71">
        <f t="shared" ref="AE11:AE37" si="20">IF(AND(RIGHT(I11,2)&lt;&gt;"CH",I11),0,IF(OR(L11&lt;&gt;0,Q11&lt;&gt;0),0,1))</f>
        <v>0</v>
      </c>
      <c r="AF11" s="44"/>
      <c r="AG11" s="44"/>
      <c r="AH11" s="44"/>
      <c r="AI11" s="44"/>
      <c r="AJ11" s="44"/>
      <c r="AK11" s="44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79" t="str">
        <f t="shared" si="8"/>
        <v>MAT1</v>
      </c>
      <c r="BA11" s="80" t="str">
        <f t="shared" si="9"/>
        <v>REHE</v>
      </c>
      <c r="BB11" s="81">
        <f ca="1">AOUT!H11</f>
        <v>45509</v>
      </c>
      <c r="BC11" s="81">
        <f ca="1">AOUT!H11</f>
        <v>45509</v>
      </c>
      <c r="BD11" s="77" t="s">
        <v>81</v>
      </c>
      <c r="BE11" s="73" t="str">
        <f t="shared" si="10"/>
        <v>$jour</v>
      </c>
      <c r="BF11" s="71" t="e">
        <f t="shared" si="11"/>
        <v>#VALUE!</v>
      </c>
      <c r="BG11" s="73"/>
      <c r="BH11" s="73"/>
      <c r="BI11" s="72" t="str">
        <f t="shared" si="16"/>
        <v>MAT1</v>
      </c>
      <c r="BL11" s="55" t="str" cm="1">
        <f t="array" ref="BL11">INDEX($5:$5,COLUMN($Z9)+B11-1)</f>
        <v>HDIMAN</v>
      </c>
      <c r="BM11" s="55" cm="1">
        <f t="array" aca="1" ref="BM11" ca="1">IF(INDEX($4:$4,COLUMN($Z9)+B11-1)="Heures",SUMIF(C:C,BI11,AD:AD)*24,SUMIF(C:C,BI11,AD:AD))</f>
        <v>7.5000000000000009</v>
      </c>
      <c r="BN11" s="55">
        <f>IFERROR(INDEX(Listes!A29:B38,MATCH(BL11,Listes!A:A,1),2),0)</f>
        <v>0</v>
      </c>
      <c r="BO11" s="55">
        <f t="shared" ca="1" si="12"/>
        <v>0</v>
      </c>
      <c r="BS11" s="106">
        <f ca="1">VLOOKUP(_xlfn.SHEET(),Listes!$A:$B,2,0)</f>
        <v>45505</v>
      </c>
      <c r="BT11" s="106">
        <f t="shared" ca="1" si="17"/>
        <v>45505</v>
      </c>
      <c r="BU11" s="55" t="str">
        <f t="shared" ca="1" si="13"/>
        <v>a importer</v>
      </c>
    </row>
    <row r="12" spans="1:73" ht="18" customHeight="1">
      <c r="A12" s="69" t="str">
        <f>Listes!$AD$2</f>
        <v>MANAGER</v>
      </c>
      <c r="B12" s="75">
        <f t="shared" si="18"/>
        <v>6</v>
      </c>
      <c r="C12" s="69" t="str" cm="1">
        <f t="array" ref="C12">INDEX(Listes!$Z$2:$Z$31,1+(ROW()-7)/31+INT((ROW()-7)/(31*30)))</f>
        <v>MAT1</v>
      </c>
      <c r="D12" s="69" t="str">
        <f>IFERROR(INDEX(Listes!Z:AA,MATCH(C12,Listes!Z:Z,0),2),"")</f>
        <v>Matricule 1</v>
      </c>
      <c r="E12" s="77" t="str">
        <f t="shared" ca="1" si="1"/>
        <v>août</v>
      </c>
      <c r="F12" s="120">
        <f t="shared" ca="1" si="14"/>
        <v>32</v>
      </c>
      <c r="G12" s="78" t="str">
        <f t="shared" ca="1" si="2"/>
        <v>mardi</v>
      </c>
      <c r="H12" s="78">
        <f ca="1">IF(B12=1,INDEX(Listes!F:H,MATCH(_xlfn.SHEET(),Listes!F:F,0),3),IF(TEXT(H11+1,"mmmm")&lt;&gt;TEXT(H11,"mmmm"),"",H11+1))</f>
        <v>45510</v>
      </c>
      <c r="I12" s="37" t="s">
        <v>187</v>
      </c>
      <c r="J12" s="38">
        <f>IF(OR(I12=0,LEFT(I12,1)="A"),0,INDEX(Listes!Q:V,MATCH(I12,Listes!Q:Q,0),2))</f>
        <v>0.33333333333333331</v>
      </c>
      <c r="K12" s="38">
        <f>IF(OR(I12=0,LEFT(I12,1)="A"),0,INDEX(Listes!Q:V,MATCH(I12,Listes!Q:Q,0),3))</f>
        <v>0.5</v>
      </c>
      <c r="L12" s="37"/>
      <c r="M12" s="38">
        <f>IF(L12=0,0,IF(AND(LEFT(I12,1)="M",L12&lt;&gt;0),INDEX(Listes!J:O,MATCH(L12,Listes!J:J,1),3),IF(AND(LEFT(I12,1)="N",L12&lt;&gt;0),INDEX(Listes!J:O,MATCH(L12,Listes!J:J,1),3),IF(AND(LEFT(I12,1)="A",L12&lt;&gt;0),INDEX(Listes!J:O,MATCH(L12,Listes!J:J,1),3),IF(AND(LEFT(I12,1)="J",L12&lt;&gt;0),INDEX(Listes!J:O,MATCH(L12,Listes!J:J,1),3),IF(AND(LEFT(I12,1)="T",L12&lt;&gt;0),INDEX(Listes!J:O,MATCH(L12,Listes!J:J,1),3),"horaire"))))))</f>
        <v>0</v>
      </c>
      <c r="N12" s="38">
        <f>IFERROR(IF(M12="$horaire","à compléter",IF(AND(M12="$DEMI",INDEX(Listes!J:O,MATCH(L12,Listes!J:J,1),6)="oui"),(K12-J12),0)),0)</f>
        <v>0</v>
      </c>
      <c r="O12" s="40">
        <f>IF(OR(I12=0,LEFT(I12,1)="A"),0,INDEX(Listes!Q:V,MATCH(I12,Listes!Q:Q,0),4))</f>
        <v>0.5625</v>
      </c>
      <c r="P12" s="42">
        <f>IF(OR(I12=0,LEFT(I12,1)="A"),0,INDEX(Listes!Q:V,MATCH(I12,Listes!Q:Q,0),5))</f>
        <v>0.70833333333333337</v>
      </c>
      <c r="Q12" s="37"/>
      <c r="R12" s="38">
        <f>IF(Q12=0,0,IF(AND(LEFT(I12,1)="M",Q12&lt;&gt;0),INDEX(Listes!J:O,MATCH(Q12,Listes!J:J,1),3),IF(AND(LEFT(I12,1)="N",Q12&lt;&gt;0),INDEX(Listes!J:O,MATCH(Q12,Listes!J:J,1),3),IF(AND(LEFT(I12,1)="A",Q12&lt;&gt;0),INDEX(Listes!J:O,MATCH(Q12,Listes!J:J,1),3),IF(AND(LEFT(I12,1)="J",Q12&lt;&gt;0),INDEX(Listes!J:O,MATCH(Q12,Listes!J:J,1),3),IF(AND(LEFT(I12,1)="T",Q12&lt;&gt;0),INDEX(Listes!J:O,MATCH(Q12,Listes!J:J,1),3),"horaire"))))))</f>
        <v>0</v>
      </c>
      <c r="S12" s="38">
        <f>IFERROR(IF(R12="$horaire","à compléter",IF(AND(R12="$DEMI2",INDEX(Listes!J:O,MATCH(Q12,Listes!J:J,1),6)="oui"),(P12-O12),0)),0)</f>
        <v>0</v>
      </c>
      <c r="T12" s="37"/>
      <c r="U12" s="37">
        <f t="shared" si="3"/>
        <v>0</v>
      </c>
      <c r="V12" s="70">
        <f>IF(I12=0,0,INDEX(Listes!Q:V,MATCH(I12,Listes!Q:Q,1),6))</f>
        <v>7.5000000000000009</v>
      </c>
      <c r="W12" s="71">
        <f>IF(I12=0,0,IF(AND(LEFT(I12,1)="A",O12&lt;=P12),(P12-O12)*24,IF(J12&lt;=K12,(K12-J12)*24,((Listes!$H$21-J12)*24+(K12-Listes!$H$21)*24))+IF(O12&lt;=P12,(P12-O12)*24,(Listes!$H$21-O12)*24+(P12-Listes!$G$21)*24)))-X12+(U12*24)</f>
        <v>7.5000000000000009</v>
      </c>
      <c r="X12" s="70">
        <f>IFERROR(IF(IFERROR(INDEX(Listes!J:O,MATCH(L12,Listes!J:J,1),6),0)="oui",N12*24,0),0)+IFERROR(IF(IFERROR(INDEX(Listes!J:O,MATCH(Q12,Listes!J:J,1),6),0)="oui",S12*24,0),0)</f>
        <v>0</v>
      </c>
      <c r="Y12" s="70">
        <f t="shared" ca="1" si="4"/>
        <v>0</v>
      </c>
      <c r="Z12" s="71">
        <f t="shared" si="19"/>
        <v>1</v>
      </c>
      <c r="AA12" s="70">
        <f t="shared" si="6"/>
        <v>0</v>
      </c>
      <c r="AB12" s="70">
        <f>IF(I12=0,0,IF(AND(J12&gt;K12,J12&gt;=Listes!$G$22),MOD(MIN(K12,Listes!$H$22)-J12,1),IF(OR(J12&gt;K12,K12&gt;=Listes!$G$22),MOD(K12-Listes!$G$22,1),IF(K12&lt;=Listes!$H$22,MOD(K12-J12,1),IF(J12&lt;=Listes!$H$22,MOD(Listes!$H$22-J12,1),0))))+IF(AND(O12&gt;P12,O12&gt;=Listes!$G$22),MOD(MIN(P12,Listes!$H$22)-O12,1),IF(OR(O12&gt;P12,P12&gt;=Listes!$G$22),MOD(P12-Listes!$G$22,1),0)))*24</f>
        <v>0</v>
      </c>
      <c r="AC12" s="71">
        <f t="shared" ca="1" si="15"/>
        <v>0</v>
      </c>
      <c r="AD12" s="71">
        <f ca="1">IF(IFERROR(VLOOKUP(H12,Listes!$H$3:$H$20,1,0),0)&lt;&gt;0,W12,0)</f>
        <v>0</v>
      </c>
      <c r="AE12" s="71">
        <f t="shared" si="20"/>
        <v>0</v>
      </c>
      <c r="AF12" s="44"/>
      <c r="AG12" s="44"/>
      <c r="AH12" s="44"/>
      <c r="AI12" s="44"/>
      <c r="AJ12" s="44"/>
      <c r="AK12" s="44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79" t="str">
        <f t="shared" si="8"/>
        <v>MAT1</v>
      </c>
      <c r="BA12" s="80">
        <f t="shared" si="9"/>
        <v>0</v>
      </c>
      <c r="BB12" s="81">
        <f ca="1">AOUT!H12</f>
        <v>45510</v>
      </c>
      <c r="BC12" s="81">
        <f ca="1">AOUT!H12</f>
        <v>45510</v>
      </c>
      <c r="BD12" s="77" t="s">
        <v>81</v>
      </c>
      <c r="BE12" s="73" t="str">
        <f t="shared" si="10"/>
        <v>$jour</v>
      </c>
      <c r="BF12" s="71">
        <f t="shared" si="11"/>
        <v>0</v>
      </c>
      <c r="BG12" s="73"/>
      <c r="BH12" s="73"/>
      <c r="BI12" s="72" t="str">
        <f t="shared" si="16"/>
        <v>MAT1</v>
      </c>
      <c r="BL12" s="55" t="str" cm="1">
        <f t="array" ref="BL12">INDEX($5:$5,COLUMN($Z10)+B12-1)</f>
        <v>PRCHR</v>
      </c>
      <c r="BM12" s="55" cm="1">
        <f t="array" ref="BM12">IF(INDEX($4:$4,COLUMN($Z10)+B12-1)="Heures",SUMIF(C:C,BI12,AE:AE)*24,SUMIF(C:C,BI12,AE:AE))</f>
        <v>0</v>
      </c>
      <c r="BO12" s="55">
        <f t="shared" si="12"/>
        <v>0</v>
      </c>
      <c r="BS12" s="106">
        <f ca="1">VLOOKUP(_xlfn.SHEET(),Listes!$A:$B,2,0)</f>
        <v>45505</v>
      </c>
      <c r="BT12" s="106">
        <f t="shared" ca="1" si="17"/>
        <v>45505</v>
      </c>
      <c r="BU12" s="55">
        <f t="shared" si="13"/>
        <v>0</v>
      </c>
    </row>
    <row r="13" spans="1:73" ht="18" customHeight="1">
      <c r="A13" s="69" t="str">
        <f>Listes!$AD$2</f>
        <v>MANAGER</v>
      </c>
      <c r="B13" s="75">
        <f t="shared" si="18"/>
        <v>7</v>
      </c>
      <c r="C13" s="69" t="str" cm="1">
        <f t="array" ref="C13">INDEX(Listes!$Z$2:$Z$31,1+(ROW()-7)/31+INT((ROW()-7)/(31*30)))</f>
        <v>MAT1</v>
      </c>
      <c r="D13" s="69" t="str">
        <f>IFERROR(INDEX(Listes!Z:AA,MATCH(C13,Listes!Z:Z,0),2),"")</f>
        <v>Matricule 1</v>
      </c>
      <c r="E13" s="77" t="str">
        <f t="shared" ca="1" si="1"/>
        <v>août</v>
      </c>
      <c r="F13" s="120">
        <f t="shared" ca="1" si="14"/>
        <v>32</v>
      </c>
      <c r="G13" s="78" t="str">
        <f t="shared" ca="1" si="2"/>
        <v>mercredi</v>
      </c>
      <c r="H13" s="78">
        <f ca="1">IF(B13=1,INDEX(Listes!F:H,MATCH(_xlfn.SHEET(),Listes!F:F,0),3),IF(TEXT(H12+1,"mmmm")&lt;&gt;TEXT(H12,"mmmm"),"",H12+1))</f>
        <v>45511</v>
      </c>
      <c r="I13" s="37" t="s">
        <v>187</v>
      </c>
      <c r="J13" s="38">
        <f>IF(OR(I13=0,LEFT(I13,1)="A"),0,INDEX(Listes!Q:V,MATCH(I13,Listes!Q:Q,0),2))</f>
        <v>0.33333333333333331</v>
      </c>
      <c r="K13" s="38">
        <f>IF(OR(I13=0,LEFT(I13,1)="A"),0,INDEX(Listes!Q:V,MATCH(I13,Listes!Q:Q,0),3))</f>
        <v>0.5</v>
      </c>
      <c r="L13" s="37"/>
      <c r="M13" s="38">
        <f>IF(L13=0,0,IF(AND(LEFT(I13,1)="M",L13&lt;&gt;0),INDEX(Listes!J:O,MATCH(L13,Listes!J:J,1),3),IF(AND(LEFT(I13,1)="N",L13&lt;&gt;0),INDEX(Listes!J:O,MATCH(L13,Listes!J:J,1),3),IF(AND(LEFT(I13,1)="A",L13&lt;&gt;0),INDEX(Listes!J:O,MATCH(L13,Listes!J:J,1),3),IF(AND(LEFT(I13,1)="J",L13&lt;&gt;0),INDEX(Listes!J:O,MATCH(L13,Listes!J:J,1),3),IF(AND(LEFT(I13,1)="T",L13&lt;&gt;0),INDEX(Listes!J:O,MATCH(L13,Listes!J:J,1),3),"horaire"))))))</f>
        <v>0</v>
      </c>
      <c r="N13" s="38">
        <f>IFERROR(IF(M13="$horaire","à compléter",IF(AND(M13="$DEMI",INDEX(Listes!J:O,MATCH(L13,Listes!J:J,1),6)="oui"),(K13-J13),0)),0)</f>
        <v>0</v>
      </c>
      <c r="O13" s="40">
        <f>IF(OR(I13=0,LEFT(I13,1)="A"),0,INDEX(Listes!Q:V,MATCH(I13,Listes!Q:Q,0),4))</f>
        <v>0.5625</v>
      </c>
      <c r="P13" s="42">
        <f>IF(OR(I13=0,LEFT(I13,1)="A"),0,INDEX(Listes!Q:V,MATCH(I13,Listes!Q:Q,0),5))</f>
        <v>0.70833333333333337</v>
      </c>
      <c r="Q13" s="37"/>
      <c r="R13" s="38">
        <f>IF(Q13=0,0,IF(AND(LEFT(I13,1)="M",Q13&lt;&gt;0),INDEX(Listes!J:O,MATCH(Q13,Listes!J:J,1),3),IF(AND(LEFT(I13,1)="N",Q13&lt;&gt;0),INDEX(Listes!J:O,MATCH(Q13,Listes!J:J,1),3),IF(AND(LEFT(I13,1)="A",Q13&lt;&gt;0),INDEX(Listes!J:O,MATCH(Q13,Listes!J:J,1),3),IF(AND(LEFT(I13,1)="J",Q13&lt;&gt;0),INDEX(Listes!J:O,MATCH(Q13,Listes!J:J,1),3),IF(AND(LEFT(I13,1)="T",Q13&lt;&gt;0),INDEX(Listes!J:O,MATCH(Q13,Listes!J:J,1),3),"horaire"))))))</f>
        <v>0</v>
      </c>
      <c r="S13" s="38">
        <f>IFERROR(IF(R13="$horaire","à compléter",IF(AND(R13="$DEMI2",INDEX(Listes!J:O,MATCH(Q13,Listes!J:J,1),6)="oui"),(P13-O13),0)),0)</f>
        <v>0</v>
      </c>
      <c r="T13" s="37"/>
      <c r="U13" s="37">
        <f t="shared" si="3"/>
        <v>0</v>
      </c>
      <c r="V13" s="70">
        <f>IF(I13=0,0,INDEX(Listes!Q:V,MATCH(I13,Listes!Q:Q,1),6))</f>
        <v>7.5000000000000009</v>
      </c>
      <c r="W13" s="71">
        <f>IF(I13=0,0,IF(AND(LEFT(I13,1)="A",O13&lt;=P13),(P13-O13)*24,IF(J13&lt;=K13,(K13-J13)*24,((Listes!$H$21-J13)*24+(K13-Listes!$H$21)*24))+IF(O13&lt;=P13,(P13-O13)*24,(Listes!$H$21-O13)*24+(P13-Listes!$G$21)*24)))-X13+(U13*24)</f>
        <v>7.5000000000000009</v>
      </c>
      <c r="X13" s="70">
        <f>IFERROR(IF(IFERROR(INDEX(Listes!J:O,MATCH(L13,Listes!J:J,1),6),0)="oui",N13*24,0),0)+IFERROR(IF(IFERROR(INDEX(Listes!J:O,MATCH(Q13,Listes!J:J,1),6),0)="oui",S13*24,0),0)</f>
        <v>0</v>
      </c>
      <c r="Y13" s="70">
        <f ca="1">W13-V13+IF(OR(G13="samedi",G13="dimanche"),W13,0)</f>
        <v>0</v>
      </c>
      <c r="Z13" s="71">
        <f t="shared" si="19"/>
        <v>1</v>
      </c>
      <c r="AA13" s="70">
        <f t="shared" si="6"/>
        <v>0</v>
      </c>
      <c r="AB13" s="70">
        <f>IF(I13=0,0,IF(AND(J13&gt;K13,J13&gt;=Listes!$G$22),MOD(MIN(K13,Listes!$H$22)-J13,1),IF(OR(J13&gt;K13,K13&gt;=Listes!$G$22),MOD(K13-Listes!$G$22,1),IF(K13&lt;=Listes!$H$22,MOD(K13-J13,1),IF(J13&lt;=Listes!$H$22,MOD(Listes!$H$22-J13,1),0))))+IF(AND(O13&gt;P13,O13&gt;=Listes!$G$22),MOD(MIN(P13,Listes!$H$22)-O13,1),IF(OR(O13&gt;P13,P13&gt;=Listes!$G$22),MOD(P13-Listes!$G$22,1),0)))*24</f>
        <v>0</v>
      </c>
      <c r="AC13" s="71">
        <f t="shared" ca="1" si="15"/>
        <v>0</v>
      </c>
      <c r="AD13" s="71">
        <f ca="1">IF(IFERROR(VLOOKUP(H13,Listes!$H$3:$H$20,1,0),0)&lt;&gt;0,W13,0)</f>
        <v>0</v>
      </c>
      <c r="AE13" s="71">
        <f t="shared" si="20"/>
        <v>0</v>
      </c>
      <c r="AF13" s="44"/>
      <c r="AG13" s="44"/>
      <c r="AH13" s="44"/>
      <c r="AI13" s="44"/>
      <c r="AJ13" s="44"/>
      <c r="AK13" s="44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79" t="str">
        <f t="shared" si="8"/>
        <v>MAT1</v>
      </c>
      <c r="BA13" s="80">
        <f t="shared" si="9"/>
        <v>0</v>
      </c>
      <c r="BB13" s="81">
        <f ca="1">AOUT!H13</f>
        <v>45511</v>
      </c>
      <c r="BC13" s="81">
        <f ca="1">AOUT!H13</f>
        <v>45511</v>
      </c>
      <c r="BD13" s="77" t="s">
        <v>81</v>
      </c>
      <c r="BE13" s="73" t="str">
        <f t="shared" si="10"/>
        <v>$jour</v>
      </c>
      <c r="BF13" s="71">
        <f t="shared" si="11"/>
        <v>0</v>
      </c>
      <c r="BG13" s="73"/>
      <c r="BH13" s="73"/>
      <c r="BI13" s="72" t="str">
        <f t="shared" si="16"/>
        <v>MAT1</v>
      </c>
      <c r="BL13" s="55" t="str" cm="1">
        <f t="array" ref="BL13">INDEX($5:$5,COLUMN($Z11)+B13-1)</f>
        <v>PVRAC</v>
      </c>
      <c r="BM13" s="55" cm="1">
        <f t="array" ref="BM13">IF(INDEX($4:$4,COLUMN($Z11)+B13-1)="Heures",SUMIF(C:C,BI13,AF:AF)*24,SUMIF(C:C,BI13,AF:AF))</f>
        <v>0</v>
      </c>
      <c r="BO13" s="55">
        <f t="shared" si="12"/>
        <v>0</v>
      </c>
      <c r="BS13" s="106">
        <f ca="1">VLOOKUP(_xlfn.SHEET(),Listes!$A:$B,2,0)</f>
        <v>45505</v>
      </c>
      <c r="BT13" s="106">
        <f t="shared" ca="1" si="17"/>
        <v>45505</v>
      </c>
      <c r="BU13" s="55">
        <f t="shared" si="13"/>
        <v>0</v>
      </c>
    </row>
    <row r="14" spans="1:73" ht="18" customHeight="1">
      <c r="A14" s="69" t="str">
        <f>Listes!$AD$2</f>
        <v>MANAGER</v>
      </c>
      <c r="B14" s="75">
        <f t="shared" si="18"/>
        <v>8</v>
      </c>
      <c r="C14" s="69" t="str" cm="1">
        <f t="array" ref="C14">INDEX(Listes!$Z$2:$Z$31,1+(ROW()-7)/31+INT((ROW()-7)/(31*30)))</f>
        <v>MAT1</v>
      </c>
      <c r="D14" s="69" t="str">
        <f>IFERROR(INDEX(Listes!Z:AA,MATCH(C14,Listes!Z:Z,0),2),"")</f>
        <v>Matricule 1</v>
      </c>
      <c r="E14" s="77" t="str">
        <f t="shared" ca="1" si="1"/>
        <v>août</v>
      </c>
      <c r="F14" s="120">
        <f t="shared" ca="1" si="14"/>
        <v>32</v>
      </c>
      <c r="G14" s="78" t="str">
        <f t="shared" ca="1" si="2"/>
        <v>jeudi</v>
      </c>
      <c r="H14" s="78">
        <f ca="1">IF(B14=1,INDEX(Listes!F:H,MATCH(_xlfn.SHEET(),Listes!F:F,0),3),IF(TEXT(H13+1,"mmmm")&lt;&gt;TEXT(H13,"mmmm"),"",H13+1))</f>
        <v>45512</v>
      </c>
      <c r="I14" s="37" t="s">
        <v>187</v>
      </c>
      <c r="J14" s="38">
        <f>IF(OR(I14=0,LEFT(I14,1)="A"),0,INDEX(Listes!Q:V,MATCH(I14,Listes!Q:Q,0),2))</f>
        <v>0.33333333333333331</v>
      </c>
      <c r="K14" s="38">
        <f>IF(OR(I14=0,LEFT(I14,1)="A"),0,INDEX(Listes!Q:V,MATCH(I14,Listes!Q:Q,0),3))</f>
        <v>0.5</v>
      </c>
      <c r="L14" s="37"/>
      <c r="M14" s="38">
        <f>IF(L14=0,0,IF(AND(LEFT(I14,1)="M",L14&lt;&gt;0),INDEX(Listes!J:O,MATCH(L14,Listes!J:J,1),3),IF(AND(LEFT(I14,1)="N",L14&lt;&gt;0),INDEX(Listes!J:O,MATCH(L14,Listes!J:J,1),3),IF(AND(LEFT(I14,1)="A",L14&lt;&gt;0),INDEX(Listes!J:O,MATCH(L14,Listes!J:J,1),3),IF(AND(LEFT(I14,1)="J",L14&lt;&gt;0),INDEX(Listes!J:O,MATCH(L14,Listes!J:J,1),3),IF(AND(LEFT(I14,1)="T",L14&lt;&gt;0),INDEX(Listes!J:O,MATCH(L14,Listes!J:J,1),3),"horaire"))))))</f>
        <v>0</v>
      </c>
      <c r="N14" s="38">
        <f>IFERROR(IF(M14="$horaire","à compléter",IF(AND(M14="$DEMI",INDEX(Listes!J:O,MATCH(L14,Listes!J:J,1),6)="oui"),(K14-J14),0)),0)</f>
        <v>0</v>
      </c>
      <c r="O14" s="40">
        <f>IF(OR(I14=0,LEFT(I14,1)="A"),0,INDEX(Listes!Q:V,MATCH(I14,Listes!Q:Q,0),4))</f>
        <v>0.5625</v>
      </c>
      <c r="P14" s="42">
        <f>IF(OR(I14=0,LEFT(I14,1)="A"),0,INDEX(Listes!Q:V,MATCH(I14,Listes!Q:Q,0),5))</f>
        <v>0.70833333333333337</v>
      </c>
      <c r="Q14" s="37"/>
      <c r="R14" s="38">
        <f>IF(Q14=0,0,IF(AND(LEFT(I14,1)="M",Q14&lt;&gt;0),INDEX(Listes!J:O,MATCH(Q14,Listes!J:J,1),3),IF(AND(LEFT(I14,1)="N",Q14&lt;&gt;0),INDEX(Listes!J:O,MATCH(Q14,Listes!J:J,1),3),IF(AND(LEFT(I14,1)="A",Q14&lt;&gt;0),INDEX(Listes!J:O,MATCH(Q14,Listes!J:J,1),3),IF(AND(LEFT(I14,1)="J",Q14&lt;&gt;0),INDEX(Listes!J:O,MATCH(Q14,Listes!J:J,1),3),IF(AND(LEFT(I14,1)="T",Q14&lt;&gt;0),INDEX(Listes!J:O,MATCH(Q14,Listes!J:J,1),3),"horaire"))))))</f>
        <v>0</v>
      </c>
      <c r="S14" s="38">
        <f>IFERROR(IF(R14="$horaire","à compléter",IF(AND(R14="$DEMI2",INDEX(Listes!J:O,MATCH(Q14,Listes!J:J,1),6)="oui"),(P14-O14),0)),0)</f>
        <v>0</v>
      </c>
      <c r="T14" s="37"/>
      <c r="U14" s="37">
        <f t="shared" si="3"/>
        <v>0</v>
      </c>
      <c r="V14" s="70">
        <f>IF(I14=0,0,INDEX(Listes!Q:V,MATCH(I14,Listes!Q:Q,1),6))</f>
        <v>7.5000000000000009</v>
      </c>
      <c r="W14" s="71">
        <f>IF(I14=0,0,IF(AND(LEFT(I14,1)="A",O14&lt;=P14),(P14-O14)*24,IF(J14&lt;=K14,(K14-J14)*24,((Listes!$H$21-J14)*24+(K14-Listes!$H$21)*24))+IF(O14&lt;=P14,(P14-O14)*24,(Listes!$H$21-O14)*24+(P14-Listes!$G$21)*24)))-X14+(U14*24)</f>
        <v>7.5000000000000009</v>
      </c>
      <c r="X14" s="70">
        <f>IFERROR(IF(IFERROR(INDEX(Listes!J:O,MATCH(L14,Listes!J:J,1),6),0)="oui",N14*24,0),0)+IFERROR(IF(IFERROR(INDEX(Listes!J:O,MATCH(Q14,Listes!J:J,1),6),0)="oui",S14*24,0),0)</f>
        <v>0</v>
      </c>
      <c r="Y14" s="70">
        <f t="shared" ref="Y14:Y37" ca="1" si="21">W14-V14+IF(OR(G14="samedi",G14="dimanche"),W14,0)</f>
        <v>0</v>
      </c>
      <c r="Z14" s="71">
        <f t="shared" si="19"/>
        <v>1</v>
      </c>
      <c r="AA14" s="70">
        <f t="shared" si="6"/>
        <v>0</v>
      </c>
      <c r="AB14" s="70">
        <f>IF(I14=0,0,IF(AND(J14&gt;K14,J14&gt;=Listes!$G$22),MOD(MIN(K14,Listes!$H$22)-J14,1),IF(OR(J14&gt;K14,K14&gt;=Listes!$G$22),MOD(K14-Listes!$G$22,1),IF(K14&lt;=Listes!$H$22,MOD(K14-J14,1),IF(J14&lt;=Listes!$H$22,MOD(Listes!$H$22-J14,1),0))))+IF(AND(O14&gt;P14,O14&gt;=Listes!$G$22),MOD(MIN(P14,Listes!$H$22)-O14,1),IF(OR(O14&gt;P14,P14&gt;=Listes!$G$22),MOD(P14-Listes!$G$22,1),0)))*24</f>
        <v>0</v>
      </c>
      <c r="AC14" s="71">
        <f t="shared" ca="1" si="15"/>
        <v>0</v>
      </c>
      <c r="AD14" s="71">
        <f ca="1">IF(IFERROR(VLOOKUP(H14,Listes!$H$3:$H$20,1,0),0)&lt;&gt;0,W14,0)</f>
        <v>0</v>
      </c>
      <c r="AE14" s="71">
        <f t="shared" si="20"/>
        <v>0</v>
      </c>
      <c r="AF14" s="44"/>
      <c r="AG14" s="44"/>
      <c r="AH14" s="44"/>
      <c r="AI14" s="44"/>
      <c r="AJ14" s="44"/>
      <c r="AK14" s="44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79" t="str">
        <f t="shared" si="8"/>
        <v>MAT1</v>
      </c>
      <c r="BA14" s="80">
        <f t="shared" si="9"/>
        <v>0</v>
      </c>
      <c r="BB14" s="81">
        <f ca="1">AOUT!H14</f>
        <v>45512</v>
      </c>
      <c r="BC14" s="81">
        <f ca="1">AOUT!H14</f>
        <v>45512</v>
      </c>
      <c r="BD14" s="77" t="s">
        <v>81</v>
      </c>
      <c r="BE14" s="73" t="str">
        <f t="shared" si="10"/>
        <v>$jour</v>
      </c>
      <c r="BF14" s="71">
        <f t="shared" si="11"/>
        <v>0</v>
      </c>
      <c r="BG14" s="73"/>
      <c r="BH14" s="73"/>
      <c r="BI14" s="72" t="str">
        <f t="shared" si="16"/>
        <v>MAT1</v>
      </c>
      <c r="BL14" s="55" t="str" cm="1">
        <f t="array" ref="BL14">INDEX($5:$5,COLUMN($Z12)+B14-1)</f>
        <v>MA200</v>
      </c>
      <c r="BM14" s="55" cm="1">
        <f t="array" ref="BM14">IF(INDEX($4:$4,COLUMN($Z12)+B14-1)="Heures",SUMIF(C:C,BI14,AG:AG)*24,SUMIF(C:C,BI14,AG:AG))</f>
        <v>0</v>
      </c>
      <c r="BO14" s="55">
        <f t="shared" si="12"/>
        <v>0</v>
      </c>
      <c r="BS14" s="106">
        <f ca="1">VLOOKUP(_xlfn.SHEET(),Listes!$A:$B,2,0)</f>
        <v>45505</v>
      </c>
      <c r="BT14" s="106">
        <f t="shared" ca="1" si="17"/>
        <v>45505</v>
      </c>
      <c r="BU14" s="55">
        <f t="shared" si="13"/>
        <v>0</v>
      </c>
    </row>
    <row r="15" spans="1:73" ht="18" customHeight="1">
      <c r="A15" s="69" t="str">
        <f>Listes!$AD$2</f>
        <v>MANAGER</v>
      </c>
      <c r="B15" s="75">
        <f t="shared" si="18"/>
        <v>9</v>
      </c>
      <c r="C15" s="69" t="str" cm="1">
        <f t="array" ref="C15">INDEX(Listes!$Z$2:$Z$31,1+(ROW()-7)/31+INT((ROW()-7)/(31*30)))</f>
        <v>MAT1</v>
      </c>
      <c r="D15" s="69" t="str">
        <f>IFERROR(INDEX(Listes!Z:AA,MATCH(C15,Listes!Z:Z,0),2),"")</f>
        <v>Matricule 1</v>
      </c>
      <c r="E15" s="77" t="str">
        <f t="shared" ca="1" si="1"/>
        <v>août</v>
      </c>
      <c r="F15" s="120">
        <f t="shared" ca="1" si="14"/>
        <v>32</v>
      </c>
      <c r="G15" s="78" t="str">
        <f t="shared" ca="1" si="2"/>
        <v>vendredi</v>
      </c>
      <c r="H15" s="78">
        <f ca="1">IF(B15=1,INDEX(Listes!F:H,MATCH(_xlfn.SHEET(),Listes!F:F,0),3),IF(TEXT(H14+1,"mmmm")&lt;&gt;TEXT(H14,"mmmm"),"",H14+1))</f>
        <v>45513</v>
      </c>
      <c r="I15" s="37" t="s">
        <v>187</v>
      </c>
      <c r="J15" s="38">
        <f>IF(OR(I15=0,LEFT(I15,1)="A"),0,INDEX(Listes!Q:V,MATCH(I15,Listes!Q:Q,0),2))</f>
        <v>0.33333333333333331</v>
      </c>
      <c r="K15" s="38">
        <f>IF(OR(I15=0,LEFT(I15,1)="A"),0,INDEX(Listes!Q:V,MATCH(I15,Listes!Q:Q,0),3))</f>
        <v>0.5</v>
      </c>
      <c r="L15" s="37"/>
      <c r="M15" s="38">
        <f>IF(L15=0,0,IF(AND(LEFT(I15,1)="M",L15&lt;&gt;0),INDEX(Listes!J:O,MATCH(L15,Listes!J:J,1),3),IF(AND(LEFT(I15,1)="N",L15&lt;&gt;0),INDEX(Listes!J:O,MATCH(L15,Listes!J:J,1),3),IF(AND(LEFT(I15,1)="A",L15&lt;&gt;0),INDEX(Listes!J:O,MATCH(L15,Listes!J:J,1),3),IF(AND(LEFT(I15,1)="J",L15&lt;&gt;0),INDEX(Listes!J:O,MATCH(L15,Listes!J:J,1),3),IF(AND(LEFT(I15,1)="T",L15&lt;&gt;0),INDEX(Listes!J:O,MATCH(L15,Listes!J:J,1),3),"horaire"))))))</f>
        <v>0</v>
      </c>
      <c r="N15" s="38">
        <f>IFERROR(IF(M15="$horaire","à compléter",IF(AND(M15="$DEMI",INDEX(Listes!J:O,MATCH(L15,Listes!J:J,1),6)="oui"),(K15-J15),0)),0)</f>
        <v>0</v>
      </c>
      <c r="O15" s="40">
        <f>IF(OR(I15=0,LEFT(I15,1)="A"),0,INDEX(Listes!Q:V,MATCH(I15,Listes!Q:Q,0),4))</f>
        <v>0.5625</v>
      </c>
      <c r="P15" s="42">
        <f>IF(OR(I15=0,LEFT(I15,1)="A"),0,INDEX(Listes!Q:V,MATCH(I15,Listes!Q:Q,0),5))</f>
        <v>0.70833333333333337</v>
      </c>
      <c r="Q15" s="37"/>
      <c r="R15" s="38">
        <f>IF(Q15=0,0,IF(AND(LEFT(I15,1)="M",Q15&lt;&gt;0),INDEX(Listes!J:O,MATCH(Q15,Listes!J:J,1),3),IF(AND(LEFT(I15,1)="N",Q15&lt;&gt;0),INDEX(Listes!J:O,MATCH(Q15,Listes!J:J,1),3),IF(AND(LEFT(I15,1)="A",Q15&lt;&gt;0),INDEX(Listes!J:O,MATCH(Q15,Listes!J:J,1),3),IF(AND(LEFT(I15,1)="J",Q15&lt;&gt;0),INDEX(Listes!J:O,MATCH(Q15,Listes!J:J,1),3),IF(AND(LEFT(I15,1)="T",Q15&lt;&gt;0),INDEX(Listes!J:O,MATCH(Q15,Listes!J:J,1),3),"horaire"))))))</f>
        <v>0</v>
      </c>
      <c r="S15" s="38">
        <f>IFERROR(IF(R15="$horaire","à compléter",IF(AND(R15="$DEMI2",INDEX(Listes!J:O,MATCH(Q15,Listes!J:J,1),6)="oui"),(P15-O15),0)),0)</f>
        <v>0</v>
      </c>
      <c r="T15" s="37"/>
      <c r="U15" s="37">
        <f t="shared" si="3"/>
        <v>0</v>
      </c>
      <c r="V15" s="70">
        <f>IF(I15=0,0,INDEX(Listes!Q:V,MATCH(I15,Listes!Q:Q,1),6))</f>
        <v>7.5000000000000009</v>
      </c>
      <c r="W15" s="71">
        <f>IF(I15=0,0,IF(AND(LEFT(I15,1)="A",O15&lt;=P15),(P15-O15)*24,IF(J15&lt;=K15,(K15-J15)*24,((Listes!$H$21-J15)*24+(K15-Listes!$H$21)*24))+IF(O15&lt;=P15,(P15-O15)*24,(Listes!$H$21-O15)*24+(P15-Listes!$G$21)*24)))-X15+(U15*24)</f>
        <v>7.5000000000000009</v>
      </c>
      <c r="X15" s="70">
        <f>IFERROR(IF(IFERROR(INDEX(Listes!J:O,MATCH(L15,Listes!J:J,1),6),0)="oui",N15*24,0),0)+IFERROR(IF(IFERROR(INDEX(Listes!J:O,MATCH(Q15,Listes!J:J,1),6),0)="oui",S15*24,0),0)</f>
        <v>0</v>
      </c>
      <c r="Y15" s="70">
        <f t="shared" ca="1" si="21"/>
        <v>0</v>
      </c>
      <c r="Z15" s="71">
        <f t="shared" si="19"/>
        <v>1</v>
      </c>
      <c r="AA15" s="70">
        <f t="shared" si="6"/>
        <v>0</v>
      </c>
      <c r="AB15" s="70">
        <f>IF(I15=0,0,IF(AND(J15&gt;K15,J15&gt;=Listes!$G$22),MOD(MIN(K15,Listes!$H$22)-J15,1),IF(OR(J15&gt;K15,K15&gt;=Listes!$G$22),MOD(K15-Listes!$G$22,1),IF(K15&lt;=Listes!$H$22,MOD(K15-J15,1),IF(J15&lt;=Listes!$H$22,MOD(Listes!$H$22-J15,1),0))))+IF(AND(O15&gt;P15,O15&gt;=Listes!$G$22),MOD(MIN(P15,Listes!$H$22)-O15,1),IF(OR(O15&gt;P15,P15&gt;=Listes!$G$22),MOD(P15-Listes!$G$22,1),0)))*24</f>
        <v>0</v>
      </c>
      <c r="AC15" s="71">
        <f t="shared" ca="1" si="15"/>
        <v>0</v>
      </c>
      <c r="AD15" s="71">
        <f ca="1">IF(IFERROR(VLOOKUP(H15,Listes!$H$3:$H$20,1,0),0)&lt;&gt;0,W15,0)</f>
        <v>0</v>
      </c>
      <c r="AE15" s="71">
        <f t="shared" si="20"/>
        <v>0</v>
      </c>
      <c r="AF15" s="44"/>
      <c r="AG15" s="44"/>
      <c r="AH15" s="44"/>
      <c r="AI15" s="44"/>
      <c r="AJ15" s="44"/>
      <c r="AK15" s="44"/>
      <c r="AL15" s="39"/>
      <c r="AM15" s="39"/>
      <c r="AN15" s="39"/>
      <c r="AO15" s="39" t="s">
        <v>82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79" t="str">
        <f t="shared" si="8"/>
        <v>MAT1</v>
      </c>
      <c r="BA15" s="80">
        <f t="shared" si="9"/>
        <v>0</v>
      </c>
      <c r="BB15" s="81">
        <f ca="1">AOUT!H15</f>
        <v>45513</v>
      </c>
      <c r="BC15" s="81">
        <f ca="1">AOUT!H15</f>
        <v>45513</v>
      </c>
      <c r="BD15" s="77" t="s">
        <v>81</v>
      </c>
      <c r="BE15" s="73" t="str">
        <f t="shared" si="10"/>
        <v>$jour</v>
      </c>
      <c r="BF15" s="71">
        <f t="shared" si="11"/>
        <v>0</v>
      </c>
      <c r="BG15" s="73"/>
      <c r="BH15" s="73"/>
      <c r="BI15" s="72" t="str">
        <f t="shared" si="16"/>
        <v>MAT1</v>
      </c>
      <c r="BL15" s="55" t="str" cm="1">
        <f t="array" ref="BL15">INDEX($5:$5,COLUMN($Z13)+B15-1)</f>
        <v>MAJN3</v>
      </c>
      <c r="BM15" s="55" cm="1">
        <f t="array" ref="BM15">IF(INDEX($4:$4,COLUMN($Z13)+B15-1)="Heures",SUMIF(C:C,BI15,AH:AH)*24,SUMIF(C:C,BI15,AH:AH))</f>
        <v>0</v>
      </c>
      <c r="BO15" s="55">
        <f t="shared" si="12"/>
        <v>0</v>
      </c>
      <c r="BS15" s="106">
        <f ca="1">VLOOKUP(_xlfn.SHEET(),Listes!$A:$B,2,0)</f>
        <v>45505</v>
      </c>
      <c r="BT15" s="106">
        <f t="shared" ca="1" si="17"/>
        <v>45505</v>
      </c>
      <c r="BU15" s="55">
        <f t="shared" si="13"/>
        <v>0</v>
      </c>
    </row>
    <row r="16" spans="1:73" ht="18" customHeight="1">
      <c r="A16" s="69" t="str">
        <f>Listes!$AD$2</f>
        <v>MANAGER</v>
      </c>
      <c r="B16" s="75">
        <f t="shared" si="18"/>
        <v>10</v>
      </c>
      <c r="C16" s="69" t="str" cm="1">
        <f t="array" ref="C16">INDEX(Listes!$Z$2:$Z$31,1+(ROW()-7)/31+INT((ROW()-7)/(31*30)))</f>
        <v>MAT1</v>
      </c>
      <c r="D16" s="69" t="str">
        <f>IFERROR(INDEX(Listes!Z:AA,MATCH(C16,Listes!Z:Z,0),2),"")</f>
        <v>Matricule 1</v>
      </c>
      <c r="E16" s="77" t="str">
        <f t="shared" ca="1" si="1"/>
        <v>août</v>
      </c>
      <c r="F16" s="120">
        <f t="shared" ca="1" si="14"/>
        <v>32</v>
      </c>
      <c r="G16" s="78" t="str">
        <f t="shared" ca="1" si="2"/>
        <v>samedi</v>
      </c>
      <c r="H16" s="78">
        <f ca="1">IF(B16=1,INDEX(Listes!F:H,MATCH(_xlfn.SHEET(),Listes!F:F,0),3),IF(TEXT(H15+1,"mmmm")&lt;&gt;TEXT(H15,"mmmm"),"",H15+1))</f>
        <v>45514</v>
      </c>
      <c r="I16" s="37" t="s">
        <v>187</v>
      </c>
      <c r="J16" s="38">
        <f>IF(OR(I16=0,LEFT(I16,1)="A"),0,INDEX(Listes!Q:V,MATCH(I16,Listes!Q:Q,0),2))</f>
        <v>0.33333333333333331</v>
      </c>
      <c r="K16" s="38">
        <f>IF(OR(I16=0,LEFT(I16,1)="A"),0,INDEX(Listes!Q:V,MATCH(I16,Listes!Q:Q,0),3))</f>
        <v>0.5</v>
      </c>
      <c r="L16" s="37"/>
      <c r="M16" s="38">
        <f>IF(L16=0,0,IF(AND(LEFT(I16,1)="M",L16&lt;&gt;0),INDEX(Listes!J:O,MATCH(L16,Listes!J:J,1),3),IF(AND(LEFT(I16,1)="N",L16&lt;&gt;0),INDEX(Listes!J:O,MATCH(L16,Listes!J:J,1),3),IF(AND(LEFT(I16,1)="A",L16&lt;&gt;0),INDEX(Listes!J:O,MATCH(L16,Listes!J:J,1),3),IF(AND(LEFT(I16,1)="J",L16&lt;&gt;0),INDEX(Listes!J:O,MATCH(L16,Listes!J:J,1),3),IF(AND(LEFT(I16,1)="T",L16&lt;&gt;0),INDEX(Listes!J:O,MATCH(L16,Listes!J:J,1),3),"horaire"))))))</f>
        <v>0</v>
      </c>
      <c r="N16" s="38">
        <f>IFERROR(IF(M16="$horaire","à compléter",IF(AND(M16="$DEMI",INDEX(Listes!J:O,MATCH(L16,Listes!J:J,1),6)="oui"),(K16-J16),0)),0)</f>
        <v>0</v>
      </c>
      <c r="O16" s="40">
        <f>IF(OR(I16=0,LEFT(I16,1)="A"),0,INDEX(Listes!Q:V,MATCH(I16,Listes!Q:Q,0),4))</f>
        <v>0.5625</v>
      </c>
      <c r="P16" s="42">
        <f>IF(OR(I16=0,LEFT(I16,1)="A"),0,INDEX(Listes!Q:V,MATCH(I16,Listes!Q:Q,0),5))</f>
        <v>0.70833333333333337</v>
      </c>
      <c r="Q16" s="37"/>
      <c r="R16" s="38">
        <f>IF(Q16=0,0,IF(AND(LEFT(I16,1)="M",Q16&lt;&gt;0),INDEX(Listes!J:O,MATCH(Q16,Listes!J:J,1),3),IF(AND(LEFT(I16,1)="N",Q16&lt;&gt;0),INDEX(Listes!J:O,MATCH(Q16,Listes!J:J,1),3),IF(AND(LEFT(I16,1)="A",Q16&lt;&gt;0),INDEX(Listes!J:O,MATCH(Q16,Listes!J:J,1),3),IF(AND(LEFT(I16,1)="J",Q16&lt;&gt;0),INDEX(Listes!J:O,MATCH(Q16,Listes!J:J,1),3),IF(AND(LEFT(I16,1)="T",Q16&lt;&gt;0),INDEX(Listes!J:O,MATCH(Q16,Listes!J:J,1),3),"horaire"))))))</f>
        <v>0</v>
      </c>
      <c r="S16" s="38">
        <f>IFERROR(IF(R16="$horaire","à compléter",IF(AND(R16="$DEMI2",INDEX(Listes!J:O,MATCH(Q16,Listes!J:J,1),6)="oui"),(P16-O16),0)),0)</f>
        <v>0</v>
      </c>
      <c r="T16" s="37"/>
      <c r="U16" s="37">
        <f t="shared" si="3"/>
        <v>0</v>
      </c>
      <c r="V16" s="70">
        <f>IF(I16=0,0,INDEX(Listes!Q:V,MATCH(I16,Listes!Q:Q,1),6))</f>
        <v>7.5000000000000009</v>
      </c>
      <c r="W16" s="71">
        <f>IF(I16=0,0,IF(AND(LEFT(I16,1)="A",O16&lt;=P16),(P16-O16)*24,IF(J16&lt;=K16,(K16-J16)*24,((Listes!$H$21-J16)*24+(K16-Listes!$H$21)*24))+IF(O16&lt;=P16,(P16-O16)*24,(Listes!$H$21-O16)*24+(P16-Listes!$G$21)*24)))-X16+(U16*24)</f>
        <v>7.5000000000000009</v>
      </c>
      <c r="X16" s="70">
        <f>IFERROR(IF(IFERROR(INDEX(Listes!J:O,MATCH(L16,Listes!J:J,1),6),0)="oui",N16*24,0),0)+IFERROR(IF(IFERROR(INDEX(Listes!J:O,MATCH(Q16,Listes!J:J,1),6),0)="oui",S16*24,0),0)</f>
        <v>0</v>
      </c>
      <c r="Y16" s="70">
        <f t="shared" ca="1" si="21"/>
        <v>7.5000000000000009</v>
      </c>
      <c r="Z16" s="71">
        <f t="shared" si="19"/>
        <v>1</v>
      </c>
      <c r="AA16" s="70">
        <f t="shared" si="6"/>
        <v>0</v>
      </c>
      <c r="AB16" s="70">
        <f>IF(I16=0,0,IF(AND(J16&gt;K16,J16&gt;=Listes!$G$22),MOD(MIN(K16,Listes!$H$22)-J16,1),IF(OR(J16&gt;K16,K16&gt;=Listes!$G$22),MOD(K16-Listes!$G$22,1),IF(K16&lt;=Listes!$H$22,MOD(K16-J16,1),IF(J16&lt;=Listes!$H$22,MOD(Listes!$H$22-J16,1),0))))+IF(AND(O16&gt;P16,O16&gt;=Listes!$G$22),MOD(MIN(P16,Listes!$H$22)-O16,1),IF(OR(O16&gt;P16,P16&gt;=Listes!$G$22),MOD(P16-Listes!$G$22,1),0)))*24</f>
        <v>0</v>
      </c>
      <c r="AC16" s="71">
        <f t="shared" ca="1" si="15"/>
        <v>0</v>
      </c>
      <c r="AD16" s="71">
        <f ca="1">IF(IFERROR(VLOOKUP(H16,Listes!$H$3:$H$20,1,0),0)&lt;&gt;0,W16,0)</f>
        <v>0</v>
      </c>
      <c r="AE16" s="71">
        <f t="shared" si="20"/>
        <v>0</v>
      </c>
      <c r="AF16" s="44"/>
      <c r="AG16" s="44"/>
      <c r="AH16" s="44"/>
      <c r="AI16" s="44"/>
      <c r="AJ16" s="44"/>
      <c r="AK16" s="44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79" t="str">
        <f t="shared" si="8"/>
        <v>MAT1</v>
      </c>
      <c r="BA16" s="80">
        <f t="shared" si="9"/>
        <v>0</v>
      </c>
      <c r="BB16" s="81">
        <f ca="1">AOUT!H16</f>
        <v>45514</v>
      </c>
      <c r="BC16" s="81">
        <f ca="1">AOUT!H16</f>
        <v>45514</v>
      </c>
      <c r="BD16" s="77" t="s">
        <v>81</v>
      </c>
      <c r="BE16" s="73" t="str">
        <f t="shared" si="10"/>
        <v>$jour</v>
      </c>
      <c r="BF16" s="71">
        <f t="shared" si="11"/>
        <v>0</v>
      </c>
      <c r="BG16" s="73"/>
      <c r="BH16" s="73"/>
      <c r="BI16" s="72" t="str">
        <f t="shared" si="16"/>
        <v>MAT1</v>
      </c>
      <c r="BL16" s="55" t="str" cm="1">
        <f t="array" ref="BL16">INDEX($5:$5,COLUMN($Z14)+B16-1)</f>
        <v>PRAS3</v>
      </c>
      <c r="BM16" s="55" cm="1">
        <f t="array" ref="BM16">IF(INDEX($4:$4,COLUMN($Z14)+B16-1)="Heures",SUMIF(C:C,BI16,AI:AI)*24,SUMIF(C:C,BI16,AI:AI))</f>
        <v>0</v>
      </c>
      <c r="BO16" s="55">
        <f t="shared" si="12"/>
        <v>0</v>
      </c>
      <c r="BS16" s="106">
        <f ca="1">VLOOKUP(_xlfn.SHEET(),Listes!$A:$B,2,0)</f>
        <v>45505</v>
      </c>
      <c r="BT16" s="106">
        <f t="shared" ca="1" si="17"/>
        <v>45505</v>
      </c>
      <c r="BU16" s="55">
        <f t="shared" si="13"/>
        <v>0</v>
      </c>
    </row>
    <row r="17" spans="1:73" ht="18" customHeight="1">
      <c r="A17" s="69" t="str">
        <f>Listes!$AD$2</f>
        <v>MANAGER</v>
      </c>
      <c r="B17" s="75">
        <f t="shared" si="18"/>
        <v>11</v>
      </c>
      <c r="C17" s="69" t="str" cm="1">
        <f t="array" ref="C17">INDEX(Listes!$Z$2:$Z$31,1+(ROW()-7)/31+INT((ROW()-7)/(31*30)))</f>
        <v>MAT1</v>
      </c>
      <c r="D17" s="69" t="str">
        <f>IFERROR(INDEX(Listes!Z:AA,MATCH(C17,Listes!Z:Z,0),2),"")</f>
        <v>Matricule 1</v>
      </c>
      <c r="E17" s="77" t="str">
        <f t="shared" ca="1" si="1"/>
        <v>août</v>
      </c>
      <c r="F17" s="120">
        <f t="shared" ca="1" si="14"/>
        <v>32</v>
      </c>
      <c r="G17" s="78" t="str">
        <f t="shared" ca="1" si="2"/>
        <v>dimanche</v>
      </c>
      <c r="H17" s="78">
        <f ca="1">IF(B17=1,INDEX(Listes!F:H,MATCH(_xlfn.SHEET(),Listes!F:F,0),3),IF(TEXT(H16+1,"mmmm")&lt;&gt;TEXT(H16,"mmmm"),"",H16+1))</f>
        <v>45515</v>
      </c>
      <c r="I17" s="37" t="s">
        <v>187</v>
      </c>
      <c r="J17" s="38">
        <f>IF(OR(I17=0,LEFT(I17,1)="A"),0,INDEX(Listes!Q:V,MATCH(I17,Listes!Q:Q,0),2))</f>
        <v>0.33333333333333331</v>
      </c>
      <c r="K17" s="38">
        <f>IF(OR(I17=0,LEFT(I17,1)="A"),0,INDEX(Listes!Q:V,MATCH(I17,Listes!Q:Q,0),3))</f>
        <v>0.5</v>
      </c>
      <c r="L17" s="37"/>
      <c r="M17" s="38">
        <f>IF(L17=0,0,IF(AND(LEFT(I17,1)="M",L17&lt;&gt;0),INDEX(Listes!J:O,MATCH(L17,Listes!J:J,1),3),IF(AND(LEFT(I17,1)="N",L17&lt;&gt;0),INDEX(Listes!J:O,MATCH(L17,Listes!J:J,1),3),IF(AND(LEFT(I17,1)="A",L17&lt;&gt;0),INDEX(Listes!J:O,MATCH(L17,Listes!J:J,1),3),IF(AND(LEFT(I17,1)="J",L17&lt;&gt;0),INDEX(Listes!J:O,MATCH(L17,Listes!J:J,1),3),IF(AND(LEFT(I17,1)="T",L17&lt;&gt;0),INDEX(Listes!J:O,MATCH(L17,Listes!J:J,1),3),"horaire"))))))</f>
        <v>0</v>
      </c>
      <c r="N17" s="38">
        <f>IFERROR(IF(M17="$horaire","à compléter",IF(AND(M17="$DEMI",INDEX(Listes!J:O,MATCH(L17,Listes!J:J,1),6)="oui"),(K17-J17),0)),0)</f>
        <v>0</v>
      </c>
      <c r="O17" s="40">
        <f>IF(OR(I17=0,LEFT(I17,1)="A"),0,INDEX(Listes!Q:V,MATCH(I17,Listes!Q:Q,0),4))</f>
        <v>0.5625</v>
      </c>
      <c r="P17" s="42">
        <f>IF(OR(I17=0,LEFT(I17,1)="A"),0,INDEX(Listes!Q:V,MATCH(I17,Listes!Q:Q,0),5))</f>
        <v>0.70833333333333337</v>
      </c>
      <c r="Q17" s="37"/>
      <c r="R17" s="38">
        <f>IF(Q17=0,0,IF(AND(LEFT(I17,1)="M",Q17&lt;&gt;0),INDEX(Listes!J:O,MATCH(Q17,Listes!J:J,1),3),IF(AND(LEFT(I17,1)="N",Q17&lt;&gt;0),INDEX(Listes!J:O,MATCH(Q17,Listes!J:J,1),3),IF(AND(LEFT(I17,1)="A",Q17&lt;&gt;0),INDEX(Listes!J:O,MATCH(Q17,Listes!J:J,1),3),IF(AND(LEFT(I17,1)="J",Q17&lt;&gt;0),INDEX(Listes!J:O,MATCH(Q17,Listes!J:J,1),3),IF(AND(LEFT(I17,1)="T",Q17&lt;&gt;0),INDEX(Listes!J:O,MATCH(Q17,Listes!J:J,1),3),"horaire"))))))</f>
        <v>0</v>
      </c>
      <c r="S17" s="38">
        <f>IFERROR(IF(R17="$horaire","à compléter",IF(AND(R17="$DEMI2",INDEX(Listes!J:O,MATCH(Q17,Listes!J:J,1),6)="oui"),(P17-O17),0)),0)</f>
        <v>0</v>
      </c>
      <c r="T17" s="37"/>
      <c r="U17" s="37">
        <f t="shared" si="3"/>
        <v>0</v>
      </c>
      <c r="V17" s="70">
        <f>IF(I17=0,0,INDEX(Listes!Q:V,MATCH(I17,Listes!Q:Q,1),6))</f>
        <v>7.5000000000000009</v>
      </c>
      <c r="W17" s="71">
        <f>IF(I17=0,0,IF(AND(LEFT(I17,1)="A",O17&lt;=P17),(P17-O17)*24,IF(J17&lt;=K17,(K17-J17)*24,((Listes!$H$21-J17)*24+(K17-Listes!$H$21)*24))+IF(O17&lt;=P17,(P17-O17)*24,(Listes!$H$21-O17)*24+(P17-Listes!$G$21)*24)))-X17+(U17*24)</f>
        <v>7.5000000000000009</v>
      </c>
      <c r="X17" s="70">
        <f>IFERROR(IF(IFERROR(INDEX(Listes!J:O,MATCH(L17,Listes!J:J,1),6),0)="oui",N17*24,0),0)+IFERROR(IF(IFERROR(INDEX(Listes!J:O,MATCH(Q17,Listes!J:J,1),6),0)="oui",S17*24,0),0)</f>
        <v>0</v>
      </c>
      <c r="Y17" s="70">
        <f t="shared" ca="1" si="21"/>
        <v>7.5000000000000009</v>
      </c>
      <c r="Z17" s="71">
        <f t="shared" si="19"/>
        <v>1</v>
      </c>
      <c r="AA17" s="70">
        <f t="shared" si="6"/>
        <v>0</v>
      </c>
      <c r="AB17" s="70">
        <f>IF(I17=0,0,IF(AND(J17&gt;K17,J17&gt;=Listes!$G$22),MOD(MIN(K17,Listes!$H$22)-J17,1),IF(OR(J17&gt;K17,K17&gt;=Listes!$G$22),MOD(K17-Listes!$G$22,1),IF(K17&lt;=Listes!$H$22,MOD(K17-J17,1),IF(J17&lt;=Listes!$H$22,MOD(Listes!$H$22-J17,1),0))))+IF(AND(O17&gt;P17,O17&gt;=Listes!$G$22),MOD(MIN(P17,Listes!$H$22)-O17,1),IF(OR(O17&gt;P17,P17&gt;=Listes!$G$22),MOD(P17-Listes!$G$22,1),0)))*24</f>
        <v>0</v>
      </c>
      <c r="AC17" s="71">
        <f t="shared" ca="1" si="15"/>
        <v>7.5000000000000009</v>
      </c>
      <c r="AD17" s="71">
        <f ca="1">IF(IFERROR(VLOOKUP(H17,Listes!$H$3:$H$20,1,0),0)&lt;&gt;0,W17,0)</f>
        <v>0</v>
      </c>
      <c r="AE17" s="71">
        <f t="shared" si="20"/>
        <v>0</v>
      </c>
      <c r="AF17" s="44"/>
      <c r="AG17" s="44"/>
      <c r="AH17" s="44"/>
      <c r="AI17" s="44"/>
      <c r="AJ17" s="44"/>
      <c r="AK17" s="44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79" t="str">
        <f t="shared" si="8"/>
        <v>MAT1</v>
      </c>
      <c r="BA17" s="80">
        <f t="shared" si="9"/>
        <v>0</v>
      </c>
      <c r="BB17" s="81">
        <f ca="1">AOUT!H17</f>
        <v>45515</v>
      </c>
      <c r="BC17" s="81">
        <f ca="1">AOUT!H17</f>
        <v>45515</v>
      </c>
      <c r="BD17" s="77" t="s">
        <v>81</v>
      </c>
      <c r="BE17" s="73" t="str">
        <f t="shared" si="10"/>
        <v>$jour</v>
      </c>
      <c r="BF17" s="71">
        <f t="shared" si="11"/>
        <v>0</v>
      </c>
      <c r="BG17" s="73"/>
      <c r="BH17" s="73"/>
      <c r="BI17" s="72" t="str">
        <f t="shared" si="16"/>
        <v>MAT1</v>
      </c>
      <c r="BL17" s="55" t="str" cm="1">
        <f t="array" ref="BL17">INDEX($5:$5,COLUMN($Z15)+B17-1)</f>
        <v>HG100</v>
      </c>
      <c r="BM17" s="55" cm="1">
        <f t="array" ref="BM17">IF(INDEX($4:$4,COLUMN($Z15)+B17-1)="Heures",SUMIF(C:C,BI17,AJ:AJ)*24,SUMIF(C:C,BI17,AJ:AJ))</f>
        <v>0</v>
      </c>
      <c r="BO17" s="55">
        <f t="shared" si="12"/>
        <v>0</v>
      </c>
      <c r="BS17" s="106">
        <f ca="1">VLOOKUP(_xlfn.SHEET(),Listes!$A:$B,2,0)</f>
        <v>45505</v>
      </c>
      <c r="BT17" s="106">
        <f t="shared" ca="1" si="17"/>
        <v>45505</v>
      </c>
      <c r="BU17" s="55">
        <f t="shared" si="13"/>
        <v>0</v>
      </c>
    </row>
    <row r="18" spans="1:73" ht="18" customHeight="1">
      <c r="A18" s="69" t="str">
        <f>Listes!$AD$2</f>
        <v>MANAGER</v>
      </c>
      <c r="B18" s="75">
        <f t="shared" si="18"/>
        <v>12</v>
      </c>
      <c r="C18" s="69" t="str" cm="1">
        <f t="array" ref="C18">INDEX(Listes!$Z$2:$Z$31,1+(ROW()-7)/31+INT((ROW()-7)/(31*30)))</f>
        <v>MAT1</v>
      </c>
      <c r="D18" s="69" t="str">
        <f>IFERROR(INDEX(Listes!Z:AA,MATCH(C18,Listes!Z:Z,0),2),"")</f>
        <v>Matricule 1</v>
      </c>
      <c r="E18" s="77" t="str">
        <f t="shared" ca="1" si="1"/>
        <v>août</v>
      </c>
      <c r="F18" s="120">
        <f t="shared" ca="1" si="14"/>
        <v>33</v>
      </c>
      <c r="G18" s="78" t="str">
        <f t="shared" ca="1" si="2"/>
        <v>lundi</v>
      </c>
      <c r="H18" s="78">
        <f ca="1">IF(B18=1,INDEX(Listes!F:H,MATCH(_xlfn.SHEET(),Listes!F:F,0),3),IF(TEXT(H17+1,"mmmm")&lt;&gt;TEXT(H17,"mmmm"),"",H17+1))</f>
        <v>45516</v>
      </c>
      <c r="I18" s="37" t="s">
        <v>187</v>
      </c>
      <c r="J18" s="38">
        <f>IF(OR(I18=0,LEFT(I18,1)="A"),0,INDEX(Listes!Q:V,MATCH(I18,Listes!Q:Q,0),2))</f>
        <v>0.33333333333333331</v>
      </c>
      <c r="K18" s="38">
        <f>IF(OR(I18=0,LEFT(I18,1)="A"),0,INDEX(Listes!Q:V,MATCH(I18,Listes!Q:Q,0),3))</f>
        <v>0.5</v>
      </c>
      <c r="L18" s="37"/>
      <c r="M18" s="38">
        <f>IF(L18=0,0,IF(AND(LEFT(I18,1)="M",L18&lt;&gt;0),INDEX(Listes!J:O,MATCH(L18,Listes!J:J,1),3),IF(AND(LEFT(I18,1)="N",L18&lt;&gt;0),INDEX(Listes!J:O,MATCH(L18,Listes!J:J,1),3),IF(AND(LEFT(I18,1)="A",L18&lt;&gt;0),INDEX(Listes!J:O,MATCH(L18,Listes!J:J,1),3),IF(AND(LEFT(I18,1)="J",L18&lt;&gt;0),INDEX(Listes!J:O,MATCH(L18,Listes!J:J,1),3),IF(AND(LEFT(I18,1)="T",L18&lt;&gt;0),INDEX(Listes!J:O,MATCH(L18,Listes!J:J,1),3),"horaire"))))))</f>
        <v>0</v>
      </c>
      <c r="N18" s="38">
        <f>IFERROR(IF(M18="$horaire","à compléter",IF(AND(M18="$DEMI",INDEX(Listes!J:O,MATCH(L18,Listes!J:J,1),6)="oui"),(K18-J18),0)),0)</f>
        <v>0</v>
      </c>
      <c r="O18" s="40">
        <f>IF(OR(I18=0,LEFT(I18,1)="A"),0,INDEX(Listes!Q:V,MATCH(I18,Listes!Q:Q,0),4))</f>
        <v>0.5625</v>
      </c>
      <c r="P18" s="42">
        <f>IF(OR(I18=0,LEFT(I18,1)="A"),0,INDEX(Listes!Q:V,MATCH(I18,Listes!Q:Q,0),5))</f>
        <v>0.70833333333333337</v>
      </c>
      <c r="Q18" s="37"/>
      <c r="R18" s="38">
        <f>IF(Q18=0,0,IF(AND(LEFT(I18,1)="M",Q18&lt;&gt;0),INDEX(Listes!J:O,MATCH(Q18,Listes!J:J,1),3),IF(AND(LEFT(I18,1)="N",Q18&lt;&gt;0),INDEX(Listes!J:O,MATCH(Q18,Listes!J:J,1),3),IF(AND(LEFT(I18,1)="A",Q18&lt;&gt;0),INDEX(Listes!J:O,MATCH(Q18,Listes!J:J,1),3),IF(AND(LEFT(I18,1)="J",Q18&lt;&gt;0),INDEX(Listes!J:O,MATCH(Q18,Listes!J:J,1),3),IF(AND(LEFT(I18,1)="T",Q18&lt;&gt;0),INDEX(Listes!J:O,MATCH(Q18,Listes!J:J,1),3),"horaire"))))))</f>
        <v>0</v>
      </c>
      <c r="S18" s="38">
        <f>IFERROR(IF(R18="$horaire","à compléter",IF(AND(R18="$DEMI2",INDEX(Listes!J:O,MATCH(Q18,Listes!J:J,1),6)="oui"),(P18-O18),0)),0)</f>
        <v>0</v>
      </c>
      <c r="T18" s="37"/>
      <c r="U18" s="37">
        <f t="shared" si="3"/>
        <v>0</v>
      </c>
      <c r="V18" s="70">
        <f>IF(I18=0,0,INDEX(Listes!Q:V,MATCH(I18,Listes!Q:Q,1),6))</f>
        <v>7.5000000000000009</v>
      </c>
      <c r="W18" s="71">
        <f>IF(I18=0,0,IF(AND(LEFT(I18,1)="A",O18&lt;=P18),(P18-O18)*24,IF(J18&lt;=K18,(K18-J18)*24,((Listes!$H$21-J18)*24+(K18-Listes!$H$21)*24))+IF(O18&lt;=P18,(P18-O18)*24,(Listes!$H$21-O18)*24+(P18-Listes!$G$21)*24)))-X18+(U18*24)</f>
        <v>7.5000000000000009</v>
      </c>
      <c r="X18" s="70">
        <f>IFERROR(IF(IFERROR(INDEX(Listes!J:O,MATCH(L18,Listes!J:J,1),6),0)="oui",N18*24,0),0)+IFERROR(IF(IFERROR(INDEX(Listes!J:O,MATCH(Q18,Listes!J:J,1),6),0)="oui",S18*24,0),0)</f>
        <v>0</v>
      </c>
      <c r="Y18" s="70">
        <f t="shared" ca="1" si="21"/>
        <v>0</v>
      </c>
      <c r="Z18" s="71">
        <f t="shared" si="19"/>
        <v>1</v>
      </c>
      <c r="AA18" s="70">
        <f t="shared" si="6"/>
        <v>0</v>
      </c>
      <c r="AB18" s="70">
        <f>IF(I18=0,0,IF(AND(J18&gt;K18,J18&gt;=Listes!$G$22),MOD(MIN(K18,Listes!$H$22)-J18,1),IF(OR(J18&gt;K18,K18&gt;=Listes!$G$22),MOD(K18-Listes!$G$22,1),IF(K18&lt;=Listes!$H$22,MOD(K18-J18,1),IF(J18&lt;=Listes!$H$22,MOD(Listes!$H$22-J18,1),0))))+IF(AND(O18&gt;P18,O18&gt;=Listes!$G$22),MOD(MIN(P18,Listes!$H$22)-O18,1),IF(OR(O18&gt;P18,P18&gt;=Listes!$G$22),MOD(P18-Listes!$G$22,1),0)))*24</f>
        <v>0</v>
      </c>
      <c r="AC18" s="71">
        <f t="shared" ca="1" si="15"/>
        <v>0</v>
      </c>
      <c r="AD18" s="71">
        <f ca="1">IF(IFERROR(VLOOKUP(H18,Listes!$H$3:$H$20,1,0),0)&lt;&gt;0,W18,0)</f>
        <v>0</v>
      </c>
      <c r="AE18" s="71">
        <f t="shared" si="20"/>
        <v>0</v>
      </c>
      <c r="AF18" s="44"/>
      <c r="AG18" s="44"/>
      <c r="AH18" s="44"/>
      <c r="AI18" s="44"/>
      <c r="AJ18" s="44"/>
      <c r="AK18" s="44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79" t="str">
        <f t="shared" si="8"/>
        <v>MAT1</v>
      </c>
      <c r="BA18" s="80">
        <f t="shared" si="9"/>
        <v>0</v>
      </c>
      <c r="BB18" s="81">
        <f ca="1">AOUT!H18</f>
        <v>45516</v>
      </c>
      <c r="BC18" s="81">
        <f ca="1">AOUT!H18</f>
        <v>45516</v>
      </c>
      <c r="BD18" s="77" t="s">
        <v>81</v>
      </c>
      <c r="BE18" s="73" t="str">
        <f t="shared" si="10"/>
        <v>$jour</v>
      </c>
      <c r="BF18" s="71">
        <f t="shared" si="11"/>
        <v>0</v>
      </c>
      <c r="BG18" s="73"/>
      <c r="BH18" s="73"/>
      <c r="BI18" s="72" t="str">
        <f t="shared" si="16"/>
        <v>MAT1</v>
      </c>
      <c r="BL18" s="55" t="str" cm="1">
        <f t="array" ref="BL18">INDEX($5:$5,COLUMN($Z16)+B18-1)</f>
        <v>HG150</v>
      </c>
      <c r="BM18" s="55" cm="1">
        <f t="array" ref="BM18">IF(INDEX($4:$4,COLUMN($Z16)+B18-1)="Heures",SUMIF(C:C,BI18,AK:AK)*24,SUMIF(C:C,BI18,AK:AK))</f>
        <v>0</v>
      </c>
      <c r="BO18" s="55">
        <f t="shared" si="12"/>
        <v>0</v>
      </c>
      <c r="BS18" s="106">
        <f ca="1">VLOOKUP(_xlfn.SHEET(),Listes!$A:$B,2,0)</f>
        <v>45505</v>
      </c>
      <c r="BT18" s="106">
        <f t="shared" ca="1" si="17"/>
        <v>45505</v>
      </c>
      <c r="BU18" s="55">
        <f t="shared" si="13"/>
        <v>0</v>
      </c>
    </row>
    <row r="19" spans="1:73" ht="18" customHeight="1">
      <c r="A19" s="69" t="str">
        <f>Listes!$AD$2</f>
        <v>MANAGER</v>
      </c>
      <c r="B19" s="75">
        <f t="shared" si="18"/>
        <v>13</v>
      </c>
      <c r="C19" s="69" t="str" cm="1">
        <f t="array" ref="C19">INDEX(Listes!$Z$2:$Z$31,1+(ROW()-7)/31+INT((ROW()-7)/(31*30)))</f>
        <v>MAT1</v>
      </c>
      <c r="D19" s="69" t="str">
        <f>IFERROR(INDEX(Listes!Z:AA,MATCH(C19,Listes!Z:Z,0),2),"")</f>
        <v>Matricule 1</v>
      </c>
      <c r="E19" s="77" t="str">
        <f t="shared" ca="1" si="1"/>
        <v>août</v>
      </c>
      <c r="F19" s="120">
        <f t="shared" ca="1" si="14"/>
        <v>33</v>
      </c>
      <c r="G19" s="78" t="str">
        <f t="shared" ca="1" si="2"/>
        <v>mardi</v>
      </c>
      <c r="H19" s="78">
        <f ca="1">IF(B19=1,INDEX(Listes!F:H,MATCH(_xlfn.SHEET(),Listes!F:F,0),3),IF(TEXT(H18+1,"mmmm")&lt;&gt;TEXT(H18,"mmmm"),"",H18+1))</f>
        <v>45517</v>
      </c>
      <c r="I19" s="37" t="s">
        <v>187</v>
      </c>
      <c r="J19" s="38">
        <f>IF(OR(I19=0,LEFT(I19,1)="A"),0,INDEX(Listes!Q:V,MATCH(I19,Listes!Q:Q,0),2))</f>
        <v>0.33333333333333331</v>
      </c>
      <c r="K19" s="38">
        <f>IF(OR(I19=0,LEFT(I19,1)="A"),0,INDEX(Listes!Q:V,MATCH(I19,Listes!Q:Q,0),3))</f>
        <v>0.5</v>
      </c>
      <c r="L19" s="37"/>
      <c r="M19" s="38">
        <f>IF(L19=0,0,IF(AND(LEFT(I19,1)="M",L19&lt;&gt;0),INDEX(Listes!J:O,MATCH(L19,Listes!J:J,1),3),IF(AND(LEFT(I19,1)="N",L19&lt;&gt;0),INDEX(Listes!J:O,MATCH(L19,Listes!J:J,1),3),IF(AND(LEFT(I19,1)="A",L19&lt;&gt;0),INDEX(Listes!J:O,MATCH(L19,Listes!J:J,1),3),IF(AND(LEFT(I19,1)="J",L19&lt;&gt;0),INDEX(Listes!J:O,MATCH(L19,Listes!J:J,1),3),IF(AND(LEFT(I19,1)="T",L19&lt;&gt;0),INDEX(Listes!J:O,MATCH(L19,Listes!J:J,1),3),"horaire"))))))</f>
        <v>0</v>
      </c>
      <c r="N19" s="38">
        <f>IFERROR(IF(M19="$horaire","à compléter",IF(AND(M19="$DEMI",INDEX(Listes!J:O,MATCH(L19,Listes!J:J,1),6)="oui"),(K19-J19),0)),0)</f>
        <v>0</v>
      </c>
      <c r="O19" s="40">
        <f>IF(OR(I19=0,LEFT(I19,1)="A"),0,INDEX(Listes!Q:V,MATCH(I19,Listes!Q:Q,0),4))</f>
        <v>0.5625</v>
      </c>
      <c r="P19" s="42">
        <f>IF(OR(I19=0,LEFT(I19,1)="A"),0,INDEX(Listes!Q:V,MATCH(I19,Listes!Q:Q,0),5))</f>
        <v>0.70833333333333337</v>
      </c>
      <c r="Q19" s="37"/>
      <c r="R19" s="38">
        <f>IF(Q19=0,0,IF(AND(LEFT(I19,1)="M",Q19&lt;&gt;0),INDEX(Listes!J:O,MATCH(Q19,Listes!J:J,1),3),IF(AND(LEFT(I19,1)="N",Q19&lt;&gt;0),INDEX(Listes!J:O,MATCH(Q19,Listes!J:J,1),3),IF(AND(LEFT(I19,1)="A",Q19&lt;&gt;0),INDEX(Listes!J:O,MATCH(Q19,Listes!J:J,1),3),IF(AND(LEFT(I19,1)="J",Q19&lt;&gt;0),INDEX(Listes!J:O,MATCH(Q19,Listes!J:J,1),3),IF(AND(LEFT(I19,1)="T",Q19&lt;&gt;0),INDEX(Listes!J:O,MATCH(Q19,Listes!J:J,1),3),"horaire"))))))</f>
        <v>0</v>
      </c>
      <c r="S19" s="38">
        <f>IFERROR(IF(R19="$horaire","à compléter",IF(AND(R19="$DEMI2",INDEX(Listes!J:O,MATCH(Q19,Listes!J:J,1),6)="oui"),(P19-O19),0)),0)</f>
        <v>0</v>
      </c>
      <c r="T19" s="37"/>
      <c r="U19" s="37">
        <f t="shared" si="3"/>
        <v>0</v>
      </c>
      <c r="V19" s="70">
        <f>IF(I19=0,0,INDEX(Listes!Q:V,MATCH(I19,Listes!Q:Q,1),6))</f>
        <v>7.5000000000000009</v>
      </c>
      <c r="W19" s="71">
        <f>IF(I19=0,0,IF(AND(LEFT(I19,1)="A",O19&lt;=P19),(P19-O19)*24,IF(J19&lt;=K19,(K19-J19)*24,((Listes!$H$21-J19)*24+(K19-Listes!$H$21)*24))+IF(O19&lt;=P19,(P19-O19)*24,(Listes!$H$21-O19)*24+(P19-Listes!$G$21)*24)))-X19+(U19*24)</f>
        <v>7.5000000000000009</v>
      </c>
      <c r="X19" s="70">
        <f>IFERROR(IF(IFERROR(INDEX(Listes!J:O,MATCH(L19,Listes!J:J,1),6),0)="oui",N19*24,0),0)+IFERROR(IF(IFERROR(INDEX(Listes!J:O,MATCH(Q19,Listes!J:J,1),6),0)="oui",S19*24,0),0)</f>
        <v>0</v>
      </c>
      <c r="Y19" s="70">
        <f t="shared" ca="1" si="21"/>
        <v>0</v>
      </c>
      <c r="Z19" s="71">
        <f t="shared" si="19"/>
        <v>1</v>
      </c>
      <c r="AA19" s="70">
        <f t="shared" si="6"/>
        <v>0</v>
      </c>
      <c r="AB19" s="70">
        <f>IF(I19=0,0,IF(AND(J19&gt;K19,J19&gt;=Listes!$G$22),MOD(MIN(K19,Listes!$H$22)-J19,1),IF(OR(J19&gt;K19,K19&gt;=Listes!$G$22),MOD(K19-Listes!$G$22,1),IF(K19&lt;=Listes!$H$22,MOD(K19-J19,1),IF(J19&lt;=Listes!$H$22,MOD(Listes!$H$22-J19,1),0))))+IF(AND(O19&gt;P19,O19&gt;=Listes!$G$22),MOD(MIN(P19,Listes!$H$22)-O19,1),IF(OR(O19&gt;P19,P19&gt;=Listes!$G$22),MOD(P19-Listes!$G$22,1),0)))*24</f>
        <v>0</v>
      </c>
      <c r="AC19" s="71">
        <f t="shared" ca="1" si="15"/>
        <v>0</v>
      </c>
      <c r="AD19" s="71">
        <f ca="1">IF(IFERROR(VLOOKUP(H19,Listes!$H$3:$H$20,1,0),0)&lt;&gt;0,W19,0)</f>
        <v>0</v>
      </c>
      <c r="AE19" s="71">
        <f t="shared" si="20"/>
        <v>0</v>
      </c>
      <c r="AF19" s="44"/>
      <c r="AG19" s="44"/>
      <c r="AH19" s="44"/>
      <c r="AI19" s="44"/>
      <c r="AJ19" s="44"/>
      <c r="AK19" s="44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79" t="str">
        <f t="shared" si="8"/>
        <v>MAT1</v>
      </c>
      <c r="BA19" s="80">
        <f t="shared" si="9"/>
        <v>0</v>
      </c>
      <c r="BB19" s="81">
        <f ca="1">AOUT!H19</f>
        <v>45517</v>
      </c>
      <c r="BC19" s="81">
        <f ca="1">AOUT!H19</f>
        <v>45517</v>
      </c>
      <c r="BD19" s="77" t="s">
        <v>81</v>
      </c>
      <c r="BE19" s="73" t="str">
        <f t="shared" si="10"/>
        <v>$jour</v>
      </c>
      <c r="BF19" s="71">
        <f t="shared" si="11"/>
        <v>0</v>
      </c>
      <c r="BG19" s="73"/>
      <c r="BH19" s="73"/>
      <c r="BI19" s="72" t="str">
        <f t="shared" si="16"/>
        <v>MAT1</v>
      </c>
      <c r="BL19" s="55" cm="1">
        <f t="array" ref="BL19">INDEX($5:$5,COLUMN($Z17)+B19-1)</f>
        <v>3</v>
      </c>
      <c r="BM19" s="55" cm="1">
        <f t="array" ref="BM19">IF(INDEX($4:$4,COLUMN($Z17)+B19-1)="Heures",SUMIF(C:C,BI19,AL:AL)*24,SUMIF(C:C,BI19,AL:AL))</f>
        <v>0</v>
      </c>
      <c r="BO19" s="55">
        <f t="shared" si="12"/>
        <v>0</v>
      </c>
      <c r="BS19" s="106">
        <f ca="1">VLOOKUP(_xlfn.SHEET(),Listes!$A:$B,2,0)</f>
        <v>45505</v>
      </c>
      <c r="BT19" s="106">
        <f t="shared" ca="1" si="17"/>
        <v>45505</v>
      </c>
      <c r="BU19" s="55">
        <f t="shared" si="13"/>
        <v>0</v>
      </c>
    </row>
    <row r="20" spans="1:73" ht="18" customHeight="1">
      <c r="A20" s="69" t="str">
        <f>Listes!$AD$2</f>
        <v>MANAGER</v>
      </c>
      <c r="B20" s="75">
        <f t="shared" si="18"/>
        <v>14</v>
      </c>
      <c r="C20" s="69" t="str" cm="1">
        <f t="array" ref="C20">INDEX(Listes!$Z$2:$Z$31,1+(ROW()-7)/31+INT((ROW()-7)/(31*30)))</f>
        <v>MAT1</v>
      </c>
      <c r="D20" s="69" t="str">
        <f>IFERROR(INDEX(Listes!Z:AA,MATCH(C20,Listes!Z:Z,0),2),"")</f>
        <v>Matricule 1</v>
      </c>
      <c r="E20" s="77" t="str">
        <f t="shared" ca="1" si="1"/>
        <v>août</v>
      </c>
      <c r="F20" s="120">
        <f t="shared" ca="1" si="14"/>
        <v>33</v>
      </c>
      <c r="G20" s="78" t="str">
        <f t="shared" ca="1" si="2"/>
        <v>mercredi</v>
      </c>
      <c r="H20" s="78">
        <f ca="1">IF(B20=1,INDEX(Listes!F:H,MATCH(_xlfn.SHEET(),Listes!F:F,0),3),IF(TEXT(H19+1,"mmmm")&lt;&gt;TEXT(H19,"mmmm"),"",H19+1))</f>
        <v>45518</v>
      </c>
      <c r="I20" s="37" t="s">
        <v>187</v>
      </c>
      <c r="J20" s="38">
        <f>IF(OR(I20=0,LEFT(I20,1)="A"),0,INDEX(Listes!Q:V,MATCH(I20,Listes!Q:Q,0),2))</f>
        <v>0.33333333333333331</v>
      </c>
      <c r="K20" s="38">
        <f>IF(OR(I20=0,LEFT(I20,1)="A"),0,INDEX(Listes!Q:V,MATCH(I20,Listes!Q:Q,0),3))</f>
        <v>0.5</v>
      </c>
      <c r="L20" s="37"/>
      <c r="M20" s="38">
        <f>IF(L20=0,0,IF(AND(LEFT(I20,1)="M",L20&lt;&gt;0),INDEX(Listes!J:O,MATCH(L20,Listes!J:J,1),3),IF(AND(LEFT(I20,1)="N",L20&lt;&gt;0),INDEX(Listes!J:O,MATCH(L20,Listes!J:J,1),3),IF(AND(LEFT(I20,1)="A",L20&lt;&gt;0),INDEX(Listes!J:O,MATCH(L20,Listes!J:J,1),3),IF(AND(LEFT(I20,1)="J",L20&lt;&gt;0),INDEX(Listes!J:O,MATCH(L20,Listes!J:J,1),3),IF(AND(LEFT(I20,1)="T",L20&lt;&gt;0),INDEX(Listes!J:O,MATCH(L20,Listes!J:J,1),3),"horaire"))))))</f>
        <v>0</v>
      </c>
      <c r="N20" s="38">
        <f>IFERROR(IF(M20="$horaire","à compléter",IF(AND(M20="$DEMI",INDEX(Listes!J:O,MATCH(L20,Listes!J:J,1),6)="oui"),(K20-J20),0)),0)</f>
        <v>0</v>
      </c>
      <c r="O20" s="40">
        <f>IF(OR(I20=0,LEFT(I20,1)="A"),0,INDEX(Listes!Q:V,MATCH(I20,Listes!Q:Q,0),4))</f>
        <v>0.5625</v>
      </c>
      <c r="P20" s="42">
        <f>IF(OR(I20=0,LEFT(I20,1)="A"),0,INDEX(Listes!Q:V,MATCH(I20,Listes!Q:Q,0),5))</f>
        <v>0.70833333333333337</v>
      </c>
      <c r="Q20" s="37"/>
      <c r="R20" s="38">
        <f>IF(Q20=0,0,IF(AND(LEFT(I20,1)="M",Q20&lt;&gt;0),INDEX(Listes!J:O,MATCH(Q20,Listes!J:J,1),3),IF(AND(LEFT(I20,1)="N",Q20&lt;&gt;0),INDEX(Listes!J:O,MATCH(Q20,Listes!J:J,1),3),IF(AND(LEFT(I20,1)="A",Q20&lt;&gt;0),INDEX(Listes!J:O,MATCH(Q20,Listes!J:J,1),3),IF(AND(LEFT(I20,1)="J",Q20&lt;&gt;0),INDEX(Listes!J:O,MATCH(Q20,Listes!J:J,1),3),IF(AND(LEFT(I20,1)="T",Q20&lt;&gt;0),INDEX(Listes!J:O,MATCH(Q20,Listes!J:J,1),3),"horaire"))))))</f>
        <v>0</v>
      </c>
      <c r="S20" s="38">
        <f>IFERROR(IF(R20="$horaire","à compléter",IF(AND(R20="$DEMI2",INDEX(Listes!J:O,MATCH(Q20,Listes!J:J,1),6)="oui"),(P20-O20),0)),0)</f>
        <v>0</v>
      </c>
      <c r="T20" s="37"/>
      <c r="U20" s="37">
        <f t="shared" si="3"/>
        <v>0</v>
      </c>
      <c r="V20" s="70">
        <f>IF(I20=0,0,INDEX(Listes!Q:V,MATCH(I20,Listes!Q:Q,1),6))</f>
        <v>7.5000000000000009</v>
      </c>
      <c r="W20" s="71">
        <f>IF(I20=0,0,IF(AND(LEFT(I20,1)="A",O20&lt;=P20),(P20-O20)*24,IF(J20&lt;=K20,(K20-J20)*24,((Listes!$H$21-J20)*24+(K20-Listes!$H$21)*24))+IF(O20&lt;=P20,(P20-O20)*24,(Listes!$H$21-O20)*24+(P20-Listes!$G$21)*24)))-X20+(U20*24)</f>
        <v>7.5000000000000009</v>
      </c>
      <c r="X20" s="70">
        <f>IFERROR(IF(IFERROR(INDEX(Listes!J:O,MATCH(L20,Listes!J:J,1),6),0)="oui",N20*24,0),0)+IFERROR(IF(IFERROR(INDEX(Listes!J:O,MATCH(Q20,Listes!J:J,1),6),0)="oui",S20*24,0),0)</f>
        <v>0</v>
      </c>
      <c r="Y20" s="70">
        <f t="shared" ca="1" si="21"/>
        <v>0</v>
      </c>
      <c r="Z20" s="71">
        <f t="shared" si="19"/>
        <v>1</v>
      </c>
      <c r="AA20" s="70">
        <f t="shared" si="6"/>
        <v>0</v>
      </c>
      <c r="AB20" s="70">
        <f>IF(I20=0,0,IF(AND(J20&gt;K20,J20&gt;=Listes!$G$22),MOD(MIN(K20,Listes!$H$22)-J20,1),IF(OR(J20&gt;K20,K20&gt;=Listes!$G$22),MOD(K20-Listes!$G$22,1),IF(K20&lt;=Listes!$H$22,MOD(K20-J20,1),IF(J20&lt;=Listes!$H$22,MOD(Listes!$H$22-J20,1),0))))+IF(AND(O20&gt;P20,O20&gt;=Listes!$G$22),MOD(MIN(P20,Listes!$H$22)-O20,1),IF(OR(O20&gt;P20,P20&gt;=Listes!$G$22),MOD(P20-Listes!$G$22,1),0)))*24</f>
        <v>0</v>
      </c>
      <c r="AC20" s="71">
        <f t="shared" ca="1" si="15"/>
        <v>0</v>
      </c>
      <c r="AD20" s="71">
        <f ca="1">IF(IFERROR(VLOOKUP(H20,Listes!$H$3:$H$20,1,0),0)&lt;&gt;0,W20,0)</f>
        <v>0</v>
      </c>
      <c r="AE20" s="71">
        <f t="shared" si="20"/>
        <v>0</v>
      </c>
      <c r="AF20" s="44"/>
      <c r="AG20" s="44"/>
      <c r="AH20" s="44"/>
      <c r="AI20" s="44"/>
      <c r="AJ20" s="44"/>
      <c r="AK20" s="44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79" t="str">
        <f t="shared" si="8"/>
        <v>MAT1</v>
      </c>
      <c r="BA20" s="80">
        <f t="shared" si="9"/>
        <v>0</v>
      </c>
      <c r="BB20" s="81">
        <f ca="1">AOUT!H20</f>
        <v>45518</v>
      </c>
      <c r="BC20" s="81">
        <f ca="1">AOUT!H20</f>
        <v>45518</v>
      </c>
      <c r="BD20" s="77" t="s">
        <v>81</v>
      </c>
      <c r="BE20" s="73" t="str">
        <f t="shared" si="10"/>
        <v>$jour</v>
      </c>
      <c r="BF20" s="71">
        <f t="shared" si="11"/>
        <v>0</v>
      </c>
      <c r="BG20" s="73"/>
      <c r="BH20" s="73"/>
      <c r="BI20" s="72" t="str">
        <f t="shared" si="16"/>
        <v>MAT1</v>
      </c>
      <c r="BL20" s="55" cm="1">
        <f t="array" ref="BL20">INDEX($5:$5,COLUMN($Z18)+B20-1)</f>
        <v>4</v>
      </c>
      <c r="BM20" s="55" cm="1">
        <f t="array" ref="BM20">IF(INDEX($4:$4,COLUMN($Z18)+B20-1)="Heures",SUMIF(C:C,BI20,AM:AM)*24,SUMIF(C:C,BI20,AM:AM))</f>
        <v>0</v>
      </c>
      <c r="BO20" s="55">
        <f t="shared" si="12"/>
        <v>0</v>
      </c>
      <c r="BS20" s="106">
        <f ca="1">VLOOKUP(_xlfn.SHEET(),Listes!$A:$B,2,0)</f>
        <v>45505</v>
      </c>
      <c r="BT20" s="106">
        <f t="shared" ca="1" si="17"/>
        <v>45505</v>
      </c>
      <c r="BU20" s="55">
        <f t="shared" si="13"/>
        <v>0</v>
      </c>
    </row>
    <row r="21" spans="1:73" ht="18" customHeight="1">
      <c r="A21" s="69" t="str">
        <f>Listes!$AD$2</f>
        <v>MANAGER</v>
      </c>
      <c r="B21" s="75">
        <f t="shared" si="18"/>
        <v>15</v>
      </c>
      <c r="C21" s="69" t="str" cm="1">
        <f t="array" ref="C21">INDEX(Listes!$Z$2:$Z$31,1+(ROW()-7)/31+INT((ROW()-7)/(31*30)))</f>
        <v>MAT1</v>
      </c>
      <c r="D21" s="69" t="str">
        <f>IFERROR(INDEX(Listes!Z:AA,MATCH(C21,Listes!Z:Z,0),2),"")</f>
        <v>Matricule 1</v>
      </c>
      <c r="E21" s="77" t="str">
        <f t="shared" ca="1" si="1"/>
        <v>août</v>
      </c>
      <c r="F21" s="120">
        <f t="shared" ca="1" si="14"/>
        <v>33</v>
      </c>
      <c r="G21" s="78" t="str">
        <f t="shared" ca="1" si="2"/>
        <v>jeudi</v>
      </c>
      <c r="H21" s="78">
        <f ca="1">IF(B21=1,INDEX(Listes!F:H,MATCH(_xlfn.SHEET(),Listes!F:F,0),3),IF(TEXT(H20+1,"mmmm")&lt;&gt;TEXT(H20,"mmmm"),"",H20+1))</f>
        <v>45519</v>
      </c>
      <c r="I21" s="37" t="s">
        <v>187</v>
      </c>
      <c r="J21" s="38">
        <f>IF(OR(I21=0,LEFT(I21,1)="A"),0,INDEX(Listes!Q:V,MATCH(I21,Listes!Q:Q,0),2))</f>
        <v>0.33333333333333331</v>
      </c>
      <c r="K21" s="38">
        <f>IF(OR(I21=0,LEFT(I21,1)="A"),0,INDEX(Listes!Q:V,MATCH(I21,Listes!Q:Q,0),3))</f>
        <v>0.5</v>
      </c>
      <c r="L21" s="37"/>
      <c r="M21" s="38">
        <f>IF(L21=0,0,IF(AND(LEFT(I21,1)="M",L21&lt;&gt;0),INDEX(Listes!J:O,MATCH(L21,Listes!J:J,1),3),IF(AND(LEFT(I21,1)="N",L21&lt;&gt;0),INDEX(Listes!J:O,MATCH(L21,Listes!J:J,1),3),IF(AND(LEFT(I21,1)="A",L21&lt;&gt;0),INDEX(Listes!J:O,MATCH(L21,Listes!J:J,1),3),IF(AND(LEFT(I21,1)="J",L21&lt;&gt;0),INDEX(Listes!J:O,MATCH(L21,Listes!J:J,1),3),IF(AND(LEFT(I21,1)="T",L21&lt;&gt;0),INDEX(Listes!J:O,MATCH(L21,Listes!J:J,1),3),"horaire"))))))</f>
        <v>0</v>
      </c>
      <c r="N21" s="38">
        <f>IFERROR(IF(M21="$horaire","à compléter",IF(AND(M21="$DEMI",INDEX(Listes!J:O,MATCH(L21,Listes!J:J,1),6)="oui"),(K21-J21),0)),0)</f>
        <v>0</v>
      </c>
      <c r="O21" s="40">
        <f>IF(OR(I21=0,LEFT(I21,1)="A"),0,INDEX(Listes!Q:V,MATCH(I21,Listes!Q:Q,0),4))</f>
        <v>0.5625</v>
      </c>
      <c r="P21" s="42">
        <f>IF(OR(I21=0,LEFT(I21,1)="A"),0,INDEX(Listes!Q:V,MATCH(I21,Listes!Q:Q,0),5))</f>
        <v>0.70833333333333337</v>
      </c>
      <c r="Q21" s="37"/>
      <c r="R21" s="38">
        <f>IF(Q21=0,0,IF(AND(LEFT(I21,1)="M",Q21&lt;&gt;0),INDEX(Listes!J:O,MATCH(Q21,Listes!J:J,1),3),IF(AND(LEFT(I21,1)="N",Q21&lt;&gt;0),INDEX(Listes!J:O,MATCH(Q21,Listes!J:J,1),3),IF(AND(LEFT(I21,1)="A",Q21&lt;&gt;0),INDEX(Listes!J:O,MATCH(Q21,Listes!J:J,1),3),IF(AND(LEFT(I21,1)="J",Q21&lt;&gt;0),INDEX(Listes!J:O,MATCH(Q21,Listes!J:J,1),3),IF(AND(LEFT(I21,1)="T",Q21&lt;&gt;0),INDEX(Listes!J:O,MATCH(Q21,Listes!J:J,1),3),"horaire"))))))</f>
        <v>0</v>
      </c>
      <c r="S21" s="38">
        <f>IFERROR(IF(R21="$horaire","à compléter",IF(AND(R21="$DEMI2",INDEX(Listes!J:O,MATCH(Q21,Listes!J:J,1),6)="oui"),(P21-O21),0)),0)</f>
        <v>0</v>
      </c>
      <c r="T21" s="37"/>
      <c r="U21" s="37">
        <f t="shared" si="3"/>
        <v>0</v>
      </c>
      <c r="V21" s="70">
        <f>IF(I21=0,0,INDEX(Listes!Q:V,MATCH(I21,Listes!Q:Q,1),6))</f>
        <v>7.5000000000000009</v>
      </c>
      <c r="W21" s="71">
        <f>IF(I21=0,0,IF(AND(LEFT(I21,1)="A",O21&lt;=P21),(P21-O21)*24,IF(J21&lt;=K21,(K21-J21)*24,((Listes!$H$21-J21)*24+(K21-Listes!$H$21)*24))+IF(O21&lt;=P21,(P21-O21)*24,(Listes!$H$21-O21)*24+(P21-Listes!$G$21)*24)))-X21+(U21*24)</f>
        <v>7.5000000000000009</v>
      </c>
      <c r="X21" s="70">
        <f>IFERROR(IF(IFERROR(INDEX(Listes!J:O,MATCH(L21,Listes!J:J,1),6),0)="oui",N21*24,0),0)+IFERROR(IF(IFERROR(INDEX(Listes!J:O,MATCH(Q21,Listes!J:J,1),6),0)="oui",S21*24,0),0)</f>
        <v>0</v>
      </c>
      <c r="Y21" s="70">
        <f t="shared" ca="1" si="21"/>
        <v>0</v>
      </c>
      <c r="Z21" s="71">
        <f t="shared" si="19"/>
        <v>1</v>
      </c>
      <c r="AA21" s="70">
        <f t="shared" si="6"/>
        <v>0</v>
      </c>
      <c r="AB21" s="70">
        <f>IF(I21=0,0,IF(AND(J21&gt;K21,J21&gt;=Listes!$G$22),MOD(MIN(K21,Listes!$H$22)-J21,1),IF(OR(J21&gt;K21,K21&gt;=Listes!$G$22),MOD(K21-Listes!$G$22,1),IF(K21&lt;=Listes!$H$22,MOD(K21-J21,1),IF(J21&lt;=Listes!$H$22,MOD(Listes!$H$22-J21,1),0))))+IF(AND(O21&gt;P21,O21&gt;=Listes!$G$22),MOD(MIN(P21,Listes!$H$22)-O21,1),IF(OR(O21&gt;P21,P21&gt;=Listes!$G$22),MOD(P21-Listes!$G$22,1),0)))*24</f>
        <v>0</v>
      </c>
      <c r="AC21" s="71">
        <f t="shared" ca="1" si="15"/>
        <v>0</v>
      </c>
      <c r="AD21" s="71">
        <f ca="1">IF(IFERROR(VLOOKUP(H21,Listes!$H$3:$H$20,1,0),0)&lt;&gt;0,W21,0)</f>
        <v>7.5000000000000009</v>
      </c>
      <c r="AE21" s="71">
        <f t="shared" si="20"/>
        <v>0</v>
      </c>
      <c r="AF21" s="44"/>
      <c r="AG21" s="44"/>
      <c r="AH21" s="44"/>
      <c r="AI21" s="44"/>
      <c r="AJ21" s="44"/>
      <c r="AK21" s="44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79" t="str">
        <f t="shared" si="8"/>
        <v>MAT1</v>
      </c>
      <c r="BA21" s="80">
        <f t="shared" si="9"/>
        <v>0</v>
      </c>
      <c r="BB21" s="81">
        <f ca="1">AOUT!H21</f>
        <v>45519</v>
      </c>
      <c r="BC21" s="81">
        <f ca="1">AOUT!H21</f>
        <v>45519</v>
      </c>
      <c r="BD21" s="77" t="s">
        <v>81</v>
      </c>
      <c r="BE21" s="73" t="str">
        <f t="shared" si="10"/>
        <v>$jour</v>
      </c>
      <c r="BF21" s="71">
        <f t="shared" si="11"/>
        <v>0</v>
      </c>
      <c r="BG21" s="73"/>
      <c r="BH21" s="73"/>
      <c r="BI21" s="72" t="str">
        <f t="shared" si="16"/>
        <v>MAT1</v>
      </c>
      <c r="BL21" s="55" cm="1">
        <f t="array" ref="BL21">INDEX($5:$5,COLUMN($Z19)+B21-1)</f>
        <v>5</v>
      </c>
      <c r="BM21" s="55" cm="1">
        <f t="array" ref="BM21">IF(INDEX($4:$4,COLUMN($Z19)+B21-1)="Heures",SUMIF(C:C,BI21,AN:AN)*24,SUMIF(C:C,BI21,AN:AN))</f>
        <v>0</v>
      </c>
      <c r="BO21" s="55">
        <f t="shared" si="12"/>
        <v>0</v>
      </c>
      <c r="BS21" s="106">
        <f ca="1">VLOOKUP(_xlfn.SHEET(),Listes!$A:$B,2,0)</f>
        <v>45505</v>
      </c>
      <c r="BT21" s="106">
        <f t="shared" ca="1" si="17"/>
        <v>45505</v>
      </c>
      <c r="BU21" s="55">
        <f t="shared" si="13"/>
        <v>0</v>
      </c>
    </row>
    <row r="22" spans="1:73" ht="18" customHeight="1">
      <c r="A22" s="69" t="str">
        <f>Listes!$AD$2</f>
        <v>MANAGER</v>
      </c>
      <c r="B22" s="75">
        <f t="shared" si="18"/>
        <v>16</v>
      </c>
      <c r="C22" s="69" t="str" cm="1">
        <f t="array" ref="C22">INDEX(Listes!$Z$2:$Z$31,1+(ROW()-7)/31+INT((ROW()-7)/(31*30)))</f>
        <v>MAT1</v>
      </c>
      <c r="D22" s="69" t="str">
        <f>IFERROR(INDEX(Listes!Z:AA,MATCH(C22,Listes!Z:Z,0),2),"")</f>
        <v>Matricule 1</v>
      </c>
      <c r="E22" s="77" t="str">
        <f t="shared" ca="1" si="1"/>
        <v>août</v>
      </c>
      <c r="F22" s="120">
        <f t="shared" ca="1" si="14"/>
        <v>33</v>
      </c>
      <c r="G22" s="78" t="str">
        <f t="shared" ca="1" si="2"/>
        <v>vendredi</v>
      </c>
      <c r="H22" s="78">
        <f ca="1">IF(B22=1,INDEX(Listes!F:H,MATCH(_xlfn.SHEET(),Listes!F:F,0),3),IF(TEXT(H21+1,"mmmm")&lt;&gt;TEXT(H21,"mmmm"),"",H21+1))</f>
        <v>45520</v>
      </c>
      <c r="I22" s="37" t="s">
        <v>187</v>
      </c>
      <c r="J22" s="38">
        <f>IF(OR(I22=0,LEFT(I22,1)="A"),0,INDEX(Listes!Q:V,MATCH(I22,Listes!Q:Q,0),2))</f>
        <v>0.33333333333333331</v>
      </c>
      <c r="K22" s="38">
        <f>IF(OR(I22=0,LEFT(I22,1)="A"),0,INDEX(Listes!Q:V,MATCH(I22,Listes!Q:Q,0),3))</f>
        <v>0.5</v>
      </c>
      <c r="L22" s="37"/>
      <c r="M22" s="38">
        <f>IF(L22=0,0,IF(AND(LEFT(I22,1)="M",L22&lt;&gt;0),INDEX(Listes!J:O,MATCH(L22,Listes!J:J,1),3),IF(AND(LEFT(I22,1)="N",L22&lt;&gt;0),INDEX(Listes!J:O,MATCH(L22,Listes!J:J,1),3),IF(AND(LEFT(I22,1)="A",L22&lt;&gt;0),INDEX(Listes!J:O,MATCH(L22,Listes!J:J,1),3),IF(AND(LEFT(I22,1)="J",L22&lt;&gt;0),INDEX(Listes!J:O,MATCH(L22,Listes!J:J,1),3),IF(AND(LEFT(I22,1)="T",L22&lt;&gt;0),INDEX(Listes!J:O,MATCH(L22,Listes!J:J,1),3),"horaire"))))))</f>
        <v>0</v>
      </c>
      <c r="N22" s="38">
        <f>IFERROR(IF(M22="$horaire","à compléter",IF(AND(M22="$DEMI",INDEX(Listes!J:O,MATCH(L22,Listes!J:J,1),6)="oui"),(K22-J22),0)),0)</f>
        <v>0</v>
      </c>
      <c r="O22" s="40">
        <f>IF(OR(I22=0,LEFT(I22,1)="A"),0,INDEX(Listes!Q:V,MATCH(I22,Listes!Q:Q,0),4))</f>
        <v>0.5625</v>
      </c>
      <c r="P22" s="42">
        <f>IF(OR(I22=0,LEFT(I22,1)="A"),0,INDEX(Listes!Q:V,MATCH(I22,Listes!Q:Q,0),5))</f>
        <v>0.70833333333333337</v>
      </c>
      <c r="Q22" s="37"/>
      <c r="R22" s="38">
        <f>IF(Q22=0,0,IF(AND(LEFT(I22,1)="M",Q22&lt;&gt;0),INDEX(Listes!J:O,MATCH(Q22,Listes!J:J,1),3),IF(AND(LEFT(I22,1)="N",Q22&lt;&gt;0),INDEX(Listes!J:O,MATCH(Q22,Listes!J:J,1),3),IF(AND(LEFT(I22,1)="A",Q22&lt;&gt;0),INDEX(Listes!J:O,MATCH(Q22,Listes!J:J,1),3),IF(AND(LEFT(I22,1)="J",Q22&lt;&gt;0),INDEX(Listes!J:O,MATCH(Q22,Listes!J:J,1),3),IF(AND(LEFT(I22,1)="T",Q22&lt;&gt;0),INDEX(Listes!J:O,MATCH(Q22,Listes!J:J,1),3),"horaire"))))))</f>
        <v>0</v>
      </c>
      <c r="S22" s="38">
        <f>IFERROR(IF(R22="$horaire","à compléter",IF(AND(R22="$DEMI2",INDEX(Listes!J:O,MATCH(Q22,Listes!J:J,1),6)="oui"),(P22-O22),0)),0)</f>
        <v>0</v>
      </c>
      <c r="T22" s="37"/>
      <c r="U22" s="37">
        <f t="shared" si="3"/>
        <v>0</v>
      </c>
      <c r="V22" s="70">
        <f>IF(I22=0,0,INDEX(Listes!Q:V,MATCH(I22,Listes!Q:Q,1),6))</f>
        <v>7.5000000000000009</v>
      </c>
      <c r="W22" s="71">
        <f>IF(I22=0,0,IF(AND(LEFT(I22,1)="A",O22&lt;=P22),(P22-O22)*24,IF(J22&lt;=K22,(K22-J22)*24,((Listes!$H$21-J22)*24+(K22-Listes!$H$21)*24))+IF(O22&lt;=P22,(P22-O22)*24,(Listes!$H$21-O22)*24+(P22-Listes!$G$21)*24)))-X22+(U22*24)</f>
        <v>7.5000000000000009</v>
      </c>
      <c r="X22" s="70">
        <f>IFERROR(IF(IFERROR(INDEX(Listes!J:O,MATCH(L22,Listes!J:J,1),6),0)="oui",N22*24,0),0)+IFERROR(IF(IFERROR(INDEX(Listes!J:O,MATCH(Q22,Listes!J:J,1),6),0)="oui",S22*24,0),0)</f>
        <v>0</v>
      </c>
      <c r="Y22" s="70">
        <f t="shared" ca="1" si="21"/>
        <v>0</v>
      </c>
      <c r="Z22" s="71">
        <f t="shared" si="19"/>
        <v>1</v>
      </c>
      <c r="AA22" s="70">
        <f t="shared" si="6"/>
        <v>0</v>
      </c>
      <c r="AB22" s="70">
        <f>IF(I22=0,0,IF(AND(J22&gt;K22,J22&gt;=Listes!$G$22),MOD(MIN(K22,Listes!$H$22)-J22,1),IF(OR(J22&gt;K22,K22&gt;=Listes!$G$22),MOD(K22-Listes!$G$22,1),IF(K22&lt;=Listes!$H$22,MOD(K22-J22,1),IF(J22&lt;=Listes!$H$22,MOD(Listes!$H$22-J22,1),0))))+IF(AND(O22&gt;P22,O22&gt;=Listes!$G$22),MOD(MIN(P22,Listes!$H$22)-O22,1),IF(OR(O22&gt;P22,P22&gt;=Listes!$G$22),MOD(P22-Listes!$G$22,1),0)))*24</f>
        <v>0</v>
      </c>
      <c r="AC22" s="71">
        <f t="shared" ca="1" si="15"/>
        <v>0</v>
      </c>
      <c r="AD22" s="71">
        <f ca="1">IF(IFERROR(VLOOKUP(H22,Listes!$H$3:$H$20,1,0),0)&lt;&gt;0,W22,0)</f>
        <v>0</v>
      </c>
      <c r="AE22" s="71">
        <f t="shared" si="20"/>
        <v>0</v>
      </c>
      <c r="AF22" s="44"/>
      <c r="AG22" s="44"/>
      <c r="AH22" s="44"/>
      <c r="AI22" s="44"/>
      <c r="AJ22" s="44"/>
      <c r="AK22" s="44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79" t="str">
        <f t="shared" si="8"/>
        <v>MAT1</v>
      </c>
      <c r="BA22" s="80">
        <f t="shared" si="9"/>
        <v>0</v>
      </c>
      <c r="BB22" s="81">
        <f ca="1">AOUT!H22</f>
        <v>45520</v>
      </c>
      <c r="BC22" s="81">
        <f ca="1">AOUT!H22</f>
        <v>45520</v>
      </c>
      <c r="BD22" s="77" t="s">
        <v>81</v>
      </c>
      <c r="BE22" s="73" t="str">
        <f t="shared" si="10"/>
        <v>$jour</v>
      </c>
      <c r="BF22" s="71">
        <f t="shared" si="11"/>
        <v>0</v>
      </c>
      <c r="BG22" s="73"/>
      <c r="BH22" s="73"/>
      <c r="BI22" s="72" t="str">
        <f t="shared" si="16"/>
        <v>MAT1</v>
      </c>
      <c r="BL22" s="55" cm="1">
        <f t="array" ref="BL22">INDEX($5:$5,COLUMN($Z20)+B22-1)</f>
        <v>6</v>
      </c>
      <c r="BM22" s="55" cm="1">
        <f t="array" ref="BM22">IF(INDEX($4:$4,COLUMN($Z20)+B22-1)="Heures",SUMIF(C:C,BI22,AO:AO)*24,SUMIF(C:C,BI22,AO:AO))</f>
        <v>0</v>
      </c>
      <c r="BO22" s="55">
        <f t="shared" si="12"/>
        <v>0</v>
      </c>
      <c r="BS22" s="106">
        <f ca="1">VLOOKUP(_xlfn.SHEET(),Listes!$A:$B,2,0)</f>
        <v>45505</v>
      </c>
      <c r="BT22" s="106">
        <f t="shared" ca="1" si="17"/>
        <v>45505</v>
      </c>
      <c r="BU22" s="55">
        <f t="shared" si="13"/>
        <v>0</v>
      </c>
    </row>
    <row r="23" spans="1:73" ht="18" customHeight="1">
      <c r="A23" s="69" t="str">
        <f>Listes!$AD$2</f>
        <v>MANAGER</v>
      </c>
      <c r="B23" s="75">
        <f t="shared" si="18"/>
        <v>17</v>
      </c>
      <c r="C23" s="69" t="str" cm="1">
        <f t="array" ref="C23">INDEX(Listes!$Z$2:$Z$31,1+(ROW()-7)/31+INT((ROW()-7)/(31*30)))</f>
        <v>MAT1</v>
      </c>
      <c r="D23" s="69" t="str">
        <f>IFERROR(INDEX(Listes!Z:AA,MATCH(C23,Listes!Z:Z,0),2),"")</f>
        <v>Matricule 1</v>
      </c>
      <c r="E23" s="77" t="str">
        <f t="shared" ca="1" si="1"/>
        <v>août</v>
      </c>
      <c r="F23" s="120">
        <f t="shared" ca="1" si="14"/>
        <v>33</v>
      </c>
      <c r="G23" s="78" t="str">
        <f t="shared" ca="1" si="2"/>
        <v>samedi</v>
      </c>
      <c r="H23" s="78">
        <f ca="1">IF(B23=1,INDEX(Listes!F:H,MATCH(_xlfn.SHEET(),Listes!F:F,0),3),IF(TEXT(H22+1,"mmmm")&lt;&gt;TEXT(H22,"mmmm"),"",H22+1))</f>
        <v>45521</v>
      </c>
      <c r="I23" s="37" t="s">
        <v>187</v>
      </c>
      <c r="J23" s="38">
        <f>IF(OR(I23=0,LEFT(I23,1)="A"),0,INDEX(Listes!Q:V,MATCH(I23,Listes!Q:Q,0),2))</f>
        <v>0.33333333333333331</v>
      </c>
      <c r="K23" s="38">
        <f>IF(OR(I23=0,LEFT(I23,1)="A"),0,INDEX(Listes!Q:V,MATCH(I23,Listes!Q:Q,0),3))</f>
        <v>0.5</v>
      </c>
      <c r="L23" s="37"/>
      <c r="M23" s="38">
        <f>IF(L23=0,0,IF(AND(LEFT(I23,1)="M",L23&lt;&gt;0),INDEX(Listes!J:O,MATCH(L23,Listes!J:J,1),3),IF(AND(LEFT(I23,1)="N",L23&lt;&gt;0),INDEX(Listes!J:O,MATCH(L23,Listes!J:J,1),3),IF(AND(LEFT(I23,1)="A",L23&lt;&gt;0),INDEX(Listes!J:O,MATCH(L23,Listes!J:J,1),3),IF(AND(LEFT(I23,1)="J",L23&lt;&gt;0),INDEX(Listes!J:O,MATCH(L23,Listes!J:J,1),3),IF(AND(LEFT(I23,1)="T",L23&lt;&gt;0),INDEX(Listes!J:O,MATCH(L23,Listes!J:J,1),3),"horaire"))))))</f>
        <v>0</v>
      </c>
      <c r="N23" s="38">
        <f>IFERROR(IF(M23="$horaire","à compléter",IF(AND(M23="$DEMI",INDEX(Listes!J:O,MATCH(L23,Listes!J:J,1),6)="oui"),(K23-J23),0)),0)</f>
        <v>0</v>
      </c>
      <c r="O23" s="40">
        <f>IF(OR(I23=0,LEFT(I23,1)="A"),0,INDEX(Listes!Q:V,MATCH(I23,Listes!Q:Q,0),4))</f>
        <v>0.5625</v>
      </c>
      <c r="P23" s="42">
        <f>IF(OR(I23=0,LEFT(I23,1)="A"),0,INDEX(Listes!Q:V,MATCH(I23,Listes!Q:Q,0),5))</f>
        <v>0.70833333333333337</v>
      </c>
      <c r="Q23" s="37"/>
      <c r="R23" s="38">
        <f>IF(Q23=0,0,IF(AND(LEFT(I23,1)="M",Q23&lt;&gt;0),INDEX(Listes!J:O,MATCH(Q23,Listes!J:J,1),3),IF(AND(LEFT(I23,1)="N",Q23&lt;&gt;0),INDEX(Listes!J:O,MATCH(Q23,Listes!J:J,1),3),IF(AND(LEFT(I23,1)="A",Q23&lt;&gt;0),INDEX(Listes!J:O,MATCH(Q23,Listes!J:J,1),3),IF(AND(LEFT(I23,1)="J",Q23&lt;&gt;0),INDEX(Listes!J:O,MATCH(Q23,Listes!J:J,1),3),IF(AND(LEFT(I23,1)="T",Q23&lt;&gt;0),INDEX(Listes!J:O,MATCH(Q23,Listes!J:J,1),3),"horaire"))))))</f>
        <v>0</v>
      </c>
      <c r="S23" s="38">
        <f>IFERROR(IF(R23="$horaire","à compléter",IF(AND(R23="$DEMI2",INDEX(Listes!J:O,MATCH(Q23,Listes!J:J,1),6)="oui"),(P23-O23),0)),0)</f>
        <v>0</v>
      </c>
      <c r="T23" s="37"/>
      <c r="U23" s="37">
        <f t="shared" si="3"/>
        <v>0</v>
      </c>
      <c r="V23" s="70">
        <f>IF(I23=0,0,INDEX(Listes!Q:V,MATCH(I23,Listes!Q:Q,1),6))</f>
        <v>7.5000000000000009</v>
      </c>
      <c r="W23" s="71">
        <f>IF(I23=0,0,IF(AND(LEFT(I23,1)="A",O23&lt;=P23),(P23-O23)*24,IF(J23&lt;=K23,(K23-J23)*24,((Listes!$H$21-J23)*24+(K23-Listes!$H$21)*24))+IF(O23&lt;=P23,(P23-O23)*24,(Listes!$H$21-O23)*24+(P23-Listes!$G$21)*24)))-X23+(U23*24)</f>
        <v>7.5000000000000009</v>
      </c>
      <c r="X23" s="70">
        <f>IFERROR(IF(IFERROR(INDEX(Listes!J:O,MATCH(L23,Listes!J:J,1),6),0)="oui",N23*24,0),0)+IFERROR(IF(IFERROR(INDEX(Listes!J:O,MATCH(Q23,Listes!J:J,1),6),0)="oui",S23*24,0),0)</f>
        <v>0</v>
      </c>
      <c r="Y23" s="70">
        <f t="shared" ca="1" si="21"/>
        <v>7.5000000000000009</v>
      </c>
      <c r="Z23" s="71">
        <f t="shared" si="19"/>
        <v>1</v>
      </c>
      <c r="AA23" s="70">
        <f t="shared" si="6"/>
        <v>0</v>
      </c>
      <c r="AB23" s="70">
        <f>IF(I23=0,0,IF(AND(J23&gt;K23,J23&gt;=Listes!$G$22),MOD(MIN(K23,Listes!$H$22)-J23,1),IF(OR(J23&gt;K23,K23&gt;=Listes!$G$22),MOD(K23-Listes!$G$22,1),IF(K23&lt;=Listes!$H$22,MOD(K23-J23,1),IF(J23&lt;=Listes!$H$22,MOD(Listes!$H$22-J23,1),0))))+IF(AND(O23&gt;P23,O23&gt;=Listes!$G$22),MOD(MIN(P23,Listes!$H$22)-O23,1),IF(OR(O23&gt;P23,P23&gt;=Listes!$G$22),MOD(P23-Listes!$G$22,1),0)))*24</f>
        <v>0</v>
      </c>
      <c r="AC23" s="71">
        <f t="shared" ca="1" si="15"/>
        <v>0</v>
      </c>
      <c r="AD23" s="71">
        <f ca="1">IF(IFERROR(VLOOKUP(H23,Listes!$H$3:$H$20,1,0),0)&lt;&gt;0,W23,0)</f>
        <v>0</v>
      </c>
      <c r="AE23" s="71">
        <f t="shared" si="20"/>
        <v>0</v>
      </c>
      <c r="AF23" s="44"/>
      <c r="AG23" s="44"/>
      <c r="AH23" s="44"/>
      <c r="AI23" s="44"/>
      <c r="AJ23" s="44"/>
      <c r="AK23" s="44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79" t="str">
        <f t="shared" si="8"/>
        <v>MAT1</v>
      </c>
      <c r="BA23" s="80">
        <f t="shared" si="9"/>
        <v>0</v>
      </c>
      <c r="BB23" s="81">
        <f ca="1">AOUT!H23</f>
        <v>45521</v>
      </c>
      <c r="BC23" s="81">
        <f ca="1">AOUT!H23</f>
        <v>45521</v>
      </c>
      <c r="BD23" s="77" t="s">
        <v>81</v>
      </c>
      <c r="BE23" s="73" t="str">
        <f t="shared" si="10"/>
        <v>$jour</v>
      </c>
      <c r="BF23" s="71">
        <f t="shared" si="11"/>
        <v>0</v>
      </c>
      <c r="BG23" s="73"/>
      <c r="BH23" s="73"/>
      <c r="BI23" s="72" t="str">
        <f t="shared" si="16"/>
        <v>MAT1</v>
      </c>
      <c r="BL23" s="55" cm="1">
        <f t="array" ref="BL23">INDEX($5:$5,COLUMN($Z21)+B23-1)</f>
        <v>7</v>
      </c>
      <c r="BM23" s="55" cm="1">
        <f t="array" ref="BM23">IF(INDEX($4:$4,COLUMN($Z21)+B23-1)="Heures",SUMIF(C:C,BI23,AP:AP)*24,SUMIF(C:C,BI23,AP:AP))</f>
        <v>0</v>
      </c>
      <c r="BO23" s="55">
        <f t="shared" si="12"/>
        <v>0</v>
      </c>
      <c r="BS23" s="106">
        <f ca="1">VLOOKUP(_xlfn.SHEET(),Listes!$A:$B,2,0)</f>
        <v>45505</v>
      </c>
      <c r="BT23" s="106">
        <f t="shared" ca="1" si="17"/>
        <v>45505</v>
      </c>
      <c r="BU23" s="55">
        <f t="shared" si="13"/>
        <v>0</v>
      </c>
    </row>
    <row r="24" spans="1:73" ht="18" customHeight="1">
      <c r="A24" s="69" t="str">
        <f>Listes!$AD$2</f>
        <v>MANAGER</v>
      </c>
      <c r="B24" s="75">
        <f t="shared" si="18"/>
        <v>18</v>
      </c>
      <c r="C24" s="69" t="str" cm="1">
        <f t="array" ref="C24">INDEX(Listes!$Z$2:$Z$31,1+(ROW()-7)/31+INT((ROW()-7)/(31*30)))</f>
        <v>MAT1</v>
      </c>
      <c r="D24" s="69" t="str">
        <f>IFERROR(INDEX(Listes!Z:AA,MATCH(C24,Listes!Z:Z,0),2),"")</f>
        <v>Matricule 1</v>
      </c>
      <c r="E24" s="77" t="str">
        <f t="shared" ca="1" si="1"/>
        <v>août</v>
      </c>
      <c r="F24" s="120">
        <f t="shared" ca="1" si="14"/>
        <v>33</v>
      </c>
      <c r="G24" s="78" t="str">
        <f t="shared" ca="1" si="2"/>
        <v>dimanche</v>
      </c>
      <c r="H24" s="78">
        <f ca="1">IF(B24=1,INDEX(Listes!F:H,MATCH(_xlfn.SHEET(),Listes!F:F,0),3),IF(TEXT(H23+1,"mmmm")&lt;&gt;TEXT(H23,"mmmm"),"",H23+1))</f>
        <v>45522</v>
      </c>
      <c r="I24" s="37" t="s">
        <v>187</v>
      </c>
      <c r="J24" s="38">
        <f>IF(OR(I24=0,LEFT(I24,1)="A"),0,INDEX(Listes!Q:V,MATCH(I24,Listes!Q:Q,0),2))</f>
        <v>0.33333333333333331</v>
      </c>
      <c r="K24" s="38">
        <f>IF(OR(I24=0,LEFT(I24,1)="A"),0,INDEX(Listes!Q:V,MATCH(I24,Listes!Q:Q,0),3))</f>
        <v>0.5</v>
      </c>
      <c r="L24" s="37"/>
      <c r="M24" s="38">
        <f>IF(L24=0,0,IF(AND(LEFT(I24,1)="M",L24&lt;&gt;0),INDEX(Listes!J:O,MATCH(L24,Listes!J:J,1),3),IF(AND(LEFT(I24,1)="N",L24&lt;&gt;0),INDEX(Listes!J:O,MATCH(L24,Listes!J:J,1),3),IF(AND(LEFT(I24,1)="A",L24&lt;&gt;0),INDEX(Listes!J:O,MATCH(L24,Listes!J:J,1),3),IF(AND(LEFT(I24,1)="J",L24&lt;&gt;0),INDEX(Listes!J:O,MATCH(L24,Listes!J:J,1),3),IF(AND(LEFT(I24,1)="T",L24&lt;&gt;0),INDEX(Listes!J:O,MATCH(L24,Listes!J:J,1),3),"horaire"))))))</f>
        <v>0</v>
      </c>
      <c r="N24" s="38">
        <f>IFERROR(IF(M24="$horaire","à compléter",IF(AND(M24="$DEMI",INDEX(Listes!J:O,MATCH(L24,Listes!J:J,1),6)="oui"),(K24-J24),0)),0)</f>
        <v>0</v>
      </c>
      <c r="O24" s="40">
        <f>IF(OR(I24=0,LEFT(I24,1)="A"),0,INDEX(Listes!Q:V,MATCH(I24,Listes!Q:Q,0),4))</f>
        <v>0.5625</v>
      </c>
      <c r="P24" s="42">
        <f>IF(OR(I24=0,LEFT(I24,1)="A"),0,INDEX(Listes!Q:V,MATCH(I24,Listes!Q:Q,0),5))</f>
        <v>0.70833333333333337</v>
      </c>
      <c r="Q24" s="37"/>
      <c r="R24" s="38">
        <f>IF(Q24=0,0,IF(AND(LEFT(I24,1)="M",Q24&lt;&gt;0),INDEX(Listes!J:O,MATCH(Q24,Listes!J:J,1),3),IF(AND(LEFT(I24,1)="N",Q24&lt;&gt;0),INDEX(Listes!J:O,MATCH(Q24,Listes!J:J,1),3),IF(AND(LEFT(I24,1)="A",Q24&lt;&gt;0),INDEX(Listes!J:O,MATCH(Q24,Listes!J:J,1),3),IF(AND(LEFT(I24,1)="J",Q24&lt;&gt;0),INDEX(Listes!J:O,MATCH(Q24,Listes!J:J,1),3),IF(AND(LEFT(I24,1)="T",Q24&lt;&gt;0),INDEX(Listes!J:O,MATCH(Q24,Listes!J:J,1),3),"horaire"))))))</f>
        <v>0</v>
      </c>
      <c r="S24" s="38">
        <f>IFERROR(IF(R24="$horaire","à compléter",IF(AND(R24="$DEMI2",INDEX(Listes!J:O,MATCH(Q24,Listes!J:J,1),6)="oui"),(P24-O24),0)),0)</f>
        <v>0</v>
      </c>
      <c r="T24" s="37"/>
      <c r="U24" s="37">
        <f t="shared" si="3"/>
        <v>0</v>
      </c>
      <c r="V24" s="70">
        <f>IF(I24=0,0,INDEX(Listes!Q:V,MATCH(I24,Listes!Q:Q,1),6))</f>
        <v>7.5000000000000009</v>
      </c>
      <c r="W24" s="71">
        <f>IF(I24=0,0,IF(AND(LEFT(I24,1)="A",O24&lt;=P24),(P24-O24)*24,IF(J24&lt;=K24,(K24-J24)*24,((Listes!$H$21-J24)*24+(K24-Listes!$H$21)*24))+IF(O24&lt;=P24,(P24-O24)*24,(Listes!$H$21-O24)*24+(P24-Listes!$G$21)*24)))-X24+(U24*24)</f>
        <v>7.5000000000000009</v>
      </c>
      <c r="X24" s="70">
        <f>IFERROR(IF(IFERROR(INDEX(Listes!J:O,MATCH(L24,Listes!J:J,1),6),0)="oui",N24*24,0),0)+IFERROR(IF(IFERROR(INDEX(Listes!J:O,MATCH(Q24,Listes!J:J,1),6),0)="oui",S24*24,0),0)</f>
        <v>0</v>
      </c>
      <c r="Y24" s="70">
        <f t="shared" ca="1" si="21"/>
        <v>7.5000000000000009</v>
      </c>
      <c r="Z24" s="71">
        <f t="shared" si="19"/>
        <v>1</v>
      </c>
      <c r="AA24" s="70">
        <f t="shared" si="6"/>
        <v>0</v>
      </c>
      <c r="AB24" s="70">
        <f>IF(I24=0,0,IF(AND(J24&gt;K24,J24&gt;=Listes!$G$22),MOD(MIN(K24,Listes!$H$22)-J24,1),IF(OR(J24&gt;K24,K24&gt;=Listes!$G$22),MOD(K24-Listes!$G$22,1),IF(K24&lt;=Listes!$H$22,MOD(K24-J24,1),IF(J24&lt;=Listes!$H$22,MOD(Listes!$H$22-J24,1),0))))+IF(AND(O24&gt;P24,O24&gt;=Listes!$G$22),MOD(MIN(P24,Listes!$H$22)-O24,1),IF(OR(O24&gt;P24,P24&gt;=Listes!$G$22),MOD(P24-Listes!$G$22,1),0)))*24</f>
        <v>0</v>
      </c>
      <c r="AC24" s="71">
        <f t="shared" ca="1" si="15"/>
        <v>7.5000000000000009</v>
      </c>
      <c r="AD24" s="71">
        <f ca="1">IF(IFERROR(VLOOKUP(H24,Listes!$H$3:$H$20,1,0),0)&lt;&gt;0,W24,0)</f>
        <v>0</v>
      </c>
      <c r="AE24" s="71">
        <f t="shared" si="20"/>
        <v>0</v>
      </c>
      <c r="AF24" s="44"/>
      <c r="AG24" s="44"/>
      <c r="AH24" s="44"/>
      <c r="AI24" s="44"/>
      <c r="AJ24" s="44"/>
      <c r="AK24" s="44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79" t="str">
        <f t="shared" si="8"/>
        <v>MAT1</v>
      </c>
      <c r="BA24" s="80">
        <f t="shared" si="9"/>
        <v>0</v>
      </c>
      <c r="BB24" s="81">
        <f ca="1">AOUT!H24</f>
        <v>45522</v>
      </c>
      <c r="BC24" s="81">
        <f ca="1">AOUT!H24</f>
        <v>45522</v>
      </c>
      <c r="BD24" s="77" t="s">
        <v>81</v>
      </c>
      <c r="BE24" s="73" t="str">
        <f t="shared" si="10"/>
        <v>$jour</v>
      </c>
      <c r="BF24" s="71">
        <f t="shared" si="11"/>
        <v>0</v>
      </c>
      <c r="BG24" s="73"/>
      <c r="BH24" s="73"/>
      <c r="BI24" s="72" t="str">
        <f t="shared" si="16"/>
        <v>MAT1</v>
      </c>
      <c r="BL24" s="55" cm="1">
        <f t="array" ref="BL24">INDEX($5:$5,COLUMN($Z22)+B24-1)</f>
        <v>8</v>
      </c>
      <c r="BM24" s="55" cm="1">
        <f t="array" ref="BM24">IF(INDEX($4:$4,COLUMN($Z22)+B24-1)="Heures",SUMIF(C:C,BI24,AQ:AQ)*24,SUMIF(C:C,BI24,AQ:AQ))</f>
        <v>0</v>
      </c>
      <c r="BO24" s="55">
        <f t="shared" si="12"/>
        <v>0</v>
      </c>
      <c r="BS24" s="106">
        <f ca="1">VLOOKUP(_xlfn.SHEET(),Listes!$A:$B,2,0)</f>
        <v>45505</v>
      </c>
      <c r="BT24" s="106">
        <f t="shared" ca="1" si="17"/>
        <v>45505</v>
      </c>
      <c r="BU24" s="55">
        <f t="shared" si="13"/>
        <v>0</v>
      </c>
    </row>
    <row r="25" spans="1:73" ht="18" customHeight="1">
      <c r="A25" s="69" t="str">
        <f>Listes!$AD$2</f>
        <v>MANAGER</v>
      </c>
      <c r="B25" s="75">
        <f t="shared" si="18"/>
        <v>19</v>
      </c>
      <c r="C25" s="69" t="str" cm="1">
        <f t="array" ref="C25">INDEX(Listes!$Z$2:$Z$31,1+(ROW()-7)/31+INT((ROW()-7)/(31*30)))</f>
        <v>MAT1</v>
      </c>
      <c r="D25" s="69" t="str">
        <f>IFERROR(INDEX(Listes!Z:AA,MATCH(C25,Listes!Z:Z,0),2),"")</f>
        <v>Matricule 1</v>
      </c>
      <c r="E25" s="77" t="str">
        <f t="shared" ca="1" si="1"/>
        <v>août</v>
      </c>
      <c r="F25" s="120">
        <f t="shared" ca="1" si="14"/>
        <v>34</v>
      </c>
      <c r="G25" s="78" t="str">
        <f t="shared" ca="1" si="2"/>
        <v>lundi</v>
      </c>
      <c r="H25" s="78">
        <f ca="1">IF(B25=1,INDEX(Listes!F:H,MATCH(_xlfn.SHEET(),Listes!F:F,0),3),IF(TEXT(H24+1,"mmmm")&lt;&gt;TEXT(H24,"mmmm"),"",H24+1))</f>
        <v>45523</v>
      </c>
      <c r="I25" s="37" t="s">
        <v>187</v>
      </c>
      <c r="J25" s="38">
        <f>IF(OR(I25=0,LEFT(I25,1)="A"),0,INDEX(Listes!Q:V,MATCH(I25,Listes!Q:Q,0),2))</f>
        <v>0.33333333333333331</v>
      </c>
      <c r="K25" s="38">
        <f>IF(OR(I25=0,LEFT(I25,1)="A"),0,INDEX(Listes!Q:V,MATCH(I25,Listes!Q:Q,0),3))</f>
        <v>0.5</v>
      </c>
      <c r="L25" s="37"/>
      <c r="M25" s="38">
        <f>IF(L25=0,0,IF(AND(LEFT(I25,1)="M",L25&lt;&gt;0),INDEX(Listes!J:O,MATCH(L25,Listes!J:J,1),3),IF(AND(LEFT(I25,1)="N",L25&lt;&gt;0),INDEX(Listes!J:O,MATCH(L25,Listes!J:J,1),3),IF(AND(LEFT(I25,1)="A",L25&lt;&gt;0),INDEX(Listes!J:O,MATCH(L25,Listes!J:J,1),3),IF(AND(LEFT(I25,1)="J",L25&lt;&gt;0),INDEX(Listes!J:O,MATCH(L25,Listes!J:J,1),3),IF(AND(LEFT(I25,1)="T",L25&lt;&gt;0),INDEX(Listes!J:O,MATCH(L25,Listes!J:J,1),3),"horaire"))))))</f>
        <v>0</v>
      </c>
      <c r="N25" s="38">
        <f>IFERROR(IF(M25="$horaire","à compléter",IF(AND(M25="$DEMI",INDEX(Listes!J:O,MATCH(L25,Listes!J:J,1),6)="oui"),(K25-J25),0)),0)</f>
        <v>0</v>
      </c>
      <c r="O25" s="40">
        <f>IF(OR(I25=0,LEFT(I25,1)="A"),0,INDEX(Listes!Q:V,MATCH(I25,Listes!Q:Q,0),4))</f>
        <v>0.5625</v>
      </c>
      <c r="P25" s="42">
        <f>IF(OR(I25=0,LEFT(I25,1)="A"),0,INDEX(Listes!Q:V,MATCH(I25,Listes!Q:Q,0),5))</f>
        <v>0.70833333333333337</v>
      </c>
      <c r="Q25" s="37"/>
      <c r="R25" s="38">
        <f>IF(Q25=0,0,IF(AND(LEFT(I25,1)="M",Q25&lt;&gt;0),INDEX(Listes!J:O,MATCH(Q25,Listes!J:J,1),3),IF(AND(LEFT(I25,1)="N",Q25&lt;&gt;0),INDEX(Listes!J:O,MATCH(Q25,Listes!J:J,1),3),IF(AND(LEFT(I25,1)="A",Q25&lt;&gt;0),INDEX(Listes!J:O,MATCH(Q25,Listes!J:J,1),3),IF(AND(LEFT(I25,1)="J",Q25&lt;&gt;0),INDEX(Listes!J:O,MATCH(Q25,Listes!J:J,1),3),IF(AND(LEFT(I25,1)="T",Q25&lt;&gt;0),INDEX(Listes!J:O,MATCH(Q25,Listes!J:J,1),3),"horaire"))))))</f>
        <v>0</v>
      </c>
      <c r="S25" s="38">
        <f>IFERROR(IF(R25="$horaire","à compléter",IF(AND(R25="$DEMI2",INDEX(Listes!J:O,MATCH(Q25,Listes!J:J,1),6)="oui"),(P25-O25),0)),0)</f>
        <v>0</v>
      </c>
      <c r="T25" s="37"/>
      <c r="U25" s="37">
        <f t="shared" si="3"/>
        <v>0</v>
      </c>
      <c r="V25" s="70">
        <f>IF(I25=0,0,INDEX(Listes!Q:V,MATCH(I25,Listes!Q:Q,1),6))</f>
        <v>7.5000000000000009</v>
      </c>
      <c r="W25" s="71">
        <f>IF(I25=0,0,IF(AND(LEFT(I25,1)="A",O25&lt;=P25),(P25-O25)*24,IF(J25&lt;=K25,(K25-J25)*24,((Listes!$H$21-J25)*24+(K25-Listes!$H$21)*24))+IF(O25&lt;=P25,(P25-O25)*24,(Listes!$H$21-O25)*24+(P25-Listes!$G$21)*24)))-X25+(U25*24)</f>
        <v>7.5000000000000009</v>
      </c>
      <c r="X25" s="70">
        <f>IFERROR(IF(IFERROR(INDEX(Listes!J:O,MATCH(L25,Listes!J:J,1),6),0)="oui",N25*24,0),0)+IFERROR(IF(IFERROR(INDEX(Listes!J:O,MATCH(Q25,Listes!J:J,1),6),0)="oui",S25*24,0),0)</f>
        <v>0</v>
      </c>
      <c r="Y25" s="70">
        <f t="shared" ca="1" si="21"/>
        <v>0</v>
      </c>
      <c r="Z25" s="71">
        <f t="shared" si="19"/>
        <v>1</v>
      </c>
      <c r="AA25" s="70">
        <f t="shared" si="6"/>
        <v>0</v>
      </c>
      <c r="AB25" s="70">
        <f>IF(I25=0,0,IF(AND(J25&gt;K25,J25&gt;=Listes!$G$22),MOD(MIN(K25,Listes!$H$22)-J25,1),IF(OR(J25&gt;K25,K25&gt;=Listes!$G$22),MOD(K25-Listes!$G$22,1),IF(K25&lt;=Listes!$H$22,MOD(K25-J25,1),IF(J25&lt;=Listes!$H$22,MOD(Listes!$H$22-J25,1),0))))+IF(AND(O25&gt;P25,O25&gt;=Listes!$G$22),MOD(MIN(P25,Listes!$H$22)-O25,1),IF(OR(O25&gt;P25,P25&gt;=Listes!$G$22),MOD(P25-Listes!$G$22,1),0)))*24</f>
        <v>0</v>
      </c>
      <c r="AC25" s="71">
        <f t="shared" ca="1" si="15"/>
        <v>0</v>
      </c>
      <c r="AD25" s="71">
        <f ca="1">IF(IFERROR(VLOOKUP(H25,Listes!$H$3:$H$20,1,0),0)&lt;&gt;0,W25,0)</f>
        <v>0</v>
      </c>
      <c r="AE25" s="71">
        <f t="shared" si="20"/>
        <v>0</v>
      </c>
      <c r="AF25" s="44"/>
      <c r="AG25" s="44"/>
      <c r="AH25" s="44"/>
      <c r="AI25" s="44"/>
      <c r="AJ25" s="44"/>
      <c r="AK25" s="44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79" t="str">
        <f t="shared" si="8"/>
        <v>MAT1</v>
      </c>
      <c r="BA25" s="80">
        <f t="shared" si="9"/>
        <v>0</v>
      </c>
      <c r="BB25" s="81">
        <f ca="1">AOUT!H25</f>
        <v>45523</v>
      </c>
      <c r="BC25" s="81">
        <f ca="1">AOUT!H25</f>
        <v>45523</v>
      </c>
      <c r="BD25" s="77" t="s">
        <v>81</v>
      </c>
      <c r="BE25" s="73" t="str">
        <f t="shared" si="10"/>
        <v>$jour</v>
      </c>
      <c r="BF25" s="71">
        <f t="shared" si="11"/>
        <v>0</v>
      </c>
      <c r="BG25" s="73"/>
      <c r="BH25" s="73"/>
      <c r="BI25" s="72" t="str">
        <f t="shared" si="16"/>
        <v>MAT1</v>
      </c>
      <c r="BL25" s="55" cm="1">
        <f t="array" ref="BL25">INDEX($5:$5,COLUMN($Z23)+B25-1)</f>
        <v>9</v>
      </c>
      <c r="BM25" s="55" cm="1">
        <f t="array" ref="BM25">IF(INDEX($4:$4,COLUMN($Z23)+B25-1)="Heures",SUMIF(C:C,BI25,AR:AR)*24,SUMIF(C:C,BI25,AR:AR))</f>
        <v>0</v>
      </c>
      <c r="BO25" s="55">
        <f t="shared" si="12"/>
        <v>0</v>
      </c>
      <c r="BS25" s="106">
        <f ca="1">VLOOKUP(_xlfn.SHEET(),Listes!$A:$B,2,0)</f>
        <v>45505</v>
      </c>
      <c r="BT25" s="106">
        <f t="shared" ca="1" si="17"/>
        <v>45505</v>
      </c>
      <c r="BU25" s="55">
        <f t="shared" si="13"/>
        <v>0</v>
      </c>
    </row>
    <row r="26" spans="1:73" ht="18" customHeight="1">
      <c r="A26" s="69" t="str">
        <f>Listes!$AD$2</f>
        <v>MANAGER</v>
      </c>
      <c r="B26" s="75">
        <f t="shared" si="18"/>
        <v>20</v>
      </c>
      <c r="C26" s="69" t="str" cm="1">
        <f t="array" ref="C26">INDEX(Listes!$Z$2:$Z$31,1+(ROW()-7)/31+INT((ROW()-7)/(31*30)))</f>
        <v>MAT1</v>
      </c>
      <c r="D26" s="69" t="str">
        <f>IFERROR(INDEX(Listes!Z:AA,MATCH(C26,Listes!Z:Z,0),2),"")</f>
        <v>Matricule 1</v>
      </c>
      <c r="E26" s="77" t="str">
        <f t="shared" ca="1" si="1"/>
        <v>août</v>
      </c>
      <c r="F26" s="120">
        <f t="shared" ca="1" si="14"/>
        <v>34</v>
      </c>
      <c r="G26" s="78" t="str">
        <f t="shared" ca="1" si="2"/>
        <v>mardi</v>
      </c>
      <c r="H26" s="78">
        <f ca="1">IF(B26=1,INDEX(Listes!F:H,MATCH(_xlfn.SHEET(),Listes!F:F,0),3),IF(TEXT(H25+1,"mmmm")&lt;&gt;TEXT(H25,"mmmm"),"",H25+1))</f>
        <v>45524</v>
      </c>
      <c r="I26" s="37" t="s">
        <v>187</v>
      </c>
      <c r="J26" s="38">
        <f>IF(OR(I26=0,LEFT(I26,1)="A"),0,INDEX(Listes!Q:V,MATCH(I26,Listes!Q:Q,0),2))</f>
        <v>0.33333333333333331</v>
      </c>
      <c r="K26" s="38">
        <f>IF(OR(I26=0,LEFT(I26,1)="A"),0,INDEX(Listes!Q:V,MATCH(I26,Listes!Q:Q,0),3))</f>
        <v>0.5</v>
      </c>
      <c r="L26" s="37"/>
      <c r="M26" s="38">
        <f>IF(L26=0,0,IF(AND(LEFT(I26,1)="M",L26&lt;&gt;0),INDEX(Listes!J:O,MATCH(L26,Listes!J:J,1),3),IF(AND(LEFT(I26,1)="N",L26&lt;&gt;0),INDEX(Listes!J:O,MATCH(L26,Listes!J:J,1),3),IF(AND(LEFT(I26,1)="A",L26&lt;&gt;0),INDEX(Listes!J:O,MATCH(L26,Listes!J:J,1),3),IF(AND(LEFT(I26,1)="J",L26&lt;&gt;0),INDEX(Listes!J:O,MATCH(L26,Listes!J:J,1),3),IF(AND(LEFT(I26,1)="T",L26&lt;&gt;0),INDEX(Listes!J:O,MATCH(L26,Listes!J:J,1),3),"horaire"))))))</f>
        <v>0</v>
      </c>
      <c r="N26" s="38">
        <f>IFERROR(IF(M26="$horaire","à compléter",IF(AND(M26="$DEMI",INDEX(Listes!J:O,MATCH(L26,Listes!J:J,1),6)="oui"),(K26-J26),0)),0)</f>
        <v>0</v>
      </c>
      <c r="O26" s="40">
        <f>IF(OR(I26=0,LEFT(I26,1)="A"),0,INDEX(Listes!Q:V,MATCH(I26,Listes!Q:Q,0),4))</f>
        <v>0.5625</v>
      </c>
      <c r="P26" s="42">
        <f>IF(OR(I26=0,LEFT(I26,1)="A"),0,INDEX(Listes!Q:V,MATCH(I26,Listes!Q:Q,0),5))</f>
        <v>0.70833333333333337</v>
      </c>
      <c r="Q26" s="37"/>
      <c r="R26" s="38">
        <f>IF(Q26=0,0,IF(AND(LEFT(I26,1)="M",Q26&lt;&gt;0),INDEX(Listes!J:O,MATCH(Q26,Listes!J:J,1),3),IF(AND(LEFT(I26,1)="N",Q26&lt;&gt;0),INDEX(Listes!J:O,MATCH(Q26,Listes!J:J,1),3),IF(AND(LEFT(I26,1)="A",Q26&lt;&gt;0),INDEX(Listes!J:O,MATCH(Q26,Listes!J:J,1),3),IF(AND(LEFT(I26,1)="J",Q26&lt;&gt;0),INDEX(Listes!J:O,MATCH(Q26,Listes!J:J,1),3),IF(AND(LEFT(I26,1)="T",Q26&lt;&gt;0),INDEX(Listes!J:O,MATCH(Q26,Listes!J:J,1),3),"horaire"))))))</f>
        <v>0</v>
      </c>
      <c r="S26" s="38">
        <f>IFERROR(IF(R26="$horaire","à compléter",IF(AND(R26="$DEMI2",INDEX(Listes!J:O,MATCH(Q26,Listes!J:J,1),6)="oui"),(P26-O26),0)),0)</f>
        <v>0</v>
      </c>
      <c r="T26" s="37"/>
      <c r="U26" s="37">
        <f t="shared" si="3"/>
        <v>0</v>
      </c>
      <c r="V26" s="70">
        <f>IF(I26=0,0,INDEX(Listes!Q:V,MATCH(I26,Listes!Q:Q,1),6))</f>
        <v>7.5000000000000009</v>
      </c>
      <c r="W26" s="71">
        <f>IF(I26=0,0,IF(AND(LEFT(I26,1)="A",O26&lt;=P26),(P26-O26)*24,IF(J26&lt;=K26,(K26-J26)*24,((Listes!$H$21-J26)*24+(K26-Listes!$H$21)*24))+IF(O26&lt;=P26,(P26-O26)*24,(Listes!$H$21-O26)*24+(P26-Listes!$G$21)*24)))-X26+(U26*24)</f>
        <v>7.5000000000000009</v>
      </c>
      <c r="X26" s="70">
        <f>IFERROR(IF(IFERROR(INDEX(Listes!J:O,MATCH(L26,Listes!J:J,1),6),0)="oui",N26*24,0),0)+IFERROR(IF(IFERROR(INDEX(Listes!J:O,MATCH(Q26,Listes!J:J,1),6),0)="oui",S26*24,0),0)</f>
        <v>0</v>
      </c>
      <c r="Y26" s="70">
        <f t="shared" ca="1" si="21"/>
        <v>0</v>
      </c>
      <c r="Z26" s="71">
        <f t="shared" si="19"/>
        <v>1</v>
      </c>
      <c r="AA26" s="70">
        <f t="shared" si="6"/>
        <v>0</v>
      </c>
      <c r="AB26" s="70">
        <f>IF(I26=0,0,IF(AND(J26&gt;K26,J26&gt;=Listes!$G$22),MOD(MIN(K26,Listes!$H$22)-J26,1),IF(OR(J26&gt;K26,K26&gt;=Listes!$G$22),MOD(K26-Listes!$G$22,1),IF(K26&lt;=Listes!$H$22,MOD(K26-J26,1),IF(J26&lt;=Listes!$H$22,MOD(Listes!$H$22-J26,1),0))))+IF(AND(O26&gt;P26,O26&gt;=Listes!$G$22),MOD(MIN(P26,Listes!$H$22)-O26,1),IF(OR(O26&gt;P26,P26&gt;=Listes!$G$22),MOD(P26-Listes!$G$22,1),0)))*24</f>
        <v>0</v>
      </c>
      <c r="AC26" s="71">
        <f t="shared" ca="1" si="15"/>
        <v>0</v>
      </c>
      <c r="AD26" s="71">
        <f ca="1">IF(IFERROR(VLOOKUP(H26,Listes!$H$3:$H$20,1,0),0)&lt;&gt;0,W26,0)</f>
        <v>0</v>
      </c>
      <c r="AE26" s="71">
        <f t="shared" si="20"/>
        <v>0</v>
      </c>
      <c r="AF26" s="44"/>
      <c r="AG26" s="44"/>
      <c r="AH26" s="44"/>
      <c r="AI26" s="44"/>
      <c r="AJ26" s="44"/>
      <c r="AK26" s="44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79" t="str">
        <f t="shared" si="8"/>
        <v>MAT1</v>
      </c>
      <c r="BA26" s="80">
        <f t="shared" si="9"/>
        <v>0</v>
      </c>
      <c r="BB26" s="81">
        <f ca="1">AOUT!H26</f>
        <v>45524</v>
      </c>
      <c r="BC26" s="81">
        <f ca="1">AOUT!H26</f>
        <v>45524</v>
      </c>
      <c r="BD26" s="77" t="s">
        <v>81</v>
      </c>
      <c r="BE26" s="73" t="str">
        <f t="shared" si="10"/>
        <v>$jour</v>
      </c>
      <c r="BF26" s="71">
        <f t="shared" si="11"/>
        <v>0</v>
      </c>
      <c r="BG26" s="73"/>
      <c r="BH26" s="73"/>
      <c r="BI26" s="72" t="str">
        <f t="shared" si="16"/>
        <v>MAT1</v>
      </c>
      <c r="BL26" s="55" cm="1">
        <f t="array" ref="BL26">INDEX($5:$5,COLUMN($Z24)+B26-1)</f>
        <v>10</v>
      </c>
      <c r="BM26" s="55" cm="1">
        <f t="array" ref="BM26">IF(INDEX($4:$4,COLUMN($Z24)+B26-1)="Heures",SUMIF(C:C,BI26,AS:AS)*24,SUMIF(C:C,BI26,AS:AS))</f>
        <v>0</v>
      </c>
      <c r="BO26" s="55">
        <f t="shared" si="12"/>
        <v>0</v>
      </c>
      <c r="BS26" s="106">
        <f ca="1">VLOOKUP(_xlfn.SHEET(),Listes!$A:$B,2,0)</f>
        <v>45505</v>
      </c>
      <c r="BT26" s="106">
        <f t="shared" ca="1" si="17"/>
        <v>45505</v>
      </c>
      <c r="BU26" s="55">
        <f t="shared" si="13"/>
        <v>0</v>
      </c>
    </row>
    <row r="27" spans="1:73" ht="18" customHeight="1">
      <c r="A27" s="69" t="str">
        <f>Listes!$AD$2</f>
        <v>MANAGER</v>
      </c>
      <c r="B27" s="75">
        <f t="shared" si="18"/>
        <v>21</v>
      </c>
      <c r="C27" s="69" t="str" cm="1">
        <f t="array" ref="C27">INDEX(Listes!$Z$2:$Z$31,1+(ROW()-7)/31+INT((ROW()-7)/(31*30)))</f>
        <v>MAT1</v>
      </c>
      <c r="D27" s="69" t="str">
        <f>IFERROR(INDEX(Listes!Z:AA,MATCH(C27,Listes!Z:Z,0),2),"")</f>
        <v>Matricule 1</v>
      </c>
      <c r="E27" s="77" t="str">
        <f t="shared" ca="1" si="1"/>
        <v>août</v>
      </c>
      <c r="F27" s="120">
        <f t="shared" ca="1" si="14"/>
        <v>34</v>
      </c>
      <c r="G27" s="78" t="str">
        <f t="shared" ca="1" si="2"/>
        <v>mercredi</v>
      </c>
      <c r="H27" s="78">
        <f ca="1">IF(B27=1,INDEX(Listes!F:H,MATCH(_xlfn.SHEET(),Listes!F:F,0),3),IF(TEXT(H26+1,"mmmm")&lt;&gt;TEXT(H26,"mmmm"),"",H26+1))</f>
        <v>45525</v>
      </c>
      <c r="I27" s="37" t="s">
        <v>187</v>
      </c>
      <c r="J27" s="38">
        <f>IF(OR(I27=0,LEFT(I27,1)="A"),0,INDEX(Listes!Q:V,MATCH(I27,Listes!Q:Q,0),2))</f>
        <v>0.33333333333333331</v>
      </c>
      <c r="K27" s="38">
        <f>IF(OR(I27=0,LEFT(I27,1)="A"),0,INDEX(Listes!Q:V,MATCH(I27,Listes!Q:Q,0),3))</f>
        <v>0.5</v>
      </c>
      <c r="L27" s="37"/>
      <c r="M27" s="38">
        <f>IF(L27=0,0,IF(AND(LEFT(I27,1)="M",L27&lt;&gt;0),INDEX(Listes!J:O,MATCH(L27,Listes!J:J,1),3),IF(AND(LEFT(I27,1)="N",L27&lt;&gt;0),INDEX(Listes!J:O,MATCH(L27,Listes!J:J,1),3),IF(AND(LEFT(I27,1)="A",L27&lt;&gt;0),INDEX(Listes!J:O,MATCH(L27,Listes!J:J,1),3),IF(AND(LEFT(I27,1)="J",L27&lt;&gt;0),INDEX(Listes!J:O,MATCH(L27,Listes!J:J,1),3),IF(AND(LEFT(I27,1)="T",L27&lt;&gt;0),INDEX(Listes!J:O,MATCH(L27,Listes!J:J,1),3),"horaire"))))))</f>
        <v>0</v>
      </c>
      <c r="N27" s="38">
        <f>IFERROR(IF(M27="$horaire","à compléter",IF(AND(M27="$DEMI",INDEX(Listes!J:O,MATCH(L27,Listes!J:J,1),6)="oui"),(K27-J27),0)),0)</f>
        <v>0</v>
      </c>
      <c r="O27" s="40">
        <f>IF(OR(I27=0,LEFT(I27,1)="A"),0,INDEX(Listes!Q:V,MATCH(I27,Listes!Q:Q,0),4))</f>
        <v>0.5625</v>
      </c>
      <c r="P27" s="42">
        <f>IF(OR(I27=0,LEFT(I27,1)="A"),0,INDEX(Listes!Q:V,MATCH(I27,Listes!Q:Q,0),5))</f>
        <v>0.70833333333333337</v>
      </c>
      <c r="Q27" s="37"/>
      <c r="R27" s="38">
        <f>IF(Q27=0,0,IF(AND(LEFT(I27,1)="M",Q27&lt;&gt;0),INDEX(Listes!J:O,MATCH(Q27,Listes!J:J,1),3),IF(AND(LEFT(I27,1)="N",Q27&lt;&gt;0),INDEX(Listes!J:O,MATCH(Q27,Listes!J:J,1),3),IF(AND(LEFT(I27,1)="A",Q27&lt;&gt;0),INDEX(Listes!J:O,MATCH(Q27,Listes!J:J,1),3),IF(AND(LEFT(I27,1)="J",Q27&lt;&gt;0),INDEX(Listes!J:O,MATCH(Q27,Listes!J:J,1),3),IF(AND(LEFT(I27,1)="T",Q27&lt;&gt;0),INDEX(Listes!J:O,MATCH(Q27,Listes!J:J,1),3),"horaire"))))))</f>
        <v>0</v>
      </c>
      <c r="S27" s="38">
        <f>IFERROR(IF(R27="$horaire","à compléter",IF(AND(R27="$DEMI2",INDEX(Listes!J:O,MATCH(Q27,Listes!J:J,1),6)="oui"),(P27-O27),0)),0)</f>
        <v>0</v>
      </c>
      <c r="T27" s="37"/>
      <c r="U27" s="37">
        <f t="shared" si="3"/>
        <v>0</v>
      </c>
      <c r="V27" s="70">
        <f>IF(I27=0,0,INDEX(Listes!Q:V,MATCH(I27,Listes!Q:Q,1),6))</f>
        <v>7.5000000000000009</v>
      </c>
      <c r="W27" s="71">
        <f>IF(I27=0,0,IF(AND(LEFT(I27,1)="A",O27&lt;=P27),(P27-O27)*24,IF(J27&lt;=K27,(K27-J27)*24,((Listes!$H$21-J27)*24+(K27-Listes!$H$21)*24))+IF(O27&lt;=P27,(P27-O27)*24,(Listes!$H$21-O27)*24+(P27-Listes!$G$21)*24)))-X27+(U27*24)</f>
        <v>7.5000000000000009</v>
      </c>
      <c r="X27" s="70">
        <f>IFERROR(IF(IFERROR(INDEX(Listes!J:O,MATCH(L27,Listes!J:J,1),6),0)="oui",N27*24,0),0)+IFERROR(IF(IFERROR(INDEX(Listes!J:O,MATCH(Q27,Listes!J:J,1),6),0)="oui",S27*24,0),0)</f>
        <v>0</v>
      </c>
      <c r="Y27" s="70">
        <f t="shared" ca="1" si="21"/>
        <v>0</v>
      </c>
      <c r="Z27" s="71">
        <f t="shared" si="19"/>
        <v>1</v>
      </c>
      <c r="AA27" s="70">
        <f t="shared" si="6"/>
        <v>0</v>
      </c>
      <c r="AB27" s="70">
        <f>IF(I27=0,0,IF(AND(J27&gt;K27,J27&gt;=Listes!$G$22),MOD(MIN(K27,Listes!$H$22)-J27,1),IF(OR(J27&gt;K27,K27&gt;=Listes!$G$22),MOD(K27-Listes!$G$22,1),IF(K27&lt;=Listes!$H$22,MOD(K27-J27,1),IF(J27&lt;=Listes!$H$22,MOD(Listes!$H$22-J27,1),0))))+IF(AND(O27&gt;P27,O27&gt;=Listes!$G$22),MOD(MIN(P27,Listes!$H$22)-O27,1),IF(OR(O27&gt;P27,P27&gt;=Listes!$G$22),MOD(P27-Listes!$G$22,1),0)))*24</f>
        <v>0</v>
      </c>
      <c r="AC27" s="71">
        <f t="shared" ca="1" si="15"/>
        <v>0</v>
      </c>
      <c r="AD27" s="71">
        <f ca="1">IF(IFERROR(VLOOKUP(H27,Listes!$H$3:$H$20,1,0),0)&lt;&gt;0,W27,0)</f>
        <v>0</v>
      </c>
      <c r="AE27" s="71">
        <f t="shared" si="20"/>
        <v>0</v>
      </c>
      <c r="AF27" s="44"/>
      <c r="AG27" s="44"/>
      <c r="AH27" s="44"/>
      <c r="AI27" s="44"/>
      <c r="AJ27" s="44"/>
      <c r="AK27" s="44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79" t="str">
        <f t="shared" si="8"/>
        <v>MAT1</v>
      </c>
      <c r="BA27" s="80">
        <f t="shared" si="9"/>
        <v>0</v>
      </c>
      <c r="BB27" s="81">
        <f ca="1">AOUT!H27</f>
        <v>45525</v>
      </c>
      <c r="BC27" s="81">
        <f ca="1">AOUT!H27</f>
        <v>45525</v>
      </c>
      <c r="BD27" s="77" t="s">
        <v>81</v>
      </c>
      <c r="BE27" s="73" t="str">
        <f t="shared" si="10"/>
        <v>$jour</v>
      </c>
      <c r="BF27" s="71">
        <f t="shared" si="11"/>
        <v>0</v>
      </c>
      <c r="BG27" s="73"/>
      <c r="BH27" s="73"/>
      <c r="BI27" s="72" t="str">
        <f t="shared" si="16"/>
        <v>MAT1</v>
      </c>
      <c r="BL27" s="55" cm="1">
        <f t="array" ref="BL27">INDEX($5:$5,COLUMN($Z25)+B27-1)</f>
        <v>11</v>
      </c>
      <c r="BM27" s="55" cm="1">
        <f t="array" ref="BM27">IF(INDEX($4:$4,COLUMN($Z25)+B27-1)="Heures",SUMIF(C:C,BI27,AT:AT)*24,SUMIF(C:C,BI27,AT:AT))</f>
        <v>0</v>
      </c>
      <c r="BO27" s="55">
        <f t="shared" si="12"/>
        <v>0</v>
      </c>
      <c r="BS27" s="106">
        <f ca="1">VLOOKUP(_xlfn.SHEET(),Listes!$A:$B,2,0)</f>
        <v>45505</v>
      </c>
      <c r="BT27" s="106">
        <f t="shared" ca="1" si="17"/>
        <v>45505</v>
      </c>
      <c r="BU27" s="55">
        <f t="shared" si="13"/>
        <v>0</v>
      </c>
    </row>
    <row r="28" spans="1:73" ht="18" customHeight="1">
      <c r="A28" s="69" t="str">
        <f>Listes!$AD$2</f>
        <v>MANAGER</v>
      </c>
      <c r="B28" s="75">
        <f t="shared" si="18"/>
        <v>22</v>
      </c>
      <c r="C28" s="69" t="str" cm="1">
        <f t="array" ref="C28">INDEX(Listes!$Z$2:$Z$31,1+(ROW()-7)/31+INT((ROW()-7)/(31*30)))</f>
        <v>MAT1</v>
      </c>
      <c r="D28" s="69" t="str">
        <f>IFERROR(INDEX(Listes!Z:AA,MATCH(C28,Listes!Z:Z,0),2),"")</f>
        <v>Matricule 1</v>
      </c>
      <c r="E28" s="77" t="str">
        <f t="shared" ca="1" si="1"/>
        <v>août</v>
      </c>
      <c r="F28" s="120">
        <f t="shared" ca="1" si="14"/>
        <v>34</v>
      </c>
      <c r="G28" s="78" t="str">
        <f t="shared" ca="1" si="2"/>
        <v>jeudi</v>
      </c>
      <c r="H28" s="78">
        <f ca="1">IF(B28=1,INDEX(Listes!F:H,MATCH(_xlfn.SHEET(),Listes!F:F,0),3),IF(TEXT(H27+1,"mmmm")&lt;&gt;TEXT(H27,"mmmm"),"",H27+1))</f>
        <v>45526</v>
      </c>
      <c r="I28" s="37" t="s">
        <v>187</v>
      </c>
      <c r="J28" s="38">
        <f>IF(OR(I28=0,LEFT(I28,1)="A"),0,INDEX(Listes!Q:V,MATCH(I28,Listes!Q:Q,0),2))</f>
        <v>0.33333333333333331</v>
      </c>
      <c r="K28" s="38">
        <f>IF(OR(I28=0,LEFT(I28,1)="A"),0,INDEX(Listes!Q:V,MATCH(I28,Listes!Q:Q,0),3))</f>
        <v>0.5</v>
      </c>
      <c r="L28" s="37"/>
      <c r="M28" s="38">
        <f>IF(L28=0,0,IF(AND(LEFT(I28,1)="M",L28&lt;&gt;0),INDEX(Listes!J:O,MATCH(L28,Listes!J:J,1),3),IF(AND(LEFT(I28,1)="N",L28&lt;&gt;0),INDEX(Listes!J:O,MATCH(L28,Listes!J:J,1),3),IF(AND(LEFT(I28,1)="A",L28&lt;&gt;0),INDEX(Listes!J:O,MATCH(L28,Listes!J:J,1),3),IF(AND(LEFT(I28,1)="J",L28&lt;&gt;0),INDEX(Listes!J:O,MATCH(L28,Listes!J:J,1),3),IF(AND(LEFT(I28,1)="T",L28&lt;&gt;0),INDEX(Listes!J:O,MATCH(L28,Listes!J:J,1),3),"horaire"))))))</f>
        <v>0</v>
      </c>
      <c r="N28" s="38">
        <f>IFERROR(IF(M28="$horaire","à compléter",IF(AND(M28="$DEMI",INDEX(Listes!J:O,MATCH(L28,Listes!J:J,1),6)="oui"),(K28-J28),0)),0)</f>
        <v>0</v>
      </c>
      <c r="O28" s="40">
        <f>IF(OR(I28=0,LEFT(I28,1)="A"),0,INDEX(Listes!Q:V,MATCH(I28,Listes!Q:Q,0),4))</f>
        <v>0.5625</v>
      </c>
      <c r="P28" s="42">
        <f>IF(OR(I28=0,LEFT(I28,1)="A"),0,INDEX(Listes!Q:V,MATCH(I28,Listes!Q:Q,0),5))</f>
        <v>0.70833333333333337</v>
      </c>
      <c r="Q28" s="37"/>
      <c r="R28" s="38">
        <f>IF(Q28=0,0,IF(AND(LEFT(I28,1)="M",Q28&lt;&gt;0),INDEX(Listes!J:O,MATCH(Q28,Listes!J:J,1),3),IF(AND(LEFT(I28,1)="N",Q28&lt;&gt;0),INDEX(Listes!J:O,MATCH(Q28,Listes!J:J,1),3),IF(AND(LEFT(I28,1)="A",Q28&lt;&gt;0),INDEX(Listes!J:O,MATCH(Q28,Listes!J:J,1),3),IF(AND(LEFT(I28,1)="J",Q28&lt;&gt;0),INDEX(Listes!J:O,MATCH(Q28,Listes!J:J,1),3),IF(AND(LEFT(I28,1)="T",Q28&lt;&gt;0),INDEX(Listes!J:O,MATCH(Q28,Listes!J:J,1),3),"horaire"))))))</f>
        <v>0</v>
      </c>
      <c r="S28" s="38">
        <f>IFERROR(IF(R28="$horaire","à compléter",IF(AND(R28="$DEMI2",INDEX(Listes!J:O,MATCH(Q28,Listes!J:J,1),6)="oui"),(P28-O28),0)),0)</f>
        <v>0</v>
      </c>
      <c r="T28" s="37"/>
      <c r="U28" s="37">
        <f t="shared" si="3"/>
        <v>0</v>
      </c>
      <c r="V28" s="70">
        <f>IF(I28=0,0,INDEX(Listes!Q:V,MATCH(I28,Listes!Q:Q,1),6))</f>
        <v>7.5000000000000009</v>
      </c>
      <c r="W28" s="71">
        <f>IF(I28=0,0,IF(AND(LEFT(I28,1)="A",O28&lt;=P28),(P28-O28)*24,IF(J28&lt;=K28,(K28-J28)*24,((Listes!$H$21-J28)*24+(K28-Listes!$H$21)*24))+IF(O28&lt;=P28,(P28-O28)*24,(Listes!$H$21-O28)*24+(P28-Listes!$G$21)*24)))-X28+(U28*24)</f>
        <v>7.5000000000000009</v>
      </c>
      <c r="X28" s="70">
        <f>IFERROR(IF(IFERROR(INDEX(Listes!J:O,MATCH(L28,Listes!J:J,1),6),0)="oui",N28*24,0),0)+IFERROR(IF(IFERROR(INDEX(Listes!J:O,MATCH(Q28,Listes!J:J,1),6),0)="oui",S28*24,0),0)</f>
        <v>0</v>
      </c>
      <c r="Y28" s="70">
        <f t="shared" ca="1" si="21"/>
        <v>0</v>
      </c>
      <c r="Z28" s="71">
        <f t="shared" si="19"/>
        <v>1</v>
      </c>
      <c r="AA28" s="70">
        <f t="shared" si="6"/>
        <v>0</v>
      </c>
      <c r="AB28" s="70">
        <f>IF(I28=0,0,IF(AND(J28&gt;K28,J28&gt;=Listes!$G$22),MOD(MIN(K28,Listes!$H$22)-J28,1),IF(OR(J28&gt;K28,K28&gt;=Listes!$G$22),MOD(K28-Listes!$G$22,1),IF(K28&lt;=Listes!$H$22,MOD(K28-J28,1),IF(J28&lt;=Listes!$H$22,MOD(Listes!$H$22-J28,1),0))))+IF(AND(O28&gt;P28,O28&gt;=Listes!$G$22),MOD(MIN(P28,Listes!$H$22)-O28,1),IF(OR(O28&gt;P28,P28&gt;=Listes!$G$22),MOD(P28-Listes!$G$22,1),0)))*24</f>
        <v>0</v>
      </c>
      <c r="AC28" s="71">
        <f t="shared" ca="1" si="15"/>
        <v>0</v>
      </c>
      <c r="AD28" s="71">
        <f ca="1">IF(IFERROR(VLOOKUP(H28,Listes!$H$3:$H$20,1,0),0)&lt;&gt;0,W28,0)</f>
        <v>0</v>
      </c>
      <c r="AE28" s="71">
        <f t="shared" si="20"/>
        <v>0</v>
      </c>
      <c r="AF28" s="44"/>
      <c r="AG28" s="44"/>
      <c r="AH28" s="44"/>
      <c r="AI28" s="44"/>
      <c r="AJ28" s="44"/>
      <c r="AK28" s="44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79" t="str">
        <f t="shared" si="8"/>
        <v>MAT1</v>
      </c>
      <c r="BA28" s="80">
        <f t="shared" si="9"/>
        <v>0</v>
      </c>
      <c r="BB28" s="81">
        <f ca="1">AOUT!H28</f>
        <v>45526</v>
      </c>
      <c r="BC28" s="81">
        <f ca="1">AOUT!H28</f>
        <v>45526</v>
      </c>
      <c r="BD28" s="77" t="s">
        <v>81</v>
      </c>
      <c r="BE28" s="73" t="str">
        <f t="shared" si="10"/>
        <v>$jour</v>
      </c>
      <c r="BF28" s="71">
        <f t="shared" si="11"/>
        <v>0</v>
      </c>
      <c r="BG28" s="73"/>
      <c r="BH28" s="73"/>
      <c r="BI28" s="72" t="str">
        <f t="shared" si="16"/>
        <v>MAT1</v>
      </c>
      <c r="BL28" s="55" cm="1">
        <f t="array" ref="BL28">INDEX($5:$5,COLUMN($Z26)+B28-1)</f>
        <v>12</v>
      </c>
      <c r="BM28" s="55" cm="1">
        <f t="array" ref="BM28">IF(INDEX($4:$4,COLUMN($Z26)+B28-1)="Heures",SUMIF(C:C,BI28,AU:AU)*24,SUMIF(C:C,BI28,AU:AU))</f>
        <v>0</v>
      </c>
      <c r="BO28" s="55">
        <f t="shared" si="12"/>
        <v>0</v>
      </c>
      <c r="BS28" s="106">
        <f ca="1">VLOOKUP(_xlfn.SHEET(),Listes!$A:$B,2,0)</f>
        <v>45505</v>
      </c>
      <c r="BT28" s="106">
        <f t="shared" ca="1" si="17"/>
        <v>45505</v>
      </c>
      <c r="BU28" s="55">
        <f t="shared" si="13"/>
        <v>0</v>
      </c>
    </row>
    <row r="29" spans="1:73" ht="18" customHeight="1">
      <c r="A29" s="69" t="str">
        <f>Listes!$AD$2</f>
        <v>MANAGER</v>
      </c>
      <c r="B29" s="75">
        <f t="shared" si="18"/>
        <v>23</v>
      </c>
      <c r="C29" s="69" t="str" cm="1">
        <f t="array" ref="C29">INDEX(Listes!$Z$2:$Z$31,1+(ROW()-7)/31+INT((ROW()-7)/(31*30)))</f>
        <v>MAT1</v>
      </c>
      <c r="D29" s="69" t="str">
        <f>IFERROR(INDEX(Listes!Z:AA,MATCH(C29,Listes!Z:Z,0),2),"")</f>
        <v>Matricule 1</v>
      </c>
      <c r="E29" s="77" t="str">
        <f t="shared" ca="1" si="1"/>
        <v>août</v>
      </c>
      <c r="F29" s="120">
        <f t="shared" ca="1" si="14"/>
        <v>34</v>
      </c>
      <c r="G29" s="78" t="str">
        <f t="shared" ca="1" si="2"/>
        <v>vendredi</v>
      </c>
      <c r="H29" s="78">
        <f ca="1">IF(B29=1,INDEX(Listes!F:H,MATCH(_xlfn.SHEET(),Listes!F:F,0),3),IF(TEXT(H28+1,"mmmm")&lt;&gt;TEXT(H28,"mmmm"),"",H28+1))</f>
        <v>45527</v>
      </c>
      <c r="I29" s="37" t="s">
        <v>187</v>
      </c>
      <c r="J29" s="38">
        <f>IF(OR(I29=0,LEFT(I29,1)="A"),0,INDEX(Listes!Q:V,MATCH(I29,Listes!Q:Q,0),2))</f>
        <v>0.33333333333333331</v>
      </c>
      <c r="K29" s="38">
        <f>IF(OR(I29=0,LEFT(I29,1)="A"),0,INDEX(Listes!Q:V,MATCH(I29,Listes!Q:Q,0),3))</f>
        <v>0.5</v>
      </c>
      <c r="L29" s="37"/>
      <c r="M29" s="38">
        <f>IF(L29=0,0,IF(AND(LEFT(I29,1)="M",L29&lt;&gt;0),INDEX(Listes!J:O,MATCH(L29,Listes!J:J,1),3),IF(AND(LEFT(I29,1)="N",L29&lt;&gt;0),INDEX(Listes!J:O,MATCH(L29,Listes!J:J,1),3),IF(AND(LEFT(I29,1)="A",L29&lt;&gt;0),INDEX(Listes!J:O,MATCH(L29,Listes!J:J,1),3),IF(AND(LEFT(I29,1)="J",L29&lt;&gt;0),INDEX(Listes!J:O,MATCH(L29,Listes!J:J,1),3),IF(AND(LEFT(I29,1)="T",L29&lt;&gt;0),INDEX(Listes!J:O,MATCH(L29,Listes!J:J,1),3),"horaire"))))))</f>
        <v>0</v>
      </c>
      <c r="N29" s="38">
        <f>IFERROR(IF(M29="$horaire","à compléter",IF(AND(M29="$DEMI",INDEX(Listes!J:O,MATCH(L29,Listes!J:J,1),6)="oui"),(K29-J29),0)),0)</f>
        <v>0</v>
      </c>
      <c r="O29" s="40">
        <f>IF(OR(I29=0,LEFT(I29,1)="A"),0,INDEX(Listes!Q:V,MATCH(I29,Listes!Q:Q,0),4))</f>
        <v>0.5625</v>
      </c>
      <c r="P29" s="42">
        <f>IF(OR(I29=0,LEFT(I29,1)="A"),0,INDEX(Listes!Q:V,MATCH(I29,Listes!Q:Q,0),5))</f>
        <v>0.70833333333333337</v>
      </c>
      <c r="Q29" s="37"/>
      <c r="R29" s="38">
        <f>IF(Q29=0,0,IF(AND(LEFT(I29,1)="M",Q29&lt;&gt;0),INDEX(Listes!J:O,MATCH(Q29,Listes!J:J,1),3),IF(AND(LEFT(I29,1)="N",Q29&lt;&gt;0),INDEX(Listes!J:O,MATCH(Q29,Listes!J:J,1),3),IF(AND(LEFT(I29,1)="A",Q29&lt;&gt;0),INDEX(Listes!J:O,MATCH(Q29,Listes!J:J,1),3),IF(AND(LEFT(I29,1)="J",Q29&lt;&gt;0),INDEX(Listes!J:O,MATCH(Q29,Listes!J:J,1),3),IF(AND(LEFT(I29,1)="T",Q29&lt;&gt;0),INDEX(Listes!J:O,MATCH(Q29,Listes!J:J,1),3),"horaire"))))))</f>
        <v>0</v>
      </c>
      <c r="S29" s="38">
        <f>IFERROR(IF(R29="$horaire","à compléter",IF(AND(R29="$DEMI2",INDEX(Listes!J:O,MATCH(Q29,Listes!J:J,1),6)="oui"),(P29-O29),0)),0)</f>
        <v>0</v>
      </c>
      <c r="T29" s="37"/>
      <c r="U29" s="37">
        <f t="shared" si="3"/>
        <v>0</v>
      </c>
      <c r="V29" s="70">
        <f>IF(I29=0,0,INDEX(Listes!Q:V,MATCH(I29,Listes!Q:Q,1),6))</f>
        <v>7.5000000000000009</v>
      </c>
      <c r="W29" s="71">
        <f>IF(I29=0,0,IF(AND(LEFT(I29,1)="A",O29&lt;=P29),(P29-O29)*24,IF(J29&lt;=K29,(K29-J29)*24,((Listes!$H$21-J29)*24+(K29-Listes!$H$21)*24))+IF(O29&lt;=P29,(P29-O29)*24,(Listes!$H$21-O29)*24+(P29-Listes!$G$21)*24)))-X29+(U29*24)</f>
        <v>7.5000000000000009</v>
      </c>
      <c r="X29" s="70">
        <f>IFERROR(IF(IFERROR(INDEX(Listes!J:O,MATCH(L29,Listes!J:J,1),6),0)="oui",N29*24,0),0)+IFERROR(IF(IFERROR(INDEX(Listes!J:O,MATCH(Q29,Listes!J:J,1),6),0)="oui",S29*24,0),0)</f>
        <v>0</v>
      </c>
      <c r="Y29" s="70">
        <f t="shared" ca="1" si="21"/>
        <v>0</v>
      </c>
      <c r="Z29" s="71">
        <f t="shared" si="19"/>
        <v>1</v>
      </c>
      <c r="AA29" s="70">
        <f t="shared" si="6"/>
        <v>0</v>
      </c>
      <c r="AB29" s="70">
        <f>IF(I29=0,0,IF(AND(J29&gt;K29,J29&gt;=Listes!$G$22),MOD(MIN(K29,Listes!$H$22)-J29,1),IF(OR(J29&gt;K29,K29&gt;=Listes!$G$22),MOD(K29-Listes!$G$22,1),IF(K29&lt;=Listes!$H$22,MOD(K29-J29,1),IF(J29&lt;=Listes!$H$22,MOD(Listes!$H$22-J29,1),0))))+IF(AND(O29&gt;P29,O29&gt;=Listes!$G$22),MOD(MIN(P29,Listes!$H$22)-O29,1),IF(OR(O29&gt;P29,P29&gt;=Listes!$G$22),MOD(P29-Listes!$G$22,1),0)))*24</f>
        <v>0</v>
      </c>
      <c r="AC29" s="71">
        <f t="shared" ca="1" si="15"/>
        <v>0</v>
      </c>
      <c r="AD29" s="71">
        <f ca="1">IF(IFERROR(VLOOKUP(H29,Listes!$H$3:$H$20,1,0),0)&lt;&gt;0,W29,0)</f>
        <v>0</v>
      </c>
      <c r="AE29" s="71">
        <f t="shared" si="20"/>
        <v>0</v>
      </c>
      <c r="AF29" s="44"/>
      <c r="AG29" s="44"/>
      <c r="AH29" s="44"/>
      <c r="AI29" s="44"/>
      <c r="AJ29" s="44"/>
      <c r="AK29" s="44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79" t="str">
        <f t="shared" si="8"/>
        <v>MAT1</v>
      </c>
      <c r="BA29" s="80">
        <f t="shared" si="9"/>
        <v>0</v>
      </c>
      <c r="BB29" s="81">
        <f ca="1">AOUT!H29</f>
        <v>45527</v>
      </c>
      <c r="BC29" s="81">
        <f ca="1">AOUT!H29</f>
        <v>45527</v>
      </c>
      <c r="BD29" s="77" t="s">
        <v>81</v>
      </c>
      <c r="BE29" s="73" t="str">
        <f t="shared" si="10"/>
        <v>$jour</v>
      </c>
      <c r="BF29" s="71">
        <f t="shared" si="11"/>
        <v>0</v>
      </c>
      <c r="BG29" s="73"/>
      <c r="BH29" s="73"/>
      <c r="BI29" s="72" t="str">
        <f t="shared" si="16"/>
        <v>MAT1</v>
      </c>
      <c r="BL29" s="55" cm="1">
        <f t="array" ref="BL29">INDEX($5:$5,COLUMN($Z27)+B29-1)</f>
        <v>13</v>
      </c>
      <c r="BM29" s="55" cm="1">
        <f t="array" ref="BM29">IF(INDEX($4:$4,COLUMN($Z27)+B29-1)="Heures",SUMIF(C:C,BI29,AV:AV)*24,SUMIF(C:C,BI29,AV:AV))</f>
        <v>0</v>
      </c>
      <c r="BO29" s="55">
        <f t="shared" si="12"/>
        <v>0</v>
      </c>
      <c r="BS29" s="106">
        <f ca="1">VLOOKUP(_xlfn.SHEET(),Listes!$A:$B,2,0)</f>
        <v>45505</v>
      </c>
      <c r="BT29" s="106">
        <f t="shared" ca="1" si="17"/>
        <v>45505</v>
      </c>
      <c r="BU29" s="55">
        <f t="shared" si="13"/>
        <v>0</v>
      </c>
    </row>
    <row r="30" spans="1:73" ht="18" customHeight="1">
      <c r="A30" s="69" t="str">
        <f>Listes!$AD$2</f>
        <v>MANAGER</v>
      </c>
      <c r="B30" s="75">
        <f t="shared" si="18"/>
        <v>24</v>
      </c>
      <c r="C30" s="69" t="str" cm="1">
        <f t="array" ref="C30">INDEX(Listes!$Z$2:$Z$31,1+(ROW()-7)/31+INT((ROW()-7)/(31*30)))</f>
        <v>MAT1</v>
      </c>
      <c r="D30" s="69" t="str">
        <f>IFERROR(INDEX(Listes!Z:AA,MATCH(C30,Listes!Z:Z,0),2),"")</f>
        <v>Matricule 1</v>
      </c>
      <c r="E30" s="77" t="str">
        <f t="shared" ca="1" si="1"/>
        <v>août</v>
      </c>
      <c r="F30" s="120">
        <f t="shared" ca="1" si="14"/>
        <v>34</v>
      </c>
      <c r="G30" s="78" t="str">
        <f t="shared" ca="1" si="2"/>
        <v>samedi</v>
      </c>
      <c r="H30" s="78">
        <f ca="1">IF(B30=1,INDEX(Listes!F:H,MATCH(_xlfn.SHEET(),Listes!F:F,0),3),IF(TEXT(H29+1,"mmmm")&lt;&gt;TEXT(H29,"mmmm"),"",H29+1))</f>
        <v>45528</v>
      </c>
      <c r="I30" s="37" t="s">
        <v>187</v>
      </c>
      <c r="J30" s="38">
        <f>IF(OR(I30=0,LEFT(I30,1)="A"),0,INDEX(Listes!Q:V,MATCH(I30,Listes!Q:Q,0),2))</f>
        <v>0.33333333333333331</v>
      </c>
      <c r="K30" s="38">
        <f>IF(OR(I30=0,LEFT(I30,1)="A"),0,INDEX(Listes!Q:V,MATCH(I30,Listes!Q:Q,0),3))</f>
        <v>0.5</v>
      </c>
      <c r="L30" s="37"/>
      <c r="M30" s="38">
        <f>IF(L30=0,0,IF(AND(LEFT(I30,1)="M",L30&lt;&gt;0),INDEX(Listes!J:O,MATCH(L30,Listes!J:J,1),3),IF(AND(LEFT(I30,1)="N",L30&lt;&gt;0),INDEX(Listes!J:O,MATCH(L30,Listes!J:J,1),3),IF(AND(LEFT(I30,1)="A",L30&lt;&gt;0),INDEX(Listes!J:O,MATCH(L30,Listes!J:J,1),3),IF(AND(LEFT(I30,1)="J",L30&lt;&gt;0),INDEX(Listes!J:O,MATCH(L30,Listes!J:J,1),3),IF(AND(LEFT(I30,1)="T",L30&lt;&gt;0),INDEX(Listes!J:O,MATCH(L30,Listes!J:J,1),3),"horaire"))))))</f>
        <v>0</v>
      </c>
      <c r="N30" s="38">
        <f>IFERROR(IF(M30="$horaire","à compléter",IF(AND(M30="$DEMI",INDEX(Listes!J:O,MATCH(L30,Listes!J:J,1),6)="oui"),(K30-J30),0)),0)</f>
        <v>0</v>
      </c>
      <c r="O30" s="40">
        <f>IF(OR(I30=0,LEFT(I30,1)="A"),0,INDEX(Listes!Q:V,MATCH(I30,Listes!Q:Q,0),4))</f>
        <v>0.5625</v>
      </c>
      <c r="P30" s="42">
        <f>IF(OR(I30=0,LEFT(I30,1)="A"),0,INDEX(Listes!Q:V,MATCH(I30,Listes!Q:Q,0),5))</f>
        <v>0.70833333333333337</v>
      </c>
      <c r="Q30" s="37"/>
      <c r="R30" s="38">
        <f>IF(Q30=0,0,IF(AND(LEFT(I30,1)="M",Q30&lt;&gt;0),INDEX(Listes!J:O,MATCH(Q30,Listes!J:J,1),3),IF(AND(LEFT(I30,1)="N",Q30&lt;&gt;0),INDEX(Listes!J:O,MATCH(Q30,Listes!J:J,1),3),IF(AND(LEFT(I30,1)="A",Q30&lt;&gt;0),INDEX(Listes!J:O,MATCH(Q30,Listes!J:J,1),3),IF(AND(LEFT(I30,1)="J",Q30&lt;&gt;0),INDEX(Listes!J:O,MATCH(Q30,Listes!J:J,1),3),IF(AND(LEFT(I30,1)="T",Q30&lt;&gt;0),INDEX(Listes!J:O,MATCH(Q30,Listes!J:J,1),3),"horaire"))))))</f>
        <v>0</v>
      </c>
      <c r="S30" s="38">
        <f>IFERROR(IF(R30="$horaire","à compléter",IF(AND(R30="$DEMI2",INDEX(Listes!J:O,MATCH(Q30,Listes!J:J,1),6)="oui"),(P30-O30),0)),0)</f>
        <v>0</v>
      </c>
      <c r="T30" s="37"/>
      <c r="U30" s="37">
        <f t="shared" si="3"/>
        <v>0</v>
      </c>
      <c r="V30" s="70">
        <f>IF(I30=0,0,INDEX(Listes!Q:V,MATCH(I30,Listes!Q:Q,1),6))</f>
        <v>7.5000000000000009</v>
      </c>
      <c r="W30" s="71">
        <f>IF(I30=0,0,IF(AND(LEFT(I30,1)="A",O30&lt;=P30),(P30-O30)*24,IF(J30&lt;=K30,(K30-J30)*24,((Listes!$H$21-J30)*24+(K30-Listes!$H$21)*24))+IF(O30&lt;=P30,(P30-O30)*24,(Listes!$H$21-O30)*24+(P30-Listes!$G$21)*24)))-X30+(U30*24)</f>
        <v>7.5000000000000009</v>
      </c>
      <c r="X30" s="70">
        <f>IFERROR(IF(IFERROR(INDEX(Listes!J:O,MATCH(L30,Listes!J:J,1),6),0)="oui",N30*24,0),0)+IFERROR(IF(IFERROR(INDEX(Listes!J:O,MATCH(Q30,Listes!J:J,1),6),0)="oui",S30*24,0),0)</f>
        <v>0</v>
      </c>
      <c r="Y30" s="70">
        <f t="shared" ca="1" si="21"/>
        <v>7.5000000000000009</v>
      </c>
      <c r="Z30" s="71">
        <f t="shared" si="19"/>
        <v>1</v>
      </c>
      <c r="AA30" s="70">
        <f t="shared" si="6"/>
        <v>0</v>
      </c>
      <c r="AB30" s="70">
        <f>IF(I30=0,0,IF(AND(J30&gt;K30,J30&gt;=Listes!$G$22),MOD(MIN(K30,Listes!$H$22)-J30,1),IF(OR(J30&gt;K30,K30&gt;=Listes!$G$22),MOD(K30-Listes!$G$22,1),IF(K30&lt;=Listes!$H$22,MOD(K30-J30,1),IF(J30&lt;=Listes!$H$22,MOD(Listes!$H$22-J30,1),0))))+IF(AND(O30&gt;P30,O30&gt;=Listes!$G$22),MOD(MIN(P30,Listes!$H$22)-O30,1),IF(OR(O30&gt;P30,P30&gt;=Listes!$G$22),MOD(P30-Listes!$G$22,1),0)))*24</f>
        <v>0</v>
      </c>
      <c r="AC30" s="71">
        <f t="shared" ca="1" si="15"/>
        <v>0</v>
      </c>
      <c r="AD30" s="71">
        <f ca="1">IF(IFERROR(VLOOKUP(H30,Listes!$H$3:$H$20,1,0),0)&lt;&gt;0,W30,0)</f>
        <v>0</v>
      </c>
      <c r="AE30" s="71">
        <f t="shared" si="20"/>
        <v>0</v>
      </c>
      <c r="AF30" s="44"/>
      <c r="AG30" s="44"/>
      <c r="AH30" s="44"/>
      <c r="AI30" s="44"/>
      <c r="AJ30" s="44"/>
      <c r="AK30" s="44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79" t="str">
        <f t="shared" si="8"/>
        <v>MAT1</v>
      </c>
      <c r="BA30" s="80">
        <f t="shared" si="9"/>
        <v>0</v>
      </c>
      <c r="BB30" s="81">
        <f ca="1">AOUT!H30</f>
        <v>45528</v>
      </c>
      <c r="BC30" s="81">
        <f ca="1">AOUT!H30</f>
        <v>45528</v>
      </c>
      <c r="BD30" s="77" t="s">
        <v>81</v>
      </c>
      <c r="BE30" s="73" t="str">
        <f t="shared" si="10"/>
        <v>$jour</v>
      </c>
      <c r="BF30" s="71">
        <f t="shared" si="11"/>
        <v>0</v>
      </c>
      <c r="BG30" s="73"/>
      <c r="BH30" s="73"/>
      <c r="BI30" s="72" t="str">
        <f t="shared" si="16"/>
        <v>MAT1</v>
      </c>
      <c r="BL30" s="55" cm="1">
        <f t="array" ref="BL30">INDEX($5:$5,COLUMN($Z28)+B30-1)</f>
        <v>14</v>
      </c>
      <c r="BM30" s="55" cm="1">
        <f t="array" ref="BM30">IF(INDEX($4:$4,COLUMN($Z28)+B30-1)="Heures",SUMIF(C:C,BI30,AW:AW)*24,SUMIF(C:C,BI30,AW:AW))</f>
        <v>0</v>
      </c>
      <c r="BO30" s="55">
        <f t="shared" si="12"/>
        <v>0</v>
      </c>
      <c r="BS30" s="106">
        <f ca="1">VLOOKUP(_xlfn.SHEET(),Listes!$A:$B,2,0)</f>
        <v>45505</v>
      </c>
      <c r="BT30" s="106">
        <f t="shared" ca="1" si="17"/>
        <v>45505</v>
      </c>
      <c r="BU30" s="55">
        <f t="shared" si="13"/>
        <v>0</v>
      </c>
    </row>
    <row r="31" spans="1:73" ht="18" customHeight="1">
      <c r="A31" s="69" t="str">
        <f>Listes!$AD$2</f>
        <v>MANAGER</v>
      </c>
      <c r="B31" s="75">
        <f t="shared" si="18"/>
        <v>25</v>
      </c>
      <c r="C31" s="69" t="str" cm="1">
        <f t="array" ref="C31">INDEX(Listes!$Z$2:$Z$31,1+(ROW()-7)/31+INT((ROW()-7)/(31*30)))</f>
        <v>MAT1</v>
      </c>
      <c r="D31" s="69" t="str">
        <f>IFERROR(INDEX(Listes!Z:AA,MATCH(C31,Listes!Z:Z,0),2),"")</f>
        <v>Matricule 1</v>
      </c>
      <c r="E31" s="77" t="str">
        <f t="shared" ca="1" si="1"/>
        <v>août</v>
      </c>
      <c r="F31" s="120">
        <f t="shared" ca="1" si="14"/>
        <v>34</v>
      </c>
      <c r="G31" s="78" t="str">
        <f t="shared" ca="1" si="2"/>
        <v>dimanche</v>
      </c>
      <c r="H31" s="78">
        <f ca="1">IF(B31=1,INDEX(Listes!F:H,MATCH(_xlfn.SHEET(),Listes!F:F,0),3),IF(TEXT(H30+1,"mmmm")&lt;&gt;TEXT(H30,"mmmm"),"",H30+1))</f>
        <v>45529</v>
      </c>
      <c r="I31" s="37" t="s">
        <v>187</v>
      </c>
      <c r="J31" s="38">
        <f>IF(OR(I31=0,LEFT(I31,1)="A"),0,INDEX(Listes!Q:V,MATCH(I31,Listes!Q:Q,0),2))</f>
        <v>0.33333333333333331</v>
      </c>
      <c r="K31" s="38">
        <f>IF(OR(I31=0,LEFT(I31,1)="A"),0,INDEX(Listes!Q:V,MATCH(I31,Listes!Q:Q,0),3))</f>
        <v>0.5</v>
      </c>
      <c r="L31" s="37"/>
      <c r="M31" s="38">
        <f>IF(L31=0,0,IF(AND(LEFT(I31,1)="M",L31&lt;&gt;0),INDEX(Listes!J:O,MATCH(L31,Listes!J:J,1),3),IF(AND(LEFT(I31,1)="N",L31&lt;&gt;0),INDEX(Listes!J:O,MATCH(L31,Listes!J:J,1),3),IF(AND(LEFT(I31,1)="A",L31&lt;&gt;0),INDEX(Listes!J:O,MATCH(L31,Listes!J:J,1),3),IF(AND(LEFT(I31,1)="J",L31&lt;&gt;0),INDEX(Listes!J:O,MATCH(L31,Listes!J:J,1),3),IF(AND(LEFT(I31,1)="T",L31&lt;&gt;0),INDEX(Listes!J:O,MATCH(L31,Listes!J:J,1),3),"horaire"))))))</f>
        <v>0</v>
      </c>
      <c r="N31" s="38">
        <f>IFERROR(IF(M31="$horaire","à compléter",IF(AND(M31="$DEMI",INDEX(Listes!J:O,MATCH(L31,Listes!J:J,1),6)="oui"),(K31-J31),0)),0)</f>
        <v>0</v>
      </c>
      <c r="O31" s="40">
        <f>IF(OR(I31=0,LEFT(I31,1)="A"),0,INDEX(Listes!Q:V,MATCH(I31,Listes!Q:Q,0),4))</f>
        <v>0.5625</v>
      </c>
      <c r="P31" s="42">
        <f>IF(OR(I31=0,LEFT(I31,1)="A"),0,INDEX(Listes!Q:V,MATCH(I31,Listes!Q:Q,0),5))</f>
        <v>0.70833333333333337</v>
      </c>
      <c r="Q31" s="37"/>
      <c r="R31" s="38">
        <f>IF(Q31=0,0,IF(AND(LEFT(I31,1)="M",Q31&lt;&gt;0),INDEX(Listes!J:O,MATCH(Q31,Listes!J:J,1),3),IF(AND(LEFT(I31,1)="N",Q31&lt;&gt;0),INDEX(Listes!J:O,MATCH(Q31,Listes!J:J,1),3),IF(AND(LEFT(I31,1)="A",Q31&lt;&gt;0),INDEX(Listes!J:O,MATCH(Q31,Listes!J:J,1),3),IF(AND(LEFT(I31,1)="J",Q31&lt;&gt;0),INDEX(Listes!J:O,MATCH(Q31,Listes!J:J,1),3),IF(AND(LEFT(I31,1)="T",Q31&lt;&gt;0),INDEX(Listes!J:O,MATCH(Q31,Listes!J:J,1),3),"horaire"))))))</f>
        <v>0</v>
      </c>
      <c r="S31" s="38">
        <f>IFERROR(IF(R31="$horaire","à compléter",IF(AND(R31="$DEMI2",INDEX(Listes!J:O,MATCH(Q31,Listes!J:J,1),6)="oui"),(P31-O31),0)),0)</f>
        <v>0</v>
      </c>
      <c r="T31" s="37"/>
      <c r="U31" s="37">
        <f t="shared" si="3"/>
        <v>0</v>
      </c>
      <c r="V31" s="70">
        <f>IF(I31=0,0,INDEX(Listes!Q:V,MATCH(I31,Listes!Q:Q,1),6))</f>
        <v>7.5000000000000009</v>
      </c>
      <c r="W31" s="71">
        <f>IF(I31=0,0,IF(AND(LEFT(I31,1)="A",O31&lt;=P31),(P31-O31)*24,IF(J31&lt;=K31,(K31-J31)*24,((Listes!$H$21-J31)*24+(K31-Listes!$H$21)*24))+IF(O31&lt;=P31,(P31-O31)*24,(Listes!$H$21-O31)*24+(P31-Listes!$G$21)*24)))-X31+(U31*24)</f>
        <v>7.5000000000000009</v>
      </c>
      <c r="X31" s="70">
        <f>IFERROR(IF(IFERROR(INDEX(Listes!J:O,MATCH(L31,Listes!J:J,1),6),0)="oui",N31*24,0),0)+IFERROR(IF(IFERROR(INDEX(Listes!J:O,MATCH(Q31,Listes!J:J,1),6),0)="oui",S31*24,0),0)</f>
        <v>0</v>
      </c>
      <c r="Y31" s="70">
        <f t="shared" ca="1" si="21"/>
        <v>7.5000000000000009</v>
      </c>
      <c r="Z31" s="71">
        <f t="shared" si="19"/>
        <v>1</v>
      </c>
      <c r="AA31" s="70">
        <f t="shared" si="6"/>
        <v>0</v>
      </c>
      <c r="AB31" s="70">
        <f>IF(I31=0,0,IF(AND(J31&gt;K31,J31&gt;=Listes!$G$22),MOD(MIN(K31,Listes!$H$22)-J31,1),IF(OR(J31&gt;K31,K31&gt;=Listes!$G$22),MOD(K31-Listes!$G$22,1),IF(K31&lt;=Listes!$H$22,MOD(K31-J31,1),IF(J31&lt;=Listes!$H$22,MOD(Listes!$H$22-J31,1),0))))+IF(AND(O31&gt;P31,O31&gt;=Listes!$G$22),MOD(MIN(P31,Listes!$H$22)-O31,1),IF(OR(O31&gt;P31,P31&gt;=Listes!$G$22),MOD(P31-Listes!$G$22,1),0)))*24</f>
        <v>0</v>
      </c>
      <c r="AC31" s="71">
        <f t="shared" ca="1" si="15"/>
        <v>7.5000000000000009</v>
      </c>
      <c r="AD31" s="71">
        <f ca="1">IF(IFERROR(VLOOKUP(H31,Listes!$H$3:$H$20,1,0),0)&lt;&gt;0,W31,0)</f>
        <v>0</v>
      </c>
      <c r="AE31" s="71">
        <f t="shared" si="20"/>
        <v>0</v>
      </c>
      <c r="AF31" s="44"/>
      <c r="AG31" s="44"/>
      <c r="AH31" s="44"/>
      <c r="AI31" s="44"/>
      <c r="AJ31" s="44"/>
      <c r="AK31" s="44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79" t="str">
        <f t="shared" si="8"/>
        <v>MAT1</v>
      </c>
      <c r="BA31" s="80">
        <f t="shared" si="9"/>
        <v>0</v>
      </c>
      <c r="BB31" s="81">
        <f ca="1">AOUT!H31</f>
        <v>45529</v>
      </c>
      <c r="BC31" s="81">
        <f ca="1">AOUT!H31</f>
        <v>45529</v>
      </c>
      <c r="BD31" s="77" t="s">
        <v>81</v>
      </c>
      <c r="BE31" s="73" t="str">
        <f t="shared" si="10"/>
        <v>$jour</v>
      </c>
      <c r="BF31" s="71">
        <f t="shared" si="11"/>
        <v>0</v>
      </c>
      <c r="BG31" s="73"/>
      <c r="BH31" s="73"/>
      <c r="BI31" s="72" t="str">
        <f t="shared" si="16"/>
        <v>MAT1</v>
      </c>
      <c r="BL31" s="55" cm="1">
        <f t="array" ref="BL31">INDEX($5:$5,COLUMN($Z29)+B31-1)</f>
        <v>15</v>
      </c>
      <c r="BM31" s="55" cm="1">
        <f t="array" ref="BM31">IF(INDEX($4:$4,COLUMN($Z29)+B31-1)="Heures",SUMIF(C:C,BI31,AX:AX)*24,SUMIF(C:C,BI31,AX:AX))</f>
        <v>0</v>
      </c>
      <c r="BO31" s="55">
        <f t="shared" si="12"/>
        <v>0</v>
      </c>
      <c r="BS31" s="106">
        <f ca="1">VLOOKUP(_xlfn.SHEET(),Listes!$A:$B,2,0)</f>
        <v>45505</v>
      </c>
      <c r="BT31" s="106">
        <f t="shared" ca="1" si="17"/>
        <v>45505</v>
      </c>
      <c r="BU31" s="55">
        <f t="shared" si="13"/>
        <v>0</v>
      </c>
    </row>
    <row r="32" spans="1:73" ht="18" customHeight="1">
      <c r="A32" s="69" t="str">
        <f>Listes!$AD$2</f>
        <v>MANAGER</v>
      </c>
      <c r="B32" s="75">
        <f t="shared" si="18"/>
        <v>26</v>
      </c>
      <c r="C32" s="69" t="str" cm="1">
        <f t="array" ref="C32">INDEX(Listes!$Z$2:$Z$31,1+(ROW()-7)/31+INT((ROW()-7)/(31*30)))</f>
        <v>MAT1</v>
      </c>
      <c r="D32" s="69" t="str">
        <f>IFERROR(INDEX(Listes!Z:AA,MATCH(C32,Listes!Z:Z,0),2),"")</f>
        <v>Matricule 1</v>
      </c>
      <c r="E32" s="77" t="str">
        <f t="shared" ca="1" si="1"/>
        <v>août</v>
      </c>
      <c r="F32" s="120">
        <f t="shared" ca="1" si="14"/>
        <v>35</v>
      </c>
      <c r="G32" s="78" t="str">
        <f t="shared" ca="1" si="2"/>
        <v>lundi</v>
      </c>
      <c r="H32" s="78">
        <f ca="1">IF(B32=1,INDEX(Listes!F:H,MATCH(_xlfn.SHEET(),Listes!F:F,0),3),IF(TEXT(H31+1,"mmmm")&lt;&gt;TEXT(H31,"mmmm"),"",H31+1))</f>
        <v>45530</v>
      </c>
      <c r="I32" s="37" t="s">
        <v>187</v>
      </c>
      <c r="J32" s="38">
        <f>IF(OR(I32=0,LEFT(I32,1)="A"),0,INDEX(Listes!Q:V,MATCH(I32,Listes!Q:Q,0),2))</f>
        <v>0.33333333333333331</v>
      </c>
      <c r="K32" s="38">
        <f>IF(OR(I32=0,LEFT(I32,1)="A"),0,INDEX(Listes!Q:V,MATCH(I32,Listes!Q:Q,0),3))</f>
        <v>0.5</v>
      </c>
      <c r="L32" s="37"/>
      <c r="M32" s="38">
        <f>IF(L32=0,0,IF(AND(LEFT(I32,1)="M",L32&lt;&gt;0),INDEX(Listes!J:O,MATCH(L32,Listes!J:J,1),3),IF(AND(LEFT(I32,1)="N",L32&lt;&gt;0),INDEX(Listes!J:O,MATCH(L32,Listes!J:J,1),3),IF(AND(LEFT(I32,1)="A",L32&lt;&gt;0),INDEX(Listes!J:O,MATCH(L32,Listes!J:J,1),3),IF(AND(LEFT(I32,1)="J",L32&lt;&gt;0),INDEX(Listes!J:O,MATCH(L32,Listes!J:J,1),3),IF(AND(LEFT(I32,1)="T",L32&lt;&gt;0),INDEX(Listes!J:O,MATCH(L32,Listes!J:J,1),3),"horaire"))))))</f>
        <v>0</v>
      </c>
      <c r="N32" s="38">
        <f>IFERROR(IF(M32="$horaire","à compléter",IF(AND(M32="$DEMI",INDEX(Listes!J:O,MATCH(L32,Listes!J:J,1),6)="oui"),(K32-J32),0)),0)</f>
        <v>0</v>
      </c>
      <c r="O32" s="40">
        <f>IF(OR(I32=0,LEFT(I32,1)="A"),0,INDEX(Listes!Q:V,MATCH(I32,Listes!Q:Q,0),4))</f>
        <v>0.5625</v>
      </c>
      <c r="P32" s="42">
        <f>IF(OR(I32=0,LEFT(I32,1)="A"),0,INDEX(Listes!Q:V,MATCH(I32,Listes!Q:Q,0),5))</f>
        <v>0.70833333333333337</v>
      </c>
      <c r="Q32" s="37"/>
      <c r="R32" s="38">
        <f>IF(Q32=0,0,IF(AND(LEFT(I32,1)="M",Q32&lt;&gt;0),INDEX(Listes!J:O,MATCH(Q32,Listes!J:J,1),3),IF(AND(LEFT(I32,1)="N",Q32&lt;&gt;0),INDEX(Listes!J:O,MATCH(Q32,Listes!J:J,1),3),IF(AND(LEFT(I32,1)="A",Q32&lt;&gt;0),INDEX(Listes!J:O,MATCH(Q32,Listes!J:J,1),3),IF(AND(LEFT(I32,1)="J",Q32&lt;&gt;0),INDEX(Listes!J:O,MATCH(Q32,Listes!J:J,1),3),IF(AND(LEFT(I32,1)="T",Q32&lt;&gt;0),INDEX(Listes!J:O,MATCH(Q32,Listes!J:J,1),3),"horaire"))))))</f>
        <v>0</v>
      </c>
      <c r="S32" s="38">
        <f>IFERROR(IF(R32="$horaire","à compléter",IF(AND(R32="$DEMI2",INDEX(Listes!J:O,MATCH(Q32,Listes!J:J,1),6)="oui"),(P32-O32),0)),0)</f>
        <v>0</v>
      </c>
      <c r="T32" s="37"/>
      <c r="U32" s="37">
        <f t="shared" si="3"/>
        <v>0</v>
      </c>
      <c r="V32" s="70">
        <f>IF(I32=0,0,INDEX(Listes!Q:V,MATCH(I32,Listes!Q:Q,1),6))</f>
        <v>7.5000000000000009</v>
      </c>
      <c r="W32" s="71">
        <f>IF(I32=0,0,IF(AND(LEFT(I32,1)="A",O32&lt;=P32),(P32-O32)*24,IF(J32&lt;=K32,(K32-J32)*24,((Listes!$H$21-J32)*24+(K32-Listes!$H$21)*24))+IF(O32&lt;=P32,(P32-O32)*24,(Listes!$H$21-O32)*24+(P32-Listes!$G$21)*24)))-X32+(U32*24)</f>
        <v>7.5000000000000009</v>
      </c>
      <c r="X32" s="70">
        <f>IFERROR(IF(IFERROR(INDEX(Listes!J:O,MATCH(L32,Listes!J:J,1),6),0)="oui",N32*24,0),0)+IFERROR(IF(IFERROR(INDEX(Listes!J:O,MATCH(Q32,Listes!J:J,1),6),0)="oui",S32*24,0),0)</f>
        <v>0</v>
      </c>
      <c r="Y32" s="70">
        <f t="shared" ca="1" si="21"/>
        <v>0</v>
      </c>
      <c r="Z32" s="71">
        <f t="shared" si="19"/>
        <v>1</v>
      </c>
      <c r="AA32" s="70">
        <f t="shared" si="6"/>
        <v>0</v>
      </c>
      <c r="AB32" s="70">
        <f>IF(I32=0,0,IF(AND(J32&gt;K32,J32&gt;=Listes!$G$22),MOD(MIN(K32,Listes!$H$22)-J32,1),IF(OR(J32&gt;K32,K32&gt;=Listes!$G$22),MOD(K32-Listes!$G$22,1),IF(K32&lt;=Listes!$H$22,MOD(K32-J32,1),IF(J32&lt;=Listes!$H$22,MOD(Listes!$H$22-J32,1),0))))+IF(AND(O32&gt;P32,O32&gt;=Listes!$G$22),MOD(MIN(P32,Listes!$H$22)-O32,1),IF(OR(O32&gt;P32,P32&gt;=Listes!$G$22),MOD(P32-Listes!$G$22,1),0)))*24</f>
        <v>0</v>
      </c>
      <c r="AC32" s="71">
        <f t="shared" ca="1" si="15"/>
        <v>0</v>
      </c>
      <c r="AD32" s="71">
        <f ca="1">IF(IFERROR(VLOOKUP(H32,Listes!$H$3:$H$20,1,0),0)&lt;&gt;0,W32,0)</f>
        <v>0</v>
      </c>
      <c r="AE32" s="71">
        <f t="shared" si="20"/>
        <v>0</v>
      </c>
      <c r="AF32" s="44"/>
      <c r="AG32" s="44"/>
      <c r="AH32" s="44"/>
      <c r="AI32" s="44"/>
      <c r="AJ32" s="44"/>
      <c r="AK32" s="44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79" t="str">
        <f t="shared" si="8"/>
        <v>MAT1</v>
      </c>
      <c r="BA32" s="80">
        <f t="shared" si="9"/>
        <v>0</v>
      </c>
      <c r="BB32" s="81">
        <f ca="1">AOUT!H32</f>
        <v>45530</v>
      </c>
      <c r="BC32" s="81">
        <f ca="1">AOUT!H32</f>
        <v>45530</v>
      </c>
      <c r="BD32" s="77" t="s">
        <v>81</v>
      </c>
      <c r="BE32" s="73" t="str">
        <f t="shared" si="10"/>
        <v>$jour</v>
      </c>
      <c r="BF32" s="71">
        <f t="shared" si="11"/>
        <v>0</v>
      </c>
      <c r="BG32" s="73"/>
      <c r="BH32" s="73"/>
      <c r="BI32" s="72" t="str">
        <f t="shared" si="16"/>
        <v>MAT1</v>
      </c>
      <c r="BL32" s="55" cm="1">
        <f t="array" ref="BL32">INDEX($5:$5,COLUMN($Z30)+B32-1)</f>
        <v>16</v>
      </c>
      <c r="BM32" s="55" cm="1">
        <f t="array" ref="BM32">IF(INDEX($4:$4,COLUMN($Z30)+B32-1)="Heures",SUMIF(C:C,BI32,AY:AY)*24,SUMIF(C:C,BI32,AY:AY))</f>
        <v>0</v>
      </c>
      <c r="BO32" s="55">
        <f t="shared" si="12"/>
        <v>0</v>
      </c>
      <c r="BS32" s="106">
        <f ca="1">VLOOKUP(_xlfn.SHEET(),Listes!$A:$B,2,0)</f>
        <v>45505</v>
      </c>
      <c r="BT32" s="106">
        <f t="shared" ca="1" si="17"/>
        <v>45505</v>
      </c>
      <c r="BU32" s="55">
        <f t="shared" si="13"/>
        <v>0</v>
      </c>
    </row>
    <row r="33" spans="1:73" ht="18" customHeight="1">
      <c r="A33" s="69" t="str">
        <f>Listes!$AD$2</f>
        <v>MANAGER</v>
      </c>
      <c r="B33" s="75">
        <f t="shared" si="18"/>
        <v>27</v>
      </c>
      <c r="C33" s="69" t="str" cm="1">
        <f t="array" ref="C33">INDEX(Listes!$Z$2:$Z$31,1+(ROW()-7)/31+INT((ROW()-7)/(31*30)))</f>
        <v>MAT1</v>
      </c>
      <c r="D33" s="69" t="str">
        <f>IFERROR(INDEX(Listes!Z:AA,MATCH(C33,Listes!Z:Z,0),2),"")</f>
        <v>Matricule 1</v>
      </c>
      <c r="E33" s="77" t="str">
        <f t="shared" ca="1" si="1"/>
        <v>août</v>
      </c>
      <c r="F33" s="120">
        <f t="shared" ca="1" si="14"/>
        <v>35</v>
      </c>
      <c r="G33" s="78" t="str">
        <f t="shared" ca="1" si="2"/>
        <v>mardi</v>
      </c>
      <c r="H33" s="78">
        <f ca="1">IF(B33=1,INDEX(Listes!F:H,MATCH(_xlfn.SHEET(),Listes!F:F,0),3),IF(TEXT(H32+1,"mmmm")&lt;&gt;TEXT(H32,"mmmm"),"",H32+1))</f>
        <v>45531</v>
      </c>
      <c r="I33" s="37" t="s">
        <v>187</v>
      </c>
      <c r="J33" s="38">
        <f>IF(OR(I33=0,LEFT(I33,1)="A"),0,INDEX(Listes!Q:V,MATCH(I33,Listes!Q:Q,0),2))</f>
        <v>0.33333333333333331</v>
      </c>
      <c r="K33" s="38">
        <f>IF(OR(I33=0,LEFT(I33,1)="A"),0,INDEX(Listes!Q:V,MATCH(I33,Listes!Q:Q,0),3))</f>
        <v>0.5</v>
      </c>
      <c r="L33" s="37"/>
      <c r="M33" s="38">
        <f>IF(L33=0,0,IF(AND(LEFT(I33,1)="M",L33&lt;&gt;0),INDEX(Listes!J:O,MATCH(L33,Listes!J:J,1),3),IF(AND(LEFT(I33,1)="N",L33&lt;&gt;0),INDEX(Listes!J:O,MATCH(L33,Listes!J:J,1),3),IF(AND(LEFT(I33,1)="A",L33&lt;&gt;0),INDEX(Listes!J:O,MATCH(L33,Listes!J:J,1),3),IF(AND(LEFT(I33,1)="J",L33&lt;&gt;0),INDEX(Listes!J:O,MATCH(L33,Listes!J:J,1),3),IF(AND(LEFT(I33,1)="T",L33&lt;&gt;0),INDEX(Listes!J:O,MATCH(L33,Listes!J:J,1),3),"horaire"))))))</f>
        <v>0</v>
      </c>
      <c r="N33" s="38">
        <f>IFERROR(IF(M33="$horaire","à compléter",IF(AND(M33="$DEMI",INDEX(Listes!J:O,MATCH(L33,Listes!J:J,1),6)="oui"),(K33-J33),0)),0)</f>
        <v>0</v>
      </c>
      <c r="O33" s="40">
        <f>IF(OR(I33=0,LEFT(I33,1)="A"),0,INDEX(Listes!Q:V,MATCH(I33,Listes!Q:Q,0),4))</f>
        <v>0.5625</v>
      </c>
      <c r="P33" s="42">
        <f>IF(OR(I33=0,LEFT(I33,1)="A"),0,INDEX(Listes!Q:V,MATCH(I33,Listes!Q:Q,0),5))</f>
        <v>0.70833333333333337</v>
      </c>
      <c r="Q33" s="37"/>
      <c r="R33" s="38">
        <f>IF(Q33=0,0,IF(AND(LEFT(I33,1)="M",Q33&lt;&gt;0),INDEX(Listes!J:O,MATCH(Q33,Listes!J:J,1),3),IF(AND(LEFT(I33,1)="N",Q33&lt;&gt;0),INDEX(Listes!J:O,MATCH(Q33,Listes!J:J,1),3),IF(AND(LEFT(I33,1)="A",Q33&lt;&gt;0),INDEX(Listes!J:O,MATCH(Q33,Listes!J:J,1),3),IF(AND(LEFT(I33,1)="J",Q33&lt;&gt;0),INDEX(Listes!J:O,MATCH(Q33,Listes!J:J,1),3),IF(AND(LEFT(I33,1)="T",Q33&lt;&gt;0),INDEX(Listes!J:O,MATCH(Q33,Listes!J:J,1),3),"horaire"))))))</f>
        <v>0</v>
      </c>
      <c r="S33" s="38">
        <f>IFERROR(IF(R33="$horaire","à compléter",IF(AND(R33="$DEMI2",INDEX(Listes!J:O,MATCH(Q33,Listes!J:J,1),6)="oui"),(P33-O33),0)),0)</f>
        <v>0</v>
      </c>
      <c r="T33" s="37"/>
      <c r="U33" s="37">
        <f t="shared" si="3"/>
        <v>0</v>
      </c>
      <c r="V33" s="70">
        <f>IF(I33=0,0,INDEX(Listes!Q:V,MATCH(I33,Listes!Q:Q,1),6))</f>
        <v>7.5000000000000009</v>
      </c>
      <c r="W33" s="71">
        <f>IF(I33=0,0,IF(AND(LEFT(I33,1)="A",O33&lt;=P33),(P33-O33)*24,IF(J33&lt;=K33,(K33-J33)*24,((Listes!$H$21-J33)*24+(K33-Listes!$H$21)*24))+IF(O33&lt;=P33,(P33-O33)*24,(Listes!$H$21-O33)*24+(P33-Listes!$G$21)*24)))-X33+(U33*24)</f>
        <v>7.5000000000000009</v>
      </c>
      <c r="X33" s="70">
        <f>IFERROR(IF(IFERROR(INDEX(Listes!J:O,MATCH(L33,Listes!J:J,1),6),0)="oui",N33*24,0),0)+IFERROR(IF(IFERROR(INDEX(Listes!J:O,MATCH(Q33,Listes!J:J,1),6),0)="oui",S33*24,0),0)</f>
        <v>0</v>
      </c>
      <c r="Y33" s="70">
        <f t="shared" ca="1" si="21"/>
        <v>0</v>
      </c>
      <c r="Z33" s="71">
        <f t="shared" si="19"/>
        <v>1</v>
      </c>
      <c r="AA33" s="70">
        <f t="shared" si="6"/>
        <v>0</v>
      </c>
      <c r="AB33" s="70">
        <f>IF(I33=0,0,IF(AND(J33&gt;K33,J33&gt;=Listes!$G$22),MOD(MIN(K33,Listes!$H$22)-J33,1),IF(OR(J33&gt;K33,K33&gt;=Listes!$G$22),MOD(K33-Listes!$G$22,1),IF(K33&lt;=Listes!$H$22,MOD(K33-J33,1),IF(J33&lt;=Listes!$H$22,MOD(Listes!$H$22-J33,1),0))))+IF(AND(O33&gt;P33,O33&gt;=Listes!$G$22),MOD(MIN(P33,Listes!$H$22)-O33,1),IF(OR(O33&gt;P33,P33&gt;=Listes!$G$22),MOD(P33-Listes!$G$22,1),0)))*24</f>
        <v>0</v>
      </c>
      <c r="AC33" s="71">
        <f t="shared" ca="1" si="15"/>
        <v>0</v>
      </c>
      <c r="AD33" s="71">
        <f ca="1">IF(IFERROR(VLOOKUP(H33,Listes!$H$3:$H$20,1,0),0)&lt;&gt;0,W33,0)</f>
        <v>0</v>
      </c>
      <c r="AE33" s="71">
        <f t="shared" si="20"/>
        <v>0</v>
      </c>
      <c r="AF33" s="44"/>
      <c r="AG33" s="44"/>
      <c r="AH33" s="44"/>
      <c r="AI33" s="44"/>
      <c r="AJ33" s="44"/>
      <c r="AK33" s="44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79" t="str">
        <f t="shared" si="8"/>
        <v>MAT1</v>
      </c>
      <c r="BA33" s="80">
        <f t="shared" si="9"/>
        <v>0</v>
      </c>
      <c r="BB33" s="81">
        <f ca="1">AOUT!H33</f>
        <v>45531</v>
      </c>
      <c r="BC33" s="81">
        <f ca="1">AOUT!H33</f>
        <v>45531</v>
      </c>
      <c r="BD33" s="77" t="s">
        <v>81</v>
      </c>
      <c r="BE33" s="73" t="str">
        <f t="shared" si="10"/>
        <v>$jour</v>
      </c>
      <c r="BF33" s="71">
        <f t="shared" si="11"/>
        <v>0</v>
      </c>
      <c r="BG33" s="73"/>
      <c r="BH33" s="73"/>
      <c r="BI33" s="72" t="str">
        <f t="shared" si="16"/>
        <v>MAT1</v>
      </c>
      <c r="BS33" s="106">
        <f ca="1">VLOOKUP(_xlfn.SHEET(),Listes!$A:$B,2,0)</f>
        <v>45505</v>
      </c>
      <c r="BT33" s="106">
        <f t="shared" ca="1" si="17"/>
        <v>45505</v>
      </c>
      <c r="BU33" s="55">
        <f>IF(OR(BP33&lt;&gt;0,BR33&lt;&gt;0),"a importer",0)</f>
        <v>0</v>
      </c>
    </row>
    <row r="34" spans="1:73" ht="18" customHeight="1">
      <c r="A34" s="69" t="str">
        <f>Listes!$AD$2</f>
        <v>MANAGER</v>
      </c>
      <c r="B34" s="75">
        <f t="shared" si="18"/>
        <v>28</v>
      </c>
      <c r="C34" s="69" t="str" cm="1">
        <f t="array" ref="C34">INDEX(Listes!$Z$2:$Z$31,1+(ROW()-7)/31+INT((ROW()-7)/(31*30)))</f>
        <v>MAT1</v>
      </c>
      <c r="D34" s="69" t="str">
        <f>IFERROR(INDEX(Listes!Z:AA,MATCH(C34,Listes!Z:Z,0),2),"")</f>
        <v>Matricule 1</v>
      </c>
      <c r="E34" s="77" t="str">
        <f t="shared" ca="1" si="1"/>
        <v>août</v>
      </c>
      <c r="F34" s="120">
        <f t="shared" ca="1" si="14"/>
        <v>35</v>
      </c>
      <c r="G34" s="78" t="str">
        <f t="shared" ca="1" si="2"/>
        <v>mercredi</v>
      </c>
      <c r="H34" s="78">
        <f ca="1">IF(B34=1,INDEX(Listes!F:H,MATCH(_xlfn.SHEET(),Listes!F:F,0),3),IF(TEXT(H33+1,"mmmm")&lt;&gt;TEXT(H33,"mmmm"),"",H33+1))</f>
        <v>45532</v>
      </c>
      <c r="I34" s="37" t="s">
        <v>187</v>
      </c>
      <c r="J34" s="38">
        <f>IF(OR(I34=0,LEFT(I34,1)="A"),0,INDEX(Listes!Q:V,MATCH(I34,Listes!Q:Q,0),2))</f>
        <v>0.33333333333333331</v>
      </c>
      <c r="K34" s="38">
        <f>IF(OR(I34=0,LEFT(I34,1)="A"),0,INDEX(Listes!Q:V,MATCH(I34,Listes!Q:Q,0),3))</f>
        <v>0.5</v>
      </c>
      <c r="L34" s="37"/>
      <c r="M34" s="38">
        <f>IF(L34=0,0,IF(AND(LEFT(I34,1)="M",L34&lt;&gt;0),INDEX(Listes!J:O,MATCH(L34,Listes!J:J,1),3),IF(AND(LEFT(I34,1)="N",L34&lt;&gt;0),INDEX(Listes!J:O,MATCH(L34,Listes!J:J,1),3),IF(AND(LEFT(I34,1)="A",L34&lt;&gt;0),INDEX(Listes!J:O,MATCH(L34,Listes!J:J,1),3),IF(AND(LEFT(I34,1)="J",L34&lt;&gt;0),INDEX(Listes!J:O,MATCH(L34,Listes!J:J,1),3),IF(AND(LEFT(I34,1)="T",L34&lt;&gt;0),INDEX(Listes!J:O,MATCH(L34,Listes!J:J,1),3),"horaire"))))))</f>
        <v>0</v>
      </c>
      <c r="N34" s="38">
        <f>IFERROR(IF(M34="$horaire","à compléter",IF(AND(M34="$DEMI",INDEX(Listes!J:O,MATCH(L34,Listes!J:J,1),6)="oui"),(K34-J34),0)),0)</f>
        <v>0</v>
      </c>
      <c r="O34" s="40">
        <f>IF(OR(I34=0,LEFT(I34,1)="A"),0,INDEX(Listes!Q:V,MATCH(I34,Listes!Q:Q,0),4))</f>
        <v>0.5625</v>
      </c>
      <c r="P34" s="42">
        <f>IF(OR(I34=0,LEFT(I34,1)="A"),0,INDEX(Listes!Q:V,MATCH(I34,Listes!Q:Q,0),5))</f>
        <v>0.70833333333333337</v>
      </c>
      <c r="Q34" s="37"/>
      <c r="R34" s="38">
        <f>IF(Q34=0,0,IF(AND(LEFT(I34,1)="M",Q34&lt;&gt;0),INDEX(Listes!J:O,MATCH(Q34,Listes!J:J,1),3),IF(AND(LEFT(I34,1)="N",Q34&lt;&gt;0),INDEX(Listes!J:O,MATCH(Q34,Listes!J:J,1),3),IF(AND(LEFT(I34,1)="A",Q34&lt;&gt;0),INDEX(Listes!J:O,MATCH(Q34,Listes!J:J,1),3),IF(AND(LEFT(I34,1)="J",Q34&lt;&gt;0),INDEX(Listes!J:O,MATCH(Q34,Listes!J:J,1),3),IF(AND(LEFT(I34,1)="T",Q34&lt;&gt;0),INDEX(Listes!J:O,MATCH(Q34,Listes!J:J,1),3),"horaire"))))))</f>
        <v>0</v>
      </c>
      <c r="S34" s="38">
        <f>IFERROR(IF(R34="$horaire","à compléter",IF(AND(R34="$DEMI2",INDEX(Listes!J:O,MATCH(Q34,Listes!J:J,1),6)="oui"),(P34-O34),0)),0)</f>
        <v>0</v>
      </c>
      <c r="T34" s="37"/>
      <c r="U34" s="37">
        <f t="shared" si="3"/>
        <v>0</v>
      </c>
      <c r="V34" s="70">
        <f>IF(I34=0,0,INDEX(Listes!Q:V,MATCH(I34,Listes!Q:Q,1),6))</f>
        <v>7.5000000000000009</v>
      </c>
      <c r="W34" s="71">
        <f>IF(I34=0,0,IF(AND(LEFT(I34,1)="A",O34&lt;=P34),(P34-O34)*24,IF(J34&lt;=K34,(K34-J34)*24,((Listes!$H$21-J34)*24+(K34-Listes!$H$21)*24))+IF(O34&lt;=P34,(P34-O34)*24,(Listes!$H$21-O34)*24+(P34-Listes!$G$21)*24)))-X34+(U34*24)</f>
        <v>7.5000000000000009</v>
      </c>
      <c r="X34" s="70">
        <f>IFERROR(IF(IFERROR(INDEX(Listes!J:O,MATCH(L34,Listes!J:J,1),6),0)="oui",N34*24,0),0)+IFERROR(IF(IFERROR(INDEX(Listes!J:O,MATCH(Q34,Listes!J:J,1),6),0)="oui",S34*24,0),0)</f>
        <v>0</v>
      </c>
      <c r="Y34" s="70">
        <f t="shared" ca="1" si="21"/>
        <v>0</v>
      </c>
      <c r="Z34" s="71">
        <f t="shared" si="19"/>
        <v>1</v>
      </c>
      <c r="AA34" s="70">
        <f t="shared" si="6"/>
        <v>0</v>
      </c>
      <c r="AB34" s="70">
        <f>IF(I34=0,0,IF(AND(J34&gt;K34,J34&gt;=Listes!$G$22),MOD(MIN(K34,Listes!$H$22)-J34,1),IF(OR(J34&gt;K34,K34&gt;=Listes!$G$22),MOD(K34-Listes!$G$22,1),IF(K34&lt;=Listes!$H$22,MOD(K34-J34,1),IF(J34&lt;=Listes!$H$22,MOD(Listes!$H$22-J34,1),0))))+IF(AND(O34&gt;P34,O34&gt;=Listes!$G$22),MOD(MIN(P34,Listes!$H$22)-O34,1),IF(OR(O34&gt;P34,P34&gt;=Listes!$G$22),MOD(P34-Listes!$G$22,1),0)))*24</f>
        <v>0</v>
      </c>
      <c r="AC34" s="71">
        <f t="shared" ca="1" si="15"/>
        <v>0</v>
      </c>
      <c r="AD34" s="71">
        <f ca="1">IF(IFERROR(VLOOKUP(H34,Listes!$H$3:$H$20,1,0),0)&lt;&gt;0,W34,0)</f>
        <v>0</v>
      </c>
      <c r="AE34" s="71">
        <f t="shared" si="20"/>
        <v>0</v>
      </c>
      <c r="AF34" s="44"/>
      <c r="AG34" s="44"/>
      <c r="AH34" s="44"/>
      <c r="AI34" s="44"/>
      <c r="AJ34" s="44"/>
      <c r="AK34" s="44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79" t="str">
        <f t="shared" si="8"/>
        <v>MAT1</v>
      </c>
      <c r="BA34" s="80">
        <f t="shared" si="9"/>
        <v>0</v>
      </c>
      <c r="BB34" s="81">
        <f ca="1">AOUT!H34</f>
        <v>45532</v>
      </c>
      <c r="BC34" s="81">
        <f ca="1">AOUT!H34</f>
        <v>45532</v>
      </c>
      <c r="BD34" s="77" t="s">
        <v>81</v>
      </c>
      <c r="BE34" s="73" t="str">
        <f t="shared" si="10"/>
        <v>$jour</v>
      </c>
      <c r="BF34" s="71">
        <f t="shared" si="11"/>
        <v>0</v>
      </c>
      <c r="BG34" s="73"/>
      <c r="BH34" s="73"/>
      <c r="BI34" s="72" t="str">
        <f t="shared" si="16"/>
        <v>MAT1</v>
      </c>
      <c r="BS34" s="106">
        <f ca="1">VLOOKUP(_xlfn.SHEET(),Listes!$A:$B,2,0)</f>
        <v>45505</v>
      </c>
      <c r="BT34" s="106">
        <f t="shared" ca="1" si="17"/>
        <v>45505</v>
      </c>
      <c r="BU34" s="55">
        <f>IF(OR(BP34&lt;&gt;0,BR34&lt;&gt;0),"a importer",0)</f>
        <v>0</v>
      </c>
    </row>
    <row r="35" spans="1:73" ht="18" customHeight="1">
      <c r="A35" s="69" t="str">
        <f>Listes!$AD$2</f>
        <v>MANAGER</v>
      </c>
      <c r="B35" s="75">
        <f t="shared" si="18"/>
        <v>29</v>
      </c>
      <c r="C35" s="69" t="str" cm="1">
        <f t="array" ref="C35">INDEX(Listes!$Z$2:$Z$31,1+(ROW()-7)/31+INT((ROW()-7)/(31*30)))</f>
        <v>MAT1</v>
      </c>
      <c r="D35" s="69" t="str">
        <f>IFERROR(INDEX(Listes!Z:AA,MATCH(C35,Listes!Z:Z,0),2),"")</f>
        <v>Matricule 1</v>
      </c>
      <c r="E35" s="77" t="str">
        <f t="shared" ca="1" si="1"/>
        <v>août</v>
      </c>
      <c r="F35" s="120">
        <f t="shared" ca="1" si="14"/>
        <v>35</v>
      </c>
      <c r="G35" s="78" t="str">
        <f t="shared" ca="1" si="2"/>
        <v>jeudi</v>
      </c>
      <c r="H35" s="78">
        <f ca="1">IF(B35=1,INDEX(Listes!F:H,MATCH(_xlfn.SHEET(),Listes!F:F,0),3),IF(TEXT(H34+1,"mmmm")&lt;&gt;TEXT(H34,"mmmm"),"",H34+1))</f>
        <v>45533</v>
      </c>
      <c r="I35" s="37" t="s">
        <v>187</v>
      </c>
      <c r="J35" s="38">
        <f>IF(OR(I35=0,LEFT(I35,1)="A"),0,INDEX(Listes!Q:V,MATCH(I35,Listes!Q:Q,0),2))</f>
        <v>0.33333333333333331</v>
      </c>
      <c r="K35" s="38">
        <f>IF(OR(I35=0,LEFT(I35,1)="A"),0,INDEX(Listes!Q:V,MATCH(I35,Listes!Q:Q,0),3))</f>
        <v>0.5</v>
      </c>
      <c r="L35" s="37"/>
      <c r="M35" s="38">
        <f>IF(L35=0,0,IF(AND(LEFT(I35,1)="M",L35&lt;&gt;0),INDEX(Listes!J:O,MATCH(L35,Listes!J:J,1),3),IF(AND(LEFT(I35,1)="N",L35&lt;&gt;0),INDEX(Listes!J:O,MATCH(L35,Listes!J:J,1),3),IF(AND(LEFT(I35,1)="A",L35&lt;&gt;0),INDEX(Listes!J:O,MATCH(L35,Listes!J:J,1),3),IF(AND(LEFT(I35,1)="J",L35&lt;&gt;0),INDEX(Listes!J:O,MATCH(L35,Listes!J:J,1),3),IF(AND(LEFT(I35,1)="T",L35&lt;&gt;0),INDEX(Listes!J:O,MATCH(L35,Listes!J:J,1),3),"horaire"))))))</f>
        <v>0</v>
      </c>
      <c r="N35" s="38">
        <f>IFERROR(IF(M35="$horaire","à compléter",IF(AND(M35="$DEMI",INDEX(Listes!J:O,MATCH(L35,Listes!J:J,1),6)="oui"),(K35-J35),0)),0)</f>
        <v>0</v>
      </c>
      <c r="O35" s="40">
        <f>IF(OR(I35=0,LEFT(I35,1)="A"),0,INDEX(Listes!Q:V,MATCH(I35,Listes!Q:Q,0),4))</f>
        <v>0.5625</v>
      </c>
      <c r="P35" s="42">
        <f>IF(OR(I35=0,LEFT(I35,1)="A"),0,INDEX(Listes!Q:V,MATCH(I35,Listes!Q:Q,0),5))</f>
        <v>0.70833333333333337</v>
      </c>
      <c r="Q35" s="37"/>
      <c r="R35" s="38">
        <f>IF(Q35=0,0,IF(AND(LEFT(I35,1)="M",Q35&lt;&gt;0),INDEX(Listes!J:O,MATCH(Q35,Listes!J:J,1),3),IF(AND(LEFT(I35,1)="N",Q35&lt;&gt;0),INDEX(Listes!J:O,MATCH(Q35,Listes!J:J,1),3),IF(AND(LEFT(I35,1)="A",Q35&lt;&gt;0),INDEX(Listes!J:O,MATCH(Q35,Listes!J:J,1),3),IF(AND(LEFT(I35,1)="J",Q35&lt;&gt;0),INDEX(Listes!J:O,MATCH(Q35,Listes!J:J,1),3),IF(AND(LEFT(I35,1)="T",Q35&lt;&gt;0),INDEX(Listes!J:O,MATCH(Q35,Listes!J:J,1),3),"horaire"))))))</f>
        <v>0</v>
      </c>
      <c r="S35" s="38">
        <f>IFERROR(IF(R35="$horaire","à compléter",IF(AND(R35="$DEMI2",INDEX(Listes!J:O,MATCH(Q35,Listes!J:J,1),6)="oui"),(P35-O35),0)),0)</f>
        <v>0</v>
      </c>
      <c r="T35" s="37"/>
      <c r="U35" s="37">
        <f t="shared" si="3"/>
        <v>0</v>
      </c>
      <c r="V35" s="70">
        <f>IF(I35=0,0,INDEX(Listes!Q:V,MATCH(I35,Listes!Q:Q,1),6))</f>
        <v>7.5000000000000009</v>
      </c>
      <c r="W35" s="71">
        <f>IF(I35=0,0,IF(AND(LEFT(I35,1)="A",O35&lt;=P35),(P35-O35)*24,IF(J35&lt;=K35,(K35-J35)*24,((Listes!$H$21-J35)*24+(K35-Listes!$H$21)*24))+IF(O35&lt;=P35,(P35-O35)*24,(Listes!$H$21-O35)*24+(P35-Listes!$G$21)*24)))-X35+(U35*24)</f>
        <v>7.5000000000000009</v>
      </c>
      <c r="X35" s="70">
        <f>IFERROR(IF(IFERROR(INDEX(Listes!J:O,MATCH(L35,Listes!J:J,1),6),0)="oui",N35*24,0),0)+IFERROR(IF(IFERROR(INDEX(Listes!J:O,MATCH(Q35,Listes!J:J,1),6),0)="oui",S35*24,0),0)</f>
        <v>0</v>
      </c>
      <c r="Y35" s="70">
        <f t="shared" ca="1" si="21"/>
        <v>0</v>
      </c>
      <c r="Z35" s="71">
        <f t="shared" si="19"/>
        <v>1</v>
      </c>
      <c r="AA35" s="70">
        <f t="shared" si="6"/>
        <v>0</v>
      </c>
      <c r="AB35" s="70">
        <f>IF(I35=0,0,IF(AND(J35&gt;K35,J35&gt;=Listes!$G$22),MOD(MIN(K35,Listes!$H$22)-J35,1),IF(OR(J35&gt;K35,K35&gt;=Listes!$G$22),MOD(K35-Listes!$G$22,1),IF(K35&lt;=Listes!$H$22,MOD(K35-J35,1),IF(J35&lt;=Listes!$H$22,MOD(Listes!$H$22-J35,1),0))))+IF(AND(O35&gt;P35,O35&gt;=Listes!$G$22),MOD(MIN(P35,Listes!$H$22)-O35,1),IF(OR(O35&gt;P35,P35&gt;=Listes!$G$22),MOD(P35-Listes!$G$22,1),0)))*24</f>
        <v>0</v>
      </c>
      <c r="AC35" s="71">
        <f t="shared" ca="1" si="15"/>
        <v>0</v>
      </c>
      <c r="AD35" s="71">
        <f ca="1">IF(IFERROR(VLOOKUP(H35,Listes!$H$3:$H$20,1,0),0)&lt;&gt;0,W35,0)</f>
        <v>0</v>
      </c>
      <c r="AE35" s="71">
        <f t="shared" si="20"/>
        <v>0</v>
      </c>
      <c r="AF35" s="44"/>
      <c r="AG35" s="44"/>
      <c r="AH35" s="44"/>
      <c r="AI35" s="44"/>
      <c r="AJ35" s="44"/>
      <c r="AK35" s="44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79" t="str">
        <f t="shared" si="8"/>
        <v>MAT1</v>
      </c>
      <c r="BA35" s="80">
        <f t="shared" si="9"/>
        <v>0</v>
      </c>
      <c r="BB35" s="81">
        <f ca="1">AOUT!H35</f>
        <v>45533</v>
      </c>
      <c r="BC35" s="81">
        <f ca="1">AOUT!H35</f>
        <v>45533</v>
      </c>
      <c r="BD35" s="77" t="s">
        <v>81</v>
      </c>
      <c r="BE35" s="73" t="str">
        <f t="shared" si="10"/>
        <v>$jour</v>
      </c>
      <c r="BF35" s="71">
        <f t="shared" si="11"/>
        <v>0</v>
      </c>
      <c r="BG35" s="73"/>
      <c r="BH35" s="73"/>
      <c r="BI35" s="72" t="str">
        <f t="shared" si="16"/>
        <v>MAT1</v>
      </c>
      <c r="BS35" s="106">
        <f ca="1">VLOOKUP(_xlfn.SHEET(),Listes!$A:$B,2,0)</f>
        <v>45505</v>
      </c>
      <c r="BT35" s="106">
        <f t="shared" ca="1" si="17"/>
        <v>45505</v>
      </c>
      <c r="BU35" s="55">
        <f>IF(OR(BP35&lt;&gt;0,BR35&lt;&gt;0),"a importer",0)</f>
        <v>0</v>
      </c>
    </row>
    <row r="36" spans="1:73" ht="18" customHeight="1">
      <c r="A36" s="69" t="str">
        <f>Listes!$AD$2</f>
        <v>MANAGER</v>
      </c>
      <c r="B36" s="75">
        <f t="shared" si="18"/>
        <v>30</v>
      </c>
      <c r="C36" s="69" t="str" cm="1">
        <f t="array" ref="C36">INDEX(Listes!$Z$2:$Z$31,1+(ROW()-7)/31+INT((ROW()-7)/(31*30)))</f>
        <v>MAT1</v>
      </c>
      <c r="D36" s="69" t="str">
        <f>IFERROR(INDEX(Listes!Z:AA,MATCH(C36,Listes!Z:Z,0),2),"")</f>
        <v>Matricule 1</v>
      </c>
      <c r="E36" s="77" t="str">
        <f t="shared" ca="1" si="1"/>
        <v>août</v>
      </c>
      <c r="F36" s="120">
        <f t="shared" ca="1" si="14"/>
        <v>35</v>
      </c>
      <c r="G36" s="78" t="str">
        <f t="shared" ca="1" si="2"/>
        <v>vendredi</v>
      </c>
      <c r="H36" s="78">
        <f ca="1">IF(B36=1,INDEX(Listes!F:H,MATCH(_xlfn.SHEET(),Listes!F:F,0),3),IF(TEXT(H35+1,"mmmm")&lt;&gt;TEXT(H35,"mmmm"),"",H35+1))</f>
        <v>45534</v>
      </c>
      <c r="I36" s="37" t="s">
        <v>187</v>
      </c>
      <c r="J36" s="38">
        <f>IF(OR(I36=0,LEFT(I36,1)="A"),0,INDEX(Listes!Q:V,MATCH(I36,Listes!Q:Q,0),2))</f>
        <v>0.33333333333333331</v>
      </c>
      <c r="K36" s="38">
        <f>IF(OR(I36=0,LEFT(I36,1)="A"),0,INDEX(Listes!Q:V,MATCH(I36,Listes!Q:Q,0),3))</f>
        <v>0.5</v>
      </c>
      <c r="L36" s="37"/>
      <c r="M36" s="38">
        <f>IF(L36=0,0,IF(AND(LEFT(I36,1)="M",L36&lt;&gt;0),INDEX(Listes!J:O,MATCH(L36,Listes!J:J,1),3),IF(AND(LEFT(I36,1)="N",L36&lt;&gt;0),INDEX(Listes!J:O,MATCH(L36,Listes!J:J,1),3),IF(AND(LEFT(I36,1)="A",L36&lt;&gt;0),INDEX(Listes!J:O,MATCH(L36,Listes!J:J,1),3),IF(AND(LEFT(I36,1)="J",L36&lt;&gt;0),INDEX(Listes!J:O,MATCH(L36,Listes!J:J,1),3),IF(AND(LEFT(I36,1)="T",L36&lt;&gt;0),INDEX(Listes!J:O,MATCH(L36,Listes!J:J,1),3),"horaire"))))))</f>
        <v>0</v>
      </c>
      <c r="N36" s="38">
        <f>IFERROR(IF(M36="$horaire","à compléter",IF(AND(M36="$DEMI",INDEX(Listes!J:O,MATCH(L36,Listes!J:J,1),6)="oui"),(K36-J36),0)),0)</f>
        <v>0</v>
      </c>
      <c r="O36" s="40">
        <f>IF(OR(I36=0,LEFT(I36,1)="A"),0,INDEX(Listes!Q:V,MATCH(I36,Listes!Q:Q,0),4))</f>
        <v>0.5625</v>
      </c>
      <c r="P36" s="42">
        <f>IF(OR(I36=0,LEFT(I36,1)="A"),0,INDEX(Listes!Q:V,MATCH(I36,Listes!Q:Q,0),5))</f>
        <v>0.70833333333333337</v>
      </c>
      <c r="Q36" s="37"/>
      <c r="R36" s="38">
        <f>IF(Q36=0,0,IF(AND(LEFT(I36,1)="M",Q36&lt;&gt;0),INDEX(Listes!J:O,MATCH(Q36,Listes!J:J,1),3),IF(AND(LEFT(I36,1)="N",Q36&lt;&gt;0),INDEX(Listes!J:O,MATCH(Q36,Listes!J:J,1),3),IF(AND(LEFT(I36,1)="A",Q36&lt;&gt;0),INDEX(Listes!J:O,MATCH(Q36,Listes!J:J,1),3),IF(AND(LEFT(I36,1)="J",Q36&lt;&gt;0),INDEX(Listes!J:O,MATCH(Q36,Listes!J:J,1),3),IF(AND(LEFT(I36,1)="T",Q36&lt;&gt;0),INDEX(Listes!J:O,MATCH(Q36,Listes!J:J,1),3),"horaire"))))))</f>
        <v>0</v>
      </c>
      <c r="S36" s="38">
        <f>IFERROR(IF(R36="$horaire","à compléter",IF(AND(R36="$DEMI2",INDEX(Listes!J:O,MATCH(Q36,Listes!J:J,1),6)="oui"),(P36-O36),0)),0)</f>
        <v>0</v>
      </c>
      <c r="T36" s="37"/>
      <c r="U36" s="37">
        <f t="shared" si="3"/>
        <v>0</v>
      </c>
      <c r="V36" s="70">
        <f>IF(I36=0,0,INDEX(Listes!Q:V,MATCH(I36,Listes!Q:Q,1),6))</f>
        <v>7.5000000000000009</v>
      </c>
      <c r="W36" s="71">
        <f>IF(I36=0,0,IF(AND(LEFT(I36,1)="A",O36&lt;=P36),(P36-O36)*24,IF(J36&lt;=K36,(K36-J36)*24,((Listes!$H$21-J36)*24+(K36-Listes!$H$21)*24))+IF(O36&lt;=P36,(P36-O36)*24,(Listes!$H$21-O36)*24+(P36-Listes!$G$21)*24)))-X36+(U36*24)</f>
        <v>7.5000000000000009</v>
      </c>
      <c r="X36" s="70">
        <f>IFERROR(IF(IFERROR(INDEX(Listes!J:O,MATCH(L36,Listes!J:J,1),6),0)="oui",N36*24,0),0)+IFERROR(IF(IFERROR(INDEX(Listes!J:O,MATCH(Q36,Listes!J:J,1),6),0)="oui",S36*24,0),0)</f>
        <v>0</v>
      </c>
      <c r="Y36" s="70">
        <f t="shared" ca="1" si="21"/>
        <v>0</v>
      </c>
      <c r="Z36" s="71">
        <f t="shared" si="19"/>
        <v>1</v>
      </c>
      <c r="AA36" s="70">
        <f t="shared" si="6"/>
        <v>0</v>
      </c>
      <c r="AB36" s="70">
        <f>IF(I36=0,0,IF(AND(J36&gt;K36,J36&gt;=Listes!$G$22),MOD(MIN(K36,Listes!$H$22)-J36,1),IF(OR(J36&gt;K36,K36&gt;=Listes!$G$22),MOD(K36-Listes!$G$22,1),IF(K36&lt;=Listes!$H$22,MOD(K36-J36,1),IF(J36&lt;=Listes!$H$22,MOD(Listes!$H$22-J36,1),0))))+IF(AND(O36&gt;P36,O36&gt;=Listes!$G$22),MOD(MIN(P36,Listes!$H$22)-O36,1),IF(OR(O36&gt;P36,P36&gt;=Listes!$G$22),MOD(P36-Listes!$G$22,1),0)))*24</f>
        <v>0</v>
      </c>
      <c r="AC36" s="71">
        <f t="shared" ca="1" si="15"/>
        <v>0</v>
      </c>
      <c r="AD36" s="71">
        <f ca="1">IF(IFERROR(VLOOKUP(H36,Listes!$H$3:$H$20,1,0),0)&lt;&gt;0,W36,0)</f>
        <v>0</v>
      </c>
      <c r="AE36" s="71">
        <f t="shared" si="20"/>
        <v>0</v>
      </c>
      <c r="AF36" s="44"/>
      <c r="AG36" s="44"/>
      <c r="AH36" s="44"/>
      <c r="AI36" s="44"/>
      <c r="AJ36" s="44"/>
      <c r="AK36" s="44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79" t="str">
        <f t="shared" si="8"/>
        <v>MAT1</v>
      </c>
      <c r="BA36" s="80">
        <f t="shared" si="9"/>
        <v>0</v>
      </c>
      <c r="BB36" s="81">
        <f ca="1">AOUT!H36</f>
        <v>45534</v>
      </c>
      <c r="BC36" s="81">
        <f ca="1">AOUT!H36</f>
        <v>45534</v>
      </c>
      <c r="BD36" s="77" t="s">
        <v>81</v>
      </c>
      <c r="BE36" s="73" t="str">
        <f t="shared" si="10"/>
        <v>$jour</v>
      </c>
      <c r="BF36" s="71">
        <f t="shared" si="11"/>
        <v>0</v>
      </c>
      <c r="BG36" s="73"/>
      <c r="BH36" s="73"/>
      <c r="BI36" s="72" t="str">
        <f t="shared" si="16"/>
        <v>MAT1</v>
      </c>
      <c r="BS36" s="106">
        <f ca="1">VLOOKUP(_xlfn.SHEET(),Listes!$A:$B,2,0)</f>
        <v>45505</v>
      </c>
      <c r="BT36" s="106">
        <f t="shared" ca="1" si="17"/>
        <v>45505</v>
      </c>
      <c r="BU36" s="55">
        <f>IF(OR(BP36&lt;&gt;0,BR36&lt;&gt;0),"a importer",0)</f>
        <v>0</v>
      </c>
    </row>
    <row r="37" spans="1:73" ht="18" customHeight="1">
      <c r="A37" s="69" t="str">
        <f>Listes!$AD$2</f>
        <v>MANAGER</v>
      </c>
      <c r="B37" s="77">
        <f t="shared" si="18"/>
        <v>31</v>
      </c>
      <c r="C37" s="69" t="str" cm="1">
        <f t="array" ref="C37">INDEX(Listes!$Z$2:$Z$31,1+(ROW()-7)/31+INT((ROW()-7)/(31*30)))</f>
        <v>MAT1</v>
      </c>
      <c r="D37" s="69" t="str">
        <f>IFERROR(INDEX(Listes!Z:AA,MATCH(C37,Listes!Z:Z,0),2),"")</f>
        <v>Matricule 1</v>
      </c>
      <c r="E37" s="77" t="str">
        <f t="shared" ca="1" si="1"/>
        <v>août</v>
      </c>
      <c r="F37" s="120">
        <f t="shared" ca="1" si="14"/>
        <v>35</v>
      </c>
      <c r="G37" s="78" t="str">
        <f t="shared" ca="1" si="2"/>
        <v>samedi</v>
      </c>
      <c r="H37" s="78">
        <f ca="1">IF(B37=1,INDEX(Listes!F:H,MATCH(_xlfn.SHEET(),Listes!F:F,0),3),IF(TEXT(H36+1,"mmmm")&lt;&gt;TEXT(H36,"mmmm"),"",H36+1))</f>
        <v>45535</v>
      </c>
      <c r="I37" s="37" t="s">
        <v>187</v>
      </c>
      <c r="J37" s="38">
        <f>IF(OR(I37=0,LEFT(I37,1)="A"),0,INDEX(Listes!Q:V,MATCH(I37,Listes!Q:Q,0),2))</f>
        <v>0.33333333333333331</v>
      </c>
      <c r="K37" s="38">
        <f>IF(OR(I37=0,LEFT(I37,1)="A"),0,INDEX(Listes!Q:V,MATCH(I37,Listes!Q:Q,0),3))</f>
        <v>0.5</v>
      </c>
      <c r="L37" s="37"/>
      <c r="M37" s="38">
        <f>IF(L37=0,0,IF(AND(LEFT(I37,1)="M",L37&lt;&gt;0),INDEX(Listes!J:O,MATCH(L37,Listes!J:J,1),3),IF(AND(LEFT(I37,1)="N",L37&lt;&gt;0),INDEX(Listes!J:O,MATCH(L37,Listes!J:J,1),3),IF(AND(LEFT(I37,1)="A",L37&lt;&gt;0),INDEX(Listes!J:O,MATCH(L37,Listes!J:J,1),3),IF(AND(LEFT(I37,1)="J",L37&lt;&gt;0),INDEX(Listes!J:O,MATCH(L37,Listes!J:J,1),3),IF(AND(LEFT(I37,1)="T",L37&lt;&gt;0),INDEX(Listes!J:O,MATCH(L37,Listes!J:J,1),3),"horaire"))))))</f>
        <v>0</v>
      </c>
      <c r="N37" s="38">
        <f>IFERROR(IF(M37="$horaire","à compléter",IF(AND(M37="$DEMI",INDEX(Listes!J:O,MATCH(L37,Listes!J:J,1),6)="oui"),(K37-J37),0)),0)</f>
        <v>0</v>
      </c>
      <c r="O37" s="40">
        <f>IF(OR(I37=0,LEFT(I37,1)="A"),0,INDEX(Listes!Q:V,MATCH(I37,Listes!Q:Q,0),4))</f>
        <v>0.5625</v>
      </c>
      <c r="P37" s="42">
        <f>IF(OR(I37=0,LEFT(I37,1)="A"),0,INDEX(Listes!Q:V,MATCH(I37,Listes!Q:Q,0),5))</f>
        <v>0.70833333333333337</v>
      </c>
      <c r="Q37" s="37"/>
      <c r="R37" s="38">
        <f>IF(Q37=0,0,IF(AND(LEFT(I37,1)="M",Q37&lt;&gt;0),INDEX(Listes!J:O,MATCH(Q37,Listes!J:J,1),3),IF(AND(LEFT(I37,1)="N",Q37&lt;&gt;0),INDEX(Listes!J:O,MATCH(Q37,Listes!J:J,1),3),IF(AND(LEFT(I37,1)="A",Q37&lt;&gt;0),INDEX(Listes!J:O,MATCH(Q37,Listes!J:J,1),3),IF(AND(LEFT(I37,1)="J",Q37&lt;&gt;0),INDEX(Listes!J:O,MATCH(Q37,Listes!J:J,1),3),IF(AND(LEFT(I37,1)="T",Q37&lt;&gt;0),INDEX(Listes!J:O,MATCH(Q37,Listes!J:J,1),3),"horaire"))))))</f>
        <v>0</v>
      </c>
      <c r="S37" s="38">
        <f>IFERROR(IF(R37="$horaire","à compléter",IF(AND(R37="$DEMI2",INDEX(Listes!J:O,MATCH(Q37,Listes!J:J,1),6)="oui"),(P37-O37),0)),0)</f>
        <v>0</v>
      </c>
      <c r="T37" s="37"/>
      <c r="U37" s="37">
        <f t="shared" si="3"/>
        <v>0</v>
      </c>
      <c r="V37" s="70">
        <f>IF(I37=0,0,INDEX(Listes!Q:V,MATCH(I37,Listes!Q:Q,1),6))</f>
        <v>7.5000000000000009</v>
      </c>
      <c r="W37" s="71">
        <f>IF(I37=0,0,IF(AND(LEFT(I37,1)="A",O37&lt;=P37),(P37-O37)*24,IF(J37&lt;=K37,(K37-J37)*24,((Listes!$H$21-J37)*24+(K37-Listes!$H$21)*24))+IF(O37&lt;=P37,(P37-O37)*24,(Listes!$H$21-O37)*24+(P37-Listes!$G$21)*24)))-X37+(U37*24)</f>
        <v>7.5000000000000009</v>
      </c>
      <c r="X37" s="70">
        <f>IFERROR(IF(IFERROR(INDEX(Listes!J:O,MATCH(L37,Listes!J:J,1),6),0)="oui",N37*24,0),0)+IFERROR(IF(IFERROR(INDEX(Listes!J:O,MATCH(Q37,Listes!J:J,1),6),0)="oui",S37*24,0),0)</f>
        <v>0</v>
      </c>
      <c r="Y37" s="70">
        <f t="shared" ca="1" si="21"/>
        <v>7.5000000000000009</v>
      </c>
      <c r="Z37" s="71">
        <f t="shared" si="19"/>
        <v>1</v>
      </c>
      <c r="AA37" s="70">
        <f t="shared" si="6"/>
        <v>0</v>
      </c>
      <c r="AB37" s="70">
        <f>IF(I37=0,0,IF(AND(J37&gt;K37,J37&gt;=Listes!$G$22),MOD(MIN(K37,Listes!$H$22)-J37,1),IF(OR(J37&gt;K37,K37&gt;=Listes!$G$22),MOD(K37-Listes!$G$22,1),IF(K37&lt;=Listes!$H$22,MOD(K37-J37,1),IF(J37&lt;=Listes!$H$22,MOD(Listes!$H$22-J37,1),0))))+IF(AND(O37&gt;P37,O37&gt;=Listes!$G$22),MOD(MIN(P37,Listes!$H$22)-O37,1),IF(OR(O37&gt;P37,P37&gt;=Listes!$G$22),MOD(P37-Listes!$G$22,1),0)))*24</f>
        <v>0</v>
      </c>
      <c r="AC37" s="71">
        <f t="shared" ca="1" si="15"/>
        <v>0</v>
      </c>
      <c r="AD37" s="71">
        <f ca="1">IF(IFERROR(VLOOKUP(H37,Listes!$H$3:$H$20,1,0),0)&lt;&gt;0,W37,0)</f>
        <v>0</v>
      </c>
      <c r="AE37" s="71">
        <f t="shared" si="20"/>
        <v>0</v>
      </c>
      <c r="AF37" s="44"/>
      <c r="AG37" s="44"/>
      <c r="AH37" s="44"/>
      <c r="AI37" s="44"/>
      <c r="AJ37" s="44"/>
      <c r="AK37" s="44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79" t="str">
        <f t="shared" si="8"/>
        <v>MAT1</v>
      </c>
      <c r="BA37" s="80">
        <f t="shared" si="9"/>
        <v>0</v>
      </c>
      <c r="BB37" s="81">
        <f ca="1">AOUT!H37</f>
        <v>45535</v>
      </c>
      <c r="BC37" s="81">
        <f ca="1">AOUT!H37</f>
        <v>45535</v>
      </c>
      <c r="BD37" s="77" t="s">
        <v>81</v>
      </c>
      <c r="BE37" s="73" t="str">
        <f t="shared" si="10"/>
        <v>$jour</v>
      </c>
      <c r="BF37" s="71">
        <f t="shared" si="11"/>
        <v>0</v>
      </c>
      <c r="BG37" s="73"/>
      <c r="BH37" s="73"/>
      <c r="BI37" s="72" t="str">
        <f t="shared" si="16"/>
        <v>MAT1</v>
      </c>
      <c r="BS37" s="106">
        <f ca="1">VLOOKUP(_xlfn.SHEET(),Listes!$A:$B,2,0)</f>
        <v>45505</v>
      </c>
      <c r="BT37" s="106">
        <f t="shared" ca="1" si="17"/>
        <v>45505</v>
      </c>
      <c r="BU37" s="55">
        <f>IF(OR(BP37&lt;&gt;0,BR37&lt;&gt;0),"a importer",0)</f>
        <v>0</v>
      </c>
    </row>
  </sheetData>
  <sheetProtection autoFilter="0"/>
  <autoFilter ref="A6:BH37" xr:uid="{00000000-0001-0000-0000-000000000000}"/>
  <conditionalFormatting sqref="A7:U37">
    <cfRule type="expression" dxfId="4" priority="2">
      <formula>SEARCH("dimanche",$G7)</formula>
    </cfRule>
    <cfRule type="expression" dxfId="3" priority="3">
      <formula>SEARCH("samedi",$G7)</formula>
    </cfRule>
  </conditionalFormatting>
  <dataValidations count="1">
    <dataValidation type="list" allowBlank="1" showInputMessage="1" showErrorMessage="1" sqref="AI7:AI37" xr:uid="{8E61F2DF-18CA-4006-8A90-94389A551DB7}">
      <formula1>"1,"</formula1>
    </dataValidation>
  </dataValidations>
  <pageMargins left="0.19685039370078741" right="0.19685039370078741" top="0.98425196850393704" bottom="0.98425196850393704" header="0.51181102362204722" footer="0.51181102362204722"/>
  <pageSetup paperSize="9" scale="35" firstPageNumber="0" orientation="landscape" horizontalDpi="300" verticalDpi="300" r:id="rId1"/>
  <headerFooter alignWithMargins="0">
    <oddHeader>&amp;L&amp;D&amp;C&amp;"Arial,Gras"FEUILLE SAISIE ELEMENTS VARIABLES DE PAIE
MOIS DE JUIN</oddHeader>
    <oddFooter>&amp;R&amp;P/6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5337150-CDF5-4351-8AB4-2BD36997425B}">
            <xm:f>+COUNTIF(Listes!$H$3:$H$20,$H7)&gt;0</xm:f>
            <x14:dxf>
              <fill>
                <patternFill>
                  <bgColor theme="0" tint="-0.24994659260841701"/>
                </patternFill>
              </fill>
            </x14:dxf>
          </x14:cfRule>
          <xm:sqref>A7:U1048576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6870FE7-08A2-4796-A451-DC61EBB4A2A0}">
          <x14:formula1>
            <xm:f>Listes!$Q$3:$Q$55</xm:f>
          </x14:formula1>
          <xm:sqref>I7:I37</xm:sqref>
        </x14:dataValidation>
        <x14:dataValidation type="list" allowBlank="1" showInputMessage="1" showErrorMessage="1" xr:uid="{CC8B7E25-A3B3-4022-8463-C6EEFD860071}">
          <x14:formula1>
            <xm:f>Listes!$J$2:$J$40</xm:f>
          </x14:formula1>
          <xm:sqref>Q7:Q37 L7:L37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4B8C-A427-4DF6-94E7-601BD31909F3}">
  <sheetPr codeName="Feuil2">
    <tabColor rgb="FFFFC000"/>
  </sheetPr>
  <dimension ref="A1:Q60"/>
  <sheetViews>
    <sheetView workbookViewId="0">
      <selection activeCell="Q7" sqref="Q7"/>
    </sheetView>
  </sheetViews>
  <sheetFormatPr baseColWidth="10" defaultColWidth="11.42578125" defaultRowHeight="12.75"/>
  <cols>
    <col min="1" max="1" width="7.7109375" style="2" bestFit="1" customWidth="1"/>
    <col min="2" max="2" width="16.28515625" style="22" bestFit="1" customWidth="1"/>
    <col min="3" max="3" width="12.140625" style="2" bestFit="1" customWidth="1"/>
    <col min="4" max="4" width="38.7109375" style="2" bestFit="1" customWidth="1"/>
    <col min="5" max="5" width="9.85546875" style="2" bestFit="1" customWidth="1"/>
    <col min="6" max="6" width="10.42578125" style="2" bestFit="1" customWidth="1"/>
    <col min="7" max="7" width="11.140625" style="2" bestFit="1" customWidth="1"/>
    <col min="8" max="9" width="11.42578125" style="2"/>
    <col min="10" max="10" width="8" style="2" customWidth="1"/>
    <col min="11" max="11" width="7.42578125" style="2" bestFit="1" customWidth="1"/>
    <col min="12" max="12" width="11.5703125" style="2" bestFit="1" customWidth="1"/>
    <col min="13" max="14" width="11.42578125" style="2"/>
    <col min="15" max="15" width="12.7109375" style="2" bestFit="1" customWidth="1"/>
    <col min="16" max="16" width="10.42578125" style="2" bestFit="1" customWidth="1"/>
    <col min="17" max="17" width="12.85546875" style="2" bestFit="1" customWidth="1"/>
    <col min="18" max="16384" width="11.42578125" style="2"/>
  </cols>
  <sheetData>
    <row r="1" spans="1:17" ht="15">
      <c r="B1" s="1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7" ht="15">
      <c r="B2" s="17"/>
      <c r="C2" s="23" t="s">
        <v>93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>
      <c r="B3" s="18" t="s">
        <v>94</v>
      </c>
      <c r="C3" s="4">
        <v>45809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7">
      <c r="B4" s="18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7">
      <c r="B5" s="19" t="s">
        <v>95</v>
      </c>
      <c r="C5" s="5" t="s">
        <v>74</v>
      </c>
      <c r="D5" s="5"/>
      <c r="E5" s="5"/>
      <c r="F5" s="5"/>
      <c r="G5" s="5" t="s">
        <v>75</v>
      </c>
      <c r="H5" s="5"/>
      <c r="I5" s="5"/>
      <c r="J5" s="5" t="s">
        <v>76</v>
      </c>
      <c r="K5" s="5" t="s">
        <v>77</v>
      </c>
      <c r="L5" s="5" t="s">
        <v>78</v>
      </c>
      <c r="M5" s="5"/>
      <c r="N5" s="5"/>
      <c r="O5" s="5" t="s">
        <v>79</v>
      </c>
      <c r="P5" s="5" t="s">
        <v>80</v>
      </c>
      <c r="Q5" s="6" t="s">
        <v>96</v>
      </c>
    </row>
    <row r="6" spans="1:17" ht="18.75" customHeight="1">
      <c r="A6" s="2">
        <v>1</v>
      </c>
      <c r="B6" s="23">
        <v>1</v>
      </c>
      <c r="C6" s="23"/>
      <c r="D6" s="23"/>
      <c r="E6" s="23"/>
      <c r="F6" s="23">
        <v>0</v>
      </c>
      <c r="G6" s="23" t="e">
        <f ca="1">OFFSET(#REF!,1,B6)</f>
        <v>#REF!</v>
      </c>
      <c r="H6" s="23">
        <v>0</v>
      </c>
      <c r="I6" s="23">
        <v>0</v>
      </c>
      <c r="J6" s="23" t="s">
        <v>76</v>
      </c>
      <c r="K6" s="23" t="s">
        <v>77</v>
      </c>
      <c r="L6" s="23" t="s">
        <v>78</v>
      </c>
      <c r="M6" s="23">
        <v>0</v>
      </c>
      <c r="N6" s="23">
        <v>0</v>
      </c>
      <c r="O6" s="23">
        <v>0</v>
      </c>
      <c r="P6" s="23">
        <v>0</v>
      </c>
    </row>
    <row r="7" spans="1:17" s="13" customFormat="1" ht="15">
      <c r="A7" s="2">
        <f>IF(A6=55,1,A6+1)</f>
        <v>2</v>
      </c>
      <c r="B7" s="20" t="s">
        <v>2</v>
      </c>
      <c r="C7" s="7" t="str">
        <f>Listes!$Z2</f>
        <v>MAT1</v>
      </c>
      <c r="D7" s="8"/>
      <c r="E7" s="9"/>
      <c r="F7" s="9"/>
      <c r="G7" s="10" t="e">
        <f ca="1">G6</f>
        <v>#REF!</v>
      </c>
      <c r="H7" s="9"/>
      <c r="I7" s="9"/>
      <c r="J7" s="11">
        <f ca="1">IF(C7=0,0,SUMIF(INDIRECT("'"&amp;C$2&amp;"'!"&amp;"B:B"),EVP!C7,INDIRECT("'"&amp;C$2&amp;"'!"&amp;"W:W")))</f>
        <v>0</v>
      </c>
      <c r="K7" s="11"/>
      <c r="L7" s="11"/>
      <c r="M7" s="9"/>
      <c r="N7" s="9"/>
      <c r="O7" s="12">
        <f>$C$3</f>
        <v>45809</v>
      </c>
      <c r="P7" s="12">
        <f>+O7</f>
        <v>45809</v>
      </c>
      <c r="Q7" s="13" t="str">
        <f ca="1">IF(SUM(J7:L7)=0,"",IF(AND(C7&lt;&gt;"",COUNT(J7:L7)&gt;0),"A IMPORTER",""))</f>
        <v/>
      </c>
    </row>
    <row r="8" spans="1:17" s="13" customFormat="1" ht="15">
      <c r="A8" s="2">
        <f t="shared" ref="A8:A60" si="0">IF(A7=55,1,A7+1)</f>
        <v>3</v>
      </c>
      <c r="B8" s="21" t="s">
        <v>2</v>
      </c>
      <c r="C8" s="7" t="str">
        <f>Listes!$Z3</f>
        <v>MAT2</v>
      </c>
      <c r="D8" s="14"/>
      <c r="E8" s="15"/>
      <c r="F8" s="15"/>
      <c r="G8" s="10" t="e">
        <f t="shared" ref="G8:G60" ca="1" si="1">G7</f>
        <v>#REF!</v>
      </c>
      <c r="H8" s="15"/>
      <c r="I8" s="15"/>
      <c r="J8" s="11">
        <f ca="1">IF(C8=0,0,SUMIF(INDIRECT("'"&amp;C$2&amp;"'!"&amp;"B:B"),EVP!C8,INDIRECT("'"&amp;C$2&amp;"'!"&amp;"W:W")))</f>
        <v>0</v>
      </c>
      <c r="K8" s="11"/>
      <c r="L8" s="11"/>
      <c r="M8" s="15"/>
      <c r="N8" s="15"/>
      <c r="O8" s="16">
        <f t="shared" ref="O8:O60" si="2">$C$3</f>
        <v>45809</v>
      </c>
      <c r="P8" s="12">
        <f t="shared" ref="P8:P60" si="3">+O8</f>
        <v>45809</v>
      </c>
      <c r="Q8" s="13" t="str">
        <f t="shared" ref="Q8:Q60" ca="1" si="4">IF(SUM(J8:L8)=0,"",IF(AND(C8&lt;&gt;"",COUNT(J8:L8)&gt;0),"A IMPORTER",""))</f>
        <v/>
      </c>
    </row>
    <row r="9" spans="1:17" s="13" customFormat="1" ht="15">
      <c r="A9" s="2">
        <f t="shared" si="0"/>
        <v>4</v>
      </c>
      <c r="B9" s="21" t="s">
        <v>2</v>
      </c>
      <c r="C9" s="7" t="str">
        <f>Listes!$Z4</f>
        <v>MAT3</v>
      </c>
      <c r="D9" s="14"/>
      <c r="E9" s="15"/>
      <c r="F9" s="15"/>
      <c r="G9" s="10" t="e">
        <f t="shared" ca="1" si="1"/>
        <v>#REF!</v>
      </c>
      <c r="H9" s="15"/>
      <c r="I9" s="15"/>
      <c r="J9" s="11">
        <f ca="1">IF(C9=0,0,SUMIF(INDIRECT("'"&amp;C$2&amp;"'!"&amp;"B:B"),EVP!C9,INDIRECT("'"&amp;C$2&amp;"'!"&amp;"W:W")))</f>
        <v>0</v>
      </c>
      <c r="K9" s="11"/>
      <c r="L9" s="11"/>
      <c r="M9" s="15"/>
      <c r="N9" s="15"/>
      <c r="O9" s="16">
        <f t="shared" si="2"/>
        <v>45809</v>
      </c>
      <c r="P9" s="12">
        <f t="shared" si="3"/>
        <v>45809</v>
      </c>
      <c r="Q9" s="13" t="str">
        <f t="shared" ca="1" si="4"/>
        <v/>
      </c>
    </row>
    <row r="10" spans="1:17" s="13" customFormat="1" ht="15">
      <c r="A10" s="2">
        <f t="shared" si="0"/>
        <v>5</v>
      </c>
      <c r="B10" s="21" t="s">
        <v>2</v>
      </c>
      <c r="C10" s="7" t="str">
        <f>Listes!$Z5</f>
        <v>MAT4</v>
      </c>
      <c r="D10" s="14"/>
      <c r="E10" s="15"/>
      <c r="F10" s="15"/>
      <c r="G10" s="10" t="e">
        <f t="shared" ca="1" si="1"/>
        <v>#REF!</v>
      </c>
      <c r="H10" s="15"/>
      <c r="I10" s="15"/>
      <c r="J10" s="11">
        <f ca="1">IF(C10=0,0,SUMIF(INDIRECT("'"&amp;C$2&amp;"'!"&amp;"B:B"),EVP!C10,INDIRECT("'"&amp;C$2&amp;"'!"&amp;"W:W")))</f>
        <v>0</v>
      </c>
      <c r="K10" s="11"/>
      <c r="L10" s="11"/>
      <c r="M10" s="15"/>
      <c r="N10" s="15"/>
      <c r="O10" s="16">
        <f t="shared" si="2"/>
        <v>45809</v>
      </c>
      <c r="P10" s="12">
        <f t="shared" si="3"/>
        <v>45809</v>
      </c>
      <c r="Q10" s="13" t="str">
        <f t="shared" ca="1" si="4"/>
        <v/>
      </c>
    </row>
    <row r="11" spans="1:17" s="13" customFormat="1" ht="15">
      <c r="A11" s="2">
        <f t="shared" si="0"/>
        <v>6</v>
      </c>
      <c r="B11" s="21" t="s">
        <v>2</v>
      </c>
      <c r="C11" s="7" t="str">
        <f>Listes!$Z6</f>
        <v>MAT5</v>
      </c>
      <c r="D11" s="14"/>
      <c r="E11" s="15"/>
      <c r="F11" s="15"/>
      <c r="G11" s="10" t="e">
        <f t="shared" ca="1" si="1"/>
        <v>#REF!</v>
      </c>
      <c r="H11" s="15"/>
      <c r="I11" s="15"/>
      <c r="J11" s="11">
        <f ca="1">IF(C11=0,0,SUMIF(INDIRECT("'"&amp;C$2&amp;"'!"&amp;"B:B"),EVP!C11,INDIRECT("'"&amp;C$2&amp;"'!"&amp;"W:W")))</f>
        <v>0</v>
      </c>
      <c r="K11" s="11"/>
      <c r="L11" s="11"/>
      <c r="M11" s="15"/>
      <c r="N11" s="15"/>
      <c r="O11" s="16">
        <f t="shared" si="2"/>
        <v>45809</v>
      </c>
      <c r="P11" s="12">
        <f t="shared" si="3"/>
        <v>45809</v>
      </c>
      <c r="Q11" s="13" t="str">
        <f t="shared" ca="1" si="4"/>
        <v/>
      </c>
    </row>
    <row r="12" spans="1:17" s="13" customFormat="1" ht="15">
      <c r="A12" s="2">
        <f t="shared" si="0"/>
        <v>7</v>
      </c>
      <c r="B12" s="21" t="s">
        <v>2</v>
      </c>
      <c r="C12" s="7" t="str">
        <f>Listes!$Z7</f>
        <v>MAT6</v>
      </c>
      <c r="D12" s="14"/>
      <c r="E12" s="15"/>
      <c r="F12" s="15"/>
      <c r="G12" s="10" t="e">
        <f t="shared" ca="1" si="1"/>
        <v>#REF!</v>
      </c>
      <c r="H12" s="15"/>
      <c r="I12" s="15"/>
      <c r="J12" s="11">
        <f ca="1">IF(C12=0,0,SUMIF(INDIRECT("'"&amp;C$2&amp;"'!"&amp;"B:B"),EVP!C12,INDIRECT("'"&amp;C$2&amp;"'!"&amp;"W:W")))</f>
        <v>0</v>
      </c>
      <c r="K12" s="11"/>
      <c r="L12" s="11"/>
      <c r="M12" s="15"/>
      <c r="N12" s="15"/>
      <c r="O12" s="16">
        <f t="shared" si="2"/>
        <v>45809</v>
      </c>
      <c r="P12" s="12">
        <f t="shared" si="3"/>
        <v>45809</v>
      </c>
      <c r="Q12" s="13" t="str">
        <f t="shared" ca="1" si="4"/>
        <v/>
      </c>
    </row>
    <row r="13" spans="1:17" s="13" customFormat="1" ht="15">
      <c r="A13" s="2">
        <f t="shared" si="0"/>
        <v>8</v>
      </c>
      <c r="B13" s="21" t="s">
        <v>2</v>
      </c>
      <c r="C13" s="7" t="str">
        <f>Listes!$Z8</f>
        <v>MAT7</v>
      </c>
      <c r="D13" s="14"/>
      <c r="E13" s="15"/>
      <c r="F13" s="15"/>
      <c r="G13" s="10" t="e">
        <f t="shared" ca="1" si="1"/>
        <v>#REF!</v>
      </c>
      <c r="H13" s="15"/>
      <c r="I13" s="15"/>
      <c r="J13" s="11">
        <f ca="1">IF(C13=0,0,SUMIF(INDIRECT("'"&amp;C$2&amp;"'!"&amp;"B:B"),EVP!C13,INDIRECT("'"&amp;C$2&amp;"'!"&amp;"W:W")))</f>
        <v>0</v>
      </c>
      <c r="K13" s="11"/>
      <c r="L13" s="11"/>
      <c r="M13" s="15"/>
      <c r="N13" s="15"/>
      <c r="O13" s="16">
        <f t="shared" si="2"/>
        <v>45809</v>
      </c>
      <c r="P13" s="12">
        <f t="shared" si="3"/>
        <v>45809</v>
      </c>
      <c r="Q13" s="13" t="str">
        <f t="shared" ca="1" si="4"/>
        <v/>
      </c>
    </row>
    <row r="14" spans="1:17" s="13" customFormat="1" ht="15">
      <c r="A14" s="2">
        <f t="shared" si="0"/>
        <v>9</v>
      </c>
      <c r="B14" s="21" t="s">
        <v>2</v>
      </c>
      <c r="C14" s="7" t="str">
        <f>Listes!$Z9</f>
        <v>MAT8</v>
      </c>
      <c r="D14" s="14"/>
      <c r="E14" s="15"/>
      <c r="F14" s="15"/>
      <c r="G14" s="10" t="e">
        <f t="shared" ca="1" si="1"/>
        <v>#REF!</v>
      </c>
      <c r="H14" s="15"/>
      <c r="I14" s="15"/>
      <c r="J14" s="11">
        <f ca="1">IF(C14=0,0,SUMIF(INDIRECT("'"&amp;C$2&amp;"'!"&amp;"B:B"),EVP!C14,INDIRECT("'"&amp;C$2&amp;"'!"&amp;"W:W")))</f>
        <v>0</v>
      </c>
      <c r="K14" s="11"/>
      <c r="L14" s="11"/>
      <c r="M14" s="15"/>
      <c r="N14" s="15"/>
      <c r="O14" s="16">
        <f t="shared" si="2"/>
        <v>45809</v>
      </c>
      <c r="P14" s="12">
        <f t="shared" si="3"/>
        <v>45809</v>
      </c>
      <c r="Q14" s="13" t="str">
        <f t="shared" ca="1" si="4"/>
        <v/>
      </c>
    </row>
    <row r="15" spans="1:17" s="13" customFormat="1" ht="15">
      <c r="A15" s="2">
        <f t="shared" si="0"/>
        <v>10</v>
      </c>
      <c r="B15" s="21" t="s">
        <v>2</v>
      </c>
      <c r="C15" s="7" t="str">
        <f>Listes!$Z10</f>
        <v>MAT9</v>
      </c>
      <c r="D15" s="14"/>
      <c r="E15" s="15"/>
      <c r="F15" s="15"/>
      <c r="G15" s="10" t="e">
        <f t="shared" ca="1" si="1"/>
        <v>#REF!</v>
      </c>
      <c r="H15" s="15"/>
      <c r="I15" s="15"/>
      <c r="J15" s="11">
        <f ca="1">IF(C15=0,0,SUMIF(INDIRECT("'"&amp;C$2&amp;"'!"&amp;"B:B"),EVP!C15,INDIRECT("'"&amp;C$2&amp;"'!"&amp;"W:W")))</f>
        <v>0</v>
      </c>
      <c r="K15" s="11"/>
      <c r="L15" s="11"/>
      <c r="M15" s="15"/>
      <c r="N15" s="15"/>
      <c r="O15" s="16">
        <f t="shared" si="2"/>
        <v>45809</v>
      </c>
      <c r="P15" s="12">
        <f t="shared" si="3"/>
        <v>45809</v>
      </c>
      <c r="Q15" s="13" t="str">
        <f t="shared" ca="1" si="4"/>
        <v/>
      </c>
    </row>
    <row r="16" spans="1:17" s="13" customFormat="1" ht="15">
      <c r="A16" s="2">
        <f t="shared" si="0"/>
        <v>11</v>
      </c>
      <c r="B16" s="21" t="s">
        <v>2</v>
      </c>
      <c r="C16" s="7" t="str">
        <f>Listes!$Z11</f>
        <v>MAT10</v>
      </c>
      <c r="D16" s="14"/>
      <c r="E16" s="15"/>
      <c r="F16" s="15"/>
      <c r="G16" s="10" t="e">
        <f t="shared" ca="1" si="1"/>
        <v>#REF!</v>
      </c>
      <c r="H16" s="15"/>
      <c r="I16" s="15"/>
      <c r="J16" s="11">
        <f ca="1">IF(C16=0,0,SUMIF(INDIRECT("'"&amp;C$2&amp;"'!"&amp;"B:B"),EVP!C16,INDIRECT("'"&amp;C$2&amp;"'!"&amp;"W:W")))</f>
        <v>0</v>
      </c>
      <c r="K16" s="11"/>
      <c r="L16" s="11"/>
      <c r="M16" s="15"/>
      <c r="N16" s="15"/>
      <c r="O16" s="16">
        <f t="shared" si="2"/>
        <v>45809</v>
      </c>
      <c r="P16" s="12">
        <f t="shared" si="3"/>
        <v>45809</v>
      </c>
      <c r="Q16" s="13" t="str">
        <f t="shared" ca="1" si="4"/>
        <v/>
      </c>
    </row>
    <row r="17" spans="1:17" s="13" customFormat="1" ht="15">
      <c r="A17" s="2">
        <f t="shared" si="0"/>
        <v>12</v>
      </c>
      <c r="B17" s="21" t="s">
        <v>2</v>
      </c>
      <c r="C17" s="7" t="str">
        <f>Listes!$Z12</f>
        <v>MAT11</v>
      </c>
      <c r="D17" s="14"/>
      <c r="E17" s="15"/>
      <c r="F17" s="15"/>
      <c r="G17" s="10" t="e">
        <f t="shared" ca="1" si="1"/>
        <v>#REF!</v>
      </c>
      <c r="H17" s="15"/>
      <c r="I17" s="15"/>
      <c r="J17" s="11">
        <f ca="1">IF(C17=0,0,SUMIF(INDIRECT("'"&amp;C$2&amp;"'!"&amp;"B:B"),EVP!C17,INDIRECT("'"&amp;C$2&amp;"'!"&amp;"W:W")))</f>
        <v>0</v>
      </c>
      <c r="K17" s="11"/>
      <c r="L17" s="11"/>
      <c r="M17" s="15"/>
      <c r="N17" s="15"/>
      <c r="O17" s="16">
        <f t="shared" si="2"/>
        <v>45809</v>
      </c>
      <c r="P17" s="12">
        <f t="shared" si="3"/>
        <v>45809</v>
      </c>
      <c r="Q17" s="13" t="str">
        <f t="shared" ca="1" si="4"/>
        <v/>
      </c>
    </row>
    <row r="18" spans="1:17" s="13" customFormat="1" ht="15">
      <c r="A18" s="2">
        <f t="shared" si="0"/>
        <v>13</v>
      </c>
      <c r="B18" s="21" t="s">
        <v>2</v>
      </c>
      <c r="C18" s="7" t="str">
        <f>Listes!$Z13</f>
        <v>MAT12</v>
      </c>
      <c r="D18" s="14"/>
      <c r="E18" s="15"/>
      <c r="F18" s="15"/>
      <c r="G18" s="10" t="e">
        <f t="shared" ca="1" si="1"/>
        <v>#REF!</v>
      </c>
      <c r="H18" s="15"/>
      <c r="I18" s="15"/>
      <c r="J18" s="11">
        <f ca="1">IF(C18=0,0,SUMIF(INDIRECT("'"&amp;C$2&amp;"'!"&amp;"B:B"),EVP!C18,INDIRECT("'"&amp;C$2&amp;"'!"&amp;"W:W")))</f>
        <v>0</v>
      </c>
      <c r="K18" s="11"/>
      <c r="L18" s="11"/>
      <c r="M18" s="15"/>
      <c r="N18" s="15"/>
      <c r="O18" s="16">
        <f t="shared" si="2"/>
        <v>45809</v>
      </c>
      <c r="P18" s="12">
        <f t="shared" si="3"/>
        <v>45809</v>
      </c>
      <c r="Q18" s="13" t="str">
        <f t="shared" ca="1" si="4"/>
        <v/>
      </c>
    </row>
    <row r="19" spans="1:17" s="13" customFormat="1" ht="15">
      <c r="A19" s="2">
        <f t="shared" si="0"/>
        <v>14</v>
      </c>
      <c r="B19" s="21" t="s">
        <v>2</v>
      </c>
      <c r="C19" s="7" t="str">
        <f>Listes!$Z14</f>
        <v>MAT13</v>
      </c>
      <c r="D19" s="14"/>
      <c r="E19" s="15"/>
      <c r="F19" s="15"/>
      <c r="G19" s="10" t="e">
        <f t="shared" ca="1" si="1"/>
        <v>#REF!</v>
      </c>
      <c r="H19" s="15"/>
      <c r="I19" s="15"/>
      <c r="J19" s="11">
        <f ca="1">IF(C19=0,0,SUMIF(INDIRECT("'"&amp;C$2&amp;"'!"&amp;"B:B"),EVP!C19,INDIRECT("'"&amp;C$2&amp;"'!"&amp;"W:W")))</f>
        <v>0</v>
      </c>
      <c r="K19" s="11"/>
      <c r="L19" s="11"/>
      <c r="M19" s="15"/>
      <c r="N19" s="15"/>
      <c r="O19" s="16">
        <f t="shared" si="2"/>
        <v>45809</v>
      </c>
      <c r="P19" s="12">
        <f t="shared" si="3"/>
        <v>45809</v>
      </c>
      <c r="Q19" s="13" t="str">
        <f t="shared" ca="1" si="4"/>
        <v/>
      </c>
    </row>
    <row r="20" spans="1:17" s="13" customFormat="1" ht="15">
      <c r="A20" s="2">
        <f t="shared" si="0"/>
        <v>15</v>
      </c>
      <c r="B20" s="21" t="s">
        <v>2</v>
      </c>
      <c r="C20" s="7" t="str">
        <f>Listes!$Z15</f>
        <v>MAT14</v>
      </c>
      <c r="D20" s="14"/>
      <c r="E20" s="15"/>
      <c r="F20" s="15"/>
      <c r="G20" s="10" t="e">
        <f t="shared" ca="1" si="1"/>
        <v>#REF!</v>
      </c>
      <c r="H20" s="15"/>
      <c r="I20" s="15"/>
      <c r="J20" s="11">
        <f ca="1">IF(C20=0,0,SUMIF(INDIRECT("'"&amp;C$2&amp;"'!"&amp;"B:B"),EVP!C20,INDIRECT("'"&amp;C$2&amp;"'!"&amp;"W:W")))</f>
        <v>0</v>
      </c>
      <c r="K20" s="11"/>
      <c r="L20" s="11"/>
      <c r="M20" s="15"/>
      <c r="N20" s="15"/>
      <c r="O20" s="16">
        <f t="shared" si="2"/>
        <v>45809</v>
      </c>
      <c r="P20" s="12">
        <f t="shared" si="3"/>
        <v>45809</v>
      </c>
      <c r="Q20" s="13" t="str">
        <f t="shared" ca="1" si="4"/>
        <v/>
      </c>
    </row>
    <row r="21" spans="1:17" s="13" customFormat="1" ht="15">
      <c r="A21" s="2">
        <f t="shared" si="0"/>
        <v>16</v>
      </c>
      <c r="B21" s="21" t="s">
        <v>2</v>
      </c>
      <c r="C21" s="7" t="str">
        <f>Listes!$Z16</f>
        <v>MAT15</v>
      </c>
      <c r="D21" s="14"/>
      <c r="E21" s="15"/>
      <c r="F21" s="15"/>
      <c r="G21" s="10" t="e">
        <f t="shared" ca="1" si="1"/>
        <v>#REF!</v>
      </c>
      <c r="H21" s="15"/>
      <c r="I21" s="15"/>
      <c r="J21" s="11">
        <f ca="1">IF(C21=0,0,SUMIF(INDIRECT("'"&amp;C$2&amp;"'!"&amp;"B:B"),EVP!C21,INDIRECT("'"&amp;C$2&amp;"'!"&amp;"W:W")))</f>
        <v>0</v>
      </c>
      <c r="K21" s="11"/>
      <c r="L21" s="11"/>
      <c r="M21" s="15"/>
      <c r="N21" s="15"/>
      <c r="O21" s="16">
        <f t="shared" si="2"/>
        <v>45809</v>
      </c>
      <c r="P21" s="12">
        <f t="shared" si="3"/>
        <v>45809</v>
      </c>
      <c r="Q21" s="13" t="str">
        <f t="shared" ca="1" si="4"/>
        <v/>
      </c>
    </row>
    <row r="22" spans="1:17" s="13" customFormat="1" ht="15">
      <c r="A22" s="2">
        <f t="shared" si="0"/>
        <v>17</v>
      </c>
      <c r="B22" s="21" t="s">
        <v>2</v>
      </c>
      <c r="C22" s="7" t="str">
        <f>Listes!$Z17</f>
        <v>MAT16</v>
      </c>
      <c r="D22" s="14"/>
      <c r="E22" s="15"/>
      <c r="F22" s="15"/>
      <c r="G22" s="10" t="e">
        <f t="shared" ca="1" si="1"/>
        <v>#REF!</v>
      </c>
      <c r="H22" s="15"/>
      <c r="I22" s="15"/>
      <c r="J22" s="11">
        <f ca="1">IF(C22=0,0,SUMIF(INDIRECT("'"&amp;C$2&amp;"'!"&amp;"B:B"),EVP!C22,INDIRECT("'"&amp;C$2&amp;"'!"&amp;"W:W")))</f>
        <v>0</v>
      </c>
      <c r="K22" s="11"/>
      <c r="L22" s="11"/>
      <c r="M22" s="15"/>
      <c r="N22" s="15"/>
      <c r="O22" s="16">
        <f t="shared" si="2"/>
        <v>45809</v>
      </c>
      <c r="P22" s="12">
        <f t="shared" si="3"/>
        <v>45809</v>
      </c>
      <c r="Q22" s="13" t="str">
        <f t="shared" ca="1" si="4"/>
        <v/>
      </c>
    </row>
    <row r="23" spans="1:17" s="13" customFormat="1" ht="15">
      <c r="A23" s="2">
        <f t="shared" si="0"/>
        <v>18</v>
      </c>
      <c r="B23" s="21" t="s">
        <v>2</v>
      </c>
      <c r="C23" s="7" t="str">
        <f>Listes!$Z18</f>
        <v>MAT17</v>
      </c>
      <c r="D23" s="14"/>
      <c r="E23" s="15"/>
      <c r="F23" s="15"/>
      <c r="G23" s="10" t="e">
        <f t="shared" ca="1" si="1"/>
        <v>#REF!</v>
      </c>
      <c r="H23" s="15"/>
      <c r="I23" s="15"/>
      <c r="J23" s="11">
        <f ca="1">IF(C23=0,0,SUMIF(INDIRECT("'"&amp;C$2&amp;"'!"&amp;"B:B"),EVP!C23,INDIRECT("'"&amp;C$2&amp;"'!"&amp;"W:W")))</f>
        <v>0</v>
      </c>
      <c r="K23" s="11"/>
      <c r="L23" s="11"/>
      <c r="M23" s="15"/>
      <c r="N23" s="15"/>
      <c r="O23" s="16">
        <f t="shared" si="2"/>
        <v>45809</v>
      </c>
      <c r="P23" s="12">
        <f t="shared" si="3"/>
        <v>45809</v>
      </c>
      <c r="Q23" s="13" t="str">
        <f t="shared" ca="1" si="4"/>
        <v/>
      </c>
    </row>
    <row r="24" spans="1:17" s="13" customFormat="1" ht="15">
      <c r="A24" s="2">
        <f t="shared" si="0"/>
        <v>19</v>
      </c>
      <c r="B24" s="21" t="s">
        <v>2</v>
      </c>
      <c r="C24" s="7" t="str">
        <f>Listes!$Z19</f>
        <v>MAT18</v>
      </c>
      <c r="D24" s="14"/>
      <c r="E24" s="15"/>
      <c r="F24" s="15"/>
      <c r="G24" s="10" t="e">
        <f t="shared" ca="1" si="1"/>
        <v>#REF!</v>
      </c>
      <c r="H24" s="15"/>
      <c r="I24" s="15"/>
      <c r="J24" s="11">
        <f ca="1">IF(C24=0,0,SUMIF(INDIRECT("'"&amp;C$2&amp;"'!"&amp;"B:B"),EVP!C24,INDIRECT("'"&amp;C$2&amp;"'!"&amp;"W:W")))</f>
        <v>0</v>
      </c>
      <c r="K24" s="11"/>
      <c r="L24" s="11"/>
      <c r="M24" s="15"/>
      <c r="N24" s="15"/>
      <c r="O24" s="16">
        <f t="shared" si="2"/>
        <v>45809</v>
      </c>
      <c r="P24" s="12">
        <f t="shared" si="3"/>
        <v>45809</v>
      </c>
      <c r="Q24" s="13" t="str">
        <f t="shared" ca="1" si="4"/>
        <v/>
      </c>
    </row>
    <row r="25" spans="1:17" s="13" customFormat="1" ht="15">
      <c r="A25" s="2">
        <f t="shared" si="0"/>
        <v>20</v>
      </c>
      <c r="B25" s="21" t="s">
        <v>2</v>
      </c>
      <c r="C25" s="7" t="str">
        <f>Listes!$Z20</f>
        <v>MAT19</v>
      </c>
      <c r="D25" s="14"/>
      <c r="E25" s="15"/>
      <c r="F25" s="15"/>
      <c r="G25" s="10" t="e">
        <f t="shared" ca="1" si="1"/>
        <v>#REF!</v>
      </c>
      <c r="H25" s="15"/>
      <c r="I25" s="15"/>
      <c r="J25" s="11">
        <f ca="1">IF(C25=0,0,SUMIF(INDIRECT("'"&amp;C$2&amp;"'!"&amp;"B:B"),EVP!C25,INDIRECT("'"&amp;C$2&amp;"'!"&amp;"W:W")))</f>
        <v>0</v>
      </c>
      <c r="K25" s="11"/>
      <c r="L25" s="11"/>
      <c r="M25" s="15"/>
      <c r="N25" s="15"/>
      <c r="O25" s="16">
        <f t="shared" si="2"/>
        <v>45809</v>
      </c>
      <c r="P25" s="12">
        <f t="shared" si="3"/>
        <v>45809</v>
      </c>
      <c r="Q25" s="13" t="str">
        <f t="shared" ca="1" si="4"/>
        <v/>
      </c>
    </row>
    <row r="26" spans="1:17" s="13" customFormat="1" ht="15">
      <c r="A26" s="2">
        <f t="shared" si="0"/>
        <v>21</v>
      </c>
      <c r="B26" s="21" t="s">
        <v>2</v>
      </c>
      <c r="C26" s="7" t="str">
        <f>Listes!$Z21</f>
        <v>MAT20</v>
      </c>
      <c r="D26" s="14"/>
      <c r="E26" s="15"/>
      <c r="F26" s="15"/>
      <c r="G26" s="10" t="e">
        <f t="shared" ca="1" si="1"/>
        <v>#REF!</v>
      </c>
      <c r="H26" s="15"/>
      <c r="I26" s="15"/>
      <c r="J26" s="11">
        <f ca="1">IF(C26=0,0,SUMIF(INDIRECT("'"&amp;C$2&amp;"'!"&amp;"B:B"),EVP!C26,INDIRECT("'"&amp;C$2&amp;"'!"&amp;"W:W")))</f>
        <v>0</v>
      </c>
      <c r="K26" s="11"/>
      <c r="L26" s="11"/>
      <c r="M26" s="15"/>
      <c r="N26" s="15"/>
      <c r="O26" s="16">
        <f t="shared" si="2"/>
        <v>45809</v>
      </c>
      <c r="P26" s="12">
        <f t="shared" si="3"/>
        <v>45809</v>
      </c>
      <c r="Q26" s="13" t="str">
        <f t="shared" ca="1" si="4"/>
        <v/>
      </c>
    </row>
    <row r="27" spans="1:17" s="13" customFormat="1" ht="15">
      <c r="A27" s="2">
        <f t="shared" si="0"/>
        <v>22</v>
      </c>
      <c r="B27" s="21" t="s">
        <v>2</v>
      </c>
      <c r="C27" s="7" t="str">
        <f>Listes!$Z22</f>
        <v>MAT21</v>
      </c>
      <c r="D27" s="14"/>
      <c r="E27" s="15"/>
      <c r="F27" s="15"/>
      <c r="G27" s="10" t="e">
        <f t="shared" ca="1" si="1"/>
        <v>#REF!</v>
      </c>
      <c r="H27" s="15"/>
      <c r="I27" s="15"/>
      <c r="J27" s="11">
        <f ca="1">IF(C27=0,0,SUMIF(INDIRECT("'"&amp;C$2&amp;"'!"&amp;"B:B"),EVP!C27,INDIRECT("'"&amp;C$2&amp;"'!"&amp;"W:W")))</f>
        <v>0</v>
      </c>
      <c r="K27" s="11"/>
      <c r="L27" s="11"/>
      <c r="M27" s="15"/>
      <c r="N27" s="15"/>
      <c r="O27" s="16">
        <f t="shared" si="2"/>
        <v>45809</v>
      </c>
      <c r="P27" s="12">
        <f t="shared" si="3"/>
        <v>45809</v>
      </c>
      <c r="Q27" s="13" t="str">
        <f t="shared" ca="1" si="4"/>
        <v/>
      </c>
    </row>
    <row r="28" spans="1:17" s="13" customFormat="1" ht="15">
      <c r="A28" s="2">
        <f t="shared" si="0"/>
        <v>23</v>
      </c>
      <c r="B28" s="21" t="s">
        <v>2</v>
      </c>
      <c r="C28" s="7" t="str">
        <f>Listes!$Z23</f>
        <v>MAT22</v>
      </c>
      <c r="D28" s="14"/>
      <c r="E28" s="15"/>
      <c r="F28" s="15"/>
      <c r="G28" s="10" t="e">
        <f t="shared" ca="1" si="1"/>
        <v>#REF!</v>
      </c>
      <c r="H28" s="15"/>
      <c r="I28" s="15"/>
      <c r="J28" s="11">
        <f ca="1">IF(C28=0,0,SUMIF(INDIRECT("'"&amp;C$2&amp;"'!"&amp;"B:B"),EVP!C28,INDIRECT("'"&amp;C$2&amp;"'!"&amp;"W:W")))</f>
        <v>0</v>
      </c>
      <c r="K28" s="11"/>
      <c r="L28" s="11"/>
      <c r="M28" s="15"/>
      <c r="N28" s="15"/>
      <c r="O28" s="16">
        <f t="shared" si="2"/>
        <v>45809</v>
      </c>
      <c r="P28" s="12">
        <f t="shared" si="3"/>
        <v>45809</v>
      </c>
      <c r="Q28" s="13" t="str">
        <f t="shared" ca="1" si="4"/>
        <v/>
      </c>
    </row>
    <row r="29" spans="1:17" s="13" customFormat="1" ht="15">
      <c r="A29" s="2">
        <f t="shared" si="0"/>
        <v>24</v>
      </c>
      <c r="B29" s="21" t="s">
        <v>2</v>
      </c>
      <c r="C29" s="7" t="str">
        <f>Listes!$Z24</f>
        <v>MAT23</v>
      </c>
      <c r="D29" s="14"/>
      <c r="E29" s="15"/>
      <c r="F29" s="15"/>
      <c r="G29" s="10" t="e">
        <f t="shared" ca="1" si="1"/>
        <v>#REF!</v>
      </c>
      <c r="H29" s="15"/>
      <c r="I29" s="15"/>
      <c r="J29" s="11">
        <f ca="1">IF(C29=0,0,SUMIF(INDIRECT("'"&amp;C$2&amp;"'!"&amp;"B:B"),EVP!C29,INDIRECT("'"&amp;C$2&amp;"'!"&amp;"W:W")))</f>
        <v>0</v>
      </c>
      <c r="K29" s="11"/>
      <c r="L29" s="11"/>
      <c r="M29" s="15"/>
      <c r="N29" s="15"/>
      <c r="O29" s="16">
        <f t="shared" si="2"/>
        <v>45809</v>
      </c>
      <c r="P29" s="12">
        <f t="shared" si="3"/>
        <v>45809</v>
      </c>
      <c r="Q29" s="13" t="str">
        <f t="shared" ca="1" si="4"/>
        <v/>
      </c>
    </row>
    <row r="30" spans="1:17" s="13" customFormat="1" ht="15">
      <c r="A30" s="2">
        <f t="shared" si="0"/>
        <v>25</v>
      </c>
      <c r="B30" s="21" t="s">
        <v>2</v>
      </c>
      <c r="C30" s="7" t="str">
        <f>Listes!$Z25</f>
        <v>MAT24</v>
      </c>
      <c r="D30" s="14"/>
      <c r="E30" s="15"/>
      <c r="F30" s="15"/>
      <c r="G30" s="10" t="e">
        <f t="shared" ca="1" si="1"/>
        <v>#REF!</v>
      </c>
      <c r="H30" s="15"/>
      <c r="I30" s="15"/>
      <c r="J30" s="11">
        <f ca="1">IF(C30=0,0,SUMIF(INDIRECT("'"&amp;C$2&amp;"'!"&amp;"B:B"),EVP!C30,INDIRECT("'"&amp;C$2&amp;"'!"&amp;"W:W")))</f>
        <v>0</v>
      </c>
      <c r="K30" s="11"/>
      <c r="L30" s="11"/>
      <c r="M30" s="15"/>
      <c r="N30" s="15"/>
      <c r="O30" s="16">
        <f t="shared" si="2"/>
        <v>45809</v>
      </c>
      <c r="P30" s="12">
        <f t="shared" si="3"/>
        <v>45809</v>
      </c>
      <c r="Q30" s="13" t="str">
        <f t="shared" ca="1" si="4"/>
        <v/>
      </c>
    </row>
    <row r="31" spans="1:17" s="13" customFormat="1" ht="15">
      <c r="A31" s="2">
        <f t="shared" si="0"/>
        <v>26</v>
      </c>
      <c r="B31" s="21" t="s">
        <v>2</v>
      </c>
      <c r="C31" s="7" t="str">
        <f>Listes!$Z26</f>
        <v>MAT25</v>
      </c>
      <c r="D31" s="14"/>
      <c r="E31" s="15"/>
      <c r="F31" s="15"/>
      <c r="G31" s="10" t="e">
        <f t="shared" ca="1" si="1"/>
        <v>#REF!</v>
      </c>
      <c r="H31" s="15"/>
      <c r="I31" s="15"/>
      <c r="J31" s="11">
        <f ca="1">IF(C31=0,0,SUMIF(INDIRECT("'"&amp;C$2&amp;"'!"&amp;"B:B"),EVP!C31,INDIRECT("'"&amp;C$2&amp;"'!"&amp;"W:W")))</f>
        <v>0</v>
      </c>
      <c r="K31" s="11"/>
      <c r="L31" s="11"/>
      <c r="M31" s="15"/>
      <c r="N31" s="15"/>
      <c r="O31" s="16">
        <f t="shared" si="2"/>
        <v>45809</v>
      </c>
      <c r="P31" s="12">
        <f t="shared" si="3"/>
        <v>45809</v>
      </c>
      <c r="Q31" s="13" t="str">
        <f t="shared" ca="1" si="4"/>
        <v/>
      </c>
    </row>
    <row r="32" spans="1:17" s="13" customFormat="1" ht="15">
      <c r="A32" s="2">
        <f t="shared" si="0"/>
        <v>27</v>
      </c>
      <c r="B32" s="21" t="s">
        <v>2</v>
      </c>
      <c r="C32" s="7" t="str">
        <f>Listes!$Z27</f>
        <v>MAT26</v>
      </c>
      <c r="D32" s="14"/>
      <c r="E32" s="15"/>
      <c r="F32" s="15"/>
      <c r="G32" s="10" t="e">
        <f t="shared" ca="1" si="1"/>
        <v>#REF!</v>
      </c>
      <c r="H32" s="15"/>
      <c r="I32" s="15"/>
      <c r="J32" s="11">
        <f ca="1">IF(C32=0,0,SUMIF(INDIRECT("'"&amp;C$2&amp;"'!"&amp;"B:B"),EVP!C32,INDIRECT("'"&amp;C$2&amp;"'!"&amp;"W:W")))</f>
        <v>0</v>
      </c>
      <c r="K32" s="11"/>
      <c r="L32" s="11"/>
      <c r="M32" s="15"/>
      <c r="N32" s="15"/>
      <c r="O32" s="16">
        <f t="shared" si="2"/>
        <v>45809</v>
      </c>
      <c r="P32" s="12">
        <f t="shared" si="3"/>
        <v>45809</v>
      </c>
      <c r="Q32" s="13" t="str">
        <f t="shared" ca="1" si="4"/>
        <v/>
      </c>
    </row>
    <row r="33" spans="1:17" s="13" customFormat="1" ht="15">
      <c r="A33" s="2">
        <f t="shared" si="0"/>
        <v>28</v>
      </c>
      <c r="B33" s="21" t="s">
        <v>2</v>
      </c>
      <c r="C33" s="7" t="str">
        <f>Listes!$Z28</f>
        <v>MAT27</v>
      </c>
      <c r="D33" s="14"/>
      <c r="E33" s="15"/>
      <c r="F33" s="15"/>
      <c r="G33" s="10" t="e">
        <f t="shared" ca="1" si="1"/>
        <v>#REF!</v>
      </c>
      <c r="H33" s="15"/>
      <c r="I33" s="15"/>
      <c r="J33" s="11">
        <f ca="1">IF(C33=0,0,SUMIF(INDIRECT("'"&amp;C$2&amp;"'!"&amp;"B:B"),EVP!C33,INDIRECT("'"&amp;C$2&amp;"'!"&amp;"W:W")))</f>
        <v>0</v>
      </c>
      <c r="K33" s="11"/>
      <c r="L33" s="11"/>
      <c r="M33" s="15"/>
      <c r="N33" s="15"/>
      <c r="O33" s="16">
        <f t="shared" si="2"/>
        <v>45809</v>
      </c>
      <c r="P33" s="12">
        <f t="shared" si="3"/>
        <v>45809</v>
      </c>
      <c r="Q33" s="13" t="str">
        <f t="shared" ca="1" si="4"/>
        <v/>
      </c>
    </row>
    <row r="34" spans="1:17" s="13" customFormat="1" ht="15">
      <c r="A34" s="2">
        <f t="shared" si="0"/>
        <v>29</v>
      </c>
      <c r="B34" s="21" t="s">
        <v>2</v>
      </c>
      <c r="C34" s="7" t="str">
        <f>Listes!$Z29</f>
        <v>MAT28</v>
      </c>
      <c r="D34" s="14"/>
      <c r="E34" s="15"/>
      <c r="F34" s="15"/>
      <c r="G34" s="10" t="e">
        <f t="shared" ca="1" si="1"/>
        <v>#REF!</v>
      </c>
      <c r="H34" s="15"/>
      <c r="I34" s="15"/>
      <c r="J34" s="11">
        <f ca="1">IF(C34=0,0,SUMIF(INDIRECT("'"&amp;C$2&amp;"'!"&amp;"B:B"),EVP!C34,INDIRECT("'"&amp;C$2&amp;"'!"&amp;"W:W")))</f>
        <v>0</v>
      </c>
      <c r="K34" s="11"/>
      <c r="L34" s="11"/>
      <c r="M34" s="15"/>
      <c r="N34" s="15"/>
      <c r="O34" s="16">
        <f t="shared" si="2"/>
        <v>45809</v>
      </c>
      <c r="P34" s="12">
        <f t="shared" si="3"/>
        <v>45809</v>
      </c>
      <c r="Q34" s="13" t="str">
        <f t="shared" ca="1" si="4"/>
        <v/>
      </c>
    </row>
    <row r="35" spans="1:17" s="13" customFormat="1" ht="15">
      <c r="A35" s="2">
        <f t="shared" si="0"/>
        <v>30</v>
      </c>
      <c r="B35" s="21" t="s">
        <v>2</v>
      </c>
      <c r="C35" s="7" t="str">
        <f>Listes!$Z30</f>
        <v>MAT29</v>
      </c>
      <c r="D35" s="14"/>
      <c r="E35" s="15"/>
      <c r="F35" s="15"/>
      <c r="G35" s="10" t="e">
        <f t="shared" ca="1" si="1"/>
        <v>#REF!</v>
      </c>
      <c r="H35" s="15"/>
      <c r="I35" s="15"/>
      <c r="J35" s="11">
        <f ca="1">IF(C35=0,0,SUMIF(INDIRECT("'"&amp;C$2&amp;"'!"&amp;"B:B"),EVP!C35,INDIRECT("'"&amp;C$2&amp;"'!"&amp;"W:W")))</f>
        <v>0</v>
      </c>
      <c r="K35" s="11"/>
      <c r="L35" s="11"/>
      <c r="M35" s="15"/>
      <c r="N35" s="15"/>
      <c r="O35" s="16">
        <f t="shared" si="2"/>
        <v>45809</v>
      </c>
      <c r="P35" s="12">
        <f t="shared" si="3"/>
        <v>45809</v>
      </c>
      <c r="Q35" s="13" t="str">
        <f t="shared" ca="1" si="4"/>
        <v/>
      </c>
    </row>
    <row r="36" spans="1:17" s="13" customFormat="1" ht="15">
      <c r="A36" s="2">
        <f t="shared" si="0"/>
        <v>31</v>
      </c>
      <c r="B36" s="21" t="s">
        <v>2</v>
      </c>
      <c r="C36" s="7" t="str">
        <f>Listes!$Z31</f>
        <v>MAT30</v>
      </c>
      <c r="D36" s="14"/>
      <c r="E36" s="15"/>
      <c r="F36" s="15"/>
      <c r="G36" s="10" t="e">
        <f t="shared" ca="1" si="1"/>
        <v>#REF!</v>
      </c>
      <c r="H36" s="15"/>
      <c r="I36" s="15"/>
      <c r="J36" s="11">
        <f ca="1">IF(C36=0,0,SUMIF(INDIRECT("'"&amp;C$2&amp;"'!"&amp;"B:B"),EVP!C36,INDIRECT("'"&amp;C$2&amp;"'!"&amp;"W:W")))</f>
        <v>0</v>
      </c>
      <c r="K36" s="11"/>
      <c r="L36" s="11"/>
      <c r="M36" s="15"/>
      <c r="N36" s="15"/>
      <c r="O36" s="16">
        <f t="shared" si="2"/>
        <v>45809</v>
      </c>
      <c r="P36" s="12">
        <f t="shared" si="3"/>
        <v>45809</v>
      </c>
      <c r="Q36" s="13" t="str">
        <f t="shared" ca="1" si="4"/>
        <v/>
      </c>
    </row>
    <row r="37" spans="1:17" s="13" customFormat="1" ht="15">
      <c r="A37" s="2">
        <f t="shared" si="0"/>
        <v>32</v>
      </c>
      <c r="B37" s="21" t="s">
        <v>2</v>
      </c>
      <c r="C37" s="7" t="e">
        <f>Listes!#REF!</f>
        <v>#REF!</v>
      </c>
      <c r="D37" s="14"/>
      <c r="E37" s="15"/>
      <c r="F37" s="15"/>
      <c r="G37" s="10" t="e">
        <f t="shared" ca="1" si="1"/>
        <v>#REF!</v>
      </c>
      <c r="H37" s="15"/>
      <c r="I37" s="15"/>
      <c r="J37" s="11" t="e">
        <f ca="1">IF(C37=0,0,SUMIF(INDIRECT("'"&amp;C$2&amp;"'!"&amp;"B:B"),EVP!C37,INDIRECT("'"&amp;C$2&amp;"'!"&amp;"W:W")))</f>
        <v>#REF!</v>
      </c>
      <c r="K37" s="11"/>
      <c r="L37" s="11"/>
      <c r="M37" s="15"/>
      <c r="N37" s="15"/>
      <c r="O37" s="16">
        <f t="shared" si="2"/>
        <v>45809</v>
      </c>
      <c r="P37" s="12">
        <f t="shared" si="3"/>
        <v>45809</v>
      </c>
      <c r="Q37" s="13" t="e">
        <f t="shared" ca="1" si="4"/>
        <v>#REF!</v>
      </c>
    </row>
    <row r="38" spans="1:17" s="13" customFormat="1" ht="15">
      <c r="A38" s="2">
        <f t="shared" si="0"/>
        <v>33</v>
      </c>
      <c r="B38" s="21" t="s">
        <v>2</v>
      </c>
      <c r="C38" s="7" t="e">
        <f>Listes!#REF!</f>
        <v>#REF!</v>
      </c>
      <c r="D38" s="14"/>
      <c r="E38" s="15"/>
      <c r="F38" s="15"/>
      <c r="G38" s="10" t="e">
        <f t="shared" ca="1" si="1"/>
        <v>#REF!</v>
      </c>
      <c r="H38" s="15"/>
      <c r="I38" s="15"/>
      <c r="J38" s="11" t="e">
        <f ca="1">IF(C38=0,0,SUMIF(INDIRECT("'"&amp;C$2&amp;"'!"&amp;"B:B"),EVP!C38,INDIRECT("'"&amp;C$2&amp;"'!"&amp;"W:W")))</f>
        <v>#REF!</v>
      </c>
      <c r="K38" s="11"/>
      <c r="L38" s="11"/>
      <c r="M38" s="15"/>
      <c r="N38" s="15"/>
      <c r="O38" s="16">
        <f t="shared" si="2"/>
        <v>45809</v>
      </c>
      <c r="P38" s="12">
        <f t="shared" si="3"/>
        <v>45809</v>
      </c>
      <c r="Q38" s="13" t="e">
        <f t="shared" ca="1" si="4"/>
        <v>#REF!</v>
      </c>
    </row>
    <row r="39" spans="1:17" s="13" customFormat="1" ht="15">
      <c r="A39" s="2">
        <f t="shared" si="0"/>
        <v>34</v>
      </c>
      <c r="B39" s="21" t="s">
        <v>2</v>
      </c>
      <c r="C39" s="7" t="e">
        <f>Listes!#REF!</f>
        <v>#REF!</v>
      </c>
      <c r="D39" s="14"/>
      <c r="E39" s="15"/>
      <c r="F39" s="15"/>
      <c r="G39" s="10" t="e">
        <f t="shared" ca="1" si="1"/>
        <v>#REF!</v>
      </c>
      <c r="H39" s="15"/>
      <c r="I39" s="15"/>
      <c r="J39" s="11" t="e">
        <f ca="1">IF(C39=0,0,SUMIF(INDIRECT("'"&amp;C$2&amp;"'!"&amp;"B:B"),EVP!C39,INDIRECT("'"&amp;C$2&amp;"'!"&amp;"W:W")))</f>
        <v>#REF!</v>
      </c>
      <c r="K39" s="11"/>
      <c r="L39" s="11"/>
      <c r="M39" s="15"/>
      <c r="N39" s="15"/>
      <c r="O39" s="16">
        <f t="shared" si="2"/>
        <v>45809</v>
      </c>
      <c r="P39" s="12">
        <f t="shared" si="3"/>
        <v>45809</v>
      </c>
      <c r="Q39" s="13" t="e">
        <f t="shared" ca="1" si="4"/>
        <v>#REF!</v>
      </c>
    </row>
    <row r="40" spans="1:17" s="13" customFormat="1" ht="15">
      <c r="A40" s="2">
        <f t="shared" si="0"/>
        <v>35</v>
      </c>
      <c r="B40" s="21" t="s">
        <v>2</v>
      </c>
      <c r="C40" s="7" t="e">
        <f>Listes!#REF!</f>
        <v>#REF!</v>
      </c>
      <c r="D40" s="14"/>
      <c r="E40" s="15"/>
      <c r="F40" s="15"/>
      <c r="G40" s="10" t="e">
        <f t="shared" ca="1" si="1"/>
        <v>#REF!</v>
      </c>
      <c r="H40" s="15"/>
      <c r="I40" s="15"/>
      <c r="J40" s="11" t="e">
        <f ca="1">IF(C40=0,0,SUMIF(INDIRECT("'"&amp;C$2&amp;"'!"&amp;"B:B"),EVP!C40,INDIRECT("'"&amp;C$2&amp;"'!"&amp;"W:W")))</f>
        <v>#REF!</v>
      </c>
      <c r="K40" s="11"/>
      <c r="L40" s="11"/>
      <c r="M40" s="15"/>
      <c r="N40" s="15"/>
      <c r="O40" s="16">
        <f t="shared" si="2"/>
        <v>45809</v>
      </c>
      <c r="P40" s="12">
        <f t="shared" si="3"/>
        <v>45809</v>
      </c>
      <c r="Q40" s="13" t="e">
        <f t="shared" ca="1" si="4"/>
        <v>#REF!</v>
      </c>
    </row>
    <row r="41" spans="1:17" s="13" customFormat="1" ht="15">
      <c r="A41" s="2">
        <f t="shared" si="0"/>
        <v>36</v>
      </c>
      <c r="B41" s="21" t="s">
        <v>2</v>
      </c>
      <c r="C41" s="7" t="e">
        <f>Listes!#REF!</f>
        <v>#REF!</v>
      </c>
      <c r="D41" s="14"/>
      <c r="E41" s="15"/>
      <c r="F41" s="15"/>
      <c r="G41" s="10" t="e">
        <f t="shared" ca="1" si="1"/>
        <v>#REF!</v>
      </c>
      <c r="H41" s="15"/>
      <c r="I41" s="15"/>
      <c r="J41" s="11" t="e">
        <f ca="1">IF(C41=0,0,SUMIF(INDIRECT("'"&amp;C$2&amp;"'!"&amp;"B:B"),EVP!C41,INDIRECT("'"&amp;C$2&amp;"'!"&amp;"W:W")))</f>
        <v>#REF!</v>
      </c>
      <c r="K41" s="11"/>
      <c r="L41" s="11"/>
      <c r="M41" s="15"/>
      <c r="N41" s="15"/>
      <c r="O41" s="16">
        <f t="shared" si="2"/>
        <v>45809</v>
      </c>
      <c r="P41" s="12">
        <f t="shared" si="3"/>
        <v>45809</v>
      </c>
      <c r="Q41" s="13" t="e">
        <f t="shared" ca="1" si="4"/>
        <v>#REF!</v>
      </c>
    </row>
    <row r="42" spans="1:17" s="13" customFormat="1" ht="15">
      <c r="A42" s="2">
        <f t="shared" si="0"/>
        <v>37</v>
      </c>
      <c r="B42" s="21" t="s">
        <v>2</v>
      </c>
      <c r="C42" s="7" t="e">
        <f>Listes!#REF!</f>
        <v>#REF!</v>
      </c>
      <c r="D42" s="14"/>
      <c r="E42" s="15"/>
      <c r="F42" s="15"/>
      <c r="G42" s="10" t="e">
        <f t="shared" ca="1" si="1"/>
        <v>#REF!</v>
      </c>
      <c r="H42" s="15"/>
      <c r="I42" s="15"/>
      <c r="J42" s="11" t="e">
        <f ca="1">IF(C42=0,0,SUMIF(INDIRECT("'"&amp;C$2&amp;"'!"&amp;"B:B"),EVP!C42,INDIRECT("'"&amp;C$2&amp;"'!"&amp;"W:W")))</f>
        <v>#REF!</v>
      </c>
      <c r="K42" s="11"/>
      <c r="L42" s="11"/>
      <c r="M42" s="15"/>
      <c r="N42" s="15"/>
      <c r="O42" s="16">
        <f t="shared" si="2"/>
        <v>45809</v>
      </c>
      <c r="P42" s="12">
        <f t="shared" si="3"/>
        <v>45809</v>
      </c>
      <c r="Q42" s="13" t="e">
        <f t="shared" ca="1" si="4"/>
        <v>#REF!</v>
      </c>
    </row>
    <row r="43" spans="1:17" s="13" customFormat="1" ht="15">
      <c r="A43" s="2">
        <f t="shared" si="0"/>
        <v>38</v>
      </c>
      <c r="B43" s="21" t="s">
        <v>2</v>
      </c>
      <c r="C43" s="7" t="e">
        <f>Listes!#REF!</f>
        <v>#REF!</v>
      </c>
      <c r="D43" s="14"/>
      <c r="E43" s="15"/>
      <c r="F43" s="15"/>
      <c r="G43" s="10" t="e">
        <f t="shared" ca="1" si="1"/>
        <v>#REF!</v>
      </c>
      <c r="H43" s="15"/>
      <c r="I43" s="15"/>
      <c r="J43" s="11" t="e">
        <f ca="1">IF(C43=0,0,SUMIF(INDIRECT("'"&amp;C$2&amp;"'!"&amp;"B:B"),EVP!C43,INDIRECT("'"&amp;C$2&amp;"'!"&amp;"W:W")))</f>
        <v>#REF!</v>
      </c>
      <c r="K43" s="11"/>
      <c r="L43" s="11"/>
      <c r="M43" s="15"/>
      <c r="N43" s="15"/>
      <c r="O43" s="16">
        <f t="shared" si="2"/>
        <v>45809</v>
      </c>
      <c r="P43" s="12">
        <f t="shared" si="3"/>
        <v>45809</v>
      </c>
      <c r="Q43" s="13" t="e">
        <f t="shared" ca="1" si="4"/>
        <v>#REF!</v>
      </c>
    </row>
    <row r="44" spans="1:17" s="13" customFormat="1" ht="15">
      <c r="A44" s="2">
        <f t="shared" si="0"/>
        <v>39</v>
      </c>
      <c r="B44" s="21" t="s">
        <v>2</v>
      </c>
      <c r="C44" s="7" t="e">
        <f>Listes!#REF!</f>
        <v>#REF!</v>
      </c>
      <c r="D44" s="14"/>
      <c r="E44" s="15"/>
      <c r="F44" s="15"/>
      <c r="G44" s="10" t="e">
        <f t="shared" ca="1" si="1"/>
        <v>#REF!</v>
      </c>
      <c r="H44" s="15"/>
      <c r="I44" s="15"/>
      <c r="J44" s="11" t="e">
        <f ca="1">IF(C44=0,0,SUMIF(INDIRECT("'"&amp;C$2&amp;"'!"&amp;"B:B"),EVP!C44,INDIRECT("'"&amp;C$2&amp;"'!"&amp;"W:W")))</f>
        <v>#REF!</v>
      </c>
      <c r="K44" s="11"/>
      <c r="L44" s="11"/>
      <c r="M44" s="15"/>
      <c r="N44" s="15"/>
      <c r="O44" s="16">
        <f t="shared" si="2"/>
        <v>45809</v>
      </c>
      <c r="P44" s="12">
        <f t="shared" si="3"/>
        <v>45809</v>
      </c>
      <c r="Q44" s="13" t="e">
        <f t="shared" ca="1" si="4"/>
        <v>#REF!</v>
      </c>
    </row>
    <row r="45" spans="1:17" s="13" customFormat="1" ht="15">
      <c r="A45" s="2">
        <f t="shared" si="0"/>
        <v>40</v>
      </c>
      <c r="B45" s="21" t="s">
        <v>2</v>
      </c>
      <c r="C45" s="7" t="e">
        <f>Listes!#REF!</f>
        <v>#REF!</v>
      </c>
      <c r="D45" s="14"/>
      <c r="E45" s="15"/>
      <c r="F45" s="15"/>
      <c r="G45" s="10" t="e">
        <f t="shared" ca="1" si="1"/>
        <v>#REF!</v>
      </c>
      <c r="H45" s="15"/>
      <c r="I45" s="15"/>
      <c r="J45" s="11" t="e">
        <f ca="1">IF(C45=0,0,SUMIF(INDIRECT("'"&amp;C$2&amp;"'!"&amp;"B:B"),EVP!C45,INDIRECT("'"&amp;C$2&amp;"'!"&amp;"W:W")))</f>
        <v>#REF!</v>
      </c>
      <c r="K45" s="11"/>
      <c r="L45" s="11"/>
      <c r="M45" s="15"/>
      <c r="N45" s="15"/>
      <c r="O45" s="16">
        <f t="shared" si="2"/>
        <v>45809</v>
      </c>
      <c r="P45" s="12">
        <f t="shared" si="3"/>
        <v>45809</v>
      </c>
      <c r="Q45" s="13" t="e">
        <f t="shared" ca="1" si="4"/>
        <v>#REF!</v>
      </c>
    </row>
    <row r="46" spans="1:17" s="13" customFormat="1" ht="15">
      <c r="A46" s="2">
        <f t="shared" si="0"/>
        <v>41</v>
      </c>
      <c r="B46" s="21" t="s">
        <v>2</v>
      </c>
      <c r="C46" s="7" t="e">
        <f>Listes!#REF!</f>
        <v>#REF!</v>
      </c>
      <c r="D46" s="14"/>
      <c r="E46" s="15"/>
      <c r="F46" s="15"/>
      <c r="G46" s="10" t="e">
        <f t="shared" ca="1" si="1"/>
        <v>#REF!</v>
      </c>
      <c r="H46" s="15"/>
      <c r="I46" s="15"/>
      <c r="J46" s="11" t="e">
        <f ca="1">IF(C46=0,0,SUMIF(INDIRECT("'"&amp;C$2&amp;"'!"&amp;"B:B"),EVP!C46,INDIRECT("'"&amp;C$2&amp;"'!"&amp;"W:W")))</f>
        <v>#REF!</v>
      </c>
      <c r="K46" s="11"/>
      <c r="L46" s="11"/>
      <c r="M46" s="15"/>
      <c r="N46" s="15"/>
      <c r="O46" s="16">
        <f t="shared" si="2"/>
        <v>45809</v>
      </c>
      <c r="P46" s="12">
        <f t="shared" si="3"/>
        <v>45809</v>
      </c>
      <c r="Q46" s="13" t="e">
        <f t="shared" ca="1" si="4"/>
        <v>#REF!</v>
      </c>
    </row>
    <row r="47" spans="1:17" s="13" customFormat="1" ht="15">
      <c r="A47" s="2">
        <f t="shared" si="0"/>
        <v>42</v>
      </c>
      <c r="B47" s="21" t="s">
        <v>2</v>
      </c>
      <c r="C47" s="7" t="e">
        <f>Listes!#REF!</f>
        <v>#REF!</v>
      </c>
      <c r="D47" s="14"/>
      <c r="E47" s="15"/>
      <c r="F47" s="15"/>
      <c r="G47" s="10" t="e">
        <f t="shared" ca="1" si="1"/>
        <v>#REF!</v>
      </c>
      <c r="H47" s="15"/>
      <c r="I47" s="15"/>
      <c r="J47" s="11" t="e">
        <f ca="1">IF(C47=0,0,SUMIF(INDIRECT("'"&amp;C$2&amp;"'!"&amp;"B:B"),EVP!C47,INDIRECT("'"&amp;C$2&amp;"'!"&amp;"W:W")))</f>
        <v>#REF!</v>
      </c>
      <c r="K47" s="11"/>
      <c r="L47" s="11"/>
      <c r="M47" s="15"/>
      <c r="N47" s="15"/>
      <c r="O47" s="16">
        <f t="shared" si="2"/>
        <v>45809</v>
      </c>
      <c r="P47" s="12">
        <f t="shared" si="3"/>
        <v>45809</v>
      </c>
      <c r="Q47" s="13" t="e">
        <f t="shared" ca="1" si="4"/>
        <v>#REF!</v>
      </c>
    </row>
    <row r="48" spans="1:17" s="13" customFormat="1" ht="15">
      <c r="A48" s="2">
        <f t="shared" si="0"/>
        <v>43</v>
      </c>
      <c r="B48" s="21" t="s">
        <v>2</v>
      </c>
      <c r="C48" s="7" t="e">
        <f>Listes!#REF!</f>
        <v>#REF!</v>
      </c>
      <c r="D48" s="14"/>
      <c r="E48" s="15"/>
      <c r="F48" s="15"/>
      <c r="G48" s="10" t="e">
        <f t="shared" ca="1" si="1"/>
        <v>#REF!</v>
      </c>
      <c r="H48" s="15"/>
      <c r="I48" s="15"/>
      <c r="J48" s="11" t="e">
        <f ca="1">IF(C48=0,0,SUMIF(INDIRECT("'"&amp;C$2&amp;"'!"&amp;"B:B"),EVP!C48,INDIRECT("'"&amp;C$2&amp;"'!"&amp;"W:W")))</f>
        <v>#REF!</v>
      </c>
      <c r="K48" s="11"/>
      <c r="L48" s="11"/>
      <c r="M48" s="15"/>
      <c r="N48" s="15"/>
      <c r="O48" s="16">
        <f t="shared" si="2"/>
        <v>45809</v>
      </c>
      <c r="P48" s="12">
        <f t="shared" si="3"/>
        <v>45809</v>
      </c>
      <c r="Q48" s="13" t="e">
        <f t="shared" ca="1" si="4"/>
        <v>#REF!</v>
      </c>
    </row>
    <row r="49" spans="1:17" s="13" customFormat="1" ht="15">
      <c r="A49" s="2">
        <f t="shared" si="0"/>
        <v>44</v>
      </c>
      <c r="B49" s="21" t="s">
        <v>2</v>
      </c>
      <c r="C49" s="7" t="e">
        <f>Listes!#REF!</f>
        <v>#REF!</v>
      </c>
      <c r="D49" s="14"/>
      <c r="E49" s="15"/>
      <c r="F49" s="15"/>
      <c r="G49" s="10" t="e">
        <f t="shared" ca="1" si="1"/>
        <v>#REF!</v>
      </c>
      <c r="H49" s="15"/>
      <c r="I49" s="15"/>
      <c r="J49" s="11" t="e">
        <f ca="1">IF(C49=0,0,SUMIF(INDIRECT("'"&amp;C$2&amp;"'!"&amp;"B:B"),EVP!C49,INDIRECT("'"&amp;C$2&amp;"'!"&amp;"W:W")))</f>
        <v>#REF!</v>
      </c>
      <c r="K49" s="11"/>
      <c r="L49" s="11"/>
      <c r="M49" s="15"/>
      <c r="N49" s="15"/>
      <c r="O49" s="16">
        <f t="shared" si="2"/>
        <v>45809</v>
      </c>
      <c r="P49" s="12">
        <f t="shared" si="3"/>
        <v>45809</v>
      </c>
      <c r="Q49" s="13" t="e">
        <f t="shared" ca="1" si="4"/>
        <v>#REF!</v>
      </c>
    </row>
    <row r="50" spans="1:17" s="13" customFormat="1" ht="15">
      <c r="A50" s="2">
        <f t="shared" si="0"/>
        <v>45</v>
      </c>
      <c r="B50" s="21" t="s">
        <v>2</v>
      </c>
      <c r="C50" s="7" t="e">
        <f>Listes!#REF!</f>
        <v>#REF!</v>
      </c>
      <c r="D50" s="14"/>
      <c r="E50" s="15"/>
      <c r="F50" s="15"/>
      <c r="G50" s="10" t="e">
        <f t="shared" ca="1" si="1"/>
        <v>#REF!</v>
      </c>
      <c r="H50" s="15"/>
      <c r="I50" s="15"/>
      <c r="J50" s="11" t="e">
        <f ca="1">IF(C50=0,0,SUMIF(INDIRECT("'"&amp;C$2&amp;"'!"&amp;"B:B"),EVP!C50,INDIRECT("'"&amp;C$2&amp;"'!"&amp;"W:W")))</f>
        <v>#REF!</v>
      </c>
      <c r="K50" s="11"/>
      <c r="L50" s="11"/>
      <c r="M50" s="15"/>
      <c r="N50" s="15"/>
      <c r="O50" s="16">
        <f t="shared" si="2"/>
        <v>45809</v>
      </c>
      <c r="P50" s="12">
        <f t="shared" si="3"/>
        <v>45809</v>
      </c>
      <c r="Q50" s="13" t="e">
        <f t="shared" ca="1" si="4"/>
        <v>#REF!</v>
      </c>
    </row>
    <row r="51" spans="1:17" s="13" customFormat="1" ht="15">
      <c r="A51" s="2">
        <f t="shared" si="0"/>
        <v>46</v>
      </c>
      <c r="B51" s="21" t="s">
        <v>2</v>
      </c>
      <c r="C51" s="7" t="e">
        <f>Listes!#REF!</f>
        <v>#REF!</v>
      </c>
      <c r="D51" s="14"/>
      <c r="E51" s="15"/>
      <c r="F51" s="15"/>
      <c r="G51" s="10" t="e">
        <f t="shared" ca="1" si="1"/>
        <v>#REF!</v>
      </c>
      <c r="H51" s="15"/>
      <c r="I51" s="15"/>
      <c r="J51" s="11" t="e">
        <f ca="1">IF(C51=0,0,SUMIF(INDIRECT("'"&amp;C$2&amp;"'!"&amp;"B:B"),EVP!C51,INDIRECT("'"&amp;C$2&amp;"'!"&amp;"W:W")))</f>
        <v>#REF!</v>
      </c>
      <c r="K51" s="11"/>
      <c r="L51" s="11"/>
      <c r="M51" s="15"/>
      <c r="N51" s="15"/>
      <c r="O51" s="16">
        <f t="shared" si="2"/>
        <v>45809</v>
      </c>
      <c r="P51" s="12">
        <f t="shared" si="3"/>
        <v>45809</v>
      </c>
      <c r="Q51" s="13" t="e">
        <f t="shared" ca="1" si="4"/>
        <v>#REF!</v>
      </c>
    </row>
    <row r="52" spans="1:17" s="13" customFormat="1" ht="15">
      <c r="A52" s="2">
        <f t="shared" si="0"/>
        <v>47</v>
      </c>
      <c r="B52" s="21" t="s">
        <v>2</v>
      </c>
      <c r="C52" s="7" t="e">
        <f>Listes!#REF!</f>
        <v>#REF!</v>
      </c>
      <c r="D52" s="14"/>
      <c r="E52" s="15"/>
      <c r="F52" s="15"/>
      <c r="G52" s="10" t="e">
        <f t="shared" ca="1" si="1"/>
        <v>#REF!</v>
      </c>
      <c r="H52" s="15"/>
      <c r="I52" s="15"/>
      <c r="J52" s="11" t="e">
        <f ca="1">IF(C52=0,0,SUMIF(INDIRECT("'"&amp;C$2&amp;"'!"&amp;"B:B"),EVP!C52,INDIRECT("'"&amp;C$2&amp;"'!"&amp;"W:W")))</f>
        <v>#REF!</v>
      </c>
      <c r="K52" s="11"/>
      <c r="L52" s="11"/>
      <c r="M52" s="15"/>
      <c r="N52" s="15"/>
      <c r="O52" s="16">
        <f t="shared" si="2"/>
        <v>45809</v>
      </c>
      <c r="P52" s="12">
        <f t="shared" si="3"/>
        <v>45809</v>
      </c>
      <c r="Q52" s="13" t="e">
        <f t="shared" ca="1" si="4"/>
        <v>#REF!</v>
      </c>
    </row>
    <row r="53" spans="1:17" s="13" customFormat="1" ht="15">
      <c r="A53" s="2">
        <f t="shared" si="0"/>
        <v>48</v>
      </c>
      <c r="B53" s="21" t="s">
        <v>2</v>
      </c>
      <c r="C53" s="7" t="e">
        <f>Listes!#REF!</f>
        <v>#REF!</v>
      </c>
      <c r="D53" s="14"/>
      <c r="E53" s="15"/>
      <c r="F53" s="15"/>
      <c r="G53" s="10" t="e">
        <f t="shared" ca="1" si="1"/>
        <v>#REF!</v>
      </c>
      <c r="H53" s="15"/>
      <c r="I53" s="15"/>
      <c r="J53" s="11" t="e">
        <f ca="1">IF(C53=0,0,SUMIF(INDIRECT("'"&amp;C$2&amp;"'!"&amp;"B:B"),EVP!C53,INDIRECT("'"&amp;C$2&amp;"'!"&amp;"W:W")))</f>
        <v>#REF!</v>
      </c>
      <c r="K53" s="11"/>
      <c r="L53" s="11"/>
      <c r="M53" s="15"/>
      <c r="N53" s="15"/>
      <c r="O53" s="16">
        <f t="shared" si="2"/>
        <v>45809</v>
      </c>
      <c r="P53" s="12">
        <f t="shared" si="3"/>
        <v>45809</v>
      </c>
      <c r="Q53" s="13" t="e">
        <f t="shared" ca="1" si="4"/>
        <v>#REF!</v>
      </c>
    </row>
    <row r="54" spans="1:17" s="13" customFormat="1" ht="15">
      <c r="A54" s="2">
        <f t="shared" si="0"/>
        <v>49</v>
      </c>
      <c r="B54" s="21" t="s">
        <v>2</v>
      </c>
      <c r="C54" s="7" t="e">
        <f>Listes!#REF!</f>
        <v>#REF!</v>
      </c>
      <c r="D54" s="14"/>
      <c r="E54" s="15"/>
      <c r="F54" s="15"/>
      <c r="G54" s="10" t="e">
        <f t="shared" ca="1" si="1"/>
        <v>#REF!</v>
      </c>
      <c r="H54" s="15"/>
      <c r="I54" s="15"/>
      <c r="J54" s="11" t="e">
        <f ca="1">IF(C54=0,0,SUMIF(INDIRECT("'"&amp;C$2&amp;"'!"&amp;"B:B"),EVP!C54,INDIRECT("'"&amp;C$2&amp;"'!"&amp;"W:W")))</f>
        <v>#REF!</v>
      </c>
      <c r="K54" s="11"/>
      <c r="L54" s="11"/>
      <c r="M54" s="15"/>
      <c r="N54" s="15"/>
      <c r="O54" s="16">
        <f t="shared" si="2"/>
        <v>45809</v>
      </c>
      <c r="P54" s="12">
        <f t="shared" si="3"/>
        <v>45809</v>
      </c>
      <c r="Q54" s="13" t="e">
        <f t="shared" ca="1" si="4"/>
        <v>#REF!</v>
      </c>
    </row>
    <row r="55" spans="1:17" s="13" customFormat="1" ht="15">
      <c r="A55" s="2">
        <f t="shared" si="0"/>
        <v>50</v>
      </c>
      <c r="B55" s="21" t="s">
        <v>2</v>
      </c>
      <c r="C55" s="7" t="e">
        <f>Listes!#REF!</f>
        <v>#REF!</v>
      </c>
      <c r="D55" s="14"/>
      <c r="E55" s="15"/>
      <c r="F55" s="15"/>
      <c r="G55" s="10" t="e">
        <f t="shared" ca="1" si="1"/>
        <v>#REF!</v>
      </c>
      <c r="H55" s="15"/>
      <c r="I55" s="15"/>
      <c r="J55" s="11" t="e">
        <f ca="1">IF(C55=0,0,SUMIF(INDIRECT("'"&amp;C$2&amp;"'!"&amp;"B:B"),EVP!C55,INDIRECT("'"&amp;C$2&amp;"'!"&amp;"W:W")))</f>
        <v>#REF!</v>
      </c>
      <c r="K55" s="11"/>
      <c r="L55" s="11"/>
      <c r="M55" s="15"/>
      <c r="N55" s="15"/>
      <c r="O55" s="16">
        <f t="shared" si="2"/>
        <v>45809</v>
      </c>
      <c r="P55" s="12">
        <f t="shared" si="3"/>
        <v>45809</v>
      </c>
      <c r="Q55" s="13" t="e">
        <f t="shared" ca="1" si="4"/>
        <v>#REF!</v>
      </c>
    </row>
    <row r="56" spans="1:17" s="13" customFormat="1" ht="15">
      <c r="A56" s="2">
        <f t="shared" si="0"/>
        <v>51</v>
      </c>
      <c r="B56" s="21" t="s">
        <v>2</v>
      </c>
      <c r="C56" s="7" t="e">
        <f>Listes!#REF!</f>
        <v>#REF!</v>
      </c>
      <c r="D56" s="14"/>
      <c r="E56" s="15"/>
      <c r="F56" s="15"/>
      <c r="G56" s="10" t="e">
        <f t="shared" ca="1" si="1"/>
        <v>#REF!</v>
      </c>
      <c r="H56" s="15"/>
      <c r="I56" s="15"/>
      <c r="J56" s="11" t="e">
        <f ca="1">IF(C56=0,0,SUMIF(INDIRECT("'"&amp;C$2&amp;"'!"&amp;"B:B"),EVP!C56,INDIRECT("'"&amp;C$2&amp;"'!"&amp;"W:W")))</f>
        <v>#REF!</v>
      </c>
      <c r="K56" s="11"/>
      <c r="L56" s="11"/>
      <c r="M56" s="15"/>
      <c r="N56" s="15"/>
      <c r="O56" s="16">
        <f t="shared" si="2"/>
        <v>45809</v>
      </c>
      <c r="P56" s="12">
        <f t="shared" si="3"/>
        <v>45809</v>
      </c>
      <c r="Q56" s="13" t="e">
        <f t="shared" ca="1" si="4"/>
        <v>#REF!</v>
      </c>
    </row>
    <row r="57" spans="1:17" s="13" customFormat="1" ht="15">
      <c r="A57" s="2">
        <f t="shared" si="0"/>
        <v>52</v>
      </c>
      <c r="B57" s="21" t="s">
        <v>2</v>
      </c>
      <c r="C57" s="7" t="e">
        <f>Listes!#REF!</f>
        <v>#REF!</v>
      </c>
      <c r="D57" s="14"/>
      <c r="E57" s="15"/>
      <c r="F57" s="15"/>
      <c r="G57" s="10" t="e">
        <f t="shared" ca="1" si="1"/>
        <v>#REF!</v>
      </c>
      <c r="H57" s="15"/>
      <c r="I57" s="15"/>
      <c r="J57" s="11" t="e">
        <f ca="1">IF(C57=0,0,SUMIF(INDIRECT("'"&amp;C$2&amp;"'!"&amp;"B:B"),EVP!C57,INDIRECT("'"&amp;C$2&amp;"'!"&amp;"W:W")))</f>
        <v>#REF!</v>
      </c>
      <c r="K57" s="11"/>
      <c r="L57" s="11"/>
      <c r="M57" s="15"/>
      <c r="N57" s="15"/>
      <c r="O57" s="16">
        <f t="shared" si="2"/>
        <v>45809</v>
      </c>
      <c r="P57" s="12">
        <f t="shared" si="3"/>
        <v>45809</v>
      </c>
      <c r="Q57" s="13" t="e">
        <f t="shared" ca="1" si="4"/>
        <v>#REF!</v>
      </c>
    </row>
    <row r="58" spans="1:17" s="13" customFormat="1" ht="15">
      <c r="A58" s="2">
        <f t="shared" si="0"/>
        <v>53</v>
      </c>
      <c r="B58" s="21" t="s">
        <v>2</v>
      </c>
      <c r="C58" s="7" t="e">
        <f>Listes!#REF!</f>
        <v>#REF!</v>
      </c>
      <c r="D58" s="14"/>
      <c r="E58" s="15"/>
      <c r="F58" s="15"/>
      <c r="G58" s="10" t="e">
        <f t="shared" ca="1" si="1"/>
        <v>#REF!</v>
      </c>
      <c r="H58" s="15"/>
      <c r="I58" s="15"/>
      <c r="J58" s="11" t="e">
        <f ca="1">IF(C58=0,0,SUMIF(INDIRECT("'"&amp;C$2&amp;"'!"&amp;"B:B"),EVP!C58,INDIRECT("'"&amp;C$2&amp;"'!"&amp;"W:W")))</f>
        <v>#REF!</v>
      </c>
      <c r="K58" s="11"/>
      <c r="L58" s="11"/>
      <c r="M58" s="15"/>
      <c r="N58" s="15"/>
      <c r="O58" s="16">
        <f t="shared" si="2"/>
        <v>45809</v>
      </c>
      <c r="P58" s="12">
        <f t="shared" si="3"/>
        <v>45809</v>
      </c>
      <c r="Q58" s="13" t="e">
        <f t="shared" ca="1" si="4"/>
        <v>#REF!</v>
      </c>
    </row>
    <row r="59" spans="1:17" s="13" customFormat="1" ht="15">
      <c r="A59" s="2">
        <f t="shared" si="0"/>
        <v>54</v>
      </c>
      <c r="B59" s="21" t="s">
        <v>2</v>
      </c>
      <c r="C59" s="7" t="e">
        <f>Listes!#REF!</f>
        <v>#REF!</v>
      </c>
      <c r="D59" s="14"/>
      <c r="E59" s="15"/>
      <c r="F59" s="15"/>
      <c r="G59" s="10" t="e">
        <f t="shared" ca="1" si="1"/>
        <v>#REF!</v>
      </c>
      <c r="H59" s="15"/>
      <c r="I59" s="15"/>
      <c r="J59" s="11" t="e">
        <f ca="1">IF(C59=0,0,SUMIF(INDIRECT("'"&amp;C$2&amp;"'!"&amp;"B:B"),EVP!C59,INDIRECT("'"&amp;C$2&amp;"'!"&amp;"W:W")))</f>
        <v>#REF!</v>
      </c>
      <c r="K59" s="11"/>
      <c r="L59" s="11"/>
      <c r="M59" s="15"/>
      <c r="N59" s="15"/>
      <c r="O59" s="16">
        <f t="shared" si="2"/>
        <v>45809</v>
      </c>
      <c r="P59" s="12">
        <f t="shared" si="3"/>
        <v>45809</v>
      </c>
      <c r="Q59" s="13" t="e">
        <f t="shared" ca="1" si="4"/>
        <v>#REF!</v>
      </c>
    </row>
    <row r="60" spans="1:17" s="13" customFormat="1" ht="15">
      <c r="A60" s="2">
        <f t="shared" si="0"/>
        <v>55</v>
      </c>
      <c r="B60" s="21" t="s">
        <v>2</v>
      </c>
      <c r="C60" s="7" t="e">
        <f>Listes!#REF!</f>
        <v>#REF!</v>
      </c>
      <c r="D60" s="14"/>
      <c r="E60" s="15"/>
      <c r="F60" s="15"/>
      <c r="G60" s="10" t="e">
        <f t="shared" ca="1" si="1"/>
        <v>#REF!</v>
      </c>
      <c r="H60" s="15"/>
      <c r="I60" s="15"/>
      <c r="J60" s="11" t="e">
        <f ca="1">IF(C60=0,0,SUMIF(INDIRECT("'"&amp;C$2&amp;"'!"&amp;"B:B"),EVP!C60,INDIRECT("'"&amp;C$2&amp;"'!"&amp;"W:W")))</f>
        <v>#REF!</v>
      </c>
      <c r="K60" s="11"/>
      <c r="L60" s="11"/>
      <c r="M60" s="15"/>
      <c r="N60" s="15"/>
      <c r="O60" s="16">
        <f t="shared" si="2"/>
        <v>45809</v>
      </c>
      <c r="P60" s="12">
        <f t="shared" si="3"/>
        <v>45809</v>
      </c>
      <c r="Q60" s="13" t="e">
        <f t="shared" ca="1" si="4"/>
        <v>#REF!</v>
      </c>
    </row>
  </sheetData>
  <sheetProtection autoFilter="0"/>
  <autoFilter ref="A6:Q60" xr:uid="{1B854B8C-A427-4DF6-94E7-601BD31909F3}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8978E-48B9-43DE-A6C7-711024690B55}">
  <sheetPr codeName="Feuil15">
    <tabColor rgb="FFF1D2CF"/>
  </sheetPr>
  <dimension ref="A1:AD55"/>
  <sheetViews>
    <sheetView zoomScaleNormal="100" workbookViewId="0">
      <selection activeCell="D1" sqref="D1:D1048576"/>
    </sheetView>
  </sheetViews>
  <sheetFormatPr baseColWidth="10" defaultColWidth="11.42578125" defaultRowHeight="12.75" outlineLevelCol="1"/>
  <cols>
    <col min="1" max="1" width="11.42578125" style="94" customWidth="1" outlineLevel="1"/>
    <col min="2" max="2" width="16.7109375" style="94" customWidth="1" outlineLevel="1"/>
    <col min="3" max="4" width="11.42578125" style="165" customWidth="1" outlineLevel="1"/>
    <col min="5" max="5" width="1.42578125" style="94" customWidth="1" outlineLevel="1"/>
    <col min="6" max="6" width="14.7109375" style="94" customWidth="1" outlineLevel="1"/>
    <col min="7" max="7" width="12.5703125" style="94" customWidth="1" outlineLevel="1"/>
    <col min="8" max="8" width="12.85546875" style="166" customWidth="1" outlineLevel="1"/>
    <col min="9" max="9" width="1.5703125" style="94" customWidth="1" outlineLevel="1"/>
    <col min="10" max="10" width="8.28515625" style="94" customWidth="1"/>
    <col min="11" max="11" width="76.140625" style="167" customWidth="1"/>
    <col min="12" max="12" width="9.5703125" style="94" customWidth="1"/>
    <col min="13" max="13" width="7.42578125" style="94" customWidth="1"/>
    <col min="14" max="14" width="8.42578125" style="94" customWidth="1"/>
    <col min="15" max="15" width="8.85546875" style="94" customWidth="1"/>
    <col min="16" max="16" width="1.140625" style="94" customWidth="1"/>
    <col min="17" max="17" width="15.85546875" style="94" customWidth="1"/>
    <col min="18" max="18" width="12.5703125" style="94" customWidth="1"/>
    <col min="19" max="19" width="19.28515625" style="94" customWidth="1"/>
    <col min="20" max="21" width="12.5703125" style="94" customWidth="1"/>
    <col min="22" max="22" width="15.7109375" style="94" bestFit="1" customWidth="1"/>
    <col min="23" max="23" width="8.140625" style="126" customWidth="1"/>
    <col min="24" max="24" width="4.28515625" style="94" customWidth="1"/>
    <col min="25" max="25" width="11.42578125" style="94"/>
    <col min="26" max="26" width="11.42578125" style="126"/>
    <col min="27" max="27" width="20" style="126" bestFit="1" customWidth="1"/>
    <col min="28" max="28" width="3.7109375" style="94" customWidth="1"/>
    <col min="29" max="16384" width="11.42578125" style="94"/>
  </cols>
  <sheetData>
    <row r="1" spans="1:30">
      <c r="A1" s="130"/>
      <c r="B1" s="130"/>
      <c r="C1" s="131"/>
      <c r="D1" s="131"/>
      <c r="E1" s="130"/>
      <c r="F1" s="132">
        <v>45444</v>
      </c>
      <c r="G1" s="133">
        <f>+EOMONTH(F1,11)</f>
        <v>45808</v>
      </c>
      <c r="H1" s="134"/>
      <c r="I1" s="130"/>
      <c r="J1" s="135" t="s">
        <v>97</v>
      </c>
      <c r="K1" s="136" t="s">
        <v>98</v>
      </c>
      <c r="L1" s="136" t="s">
        <v>45</v>
      </c>
      <c r="M1" s="136" t="s">
        <v>99</v>
      </c>
      <c r="N1" s="136" t="s">
        <v>100</v>
      </c>
      <c r="O1" s="136" t="s">
        <v>101</v>
      </c>
      <c r="Q1" s="95" t="s">
        <v>102</v>
      </c>
      <c r="R1" s="95" t="s">
        <v>103</v>
      </c>
      <c r="S1" s="95" t="s">
        <v>103</v>
      </c>
      <c r="T1" s="95" t="s">
        <v>104</v>
      </c>
      <c r="U1" s="95" t="s">
        <v>104</v>
      </c>
      <c r="V1" s="95" t="s">
        <v>105</v>
      </c>
      <c r="W1" s="125" t="s">
        <v>106</v>
      </c>
      <c r="Y1" s="99" t="s">
        <v>36</v>
      </c>
      <c r="Z1" s="127" t="s">
        <v>26</v>
      </c>
      <c r="AA1" s="127" t="s">
        <v>107</v>
      </c>
      <c r="AC1" s="100" t="s">
        <v>26</v>
      </c>
      <c r="AD1" s="100" t="s">
        <v>35</v>
      </c>
    </row>
    <row r="2" spans="1:30" ht="38.25">
      <c r="A2" s="136" t="s">
        <v>108</v>
      </c>
      <c r="B2" s="110" t="s">
        <v>269</v>
      </c>
      <c r="C2" s="123" t="s">
        <v>267</v>
      </c>
      <c r="D2" s="123" t="s">
        <v>268</v>
      </c>
      <c r="E2" s="131"/>
      <c r="F2" s="136" t="s">
        <v>109</v>
      </c>
      <c r="G2" s="136"/>
      <c r="H2" s="137" t="s">
        <v>110</v>
      </c>
      <c r="I2" s="138"/>
      <c r="J2" s="135" t="s">
        <v>111</v>
      </c>
      <c r="K2" s="139" t="s">
        <v>112</v>
      </c>
      <c r="L2" s="139" t="s">
        <v>87</v>
      </c>
      <c r="M2" s="139" t="s">
        <v>113</v>
      </c>
      <c r="N2" s="139" t="s">
        <v>114</v>
      </c>
      <c r="O2" s="139" t="s">
        <v>115</v>
      </c>
      <c r="Q2" s="111"/>
      <c r="R2" s="95" t="s">
        <v>116</v>
      </c>
      <c r="S2" s="95" t="s">
        <v>117</v>
      </c>
      <c r="T2" s="95" t="s">
        <v>118</v>
      </c>
      <c r="U2" s="95" t="s">
        <v>119</v>
      </c>
      <c r="V2" s="95" t="s">
        <v>49</v>
      </c>
      <c r="W2" s="125" t="s">
        <v>264</v>
      </c>
      <c r="Y2" s="101">
        <v>1</v>
      </c>
      <c r="Z2" s="128" t="s">
        <v>153</v>
      </c>
      <c r="AA2" s="25" t="s">
        <v>292</v>
      </c>
      <c r="AC2" s="129">
        <v>10000000</v>
      </c>
      <c r="AD2" s="129" t="s">
        <v>322</v>
      </c>
    </row>
    <row r="3" spans="1:30">
      <c r="A3" s="139">
        <v>1</v>
      </c>
      <c r="B3" s="110">
        <f>+F1</f>
        <v>45444</v>
      </c>
      <c r="C3" s="124">
        <f>NETWORKDAYS(EDATE(B3,0),EOMONTH(B3,0),$H$3:$H$21)</f>
        <v>20</v>
      </c>
      <c r="D3" s="124">
        <f>EOMONTH(B3,0)-EDATE(B3,0)+1</f>
        <v>30</v>
      </c>
      <c r="E3" s="131"/>
      <c r="F3" s="140" t="s">
        <v>120</v>
      </c>
      <c r="G3" s="141" t="str">
        <f t="shared" ref="G3:G20" si="0">TEXT(H3,"jjjj")</f>
        <v>lundi</v>
      </c>
      <c r="H3" s="142">
        <f>DATE(YEAR(Listes!$F$1),1,1)</f>
        <v>45292</v>
      </c>
      <c r="I3" s="130"/>
      <c r="J3" s="135" t="s">
        <v>121</v>
      </c>
      <c r="K3" s="139" t="s">
        <v>122</v>
      </c>
      <c r="L3" s="139" t="s">
        <v>123</v>
      </c>
      <c r="M3" s="139" t="s">
        <v>123</v>
      </c>
      <c r="N3" s="139" t="s">
        <v>123</v>
      </c>
      <c r="O3" s="139" t="s">
        <v>124</v>
      </c>
      <c r="Q3" s="96" t="s">
        <v>90</v>
      </c>
      <c r="R3" s="97"/>
      <c r="S3" s="97"/>
      <c r="T3" s="97">
        <v>0.41666666666666669</v>
      </c>
      <c r="U3" s="97">
        <v>0.70833333333333337</v>
      </c>
      <c r="V3" s="24">
        <f>IF(R3&lt;=S3,(S3-R3)*24,((Listes!$H$21-R3)*24+(S3-Listes!$G$21)*24))+IF(T3&lt;=U3,(U3-T3)*24,((Listes!$H$21-T3)*24+(U3-Listes!$G$21)*24))</f>
        <v>7</v>
      </c>
      <c r="W3" s="122" t="s">
        <v>125</v>
      </c>
      <c r="Y3" s="101">
        <v>2</v>
      </c>
      <c r="Z3" s="128" t="s">
        <v>159</v>
      </c>
      <c r="AA3" s="25" t="s">
        <v>293</v>
      </c>
    </row>
    <row r="4" spans="1:30">
      <c r="A4" s="139">
        <v>2</v>
      </c>
      <c r="B4" s="110">
        <f>+EDATE(B3,1)</f>
        <v>45474</v>
      </c>
      <c r="C4" s="124">
        <f t="shared" ref="C4:C14" si="1">NETWORKDAYS(EDATE(B4,0),EOMONTH(B4,0),$H$3:$H$21)</f>
        <v>23</v>
      </c>
      <c r="D4" s="124">
        <f t="shared" ref="D4:D14" si="2">EOMONTH(B4,0)-EDATE(B4,0)+1</f>
        <v>31</v>
      </c>
      <c r="E4" s="131"/>
      <c r="F4" s="141" t="s">
        <v>126</v>
      </c>
      <c r="G4" s="141" t="str">
        <f t="shared" si="0"/>
        <v>lundi</v>
      </c>
      <c r="H4" s="142">
        <f>FLOOR(DAY(MINUTE(YEAR(Listes!F1)/38)/2+56)&amp;"/5/"&amp;YEAR(Listes!F1), 7)-34+1</f>
        <v>45383</v>
      </c>
      <c r="I4" s="130"/>
      <c r="J4" s="135" t="s">
        <v>127</v>
      </c>
      <c r="K4" s="139" t="s">
        <v>128</v>
      </c>
      <c r="L4" s="139" t="s">
        <v>87</v>
      </c>
      <c r="M4" s="139" t="s">
        <v>113</v>
      </c>
      <c r="N4" s="139" t="s">
        <v>114</v>
      </c>
      <c r="O4" s="139" t="s">
        <v>124</v>
      </c>
      <c r="Q4" s="96" t="s">
        <v>83</v>
      </c>
      <c r="R4" s="97"/>
      <c r="S4" s="97"/>
      <c r="T4" s="97">
        <v>0.5</v>
      </c>
      <c r="U4" s="97">
        <v>0.79166666666666663</v>
      </c>
      <c r="V4" s="24">
        <f>IF(R4&lt;=S4,(S4-R4)*24,((Listes!$H$21-R4)*24+(S4-Listes!$G$21)*24))+IF(T4&lt;=U4,(U4-T4)*24,((Listes!$H$21-T4)*24+(U4-Listes!$G$21)*24))</f>
        <v>6.9999999999999991</v>
      </c>
      <c r="W4" s="122" t="s">
        <v>125</v>
      </c>
      <c r="Y4" s="101">
        <v>3</v>
      </c>
      <c r="Z4" s="128" t="s">
        <v>164</v>
      </c>
      <c r="AA4" s="25" t="s">
        <v>294</v>
      </c>
    </row>
    <row r="5" spans="1:30">
      <c r="A5" s="139">
        <v>3</v>
      </c>
      <c r="B5" s="110">
        <f t="shared" ref="B5:B14" si="3">+EDATE(B4,1)</f>
        <v>45505</v>
      </c>
      <c r="C5" s="124">
        <f t="shared" si="1"/>
        <v>21</v>
      </c>
      <c r="D5" s="124">
        <f t="shared" si="2"/>
        <v>31</v>
      </c>
      <c r="E5" s="131"/>
      <c r="F5" s="143" t="s">
        <v>129</v>
      </c>
      <c r="G5" s="141" t="str">
        <f t="shared" si="0"/>
        <v>mercredi</v>
      </c>
      <c r="H5" s="142">
        <f>DATE(YEAR(Listes!$F$1),5,1)</f>
        <v>45413</v>
      </c>
      <c r="I5" s="130"/>
      <c r="J5" s="135" t="s">
        <v>130</v>
      </c>
      <c r="K5" s="139" t="s">
        <v>131</v>
      </c>
      <c r="L5" s="139" t="s">
        <v>123</v>
      </c>
      <c r="M5" s="139" t="s">
        <v>123</v>
      </c>
      <c r="N5" s="139" t="s">
        <v>123</v>
      </c>
      <c r="O5" s="139" t="s">
        <v>124</v>
      </c>
      <c r="Q5" s="96" t="s">
        <v>132</v>
      </c>
      <c r="R5" s="97"/>
      <c r="S5" s="97"/>
      <c r="T5" s="97">
        <v>0.54166666666666663</v>
      </c>
      <c r="U5" s="97">
        <v>0.875</v>
      </c>
      <c r="V5" s="24">
        <f>IF(R5&lt;=S5,(S5-R5)*24,((Listes!$H$21-R5)*24+(S5-Listes!$G$21)*24))+IF(T5&lt;=U5,(U5-T5)*24,((Listes!$H$21-T5)*24+(U5-Listes!$G$21)*24))</f>
        <v>8</v>
      </c>
      <c r="W5" s="122" t="s">
        <v>125</v>
      </c>
      <c r="Y5" s="101">
        <v>4</v>
      </c>
      <c r="Z5" s="128" t="s">
        <v>169</v>
      </c>
      <c r="AA5" s="25" t="s">
        <v>295</v>
      </c>
    </row>
    <row r="6" spans="1:30">
      <c r="A6" s="139">
        <v>4</v>
      </c>
      <c r="B6" s="110">
        <f t="shared" si="3"/>
        <v>45536</v>
      </c>
      <c r="C6" s="124">
        <f t="shared" si="1"/>
        <v>21</v>
      </c>
      <c r="D6" s="124">
        <f t="shared" si="2"/>
        <v>30</v>
      </c>
      <c r="E6" s="131"/>
      <c r="F6" s="141" t="s">
        <v>133</v>
      </c>
      <c r="G6" s="141" t="str">
        <f t="shared" si="0"/>
        <v>mercredi</v>
      </c>
      <c r="H6" s="142">
        <f>DATE(YEAR(Listes!$F$1),5,8)</f>
        <v>45420</v>
      </c>
      <c r="I6" s="130"/>
      <c r="J6" s="135" t="s">
        <v>134</v>
      </c>
      <c r="K6" s="139" t="s">
        <v>135</v>
      </c>
      <c r="L6" s="139" t="s">
        <v>87</v>
      </c>
      <c r="M6" s="139" t="s">
        <v>113</v>
      </c>
      <c r="N6" s="139" t="s">
        <v>114</v>
      </c>
      <c r="O6" s="139" t="s">
        <v>115</v>
      </c>
      <c r="Q6" s="96" t="s">
        <v>136</v>
      </c>
      <c r="R6" s="97"/>
      <c r="S6" s="97"/>
      <c r="T6" s="97">
        <v>0.5</v>
      </c>
      <c r="U6" s="97">
        <v>0.84375</v>
      </c>
      <c r="V6" s="24">
        <f>IF(R6&lt;=S6,(S6-R6)*24,((Listes!$H$21-R6)*24+(S6-Listes!$G$21)*24))+IF(T6&lt;=U6,(U6-T6)*24,((Listes!$H$21-T6)*24+(U6-Listes!$G$21)*24))</f>
        <v>8.25</v>
      </c>
      <c r="W6" s="122" t="s">
        <v>125</v>
      </c>
      <c r="Y6" s="101">
        <v>5</v>
      </c>
      <c r="Z6" s="128" t="s">
        <v>173</v>
      </c>
      <c r="AA6" s="25" t="s">
        <v>296</v>
      </c>
    </row>
    <row r="7" spans="1:30">
      <c r="A7" s="139">
        <v>5</v>
      </c>
      <c r="B7" s="110">
        <f t="shared" si="3"/>
        <v>45566</v>
      </c>
      <c r="C7" s="124">
        <f t="shared" si="1"/>
        <v>23</v>
      </c>
      <c r="D7" s="124">
        <f t="shared" si="2"/>
        <v>31</v>
      </c>
      <c r="E7" s="131"/>
      <c r="F7" s="141" t="s">
        <v>137</v>
      </c>
      <c r="G7" s="141" t="str">
        <f t="shared" si="0"/>
        <v>jeudi</v>
      </c>
      <c r="H7" s="142">
        <f>H4-1+39</f>
        <v>45421</v>
      </c>
      <c r="I7" s="130"/>
      <c r="J7" s="135" t="s">
        <v>138</v>
      </c>
      <c r="K7" s="139" t="s">
        <v>139</v>
      </c>
      <c r="L7" s="139" t="s">
        <v>87</v>
      </c>
      <c r="M7" s="139" t="s">
        <v>113</v>
      </c>
      <c r="N7" s="139" t="s">
        <v>114</v>
      </c>
      <c r="O7" s="139" t="s">
        <v>115</v>
      </c>
      <c r="Q7" s="96" t="s">
        <v>140</v>
      </c>
      <c r="R7" s="97"/>
      <c r="S7" s="97"/>
      <c r="T7" s="97">
        <v>0.5</v>
      </c>
      <c r="U7" s="97">
        <v>0.88541666666666663</v>
      </c>
      <c r="V7" s="24">
        <f>IF(R7&lt;=S7,(S7-R7)*24,((Listes!$H$21-R7)*24+(S7-Listes!$G$21)*24))+IF(T7&lt;=U7,(U7-T7)*24,((Listes!$H$21-T7)*24+(U7-Listes!$G$21)*24))</f>
        <v>9.25</v>
      </c>
      <c r="W7" s="122" t="s">
        <v>125</v>
      </c>
      <c r="Y7" s="101">
        <v>6</v>
      </c>
      <c r="Z7" s="128" t="s">
        <v>176</v>
      </c>
      <c r="AA7" s="25" t="s">
        <v>297</v>
      </c>
    </row>
    <row r="8" spans="1:30">
      <c r="A8" s="139">
        <v>6</v>
      </c>
      <c r="B8" s="110">
        <f t="shared" si="3"/>
        <v>45597</v>
      </c>
      <c r="C8" s="124">
        <f t="shared" si="1"/>
        <v>19</v>
      </c>
      <c r="D8" s="124">
        <f t="shared" si="2"/>
        <v>30</v>
      </c>
      <c r="E8" s="131"/>
      <c r="F8" s="141" t="s">
        <v>141</v>
      </c>
      <c r="G8" s="141" t="str">
        <f t="shared" si="0"/>
        <v>lundi</v>
      </c>
      <c r="H8" s="142">
        <f>H4+49</f>
        <v>45432</v>
      </c>
      <c r="I8" s="130"/>
      <c r="J8" s="135" t="s">
        <v>142</v>
      </c>
      <c r="K8" s="139" t="s">
        <v>143</v>
      </c>
      <c r="L8" s="139" t="s">
        <v>87</v>
      </c>
      <c r="M8" s="139" t="s">
        <v>113</v>
      </c>
      <c r="N8" s="139" t="s">
        <v>114</v>
      </c>
      <c r="O8" s="139" t="s">
        <v>115</v>
      </c>
      <c r="Q8" s="96" t="s">
        <v>144</v>
      </c>
      <c r="R8" s="97"/>
      <c r="S8" s="97"/>
      <c r="T8" s="97">
        <v>0.54166666666666663</v>
      </c>
      <c r="U8" s="97">
        <v>0.83333333333333337</v>
      </c>
      <c r="V8" s="24">
        <f>IF(R8&lt;=S8,(S8-R8)*24,((Listes!$H$21-R8)*24+(S8-Listes!$G$21)*24))+IF(T8&lt;=U8,(U8-T8)*24,((Listes!$H$21-T8)*24+(U8-Listes!$G$21)*24))</f>
        <v>7.0000000000000018</v>
      </c>
      <c r="W8" s="122" t="s">
        <v>125</v>
      </c>
      <c r="Y8" s="101">
        <v>7</v>
      </c>
      <c r="Z8" s="128" t="s">
        <v>180</v>
      </c>
      <c r="AA8" s="25" t="s">
        <v>298</v>
      </c>
    </row>
    <row r="9" spans="1:30">
      <c r="A9" s="139">
        <v>7</v>
      </c>
      <c r="B9" s="110">
        <f t="shared" si="3"/>
        <v>45627</v>
      </c>
      <c r="C9" s="124">
        <f t="shared" si="1"/>
        <v>21</v>
      </c>
      <c r="D9" s="124">
        <f t="shared" si="2"/>
        <v>31</v>
      </c>
      <c r="E9" s="131"/>
      <c r="F9" s="141" t="s">
        <v>145</v>
      </c>
      <c r="G9" s="141" t="str">
        <f t="shared" si="0"/>
        <v>dimanche</v>
      </c>
      <c r="H9" s="142">
        <f>DATE(YEAR(Listes!$F$1),7,14)</f>
        <v>45487</v>
      </c>
      <c r="I9" s="130"/>
      <c r="J9" s="135" t="s">
        <v>146</v>
      </c>
      <c r="K9" s="139" t="s">
        <v>147</v>
      </c>
      <c r="L9" s="139" t="s">
        <v>87</v>
      </c>
      <c r="M9" s="139" t="s">
        <v>113</v>
      </c>
      <c r="N9" s="139" t="s">
        <v>114</v>
      </c>
      <c r="O9" s="139" t="s">
        <v>115</v>
      </c>
      <c r="Q9" s="96" t="s">
        <v>148</v>
      </c>
      <c r="R9" s="97">
        <v>0.33333333333333331</v>
      </c>
      <c r="S9" s="97">
        <v>0.5</v>
      </c>
      <c r="T9" s="97"/>
      <c r="U9" s="97"/>
      <c r="V9" s="24">
        <f>IF(R9&lt;=S9,(S9-R9)*24,((Listes!$H$21-R9)*24+(S9-Listes!$G$21)*24))+IF(T9&lt;=U9,(U9-T9)*24,((Listes!$H$21-T9)*24+(U9-Listes!$G$21)*24))</f>
        <v>4</v>
      </c>
      <c r="W9" s="122" t="s">
        <v>125</v>
      </c>
      <c r="Y9" s="101">
        <v>8</v>
      </c>
      <c r="Z9" s="128" t="s">
        <v>184</v>
      </c>
      <c r="AA9" s="25" t="s">
        <v>299</v>
      </c>
    </row>
    <row r="10" spans="1:30">
      <c r="A10" s="139">
        <v>8</v>
      </c>
      <c r="B10" s="110">
        <f t="shared" si="3"/>
        <v>45658</v>
      </c>
      <c r="C10" s="124">
        <f t="shared" si="1"/>
        <v>22</v>
      </c>
      <c r="D10" s="124">
        <f t="shared" si="2"/>
        <v>31</v>
      </c>
      <c r="E10" s="131"/>
      <c r="F10" s="141" t="s">
        <v>149</v>
      </c>
      <c r="G10" s="141" t="str">
        <f t="shared" si="0"/>
        <v>jeudi</v>
      </c>
      <c r="H10" s="142">
        <f>DATE(YEAR(Listes!$F$1),8,15)</f>
        <v>45519</v>
      </c>
      <c r="I10" s="130"/>
      <c r="J10" s="135" t="s">
        <v>150</v>
      </c>
      <c r="K10" s="135" t="s">
        <v>151</v>
      </c>
      <c r="L10" s="139" t="s">
        <v>87</v>
      </c>
      <c r="M10" s="139" t="s">
        <v>87</v>
      </c>
      <c r="N10" s="139" t="s">
        <v>87</v>
      </c>
      <c r="O10" s="139" t="s">
        <v>124</v>
      </c>
      <c r="Q10" s="96" t="s">
        <v>152</v>
      </c>
      <c r="R10" s="97">
        <v>0.33333333333333331</v>
      </c>
      <c r="S10" s="97">
        <v>0.625</v>
      </c>
      <c r="T10" s="97"/>
      <c r="U10" s="97"/>
      <c r="V10" s="24">
        <f>IF(R10&lt;=S10,(S10-R10)*24,((Listes!$H$21-R10)*24+(S10-Listes!$G$21)*24))+IF(T10&lt;=U10,(U10-T10)*24,((Listes!$H$21-T10)*24+(U10-Listes!$G$21)*24))</f>
        <v>7</v>
      </c>
      <c r="W10" s="122" t="s">
        <v>125</v>
      </c>
      <c r="Y10" s="101">
        <v>9</v>
      </c>
      <c r="Z10" s="128" t="s">
        <v>188</v>
      </c>
      <c r="AA10" s="25" t="s">
        <v>300</v>
      </c>
    </row>
    <row r="11" spans="1:30">
      <c r="A11" s="139">
        <v>9</v>
      </c>
      <c r="B11" s="110">
        <f t="shared" si="3"/>
        <v>45689</v>
      </c>
      <c r="C11" s="124">
        <f t="shared" si="1"/>
        <v>20</v>
      </c>
      <c r="D11" s="124">
        <f t="shared" si="2"/>
        <v>28</v>
      </c>
      <c r="E11" s="131"/>
      <c r="F11" s="143" t="s">
        <v>154</v>
      </c>
      <c r="G11" s="141" t="str">
        <f t="shared" si="0"/>
        <v>vendredi</v>
      </c>
      <c r="H11" s="142">
        <f>DATE(YEAR(Listes!$F$1),11,1)</f>
        <v>45597</v>
      </c>
      <c r="I11" s="130"/>
      <c r="J11" s="135" t="s">
        <v>155</v>
      </c>
      <c r="K11" s="135" t="s">
        <v>156</v>
      </c>
      <c r="L11" s="139" t="s">
        <v>87</v>
      </c>
      <c r="M11" s="139" t="s">
        <v>87</v>
      </c>
      <c r="N11" s="139" t="s">
        <v>87</v>
      </c>
      <c r="O11" s="139" t="s">
        <v>124</v>
      </c>
      <c r="Q11" s="96" t="s">
        <v>157</v>
      </c>
      <c r="R11" s="97">
        <v>0.33333333333333331</v>
      </c>
      <c r="S11" s="97">
        <v>0.5</v>
      </c>
      <c r="T11" s="97">
        <v>0.54166666666666663</v>
      </c>
      <c r="U11" s="97">
        <v>0.66666666666666663</v>
      </c>
      <c r="V11" s="24">
        <f>IF(R11&lt;=S11,(S11-R11)*24,((Listes!$H$21-R11)*24+(S11-Listes!$G$21)*24))+IF(T11&lt;=U11,(U11-T11)*24,((Listes!$H$21-T11)*24+(U11-Listes!$G$21)*24))</f>
        <v>7</v>
      </c>
      <c r="W11" s="122" t="s">
        <v>158</v>
      </c>
      <c r="Y11" s="101">
        <v>10</v>
      </c>
      <c r="Z11" s="128" t="s">
        <v>192</v>
      </c>
      <c r="AA11" s="25" t="s">
        <v>301</v>
      </c>
    </row>
    <row r="12" spans="1:30">
      <c r="A12" s="139">
        <v>10</v>
      </c>
      <c r="B12" s="110">
        <f t="shared" si="3"/>
        <v>45717</v>
      </c>
      <c r="C12" s="124">
        <f t="shared" si="1"/>
        <v>21</v>
      </c>
      <c r="D12" s="124">
        <f t="shared" si="2"/>
        <v>31</v>
      </c>
      <c r="E12" s="131"/>
      <c r="F12" s="143" t="s">
        <v>160</v>
      </c>
      <c r="G12" s="141" t="str">
        <f t="shared" si="0"/>
        <v>lundi</v>
      </c>
      <c r="H12" s="142">
        <f>DATE(YEAR(Listes!$F$1),11,11)</f>
        <v>45607</v>
      </c>
      <c r="I12" s="130"/>
      <c r="J12" s="135" t="s">
        <v>161</v>
      </c>
      <c r="K12" s="139" t="s">
        <v>162</v>
      </c>
      <c r="L12" s="139" t="s">
        <v>87</v>
      </c>
      <c r="M12" s="139" t="s">
        <v>113</v>
      </c>
      <c r="N12" s="139" t="s">
        <v>114</v>
      </c>
      <c r="O12" s="139" t="s">
        <v>124</v>
      </c>
      <c r="Q12" s="96" t="s">
        <v>163</v>
      </c>
      <c r="R12" s="97">
        <v>0.33333333333333331</v>
      </c>
      <c r="S12" s="97">
        <v>0.5</v>
      </c>
      <c r="T12" s="97">
        <v>0.5625</v>
      </c>
      <c r="U12" s="97">
        <v>0.6875</v>
      </c>
      <c r="V12" s="24">
        <f>IF(R12&lt;=S12,(S12-R12)*24,((Listes!$H$21-R12)*24+(S12-Listes!$G$21)*24))+IF(T12&lt;=U12,(U12-T12)*24,((Listes!$H$21-T12)*24+(U12-Listes!$G$21)*24))</f>
        <v>7</v>
      </c>
      <c r="W12" s="122" t="s">
        <v>158</v>
      </c>
      <c r="Y12" s="101">
        <v>11</v>
      </c>
      <c r="Z12" s="128" t="s">
        <v>196</v>
      </c>
      <c r="AA12" s="25" t="s">
        <v>302</v>
      </c>
    </row>
    <row r="13" spans="1:30">
      <c r="A13" s="139">
        <v>11</v>
      </c>
      <c r="B13" s="110">
        <f t="shared" si="3"/>
        <v>45748</v>
      </c>
      <c r="C13" s="124">
        <f t="shared" si="1"/>
        <v>21</v>
      </c>
      <c r="D13" s="124">
        <f t="shared" si="2"/>
        <v>30</v>
      </c>
      <c r="E13" s="131"/>
      <c r="F13" s="140" t="s">
        <v>165</v>
      </c>
      <c r="G13" s="141" t="str">
        <f t="shared" si="0"/>
        <v>mardi</v>
      </c>
      <c r="H13" s="142">
        <f>DATE(YEAR(Listes!$F$1),12,24)</f>
        <v>45650</v>
      </c>
      <c r="I13" s="130"/>
      <c r="J13" s="135" t="s">
        <v>166</v>
      </c>
      <c r="K13" s="139" t="s">
        <v>167</v>
      </c>
      <c r="L13" s="139" t="s">
        <v>87</v>
      </c>
      <c r="M13" s="139" t="s">
        <v>113</v>
      </c>
      <c r="N13" s="139" t="s">
        <v>114</v>
      </c>
      <c r="O13" s="139" t="s">
        <v>124</v>
      </c>
      <c r="Q13" s="96" t="s">
        <v>168</v>
      </c>
      <c r="R13" s="97">
        <v>0.33333333333333331</v>
      </c>
      <c r="S13" s="97">
        <v>0.5</v>
      </c>
      <c r="T13" s="97">
        <v>0.58333333333333337</v>
      </c>
      <c r="U13" s="97">
        <v>0.70833333333333337</v>
      </c>
      <c r="V13" s="24">
        <f>IF(R13&lt;=S13,(S13-R13)*24,((Listes!$H$21-R13)*24+(S13-Listes!$G$21)*24))+IF(T13&lt;=U13,(U13-T13)*24,((Listes!$H$21-T13)*24+(U13-Listes!$G$21)*24))</f>
        <v>7</v>
      </c>
      <c r="W13" s="122" t="s">
        <v>158</v>
      </c>
      <c r="Y13" s="101">
        <v>12</v>
      </c>
      <c r="Z13" s="128" t="s">
        <v>201</v>
      </c>
      <c r="AA13" s="25" t="s">
        <v>303</v>
      </c>
    </row>
    <row r="14" spans="1:30">
      <c r="A14" s="139">
        <v>12</v>
      </c>
      <c r="B14" s="110">
        <f t="shared" si="3"/>
        <v>45778</v>
      </c>
      <c r="C14" s="124">
        <f t="shared" si="1"/>
        <v>19</v>
      </c>
      <c r="D14" s="124">
        <f t="shared" si="2"/>
        <v>31</v>
      </c>
      <c r="E14" s="131"/>
      <c r="F14" s="140" t="s">
        <v>120</v>
      </c>
      <c r="G14" s="141" t="str">
        <f t="shared" si="0"/>
        <v>mercredi</v>
      </c>
      <c r="H14" s="142">
        <f>DATE(YEAR(Listes!$G$1),1,1)</f>
        <v>45658</v>
      </c>
      <c r="I14" s="130"/>
      <c r="J14" s="135" t="s">
        <v>170</v>
      </c>
      <c r="K14" s="139" t="s">
        <v>171</v>
      </c>
      <c r="L14" s="139" t="s">
        <v>123</v>
      </c>
      <c r="M14" s="139" t="s">
        <v>123</v>
      </c>
      <c r="N14" s="139" t="s">
        <v>123</v>
      </c>
      <c r="O14" s="139" t="s">
        <v>124</v>
      </c>
      <c r="Q14" s="96" t="s">
        <v>172</v>
      </c>
      <c r="R14" s="97">
        <v>0.35416666666666669</v>
      </c>
      <c r="S14" s="97">
        <v>0.5</v>
      </c>
      <c r="T14" s="97">
        <v>0.58333333333333337</v>
      </c>
      <c r="U14" s="97">
        <v>0.72916666666666663</v>
      </c>
      <c r="V14" s="24">
        <f>IF(R14&lt;=S14,(S14-R14)*24,((Listes!$H$21-R14)*24+(S14-Listes!$G$21)*24))+IF(T14&lt;=U14,(U14-T14)*24,((Listes!$H$21-T14)*24+(U14-Listes!$G$21)*24))</f>
        <v>6.9999999999999982</v>
      </c>
      <c r="W14" s="122" t="s">
        <v>158</v>
      </c>
      <c r="Y14" s="101">
        <v>13</v>
      </c>
      <c r="Z14" s="128" t="s">
        <v>205</v>
      </c>
      <c r="AA14" s="25" t="s">
        <v>304</v>
      </c>
    </row>
    <row r="15" spans="1:30">
      <c r="A15" s="130"/>
      <c r="B15" s="130"/>
      <c r="C15" s="131"/>
      <c r="D15" s="131"/>
      <c r="E15" s="130"/>
      <c r="F15" s="141" t="s">
        <v>126</v>
      </c>
      <c r="G15" s="141" t="str">
        <f t="shared" si="0"/>
        <v>lundi</v>
      </c>
      <c r="H15" s="142">
        <f>FLOOR(DAY(MINUTE(YEAR(Listes!G1)/38)/2+56)&amp;"/5/"&amp;YEAR(Listes!G1), 7)-34+1</f>
        <v>45768</v>
      </c>
      <c r="I15" s="130"/>
      <c r="J15" s="135" t="s">
        <v>86</v>
      </c>
      <c r="K15" s="135" t="s">
        <v>174</v>
      </c>
      <c r="L15" s="139" t="s">
        <v>87</v>
      </c>
      <c r="M15" s="139" t="s">
        <v>113</v>
      </c>
      <c r="N15" s="139" t="s">
        <v>114</v>
      </c>
      <c r="O15" s="139" t="s">
        <v>115</v>
      </c>
      <c r="Q15" s="96" t="s">
        <v>175</v>
      </c>
      <c r="R15" s="97">
        <v>0.375</v>
      </c>
      <c r="S15" s="97">
        <v>0.66666666666666663</v>
      </c>
      <c r="T15" s="98"/>
      <c r="U15" s="98"/>
      <c r="V15" s="24">
        <f>IF(R15&lt;=S15,(S15-R15)*24,((Listes!$H$21-R15)*24+(S15-Listes!$G$21)*24))+IF(T15&lt;=U15,(U15-T15)*24,((Listes!$H$21-T15)*24+(U15-Listes!$G$21)*24))</f>
        <v>6.9999999999999991</v>
      </c>
      <c r="W15" s="126" t="s">
        <v>125</v>
      </c>
      <c r="Y15" s="101">
        <v>14</v>
      </c>
      <c r="Z15" s="128" t="s">
        <v>209</v>
      </c>
      <c r="AA15" s="25" t="s">
        <v>305</v>
      </c>
    </row>
    <row r="16" spans="1:30">
      <c r="A16" s="130"/>
      <c r="B16" s="130"/>
      <c r="C16" s="131"/>
      <c r="D16" s="131"/>
      <c r="E16" s="130"/>
      <c r="F16" s="143" t="s">
        <v>129</v>
      </c>
      <c r="G16" s="141" t="str">
        <f t="shared" si="0"/>
        <v>jeudi</v>
      </c>
      <c r="H16" s="142">
        <f>DATE(YEAR(Listes!$G$1),5,1)</f>
        <v>45778</v>
      </c>
      <c r="I16" s="130"/>
      <c r="J16" s="135" t="s">
        <v>177</v>
      </c>
      <c r="K16" s="139" t="s">
        <v>178</v>
      </c>
      <c r="L16" s="139" t="s">
        <v>87</v>
      </c>
      <c r="M16" s="139" t="s">
        <v>113</v>
      </c>
      <c r="N16" s="139" t="s">
        <v>114</v>
      </c>
      <c r="O16" s="139" t="s">
        <v>115</v>
      </c>
      <c r="Q16" s="96" t="s">
        <v>179</v>
      </c>
      <c r="R16" s="97">
        <v>0.375</v>
      </c>
      <c r="S16" s="97">
        <v>0.5</v>
      </c>
      <c r="T16" s="97">
        <v>0.54166666666666663</v>
      </c>
      <c r="U16" s="97">
        <v>0.70833333333333337</v>
      </c>
      <c r="V16" s="24">
        <f>IF(R16&lt;=S16,(S16-R16)*24,((Listes!$H$21-R16)*24+(S16-Listes!$G$21)*24))+IF(T16&lt;=U16,(U16-T16)*24,((Listes!$H$21-T16)*24+(U16-Listes!$G$21)*24))</f>
        <v>7.0000000000000018</v>
      </c>
      <c r="W16" s="126" t="s">
        <v>158</v>
      </c>
      <c r="Y16" s="101">
        <v>15</v>
      </c>
      <c r="Z16" s="128" t="s">
        <v>214</v>
      </c>
      <c r="AA16" s="25" t="s">
        <v>306</v>
      </c>
    </row>
    <row r="17" spans="1:27">
      <c r="A17" s="136" t="s">
        <v>265</v>
      </c>
      <c r="B17" s="144" t="s">
        <v>266</v>
      </c>
      <c r="C17" s="124">
        <f>IF(B17="mois complet strict",31,35)</f>
        <v>31</v>
      </c>
      <c r="D17" s="124"/>
      <c r="E17" s="130"/>
      <c r="F17" s="141" t="s">
        <v>133</v>
      </c>
      <c r="G17" s="141" t="str">
        <f t="shared" si="0"/>
        <v>jeudi</v>
      </c>
      <c r="H17" s="142">
        <f>DATE(YEAR(Listes!$G$1),5,8)</f>
        <v>45785</v>
      </c>
      <c r="I17" s="130"/>
      <c r="J17" s="135" t="s">
        <v>181</v>
      </c>
      <c r="K17" s="139" t="s">
        <v>182</v>
      </c>
      <c r="L17" s="139" t="s">
        <v>87</v>
      </c>
      <c r="M17" s="139" t="s">
        <v>113</v>
      </c>
      <c r="N17" s="139" t="s">
        <v>114</v>
      </c>
      <c r="O17" s="139" t="s">
        <v>115</v>
      </c>
      <c r="Q17" s="96" t="s">
        <v>183</v>
      </c>
      <c r="R17" s="97">
        <v>0.375</v>
      </c>
      <c r="S17" s="97">
        <v>0.5</v>
      </c>
      <c r="T17" s="97">
        <v>0.5625</v>
      </c>
      <c r="U17" s="97">
        <v>0.72916666666666663</v>
      </c>
      <c r="V17" s="24">
        <f>IF(R17&lt;=S17,(S17-R17)*24,((Listes!$H$21-R17)*24+(S17-Listes!$G$21)*24))+IF(T17&lt;=U17,(U17-T17)*24,((Listes!$H$21-T17)*24+(U17-Listes!$G$21)*24))</f>
        <v>6.9999999999999991</v>
      </c>
      <c r="W17" s="126" t="s">
        <v>158</v>
      </c>
      <c r="Y17" s="101">
        <v>16</v>
      </c>
      <c r="Z17" s="128" t="s">
        <v>217</v>
      </c>
      <c r="AA17" s="25" t="s">
        <v>307</v>
      </c>
    </row>
    <row r="18" spans="1:27">
      <c r="A18" s="130"/>
      <c r="B18" s="130"/>
      <c r="C18" s="131"/>
      <c r="D18" s="131"/>
      <c r="E18" s="130"/>
      <c r="F18" s="141" t="s">
        <v>137</v>
      </c>
      <c r="G18" s="141" t="str">
        <f t="shared" si="0"/>
        <v>jeudi</v>
      </c>
      <c r="H18" s="142">
        <f>H15-1+39</f>
        <v>45806</v>
      </c>
      <c r="I18" s="130"/>
      <c r="J18" s="135" t="s">
        <v>185</v>
      </c>
      <c r="K18" s="139" t="s">
        <v>186</v>
      </c>
      <c r="L18" s="139" t="s">
        <v>87</v>
      </c>
      <c r="M18" s="139" t="s">
        <v>113</v>
      </c>
      <c r="N18" s="139" t="s">
        <v>114</v>
      </c>
      <c r="O18" s="139" t="s">
        <v>115</v>
      </c>
      <c r="Q18" s="96" t="s">
        <v>187</v>
      </c>
      <c r="R18" s="97">
        <v>0.33333333333333331</v>
      </c>
      <c r="S18" s="97">
        <v>0.5</v>
      </c>
      <c r="T18" s="97">
        <v>0.5625</v>
      </c>
      <c r="U18" s="97">
        <v>0.70833333333333337</v>
      </c>
      <c r="V18" s="24">
        <f>IF(R18&lt;=S18,(S18-R18)*24,((Listes!$H$21-R18)*24+(S18-Listes!$G$21)*24))+IF(T18&lt;=U18,(U18-T18)*24,((Listes!$H$21-T18)*24+(U18-Listes!$G$21)*24))</f>
        <v>7.5000000000000009</v>
      </c>
      <c r="W18" s="126" t="s">
        <v>158</v>
      </c>
      <c r="Y18" s="101">
        <v>17</v>
      </c>
      <c r="Z18" s="128" t="s">
        <v>221</v>
      </c>
      <c r="AA18" s="25" t="s">
        <v>308</v>
      </c>
    </row>
    <row r="19" spans="1:27">
      <c r="A19" s="130"/>
      <c r="B19" s="130"/>
      <c r="C19" s="131"/>
      <c r="D19" s="131"/>
      <c r="E19" s="130"/>
      <c r="F19" s="141" t="s">
        <v>141</v>
      </c>
      <c r="G19" s="141" t="str">
        <f t="shared" si="0"/>
        <v>lundi</v>
      </c>
      <c r="H19" s="142">
        <f>H15+49</f>
        <v>45817</v>
      </c>
      <c r="I19" s="130"/>
      <c r="J19" s="135" t="s">
        <v>189</v>
      </c>
      <c r="K19" s="139" t="s">
        <v>190</v>
      </c>
      <c r="L19" s="139" t="s">
        <v>87</v>
      </c>
      <c r="M19" s="139" t="s">
        <v>113</v>
      </c>
      <c r="N19" s="139" t="s">
        <v>114</v>
      </c>
      <c r="O19" s="139" t="s">
        <v>115</v>
      </c>
      <c r="Q19" s="96" t="s">
        <v>191</v>
      </c>
      <c r="R19" s="97">
        <v>0.35416666666666669</v>
      </c>
      <c r="S19" s="97">
        <v>0.52083333333333337</v>
      </c>
      <c r="T19" s="97">
        <v>0.5625</v>
      </c>
      <c r="U19" s="97">
        <v>0.70833333333333337</v>
      </c>
      <c r="V19" s="24">
        <f>IF(R19&lt;=S19,(S19-R19)*24,((Listes!$H$21-R19)*24+(S19-Listes!$G$21)*24))+IF(T19&lt;=U19,(U19-T19)*24,((Listes!$H$21-T19)*24+(U19-Listes!$G$21)*24))</f>
        <v>7.5000000000000009</v>
      </c>
      <c r="W19" s="126" t="s">
        <v>158</v>
      </c>
      <c r="Y19" s="101">
        <v>18</v>
      </c>
      <c r="Z19" s="128" t="s">
        <v>279</v>
      </c>
      <c r="AA19" s="25" t="s">
        <v>309</v>
      </c>
    </row>
    <row r="20" spans="1:27">
      <c r="A20" s="130"/>
      <c r="B20" s="130"/>
      <c r="C20" s="131"/>
      <c r="D20" s="131"/>
      <c r="E20" s="130"/>
      <c r="F20" s="141" t="s">
        <v>145</v>
      </c>
      <c r="G20" s="141" t="str">
        <f t="shared" si="0"/>
        <v>lundi</v>
      </c>
      <c r="H20" s="142">
        <f>DATE(YEAR(Listes!$G$1),7,14)</f>
        <v>45852</v>
      </c>
      <c r="I20" s="130"/>
      <c r="J20" s="135" t="s">
        <v>193</v>
      </c>
      <c r="K20" s="139" t="s">
        <v>194</v>
      </c>
      <c r="L20" s="139" t="s">
        <v>87</v>
      </c>
      <c r="M20" s="139" t="s">
        <v>113</v>
      </c>
      <c r="N20" s="139" t="s">
        <v>114</v>
      </c>
      <c r="O20" s="139" t="s">
        <v>124</v>
      </c>
      <c r="Q20" s="96" t="s">
        <v>195</v>
      </c>
      <c r="R20" s="97">
        <v>0.29166666666666669</v>
      </c>
      <c r="S20" s="97">
        <v>0.5</v>
      </c>
      <c r="T20" s="97">
        <v>0.54166666666666663</v>
      </c>
      <c r="U20" s="97">
        <v>0.66666666666666663</v>
      </c>
      <c r="V20" s="24">
        <f>IF(R20&lt;=S20,(S20-R20)*24,((Listes!$H$21-R20)*24+(S20-Listes!$G$21)*24))+IF(T20&lt;=U20,(U20-T20)*24,((Listes!$H$21-T20)*24+(U20-Listes!$G$21)*24))</f>
        <v>8</v>
      </c>
      <c r="W20" s="126" t="s">
        <v>158</v>
      </c>
      <c r="Y20" s="101">
        <v>19</v>
      </c>
      <c r="Z20" s="128" t="s">
        <v>280</v>
      </c>
      <c r="AA20" s="25" t="s">
        <v>310</v>
      </c>
    </row>
    <row r="21" spans="1:27">
      <c r="A21" s="130"/>
      <c r="B21" s="130"/>
      <c r="C21" s="131"/>
      <c r="D21" s="131"/>
      <c r="E21" s="130"/>
      <c r="F21" s="139" t="s">
        <v>197</v>
      </c>
      <c r="G21" s="145">
        <v>1.1574074074074073E-5</v>
      </c>
      <c r="H21" s="146">
        <v>0.99998842592592585</v>
      </c>
      <c r="I21" s="130"/>
      <c r="J21" s="135" t="s">
        <v>198</v>
      </c>
      <c r="K21" s="139" t="s">
        <v>199</v>
      </c>
      <c r="L21" s="139" t="s">
        <v>87</v>
      </c>
      <c r="M21" s="139" t="s">
        <v>113</v>
      </c>
      <c r="N21" s="139" t="s">
        <v>114</v>
      </c>
      <c r="O21" s="139" t="s">
        <v>115</v>
      </c>
      <c r="Q21" s="96" t="s">
        <v>200</v>
      </c>
      <c r="R21" s="97">
        <v>0.3125</v>
      </c>
      <c r="S21" s="97">
        <v>0.64583333333333337</v>
      </c>
      <c r="T21" s="97"/>
      <c r="U21" s="97"/>
      <c r="V21" s="24">
        <f>IF(R21&lt;=S21,(S21-R21)*24,((Listes!$H$21-R21)*24+(S21-Listes!$G$21)*24))+IF(T21&lt;=U21,(U21-T21)*24,((Listes!$H$21-T21)*24+(U21-Listes!$G$21)*24))</f>
        <v>8</v>
      </c>
      <c r="W21" s="126" t="s">
        <v>125</v>
      </c>
      <c r="Y21" s="101">
        <v>20</v>
      </c>
      <c r="Z21" s="128" t="s">
        <v>281</v>
      </c>
      <c r="AA21" s="25" t="s">
        <v>311</v>
      </c>
    </row>
    <row r="22" spans="1:27">
      <c r="A22" s="130"/>
      <c r="B22" s="130"/>
      <c r="C22" s="131"/>
      <c r="D22" s="131"/>
      <c r="E22" s="130"/>
      <c r="F22" s="140" t="s">
        <v>92</v>
      </c>
      <c r="G22" s="147">
        <v>0.875</v>
      </c>
      <c r="H22" s="148">
        <v>0.25</v>
      </c>
      <c r="I22" s="130"/>
      <c r="J22" s="135" t="s">
        <v>202</v>
      </c>
      <c r="K22" s="139" t="s">
        <v>203</v>
      </c>
      <c r="L22" s="139" t="s">
        <v>87</v>
      </c>
      <c r="M22" s="139" t="s">
        <v>113</v>
      </c>
      <c r="N22" s="139" t="s">
        <v>114</v>
      </c>
      <c r="O22" s="139" t="s">
        <v>115</v>
      </c>
      <c r="Q22" s="96" t="s">
        <v>204</v>
      </c>
      <c r="R22" s="97">
        <v>0.33333333333333331</v>
      </c>
      <c r="S22" s="97">
        <v>0.54166666666666663</v>
      </c>
      <c r="T22" s="97">
        <v>0.58333333333333337</v>
      </c>
      <c r="U22" s="97">
        <v>0.70833333333333337</v>
      </c>
      <c r="V22" s="24">
        <f>IF(R22&lt;=S22,(S22-R22)*24,((Listes!$H$21-R22)*24+(S22-Listes!$G$21)*24))+IF(T22&lt;=U22,(U22-T22)*24,((Listes!$H$21-T22)*24+(U22-Listes!$G$21)*24))</f>
        <v>8</v>
      </c>
      <c r="W22" s="126" t="s">
        <v>158</v>
      </c>
      <c r="Y22" s="101">
        <v>21</v>
      </c>
      <c r="Z22" s="128" t="s">
        <v>282</v>
      </c>
      <c r="AA22" s="25" t="s">
        <v>312</v>
      </c>
    </row>
    <row r="23" spans="1:27">
      <c r="A23" s="130"/>
      <c r="B23" s="130"/>
      <c r="C23" s="131"/>
      <c r="D23" s="131"/>
      <c r="E23" s="130"/>
      <c r="F23" s="149"/>
      <c r="G23" s="130"/>
      <c r="H23" s="150"/>
      <c r="I23" s="130"/>
      <c r="J23" s="135" t="s">
        <v>206</v>
      </c>
      <c r="K23" s="139" t="s">
        <v>207</v>
      </c>
      <c r="L23" s="139" t="s">
        <v>87</v>
      </c>
      <c r="M23" s="139" t="s">
        <v>113</v>
      </c>
      <c r="N23" s="139" t="s">
        <v>114</v>
      </c>
      <c r="O23" s="139" t="s">
        <v>115</v>
      </c>
      <c r="Q23" s="96" t="s">
        <v>208</v>
      </c>
      <c r="R23" s="97">
        <v>0.3125</v>
      </c>
      <c r="S23" s="97">
        <v>0.6875</v>
      </c>
      <c r="T23" s="97"/>
      <c r="U23" s="97"/>
      <c r="V23" s="24">
        <f>IF(R23&lt;=S23,(S23-R23)*24,((Listes!$H$21-R23)*24+(S23-Listes!$G$21)*24))+IF(T23&lt;=U23,(U23-T23)*24,((Listes!$H$21-T23)*24+(U23-Listes!$G$21)*24))</f>
        <v>9</v>
      </c>
      <c r="W23" s="126" t="s">
        <v>125</v>
      </c>
      <c r="Y23" s="101">
        <v>22</v>
      </c>
      <c r="Z23" s="128" t="s">
        <v>283</v>
      </c>
      <c r="AA23" s="25" t="s">
        <v>313</v>
      </c>
    </row>
    <row r="24" spans="1:27">
      <c r="A24" s="136" t="s">
        <v>210</v>
      </c>
      <c r="B24" s="136" t="s">
        <v>211</v>
      </c>
      <c r="C24" s="151"/>
      <c r="D24" s="151"/>
      <c r="E24" s="138"/>
      <c r="F24" s="136" t="s">
        <v>36</v>
      </c>
      <c r="G24" s="136" t="s">
        <v>39</v>
      </c>
      <c r="H24" s="137" t="s">
        <v>40</v>
      </c>
      <c r="I24" s="130"/>
      <c r="J24" s="135" t="s">
        <v>84</v>
      </c>
      <c r="K24" s="139" t="s">
        <v>212</v>
      </c>
      <c r="L24" s="139" t="s">
        <v>87</v>
      </c>
      <c r="M24" s="139" t="s">
        <v>87</v>
      </c>
      <c r="N24" s="139" t="s">
        <v>87</v>
      </c>
      <c r="O24" s="139" t="s">
        <v>124</v>
      </c>
      <c r="Q24" s="96" t="s">
        <v>213</v>
      </c>
      <c r="R24" s="97">
        <v>0.33333333333333331</v>
      </c>
      <c r="S24" s="97">
        <v>0.70833333333333337</v>
      </c>
      <c r="T24" s="98"/>
      <c r="U24" s="98"/>
      <c r="V24" s="24">
        <f>IF(R24&lt;=S24,(S24-R24)*24,((Listes!$H$21-R24)*24+(S24-Listes!$G$21)*24))+IF(T24&lt;=U24,(U24-T24)*24,((Listes!$H$21-T24)*24+(U24-Listes!$G$21)*24))</f>
        <v>9.0000000000000018</v>
      </c>
      <c r="W24" s="126" t="s">
        <v>125</v>
      </c>
      <c r="Y24" s="101">
        <v>23</v>
      </c>
      <c r="Z24" s="128" t="s">
        <v>284</v>
      </c>
      <c r="AA24" s="25" t="s">
        <v>314</v>
      </c>
    </row>
    <row r="25" spans="1:27">
      <c r="A25" s="109" t="s">
        <v>15</v>
      </c>
      <c r="B25" s="144">
        <v>6.6</v>
      </c>
      <c r="C25" s="152"/>
      <c r="D25" s="152"/>
      <c r="E25" s="153"/>
      <c r="F25" s="154">
        <v>1</v>
      </c>
      <c r="G25" s="139" t="str">
        <f t="shared" ref="G25:G36" si="4">TEXT(H25,"jjjj")</f>
        <v>samedi</v>
      </c>
      <c r="H25" s="155">
        <v>45444</v>
      </c>
      <c r="I25" s="130"/>
      <c r="J25" s="135" t="s">
        <v>85</v>
      </c>
      <c r="K25" s="135" t="s">
        <v>215</v>
      </c>
      <c r="L25" s="139" t="s">
        <v>87</v>
      </c>
      <c r="M25" s="139" t="s">
        <v>87</v>
      </c>
      <c r="N25" s="139" t="s">
        <v>87</v>
      </c>
      <c r="O25" s="139" t="s">
        <v>124</v>
      </c>
      <c r="Q25" s="96" t="s">
        <v>216</v>
      </c>
      <c r="R25" s="97"/>
      <c r="S25" s="97"/>
      <c r="T25" s="98"/>
      <c r="U25" s="98"/>
      <c r="V25" s="24">
        <f>IF(R25&lt;=S25,(S25-R25)*24,((Listes!$H$21-R25)*24+(S25-Listes!$G$21)*24))+IF(T25&lt;=U25,(U25-T25)*24,((Listes!$H$21-T25)*24+(U25-Listes!$G$21)*24))</f>
        <v>0</v>
      </c>
      <c r="W25" s="126" t="s">
        <v>125</v>
      </c>
      <c r="Y25" s="101">
        <v>24</v>
      </c>
      <c r="Z25" s="128" t="s">
        <v>285</v>
      </c>
      <c r="AA25" s="25" t="s">
        <v>315</v>
      </c>
    </row>
    <row r="26" spans="1:27">
      <c r="A26" s="109" t="s">
        <v>18</v>
      </c>
      <c r="B26" s="144">
        <v>8</v>
      </c>
      <c r="C26" s="152"/>
      <c r="D26" s="152"/>
      <c r="E26" s="153"/>
      <c r="F26" s="154">
        <v>2</v>
      </c>
      <c r="G26" s="139" t="str">
        <f t="shared" si="4"/>
        <v>lundi</v>
      </c>
      <c r="H26" s="155">
        <f>EDATE(H25,1)</f>
        <v>45474</v>
      </c>
      <c r="I26" s="130"/>
      <c r="J26" s="135" t="s">
        <v>218</v>
      </c>
      <c r="K26" s="139" t="s">
        <v>219</v>
      </c>
      <c r="L26" s="139" t="s">
        <v>87</v>
      </c>
      <c r="M26" s="139" t="s">
        <v>113</v>
      </c>
      <c r="N26" s="139" t="s">
        <v>114</v>
      </c>
      <c r="O26" s="139" t="s">
        <v>124</v>
      </c>
      <c r="Q26" s="96" t="s">
        <v>220</v>
      </c>
      <c r="R26" s="97">
        <v>0.20833333333333334</v>
      </c>
      <c r="S26" s="97">
        <v>0.5</v>
      </c>
      <c r="T26" s="97"/>
      <c r="U26" s="97"/>
      <c r="V26" s="24">
        <f>IF(R26&lt;=S26,(S26-R26)*24,((Listes!$H$21-R26)*24+(S26-Listes!$G$21)*24))+IF(T26&lt;=U26,(U26-T26)*24,((Listes!$H$21-T26)*24+(U26-Listes!$G$21)*24))</f>
        <v>6.9999999999999991</v>
      </c>
      <c r="W26" s="126" t="s">
        <v>125</v>
      </c>
      <c r="Y26" s="101">
        <v>25</v>
      </c>
      <c r="Z26" s="128" t="s">
        <v>286</v>
      </c>
      <c r="AA26" s="25" t="s">
        <v>316</v>
      </c>
    </row>
    <row r="27" spans="1:27">
      <c r="A27" s="109"/>
      <c r="B27" s="144"/>
      <c r="C27" s="152"/>
      <c r="D27" s="152"/>
      <c r="E27" s="153"/>
      <c r="F27" s="154">
        <v>3</v>
      </c>
      <c r="G27" s="139" t="str">
        <f t="shared" si="4"/>
        <v>jeudi</v>
      </c>
      <c r="H27" s="155">
        <f t="shared" ref="H27:H36" si="5">EDATE(H26,1)</f>
        <v>45505</v>
      </c>
      <c r="I27" s="130"/>
      <c r="J27" s="135" t="s">
        <v>222</v>
      </c>
      <c r="K27" s="139" t="s">
        <v>223</v>
      </c>
      <c r="L27" s="139" t="s">
        <v>87</v>
      </c>
      <c r="M27" s="139" t="s">
        <v>113</v>
      </c>
      <c r="N27" s="139" t="s">
        <v>114</v>
      </c>
      <c r="O27" s="139" t="s">
        <v>124</v>
      </c>
      <c r="Q27" s="96" t="s">
        <v>224</v>
      </c>
      <c r="R27" s="97">
        <v>0.25</v>
      </c>
      <c r="S27" s="97">
        <v>0.54166666666666663</v>
      </c>
      <c r="T27" s="97"/>
      <c r="U27" s="97"/>
      <c r="V27" s="24">
        <f>IF(R27&lt;=S27,(S27-R27)*24,((Listes!$H$21-R27)*24+(S27-Listes!$G$21)*24))+IF(T27&lt;=U27,(U27-T27)*24,((Listes!$H$21-T27)*24+(U27-Listes!$G$21)*24))</f>
        <v>6.9999999999999991</v>
      </c>
      <c r="W27" s="126" t="s">
        <v>125</v>
      </c>
      <c r="Y27" s="101">
        <v>26</v>
      </c>
      <c r="Z27" s="128" t="s">
        <v>287</v>
      </c>
      <c r="AA27" s="25" t="s">
        <v>317</v>
      </c>
    </row>
    <row r="28" spans="1:27">
      <c r="A28" s="109"/>
      <c r="B28" s="144"/>
      <c r="C28" s="152"/>
      <c r="D28" s="152"/>
      <c r="E28" s="153"/>
      <c r="F28" s="154">
        <v>4</v>
      </c>
      <c r="G28" s="139" t="str">
        <f t="shared" si="4"/>
        <v>dimanche</v>
      </c>
      <c r="H28" s="155">
        <f t="shared" si="5"/>
        <v>45536</v>
      </c>
      <c r="I28" s="130"/>
      <c r="J28" s="135" t="s">
        <v>225</v>
      </c>
      <c r="K28" s="139" t="s">
        <v>226</v>
      </c>
      <c r="L28" s="139" t="s">
        <v>87</v>
      </c>
      <c r="M28" s="139" t="s">
        <v>113</v>
      </c>
      <c r="N28" s="139" t="s">
        <v>114</v>
      </c>
      <c r="O28" s="139" t="s">
        <v>115</v>
      </c>
      <c r="Q28" s="96" t="s">
        <v>89</v>
      </c>
      <c r="R28" s="97">
        <v>0.20833333333333334</v>
      </c>
      <c r="S28" s="97">
        <v>0.5</v>
      </c>
      <c r="T28" s="98"/>
      <c r="U28" s="98"/>
      <c r="V28" s="24">
        <f>IF(R28&lt;=S28,(S28-R28)*24,((Listes!$H$21-R28)*24+(S28-Listes!$G$21)*24))+IF(T28&lt;=U28,(U28-T28)*24,((Listes!$H$21-T28)*24+(U28-Listes!$G$21)*24))</f>
        <v>6.9999999999999991</v>
      </c>
      <c r="W28" s="126" t="s">
        <v>125</v>
      </c>
      <c r="Y28" s="101">
        <v>27</v>
      </c>
      <c r="Z28" s="128" t="s">
        <v>288</v>
      </c>
      <c r="AA28" s="25" t="s">
        <v>318</v>
      </c>
    </row>
    <row r="29" spans="1:27">
      <c r="A29" s="109"/>
      <c r="B29" s="144"/>
      <c r="C29" s="152"/>
      <c r="D29" s="152"/>
      <c r="E29" s="153"/>
      <c r="F29" s="154">
        <v>5</v>
      </c>
      <c r="G29" s="139" t="str">
        <f t="shared" si="4"/>
        <v>mardi</v>
      </c>
      <c r="H29" s="155">
        <f t="shared" si="5"/>
        <v>45566</v>
      </c>
      <c r="I29" s="130"/>
      <c r="J29" s="135" t="s">
        <v>227</v>
      </c>
      <c r="K29" s="139" t="s">
        <v>228</v>
      </c>
      <c r="L29" s="139" t="s">
        <v>87</v>
      </c>
      <c r="M29" s="139" t="s">
        <v>113</v>
      </c>
      <c r="N29" s="139" t="s">
        <v>114</v>
      </c>
      <c r="O29" s="139" t="s">
        <v>115</v>
      </c>
      <c r="Q29" s="96" t="s">
        <v>229</v>
      </c>
      <c r="R29" s="97">
        <v>0.21875</v>
      </c>
      <c r="S29" s="97">
        <v>0.51041666666666663</v>
      </c>
      <c r="T29" s="97"/>
      <c r="U29" s="97"/>
      <c r="V29" s="24">
        <f>IF(R29&lt;=S29,(S29-R29)*24,((Listes!$H$21-R29)*24+(S29-Listes!$G$21)*24))+IF(T29&lt;=U29,(U29-T29)*24,((Listes!$H$21-T29)*24+(U29-Listes!$G$21)*24))</f>
        <v>6.9999999999999991</v>
      </c>
      <c r="W29" s="126" t="s">
        <v>125</v>
      </c>
      <c r="Y29" s="101">
        <v>28</v>
      </c>
      <c r="Z29" s="128" t="s">
        <v>289</v>
      </c>
      <c r="AA29" s="25" t="s">
        <v>319</v>
      </c>
    </row>
    <row r="30" spans="1:27">
      <c r="A30" s="109"/>
      <c r="B30" s="144"/>
      <c r="C30" s="152"/>
      <c r="D30" s="152"/>
      <c r="E30" s="153"/>
      <c r="F30" s="154">
        <v>6</v>
      </c>
      <c r="G30" s="139" t="str">
        <f t="shared" si="4"/>
        <v>vendredi</v>
      </c>
      <c r="H30" s="155">
        <f t="shared" si="5"/>
        <v>45597</v>
      </c>
      <c r="I30" s="130"/>
      <c r="J30" s="135" t="s">
        <v>230</v>
      </c>
      <c r="K30" s="139" t="s">
        <v>231</v>
      </c>
      <c r="L30" s="139" t="s">
        <v>87</v>
      </c>
      <c r="M30" s="139" t="s">
        <v>113</v>
      </c>
      <c r="N30" s="139" t="s">
        <v>114</v>
      </c>
      <c r="O30" s="139" t="s">
        <v>115</v>
      </c>
      <c r="Q30" s="96" t="s">
        <v>91</v>
      </c>
      <c r="R30" s="97">
        <v>0.16666666666666666</v>
      </c>
      <c r="S30" s="97">
        <v>0.5</v>
      </c>
      <c r="T30" s="98"/>
      <c r="U30" s="98"/>
      <c r="V30" s="24">
        <f>IF(R30&lt;=S30,(S30-R30)*24,((Listes!$H$21-R30)*24+(S30-Listes!$G$21)*24))+IF(T30&lt;=U30,(U30-T30)*24,((Listes!$H$21-T30)*24+(U30-Listes!$G$21)*24))</f>
        <v>8</v>
      </c>
      <c r="W30" s="126" t="s">
        <v>125</v>
      </c>
      <c r="Y30" s="101">
        <v>29</v>
      </c>
      <c r="Z30" s="128" t="s">
        <v>290</v>
      </c>
      <c r="AA30" s="25" t="s">
        <v>320</v>
      </c>
    </row>
    <row r="31" spans="1:27">
      <c r="A31" s="109"/>
      <c r="B31" s="144"/>
      <c r="C31" s="152"/>
      <c r="D31" s="152"/>
      <c r="E31" s="153"/>
      <c r="F31" s="154">
        <v>7</v>
      </c>
      <c r="G31" s="139" t="str">
        <f t="shared" si="4"/>
        <v>dimanche</v>
      </c>
      <c r="H31" s="155">
        <f t="shared" si="5"/>
        <v>45627</v>
      </c>
      <c r="I31" s="130"/>
      <c r="J31" s="135" t="s">
        <v>232</v>
      </c>
      <c r="K31" s="139" t="s">
        <v>233</v>
      </c>
      <c r="L31" s="139" t="s">
        <v>87</v>
      </c>
      <c r="M31" s="139" t="s">
        <v>113</v>
      </c>
      <c r="N31" s="139" t="s">
        <v>114</v>
      </c>
      <c r="O31" s="139" t="s">
        <v>115</v>
      </c>
      <c r="Q31" s="96" t="s">
        <v>234</v>
      </c>
      <c r="R31" s="97">
        <v>0.20833333333333334</v>
      </c>
      <c r="S31" s="97">
        <v>0.54166666666666663</v>
      </c>
      <c r="T31" s="97"/>
      <c r="U31" s="97"/>
      <c r="V31" s="24">
        <f>IF(R31&lt;=S31,(S31-R31)*24,((Listes!$H$21-R31)*24+(S31-Listes!$G$21)*24))+IF(T31&lt;=U31,(U31-T31)*24,((Listes!$H$21-T31)*24+(U31-Listes!$G$21)*24))</f>
        <v>7.9999999999999982</v>
      </c>
      <c r="W31" s="126" t="s">
        <v>125</v>
      </c>
      <c r="Y31" s="101">
        <v>30</v>
      </c>
      <c r="Z31" s="128" t="s">
        <v>291</v>
      </c>
      <c r="AA31" s="25" t="s">
        <v>321</v>
      </c>
    </row>
    <row r="32" spans="1:27">
      <c r="A32" s="109"/>
      <c r="B32" s="144"/>
      <c r="C32" s="152"/>
      <c r="D32" s="152"/>
      <c r="E32" s="153"/>
      <c r="F32" s="154">
        <v>8</v>
      </c>
      <c r="G32" s="139" t="str">
        <f t="shared" si="4"/>
        <v>mercredi</v>
      </c>
      <c r="H32" s="155">
        <f t="shared" si="5"/>
        <v>45658</v>
      </c>
      <c r="I32" s="130"/>
      <c r="J32" s="135" t="s">
        <v>235</v>
      </c>
      <c r="K32" s="139" t="s">
        <v>236</v>
      </c>
      <c r="L32" s="139" t="s">
        <v>87</v>
      </c>
      <c r="M32" s="139" t="s">
        <v>113</v>
      </c>
      <c r="N32" s="139" t="s">
        <v>114</v>
      </c>
      <c r="O32" s="139" t="s">
        <v>115</v>
      </c>
      <c r="Q32" s="96" t="s">
        <v>237</v>
      </c>
      <c r="R32" s="97">
        <v>0.16666666666666666</v>
      </c>
      <c r="S32" s="97">
        <v>0.51041666666666663</v>
      </c>
      <c r="T32" s="98"/>
      <c r="U32" s="98"/>
      <c r="V32" s="24">
        <f>IF(R32&lt;=S32,(S32-R32)*24,((Listes!$H$21-R32)*24+(S32-Listes!$G$21)*24))+IF(T32&lt;=U32,(U32-T32)*24,((Listes!$H$21-T32)*24+(U32-Listes!$G$21)*24))</f>
        <v>8.25</v>
      </c>
      <c r="W32" s="126" t="s">
        <v>125</v>
      </c>
    </row>
    <row r="33" spans="1:23">
      <c r="A33" s="109"/>
      <c r="B33" s="144"/>
      <c r="C33" s="152"/>
      <c r="D33" s="152"/>
      <c r="E33" s="153"/>
      <c r="F33" s="154">
        <v>9</v>
      </c>
      <c r="G33" s="139" t="str">
        <f t="shared" si="4"/>
        <v>samedi</v>
      </c>
      <c r="H33" s="155">
        <f t="shared" si="5"/>
        <v>45689</v>
      </c>
      <c r="I33" s="130"/>
      <c r="J33" s="135" t="s">
        <v>238</v>
      </c>
      <c r="K33" s="135" t="s">
        <v>239</v>
      </c>
      <c r="L33" s="139" t="s">
        <v>123</v>
      </c>
      <c r="M33" s="139" t="s">
        <v>123</v>
      </c>
      <c r="N33" s="139" t="s">
        <v>123</v>
      </c>
      <c r="O33" s="139" t="s">
        <v>115</v>
      </c>
      <c r="Q33" s="96" t="s">
        <v>240</v>
      </c>
      <c r="R33" s="97">
        <v>0.19791666666666666</v>
      </c>
      <c r="S33" s="97">
        <v>0.54166666666666663</v>
      </c>
      <c r="T33" s="97"/>
      <c r="U33" s="97"/>
      <c r="V33" s="24">
        <f>IF(R33&lt;=S33,(S33-R33)*24,((Listes!$H$21-R33)*24+(S33-Listes!$G$21)*24))+IF(T33&lt;=U33,(U33-T33)*24,((Listes!$H$21-T33)*24+(U33-Listes!$G$21)*24))</f>
        <v>8.25</v>
      </c>
      <c r="W33" s="126" t="s">
        <v>125</v>
      </c>
    </row>
    <row r="34" spans="1:23">
      <c r="A34" s="109"/>
      <c r="B34" s="144"/>
      <c r="C34" s="152"/>
      <c r="D34" s="152"/>
      <c r="E34" s="153"/>
      <c r="F34" s="154">
        <v>10</v>
      </c>
      <c r="G34" s="139" t="str">
        <f t="shared" si="4"/>
        <v>samedi</v>
      </c>
      <c r="H34" s="155">
        <f t="shared" si="5"/>
        <v>45717</v>
      </c>
      <c r="I34" s="130"/>
      <c r="J34" s="135" t="s">
        <v>241</v>
      </c>
      <c r="K34" s="139" t="s">
        <v>242</v>
      </c>
      <c r="L34" s="139" t="s">
        <v>87</v>
      </c>
      <c r="M34" s="139" t="s">
        <v>113</v>
      </c>
      <c r="N34" s="139" t="s">
        <v>114</v>
      </c>
      <c r="O34" s="139" t="s">
        <v>124</v>
      </c>
      <c r="Q34" s="96" t="s">
        <v>243</v>
      </c>
      <c r="R34" s="97">
        <v>0.20833333333333334</v>
      </c>
      <c r="S34" s="97">
        <v>0.58333333333333337</v>
      </c>
      <c r="T34" s="97"/>
      <c r="U34" s="97"/>
      <c r="V34" s="24">
        <f>IF(R34&lt;=S34,(S34-R34)*24,((Listes!$H$21-R34)*24+(S34-Listes!$G$21)*24))+IF(T34&lt;=U34,(U34-T34)*24,((Listes!$H$21-T34)*24+(U34-Listes!$G$21)*24))</f>
        <v>9</v>
      </c>
      <c r="W34" s="126" t="s">
        <v>125</v>
      </c>
    </row>
    <row r="35" spans="1:23">
      <c r="A35" s="130"/>
      <c r="B35" s="130"/>
      <c r="C35" s="131"/>
      <c r="D35" s="131"/>
      <c r="E35" s="130"/>
      <c r="F35" s="154">
        <v>11</v>
      </c>
      <c r="G35" s="139" t="str">
        <f t="shared" si="4"/>
        <v>mardi</v>
      </c>
      <c r="H35" s="155">
        <f t="shared" si="5"/>
        <v>45748</v>
      </c>
      <c r="I35" s="130"/>
      <c r="J35" s="135" t="s">
        <v>244</v>
      </c>
      <c r="K35" s="139" t="s">
        <v>245</v>
      </c>
      <c r="L35" s="139" t="s">
        <v>123</v>
      </c>
      <c r="M35" s="139" t="s">
        <v>123</v>
      </c>
      <c r="N35" s="139" t="s">
        <v>123</v>
      </c>
      <c r="O35" s="139" t="s">
        <v>124</v>
      </c>
      <c r="Q35" s="96" t="s">
        <v>88</v>
      </c>
      <c r="R35" s="97"/>
      <c r="S35" s="97"/>
      <c r="T35" s="97">
        <v>0.875</v>
      </c>
      <c r="U35" s="97">
        <v>0.16666666666666666</v>
      </c>
      <c r="V35" s="24">
        <f>IF(R35&lt;=S35,(S35-R35)*24,((Listes!$H$21-R35)*24+(S35-Listes!$G$21)*24))+IF(T35&lt;=U35,(U35-T35)*24,((Listes!$H$21-T35)*24+(U35-Listes!$G$21)*24))</f>
        <v>6.9994444444444426</v>
      </c>
      <c r="W35" s="126" t="s">
        <v>125</v>
      </c>
    </row>
    <row r="36" spans="1:23">
      <c r="A36" s="130"/>
      <c r="B36" s="130"/>
      <c r="C36" s="131"/>
      <c r="D36" s="131"/>
      <c r="E36" s="130"/>
      <c r="F36" s="154">
        <v>12</v>
      </c>
      <c r="G36" s="139" t="str">
        <f t="shared" si="4"/>
        <v>jeudi</v>
      </c>
      <c r="H36" s="155">
        <f t="shared" si="5"/>
        <v>45778</v>
      </c>
      <c r="I36" s="130"/>
      <c r="J36" s="135" t="s">
        <v>246</v>
      </c>
      <c r="K36" s="139" t="s">
        <v>247</v>
      </c>
      <c r="L36" s="139" t="s">
        <v>87</v>
      </c>
      <c r="M36" s="139" t="s">
        <v>113</v>
      </c>
      <c r="N36" s="139" t="s">
        <v>114</v>
      </c>
      <c r="O36" s="139" t="s">
        <v>124</v>
      </c>
      <c r="Q36" s="96" t="s">
        <v>248</v>
      </c>
      <c r="R36" s="97"/>
      <c r="S36" s="97"/>
      <c r="T36" s="97">
        <v>0.875</v>
      </c>
      <c r="U36" s="97">
        <v>0.20833333333333334</v>
      </c>
      <c r="V36" s="24">
        <f>IF(R36&lt;=S36,(S36-R36)*24,((Listes!$H$21-R36)*24+(S36-Listes!$G$21)*24))+IF(T36&lt;=U36,(U36-T36)*24,((Listes!$H$21-T36)*24+(U36-Listes!$G$21)*24))</f>
        <v>7.9994444444444435</v>
      </c>
      <c r="W36" s="126" t="s">
        <v>125</v>
      </c>
    </row>
    <row r="37" spans="1:23">
      <c r="A37" s="130" t="s">
        <v>125</v>
      </c>
      <c r="B37" s="130"/>
      <c r="C37" s="131"/>
      <c r="D37" s="131"/>
      <c r="E37" s="130"/>
      <c r="F37" s="149"/>
      <c r="G37" s="130"/>
      <c r="H37" s="150"/>
      <c r="I37" s="130"/>
      <c r="J37" s="135" t="s">
        <v>249</v>
      </c>
      <c r="K37" s="139" t="s">
        <v>250</v>
      </c>
      <c r="L37" s="139" t="s">
        <v>87</v>
      </c>
      <c r="M37" s="139" t="s">
        <v>113</v>
      </c>
      <c r="N37" s="139" t="s">
        <v>114</v>
      </c>
      <c r="O37" s="139" t="s">
        <v>124</v>
      </c>
      <c r="Q37" s="96" t="s">
        <v>251</v>
      </c>
      <c r="R37" s="97"/>
      <c r="S37" s="97"/>
      <c r="T37" s="97">
        <v>0.83333333333333337</v>
      </c>
      <c r="U37" s="97">
        <v>0.17708333333333334</v>
      </c>
      <c r="V37" s="24">
        <f>IF(R37&lt;=S37,(S37-R37)*24,((Listes!$H$21-R37)*24+(S37-Listes!$G$21)*24))+IF(T37&lt;=U37,(U37-T37)*24,((Listes!$H$21-T37)*24+(U37-Listes!$G$21)*24))</f>
        <v>8.2494444444444426</v>
      </c>
      <c r="W37" s="126" t="s">
        <v>125</v>
      </c>
    </row>
    <row r="38" spans="1:23">
      <c r="A38" s="130" t="s">
        <v>158</v>
      </c>
      <c r="B38" s="130"/>
      <c r="C38" s="131"/>
      <c r="D38" s="131"/>
      <c r="E38" s="130"/>
      <c r="F38" s="149"/>
      <c r="G38" s="130"/>
      <c r="H38" s="150"/>
      <c r="I38" s="130"/>
      <c r="J38" s="135" t="s">
        <v>252</v>
      </c>
      <c r="K38" s="139" t="s">
        <v>253</v>
      </c>
      <c r="L38" s="139" t="s">
        <v>87</v>
      </c>
      <c r="M38" s="139" t="s">
        <v>113</v>
      </c>
      <c r="N38" s="139" t="s">
        <v>114</v>
      </c>
      <c r="O38" s="139" t="s">
        <v>124</v>
      </c>
      <c r="Q38" s="96" t="s">
        <v>254</v>
      </c>
      <c r="R38" s="97"/>
      <c r="S38" s="97"/>
      <c r="T38" s="97">
        <v>0.91666666666666663</v>
      </c>
      <c r="U38" s="97">
        <v>0.20833333333333334</v>
      </c>
      <c r="V38" s="24">
        <f>IF(R38&lt;=S38,(S38-R38)*24,((Listes!$H$21-R38)*24+(S38-Listes!$G$21)*24))+IF(T38&lt;=U38,(U38-T38)*24,((Listes!$H$21-T38)*24+(U38-Listes!$G$21)*24))</f>
        <v>6.9994444444444444</v>
      </c>
      <c r="W38" s="126" t="s">
        <v>125</v>
      </c>
    </row>
    <row r="39" spans="1:23">
      <c r="A39" s="130"/>
      <c r="B39" s="130"/>
      <c r="C39" s="131"/>
      <c r="D39" s="131"/>
      <c r="E39" s="130"/>
      <c r="F39" s="149"/>
      <c r="G39" s="130"/>
      <c r="H39" s="150"/>
      <c r="I39" s="130"/>
      <c r="J39" s="135" t="s">
        <v>255</v>
      </c>
      <c r="K39" s="135" t="s">
        <v>256</v>
      </c>
      <c r="L39" s="139" t="s">
        <v>87</v>
      </c>
      <c r="M39" s="139" t="s">
        <v>113</v>
      </c>
      <c r="N39" s="139" t="s">
        <v>114</v>
      </c>
      <c r="O39" s="139" t="s">
        <v>124</v>
      </c>
      <c r="Q39" s="96" t="s">
        <v>257</v>
      </c>
      <c r="R39" s="97">
        <v>0.375</v>
      </c>
      <c r="S39" s="97">
        <v>0.5</v>
      </c>
      <c r="T39" s="97">
        <v>0.54166666666666663</v>
      </c>
      <c r="U39" s="97">
        <v>0.70833333333333337</v>
      </c>
      <c r="V39" s="24">
        <f>IF(R39&lt;=S39,(S39-R39)*24,((Listes!$H$21-R39)*24+(S39-Listes!$G$21)*24))+IF(T39&lt;=U39,(U39-T39)*24,((Listes!$H$21-T39)*24+(U39-Listes!$G$21)*24))</f>
        <v>7.0000000000000018</v>
      </c>
      <c r="W39" s="126" t="s">
        <v>158</v>
      </c>
    </row>
    <row r="40" spans="1:23">
      <c r="A40" s="130"/>
      <c r="B40" s="130"/>
      <c r="C40" s="131"/>
      <c r="D40" s="131"/>
      <c r="E40" s="130"/>
      <c r="F40" s="130"/>
      <c r="G40" s="130"/>
      <c r="H40" s="150"/>
      <c r="I40" s="130"/>
      <c r="J40" s="135"/>
      <c r="K40" s="135"/>
      <c r="L40" s="139"/>
      <c r="M40" s="139"/>
      <c r="N40" s="139"/>
      <c r="O40" s="139"/>
      <c r="Q40" s="96" t="s">
        <v>270</v>
      </c>
      <c r="R40" s="97">
        <v>0.375</v>
      </c>
      <c r="S40" s="97">
        <v>0.5</v>
      </c>
      <c r="T40" s="97">
        <v>0.54166666666666663</v>
      </c>
      <c r="U40" s="97">
        <v>0.70833333333333337</v>
      </c>
      <c r="V40" s="24">
        <f>IF(R40&lt;=S40,(S40-R40)*24,((Listes!$H$21-R40)*24+(S40-Listes!$G$21)*24))+IF(T40&lt;=U40,(U40-T40)*24,((Listes!$H$21-T40)*24+(U40-Listes!$G$21)*24))</f>
        <v>7.0000000000000018</v>
      </c>
    </row>
    <row r="41" spans="1:23">
      <c r="A41" s="130"/>
      <c r="B41" s="130"/>
      <c r="C41" s="131"/>
      <c r="D41" s="131"/>
      <c r="E41" s="130"/>
      <c r="F41" s="130"/>
      <c r="G41" s="130"/>
      <c r="H41" s="150"/>
      <c r="I41" s="130"/>
      <c r="J41" s="135"/>
      <c r="K41" s="135"/>
      <c r="L41" s="139"/>
      <c r="M41" s="139"/>
      <c r="N41" s="139"/>
      <c r="O41" s="139"/>
      <c r="Q41" s="96"/>
      <c r="R41" s="97"/>
      <c r="S41" s="97"/>
      <c r="T41" s="97"/>
      <c r="U41" s="97"/>
      <c r="V41" s="24">
        <f>IF(R41&lt;=S41,(S41-R41)*24,((Listes!$H$21-R41)*24+(S41-Listes!$G$21)*24))+IF(T41&lt;=U41,(U41-T41)*24,((Listes!$H$21-T41)*24+(U41-Listes!$G$21)*24))</f>
        <v>0</v>
      </c>
    </row>
    <row r="42" spans="1:23">
      <c r="A42" s="130"/>
      <c r="B42" s="130"/>
      <c r="C42" s="131"/>
      <c r="D42" s="131"/>
      <c r="E42" s="130"/>
      <c r="F42" s="130"/>
      <c r="G42" s="130"/>
      <c r="H42" s="150"/>
      <c r="I42" s="130"/>
      <c r="J42" s="135"/>
      <c r="K42" s="135"/>
      <c r="L42" s="139"/>
      <c r="M42" s="139"/>
      <c r="N42" s="139"/>
      <c r="O42" s="139"/>
      <c r="Q42" s="96"/>
      <c r="R42" s="97"/>
      <c r="S42" s="97"/>
      <c r="T42" s="97"/>
      <c r="U42" s="97"/>
      <c r="V42" s="24">
        <f>IF(R42&lt;=S42,(S42-R42)*24,((Listes!$H$21-R42)*24+(S42-Listes!$G$21)*24))+IF(T42&lt;=U42,(U42-T42)*24,((Listes!$H$21-T42)*24+(U42-Listes!$G$21)*24))</f>
        <v>0</v>
      </c>
    </row>
    <row r="43" spans="1:23">
      <c r="A43" s="130"/>
      <c r="B43" s="130"/>
      <c r="C43" s="131"/>
      <c r="D43" s="131"/>
      <c r="E43" s="130"/>
      <c r="F43" s="130"/>
      <c r="G43" s="130"/>
      <c r="H43" s="150"/>
      <c r="I43" s="130"/>
      <c r="J43" s="135"/>
      <c r="K43" s="135"/>
      <c r="L43" s="139"/>
      <c r="M43" s="139"/>
      <c r="N43" s="139"/>
      <c r="O43" s="139"/>
      <c r="Q43" s="96"/>
      <c r="R43" s="97"/>
      <c r="S43" s="97"/>
      <c r="T43" s="97"/>
      <c r="U43" s="97"/>
      <c r="V43" s="24">
        <f>IF(R43&lt;=S43,(S43-R43)*24,((Listes!$H$21-R43)*24+(S43-Listes!$G$21)*24))+IF(T43&lt;=U43,(U43-T43)*24,((Listes!$H$21-T43)*24+(U43-Listes!$G$21)*24))</f>
        <v>0</v>
      </c>
    </row>
    <row r="44" spans="1:23">
      <c r="A44" s="130"/>
      <c r="B44" s="130"/>
      <c r="C44" s="131"/>
      <c r="D44" s="131"/>
      <c r="E44" s="130"/>
      <c r="F44" s="130"/>
      <c r="G44" s="130"/>
      <c r="H44" s="150"/>
      <c r="I44" s="130"/>
      <c r="J44" s="135"/>
      <c r="K44" s="135"/>
      <c r="L44" s="139"/>
      <c r="M44" s="139"/>
      <c r="N44" s="139"/>
      <c r="O44" s="139"/>
      <c r="Q44" s="96"/>
      <c r="R44" s="97"/>
      <c r="S44" s="97"/>
      <c r="T44" s="97"/>
      <c r="U44" s="97"/>
      <c r="V44" s="24">
        <f>IF(R44&lt;=S44,(S44-R44)*24,((Listes!$H$21-R44)*24+(S44-Listes!$G$21)*24))+IF(T44&lt;=U44,(U44-T44)*24,((Listes!$H$21-T44)*24+(U44-Listes!$G$21)*24))</f>
        <v>0</v>
      </c>
    </row>
    <row r="45" spans="1:23">
      <c r="A45" s="130"/>
      <c r="B45" s="130"/>
      <c r="C45" s="131"/>
      <c r="D45" s="131"/>
      <c r="E45" s="130"/>
      <c r="F45" s="130"/>
      <c r="G45" s="130"/>
      <c r="H45" s="150"/>
      <c r="I45" s="130"/>
      <c r="J45" s="135"/>
      <c r="K45" s="135"/>
      <c r="L45" s="139"/>
      <c r="M45" s="139"/>
      <c r="N45" s="139"/>
      <c r="O45" s="139"/>
      <c r="Q45" s="96"/>
      <c r="R45" s="97"/>
      <c r="S45" s="97"/>
      <c r="T45" s="97"/>
      <c r="U45" s="97"/>
      <c r="V45" s="24">
        <f>IF(R45&lt;=S45,(S45-R45)*24,((Listes!$H$21-R45)*24+(S45-Listes!$G$21)*24))+IF(T45&lt;=U45,(U45-T45)*24,((Listes!$H$21-T45)*24+(U45-Listes!$G$21)*24))</f>
        <v>0</v>
      </c>
    </row>
    <row r="46" spans="1:23" ht="20.25" customHeight="1">
      <c r="A46" s="130"/>
      <c r="B46" s="130"/>
      <c r="C46" s="131"/>
      <c r="D46" s="131"/>
      <c r="E46" s="130"/>
      <c r="F46" s="130"/>
      <c r="G46" s="130"/>
      <c r="H46" s="150"/>
      <c r="I46" s="130"/>
      <c r="J46" s="135"/>
      <c r="K46" s="135"/>
      <c r="L46" s="139"/>
      <c r="M46" s="139"/>
      <c r="N46" s="139"/>
      <c r="O46" s="139"/>
      <c r="Q46" s="96"/>
      <c r="R46" s="97"/>
      <c r="S46" s="97"/>
      <c r="T46" s="97"/>
      <c r="U46" s="97"/>
      <c r="V46" s="24">
        <f>IF(R46&lt;=S46,(S46-R46)*24,((Listes!$H$21-R46)*24+(S46-Listes!$G$21)*24))+IF(T46&lt;=U46,(U46-T46)*24,((Listes!$H$21-T46)*24+(U46-Listes!$G$21)*24))</f>
        <v>0</v>
      </c>
    </row>
    <row r="47" spans="1:23">
      <c r="A47" s="130"/>
      <c r="B47" s="130"/>
      <c r="C47" s="131"/>
      <c r="D47" s="131"/>
      <c r="E47" s="130"/>
      <c r="F47" s="130"/>
      <c r="G47" s="130"/>
      <c r="H47" s="150"/>
      <c r="I47" s="130"/>
      <c r="J47" s="135"/>
      <c r="K47" s="135"/>
      <c r="L47" s="139"/>
      <c r="M47" s="139"/>
      <c r="N47" s="139"/>
      <c r="O47" s="139"/>
      <c r="Q47" s="96"/>
      <c r="R47" s="97"/>
      <c r="S47" s="97"/>
      <c r="T47" s="97"/>
      <c r="U47" s="97"/>
      <c r="V47" s="24">
        <f>IF(R47&lt;=S47,(S47-R47)*24,((Listes!$H$21-R47)*24+(S47-Listes!$G$21)*24))+IF(T47&lt;=U47,(U47-T47)*24,((Listes!$H$21-T47)*24+(U47-Listes!$G$21)*24))</f>
        <v>0</v>
      </c>
    </row>
    <row r="48" spans="1:23">
      <c r="A48" s="130"/>
      <c r="B48" s="130"/>
      <c r="C48" s="131"/>
      <c r="D48" s="131"/>
      <c r="E48" s="130"/>
      <c r="F48" s="130"/>
      <c r="G48" s="130"/>
      <c r="H48" s="150"/>
      <c r="I48" s="130"/>
      <c r="J48" s="135"/>
      <c r="K48" s="135"/>
      <c r="L48" s="139"/>
      <c r="M48" s="139"/>
      <c r="N48" s="139"/>
      <c r="O48" s="139"/>
      <c r="Q48" s="96"/>
      <c r="R48" s="97"/>
      <c r="S48" s="97"/>
      <c r="T48" s="97"/>
      <c r="U48" s="97"/>
      <c r="V48" s="24">
        <f>IF(R48&lt;=S48,(S48-R48)*24,((Listes!$H$21-R48)*24+(S48-Listes!$G$21)*24))+IF(T48&lt;=U48,(U48-T48)*24,((Listes!$H$21-T48)*24+(U48-Listes!$G$21)*24))</f>
        <v>0</v>
      </c>
    </row>
    <row r="49" spans="1:22">
      <c r="A49" s="130"/>
      <c r="B49" s="130"/>
      <c r="C49" s="131"/>
      <c r="D49" s="131"/>
      <c r="E49" s="130"/>
      <c r="F49" s="130"/>
      <c r="G49" s="130"/>
      <c r="H49" s="150"/>
      <c r="I49" s="130"/>
      <c r="J49" s="135"/>
      <c r="K49" s="135"/>
      <c r="L49" s="139"/>
      <c r="M49" s="139"/>
      <c r="N49" s="139"/>
      <c r="O49" s="139"/>
      <c r="Q49" s="96"/>
      <c r="R49" s="97"/>
      <c r="S49" s="97"/>
      <c r="T49" s="97"/>
      <c r="U49" s="97"/>
      <c r="V49" s="24">
        <f>IF(R49&lt;=S49,(S49-R49)*24,((Listes!$H$21-R49)*24+(S49-Listes!$G$21)*24))+IF(T49&lt;=U49,(U49-T49)*24,((Listes!$H$21-T49)*24+(U49-Listes!$G$21)*24))</f>
        <v>0</v>
      </c>
    </row>
    <row r="50" spans="1:22">
      <c r="A50" s="130"/>
      <c r="B50" s="130"/>
      <c r="C50" s="131"/>
      <c r="D50" s="131"/>
      <c r="E50" s="130"/>
      <c r="F50" s="130"/>
      <c r="G50" s="130"/>
      <c r="H50" s="150"/>
      <c r="I50" s="130"/>
      <c r="J50" s="135"/>
      <c r="K50" s="135"/>
      <c r="L50" s="139"/>
      <c r="M50" s="139"/>
      <c r="N50" s="139"/>
      <c r="O50" s="139"/>
      <c r="Q50" s="96"/>
      <c r="R50" s="97"/>
      <c r="S50" s="97"/>
      <c r="T50" s="97"/>
      <c r="U50" s="97"/>
      <c r="V50" s="24">
        <f>IF(R50&lt;=S50,(S50-R50)*24,((Listes!$H$21-R50)*24+(S50-Listes!$G$21)*24))+IF(T50&lt;=U50,(U50-T50)*24,((Listes!$H$21-T50)*24+(U50-Listes!$G$21)*24))</f>
        <v>0</v>
      </c>
    </row>
    <row r="51" spans="1:22">
      <c r="A51" s="130"/>
      <c r="B51" s="130"/>
      <c r="C51" s="131"/>
      <c r="D51" s="131"/>
      <c r="E51" s="130"/>
      <c r="F51" s="130"/>
      <c r="G51" s="130"/>
      <c r="H51" s="150"/>
      <c r="I51" s="130"/>
      <c r="J51" s="135"/>
      <c r="K51" s="135"/>
      <c r="L51" s="139"/>
      <c r="M51" s="139"/>
      <c r="N51" s="139"/>
      <c r="O51" s="139"/>
      <c r="Q51" s="96"/>
      <c r="R51" s="97"/>
      <c r="S51" s="97"/>
      <c r="T51" s="97"/>
      <c r="U51" s="97"/>
      <c r="V51" s="24">
        <f>IF(R51&lt;=S51,(S51-R51)*24,((Listes!$H$21-R51)*24+(S51-Listes!$G$21)*24))+IF(T51&lt;=U51,(U51-T51)*24,((Listes!$H$21-T51)*24+(U51-Listes!$G$21)*24))</f>
        <v>0</v>
      </c>
    </row>
    <row r="52" spans="1:22">
      <c r="A52" s="130"/>
      <c r="B52" s="130"/>
      <c r="C52" s="131"/>
      <c r="D52" s="131"/>
      <c r="E52" s="130"/>
      <c r="F52" s="130"/>
      <c r="G52" s="130"/>
      <c r="H52" s="150"/>
      <c r="I52" s="130"/>
      <c r="J52" s="135"/>
      <c r="K52" s="135"/>
      <c r="L52" s="139"/>
      <c r="M52" s="139"/>
      <c r="N52" s="139"/>
      <c r="O52" s="139"/>
      <c r="Q52" s="96"/>
      <c r="R52" s="97"/>
      <c r="S52" s="97"/>
      <c r="T52" s="97"/>
      <c r="U52" s="97"/>
      <c r="V52" s="24">
        <f>IF(R52&lt;=S52,(S52-R52)*24,((Listes!$H$21-R52)*24+(S52-Listes!$G$21)*24))+IF(T52&lt;=U52,(U52-T52)*24,((Listes!$H$21-T52)*24+(U52-Listes!$G$21)*24))</f>
        <v>0</v>
      </c>
    </row>
    <row r="53" spans="1:22">
      <c r="A53" s="130"/>
      <c r="B53" s="130"/>
      <c r="C53" s="131"/>
      <c r="D53" s="131"/>
      <c r="E53" s="130"/>
      <c r="F53" s="130"/>
      <c r="G53" s="130"/>
      <c r="H53" s="150"/>
      <c r="I53" s="130"/>
      <c r="J53" s="135"/>
      <c r="K53" s="135"/>
      <c r="L53" s="139"/>
      <c r="M53" s="139"/>
      <c r="N53" s="139"/>
      <c r="O53" s="139"/>
      <c r="Q53" s="96"/>
      <c r="R53" s="97"/>
      <c r="S53" s="97"/>
      <c r="T53" s="97"/>
      <c r="U53" s="97"/>
      <c r="V53" s="24">
        <f>IF(R53&lt;=S53,(S53-R53)*24,((Listes!$H$21-R53)*24+(S53-Listes!$G$21)*24))+IF(T53&lt;=U53,(U53-T53)*24,((Listes!$H$21-T53)*24+(U53-Listes!$G$21)*24))</f>
        <v>0</v>
      </c>
    </row>
    <row r="54" spans="1:22">
      <c r="A54" s="130"/>
      <c r="B54" s="130"/>
      <c r="C54" s="131"/>
      <c r="D54" s="131"/>
      <c r="E54" s="130"/>
      <c r="F54" s="130"/>
      <c r="G54" s="130"/>
      <c r="H54" s="150"/>
      <c r="I54" s="130"/>
      <c r="J54" s="135"/>
      <c r="K54" s="135"/>
      <c r="L54" s="139"/>
      <c r="M54" s="139"/>
      <c r="N54" s="139"/>
      <c r="O54" s="139"/>
      <c r="Q54" s="96"/>
      <c r="R54" s="97"/>
      <c r="S54" s="97"/>
      <c r="T54" s="97"/>
      <c r="U54" s="97"/>
      <c r="V54" s="24">
        <f>IF(R54&lt;=S54,(S54-R54)*24,((Listes!$H$21-R54)*24+(S54-Listes!$G$21)*24))+IF(T54&lt;=U54,(U54-T54)*24,((Listes!$H$21-T54)*24+(U54-Listes!$G$21)*24))</f>
        <v>0</v>
      </c>
    </row>
    <row r="55" spans="1:22">
      <c r="A55" s="156"/>
      <c r="B55" s="156"/>
      <c r="C55" s="157"/>
      <c r="D55" s="157"/>
      <c r="E55" s="156"/>
      <c r="F55" s="156"/>
      <c r="G55" s="156"/>
      <c r="H55" s="158"/>
      <c r="I55" s="156"/>
      <c r="J55" s="159"/>
      <c r="K55" s="159"/>
      <c r="L55" s="160"/>
      <c r="M55" s="160"/>
      <c r="N55" s="160"/>
      <c r="O55" s="160"/>
      <c r="Q55" s="161"/>
      <c r="R55" s="162"/>
      <c r="S55" s="162"/>
      <c r="T55" s="163"/>
      <c r="U55" s="163"/>
      <c r="V55" s="164">
        <f>IF(R55&lt;=S55,(S55-R55)*24,((Listes!$H$21-R55)*24+(S55-Listes!$G$21)*24))+IF(T55&lt;=U55,(U55-T55)*24,((Listes!$H$21-T55)*24+(U55-Listes!$G$21)*24))</f>
        <v>0</v>
      </c>
    </row>
  </sheetData>
  <sheetProtection autoFilter="0"/>
  <autoFilter ref="Q2:V55" xr:uid="{8EF8978E-48B9-43DE-A6C7-711024690B55}">
    <sortState xmlns:xlrd2="http://schemas.microsoft.com/office/spreadsheetml/2017/richdata2" ref="Q3:V55">
      <sortCondition ref="Q2:Q55"/>
    </sortState>
  </autoFilter>
  <phoneticPr fontId="1" type="noConversion"/>
  <conditionalFormatting sqref="J1:J55">
    <cfRule type="duplicateValues" dxfId="1" priority="2"/>
  </conditionalFormatting>
  <conditionalFormatting sqref="Q3:Q55">
    <cfRule type="duplicateValues" dxfId="0" priority="1"/>
  </conditionalFormatting>
  <dataValidations count="2">
    <dataValidation type="list" allowBlank="1" showInputMessage="1" showErrorMessage="1" sqref="W3:W55" xr:uid="{C2EDABD3-C5DB-4B29-B3E9-694A25BF9156}">
      <formula1>$A$37:$A$38</formula1>
    </dataValidation>
    <dataValidation type="list" allowBlank="1" showInputMessage="1" showErrorMessage="1" sqref="B17" xr:uid="{5035CDB7-6726-48F2-855F-D32E9BE8A1E0}">
      <formula1>"mois complet strict, semaine complète"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rgb="FFB24034"/>
  </sheetPr>
  <dimension ref="A1:I2"/>
  <sheetViews>
    <sheetView showZeros="0" tabSelected="1" zoomScale="80" zoomScaleNormal="80" workbookViewId="0">
      <selection activeCell="H2" sqref="H2"/>
    </sheetView>
  </sheetViews>
  <sheetFormatPr baseColWidth="10" defaultColWidth="11.42578125" defaultRowHeight="12.75" outlineLevelCol="1"/>
  <cols>
    <col min="1" max="1" width="11.42578125" style="1" customWidth="1" outlineLevel="1"/>
    <col min="2" max="2" width="38.42578125" style="1" bestFit="1" customWidth="1"/>
    <col min="3" max="3" width="14" style="1" customWidth="1"/>
    <col min="4" max="4" width="20.85546875" style="1" customWidth="1"/>
    <col min="5" max="7" width="11.140625" style="1" customWidth="1"/>
    <col min="8" max="8" width="13.7109375" style="1" customWidth="1"/>
    <col min="9" max="9" width="68.5703125" style="1" bestFit="1" customWidth="1"/>
    <col min="10" max="16384" width="11.42578125" style="1"/>
  </cols>
  <sheetData>
    <row r="1" spans="1:9" ht="27" customHeight="1">
      <c r="A1" s="170" t="s">
        <v>36</v>
      </c>
      <c r="B1" s="171" t="s">
        <v>258</v>
      </c>
      <c r="C1" s="171" t="s">
        <v>26</v>
      </c>
      <c r="D1" s="171" t="s">
        <v>259</v>
      </c>
      <c r="E1" s="171" t="s">
        <v>260</v>
      </c>
      <c r="F1" s="171" t="s">
        <v>261</v>
      </c>
      <c r="G1" s="171" t="s">
        <v>262</v>
      </c>
      <c r="H1" s="172" t="s">
        <v>86</v>
      </c>
    </row>
    <row r="2" spans="1:9" ht="14.25" customHeight="1">
      <c r="A2" s="170">
        <v>1</v>
      </c>
      <c r="B2" s="172" t="s">
        <v>263</v>
      </c>
      <c r="C2" s="170" t="str">
        <f>VLOOKUP(A2,Listes!$Y:$Z,2,0)</f>
        <v>MAT1</v>
      </c>
      <c r="D2" s="170" t="str">
        <f>VLOOKUP(A2,Listes!$Y:$AA,3,0)</f>
        <v>Matricule 1</v>
      </c>
      <c r="E2" s="173">
        <f ca="1">SUMIF(INDIRECT("'"&amp;E$1&amp;"'!"&amp;"C:C"),$C2,INDIRECT("'"&amp;E$1&amp;"'!"&amp;"v:v"))</f>
        <v>217.50000000000003</v>
      </c>
      <c r="F2" s="173">
        <f ca="1">SUMIF(INDIRECT("'"&amp;F$1&amp;"'!"&amp;"C:C"),$C2,INDIRECT("'"&amp;F$1&amp;"'!"&amp;"v:v"))</f>
        <v>217.50000000000003</v>
      </c>
      <c r="G2" s="173">
        <f ca="1">SUMIF(INDIRECT("'"&amp;G$1&amp;"'!"&amp;"C:C"),$C2,INDIRECT("'"&amp;G$1&amp;"'!"&amp;"v:v"))</f>
        <v>217.50000000000003</v>
      </c>
      <c r="H2" s="174">
        <f ca="1">COUNTIFS(INDIRECT("'"&amp;$E1&amp;"'!"&amp;"M:M"),"$demi",INDIRECT("'"&amp;$E1&amp;"'!"&amp;"L:L"),$H$1,INDIRECT("'"&amp;$E1&amp;"'!"&amp;"C:C"),C2)/2+COUNTIFS(INDIRECT("'"&amp;$E1&amp;"'!"&amp;"M:M"),"$JOUR",INDIRECT("'"&amp;$E1&amp;"'!"&amp;"L:L"),$H$1,INDIRECT("'"&amp;$E1&amp;"'!"&amp;"C:C"),C2)+COUNTIFS(INDIRECT("'"&amp;$E1&amp;"'!"&amp;"R:R"),"$demi2",INDIRECT("'"&amp;$E1&amp;"'!"&amp;"Q:Q"),$H$1,INDIRECT("'"&amp;$E1&amp;"'!"&amp;"C:C"),C2)/2+COUNTIFS(INDIRECT("'"&amp;$F1&amp;"'!"&amp;"M:M"),"$demi",INDIRECT("'"&amp;$F1&amp;"'!"&amp;"L:L"),$H$1,INDIRECT("'"&amp;$F1&amp;"'!"&amp;"C:C"),C2)/2+COUNTIFS(INDIRECT("'"&amp;$F1&amp;"'!"&amp;"M:M"),"$JOUR",INDIRECT("'"&amp;$F1&amp;"'!"&amp;"L:L"),$H$1,INDIRECT("'"&amp;$F1&amp;"'!"&amp;"C:C"),C2)+COUNTIFS(INDIRECT("'"&amp;$F1&amp;"'!"&amp;"R:R"),"$demi2",INDIRECT("'"&amp;$F1&amp;"'!"&amp;"Q:Q"),$H$1,INDIRECT("'"&amp;$F1&amp;"'!"&amp;"C:C"),C2)/2+COUNTIFS(INDIRECT("'"&amp;$G1&amp;"'!"&amp;"M:M"),"$demi",INDIRECT("'"&amp;$G1&amp;"'!"&amp;"L:L"),$H$1,INDIRECT("'"&amp;$G1&amp;"'!"&amp;"C:C"),C2)/2+COUNTIFS(INDIRECT("'"&amp;$G1&amp;"'!"&amp;"M:M"),"$JOUR",INDIRECT("'"&amp;$G1&amp;"'!"&amp;"L:L"),$H$1,INDIRECT("'"&amp;$G1&amp;"'!"&amp;"C:C"),C2)+COUNTIFS(INDIRECT("'"&amp;$G1&amp;"'!"&amp;"R:R"),"$demi2",INDIRECT("'"&amp;$G1&amp;"'!"&amp;"Q:Q"),$H$1,INDIRECT("'"&amp;$G1&amp;"'!"&amp;"C:C"),C2)/2</f>
        <v>4</v>
      </c>
      <c r="I2" s="175" t="s">
        <v>324</v>
      </c>
    </row>
  </sheetData>
  <sheetProtection autoFilter="0"/>
  <autoFilter ref="A1:H2" xr:uid="{00000000-0001-0000-0C00-000000000000}"/>
  <phoneticPr fontId="1" type="noConversion"/>
  <pageMargins left="0.19652777777777777" right="0.19652777777777777" top="1.0118055555555556" bottom="0.51180555555555562" header="0.51180555555555562" footer="0.51180555555555562"/>
  <pageSetup paperSize="9" scale="70" firstPageNumber="0" orientation="landscape" horizontalDpi="300" verticalDpi="300" r:id="rId1"/>
  <headerFooter alignWithMargins="0">
    <oddHeader>&amp;L&amp;"Arial,Gras"&amp;12PERIODE 2007/2008&amp;C&amp;"Arial,Gras"&amp;14COMPTEUR MODULATION
&amp;12Usine de Pontivy&amp;R&amp;12&amp;D</oddHeader>
    <oddFooter>&amp;R&amp;D&amp;Z&amp;F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36B6F46490C4AB1512F7FC7C649AB" ma:contentTypeVersion="20" ma:contentTypeDescription="Crée un document." ma:contentTypeScope="" ma:versionID="e910f9ac50fbff8c78e233a283a9fcbc">
  <xsd:schema xmlns:xsd="http://www.w3.org/2001/XMLSchema" xmlns:xs="http://www.w3.org/2001/XMLSchema" xmlns:p="http://schemas.microsoft.com/office/2006/metadata/properties" xmlns:ns2="7ce32cc9-3c1a-4371-8623-256f4f31588b" xmlns:ns3="852ffaf1-d5b7-4741-a9c1-17584ca6bc69" targetNamespace="http://schemas.microsoft.com/office/2006/metadata/properties" ma:root="true" ma:fieldsID="6d6ab05c1238df9f6aa53a2431cd0b04" ns2:_="" ns3:_="">
    <xsd:import namespace="7ce32cc9-3c1a-4371-8623-256f4f31588b"/>
    <xsd:import namespace="852ffaf1-d5b7-4741-a9c1-17584ca6bc69"/>
    <xsd:element name="properties">
      <xsd:complexType>
        <xsd:sequence>
          <xsd:element name="documentManagement">
            <xsd:complexType>
              <xsd:all>
                <xsd:element ref="ns2:ia01a0e5f0a642ada7a1e578b83c7525" minOccurs="0"/>
                <xsd:element ref="ns2:TaxCatchAll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lcf76f155ced4ddcb4097134ff3c332f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e32cc9-3c1a-4371-8623-256f4f31588b" elementFormDefault="qualified">
    <xsd:import namespace="http://schemas.microsoft.com/office/2006/documentManagement/types"/>
    <xsd:import namespace="http://schemas.microsoft.com/office/infopath/2007/PartnerControls"/>
    <xsd:element name="ia01a0e5f0a642ada7a1e578b83c7525" ma:index="9" nillable="true" ma:taxonomy="true" ma:internalName="ia01a0e5f0a642ada7a1e578b83c7525" ma:taxonomyFieldName="Confidentiality" ma:displayName="Confidentiality" ma:default="1;#Restricted|81fe5a0c-564f-4def-a23f-aa7b980e0e29" ma:fieldId="{2a01a0e5-f0a6-42ad-a7a1-e578b83c7525}" ma:sspId="e27ce106-bcb9-4e22-8866-61b2c56de1b4" ma:termSetId="5e3aad15-dae4-4eff-baeb-7e959cc7b5c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hidden="true" ma:list="{1f440f88-74d8-4040-8e73-ec5aec56a998}" ma:internalName="TaxCatchAll" ma:showField="CatchAllData" ma:web="7ce32cc9-3c1a-4371-8623-256f4f3158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ffaf1-d5b7-4741-a9c1-17584ca6bc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e27ce106-bcb9-4e22-8866-61b2c56de1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2ffaf1-d5b7-4741-a9c1-17584ca6bc69">
      <Terms xmlns="http://schemas.microsoft.com/office/infopath/2007/PartnerControls"/>
    </lcf76f155ced4ddcb4097134ff3c332f>
    <TaxCatchAll xmlns="7ce32cc9-3c1a-4371-8623-256f4f31588b">
      <Value>1</Value>
    </TaxCatchAll>
    <ia01a0e5f0a642ada7a1e578b83c7525 xmlns="7ce32cc9-3c1a-4371-8623-256f4f31588b">
      <Terms xmlns="http://schemas.microsoft.com/office/infopath/2007/PartnerControls">
        <TermInfo xmlns="http://schemas.microsoft.com/office/infopath/2007/PartnerControls">
          <TermName xmlns="http://schemas.microsoft.com/office/infopath/2007/PartnerControls">Restricted</TermName>
          <TermId xmlns="http://schemas.microsoft.com/office/infopath/2007/PartnerControls">81fe5a0c-564f-4def-a23f-aa7b980e0e29</TermId>
        </TermInfo>
      </Terms>
    </ia01a0e5f0a642ada7a1e578b83c7525>
  </documentManagement>
</p:properties>
</file>

<file path=customXml/itemProps1.xml><?xml version="1.0" encoding="utf-8"?>
<ds:datastoreItem xmlns:ds="http://schemas.openxmlformats.org/officeDocument/2006/customXml" ds:itemID="{640CC3FD-840D-485B-B91D-5D4796F1D1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F7EDCF-C020-46DF-ACE8-22440BE9E8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e32cc9-3c1a-4371-8623-256f4f31588b"/>
    <ds:schemaRef ds:uri="852ffaf1-d5b7-4741-a9c1-17584ca6bc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F2A4A7-D585-4642-A3C6-6ACE9B41E390}">
  <ds:schemaRefs>
    <ds:schemaRef ds:uri="http://schemas.microsoft.com/office/2006/metadata/properties"/>
    <ds:schemaRef ds:uri="http://schemas.microsoft.com/office/infopath/2007/PartnerControls"/>
    <ds:schemaRef ds:uri="852ffaf1-d5b7-4741-a9c1-17584ca6bc69"/>
    <ds:schemaRef ds:uri="7ce32cc9-3c1a-4371-8623-256f4f31588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JUIN</vt:lpstr>
      <vt:lpstr>JUIL</vt:lpstr>
      <vt:lpstr>AOUT</vt:lpstr>
      <vt:lpstr>EVP</vt:lpstr>
      <vt:lpstr>Listes</vt:lpstr>
      <vt:lpstr>Compteurs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Cardon Philippe</dc:creator>
  <cp:keywords/>
  <dc:description/>
  <cp:lastModifiedBy>MENARD BLANDINE</cp:lastModifiedBy>
  <cp:revision/>
  <dcterms:created xsi:type="dcterms:W3CDTF">2009-05-27T13:18:52Z</dcterms:created>
  <dcterms:modified xsi:type="dcterms:W3CDTF">2025-05-27T12:15:24Z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fidentiality">
    <vt:lpwstr>1;#Restricted|81fe5a0c-564f-4def-a23f-aa7b980e0e29</vt:lpwstr>
  </property>
  <property fmtid="{D5CDD505-2E9C-101B-9397-08002B2CF9AE}" pid="3" name="ContentTypeId">
    <vt:lpwstr>0x0101009B336B6F46490C4AB1512F7FC7C649AB</vt:lpwstr>
  </property>
  <property fmtid="{D5CDD505-2E9C-101B-9397-08002B2CF9AE}" pid="4" name="MediaServiceImageTags">
    <vt:lpwstr/>
  </property>
</Properties>
</file>