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xandre PC Pro\Desktop\"/>
    </mc:Choice>
  </mc:AlternateContent>
  <bookViews>
    <workbookView xWindow="0" yWindow="0" windowWidth="24000" windowHeight="12390" tabRatio="686"/>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_xlnm._FilterDatabase" localSheetId="0" hidden="1">Janvier!$B$6:$AH$36</definedName>
    <definedName name="_xlnm._FilterDatabase" localSheetId="12" hidden="1">'Noms des employés'!$B$3:$B$33</definedName>
    <definedName name="An" localSheetId="0">Janvier!$A$1</definedName>
    <definedName name="AnnéeCalendrier">Janvier!$AH$4</definedName>
    <definedName name="CléCongé">Janvier!$C$2</definedName>
    <definedName name="CléMaladie">Janvier!$J$2</definedName>
    <definedName name="CléPersonnalisée1">Janvier!$M$2</definedName>
    <definedName name="CléPersonnalisée2">Janvier!$R$2</definedName>
    <definedName name="CléPersonnel">Janvier!$F$2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I37" i="4" l="1"/>
  <c r="AJ37" i="4"/>
  <c r="AK37" i="4"/>
  <c r="AH37" i="4"/>
  <c r="AK36" i="4"/>
  <c r="AJ36" i="4"/>
  <c r="AI36" i="4"/>
  <c r="AK35" i="4"/>
  <c r="AJ35" i="4"/>
  <c r="AI35" i="4"/>
  <c r="AK34" i="4"/>
  <c r="AJ34" i="4"/>
  <c r="AI34" i="4"/>
  <c r="AK33" i="4"/>
  <c r="AJ33" i="4"/>
  <c r="AI33" i="4"/>
  <c r="AK32" i="4"/>
  <c r="AJ32" i="4"/>
  <c r="AI32" i="4"/>
  <c r="AK31" i="4"/>
  <c r="AJ31" i="4"/>
  <c r="AI31" i="4"/>
  <c r="AK30" i="4"/>
  <c r="AJ30" i="4"/>
  <c r="AI30" i="4"/>
  <c r="AK29" i="4"/>
  <c r="AJ29" i="4"/>
  <c r="AI29" i="4"/>
  <c r="AK28" i="4"/>
  <c r="AJ28" i="4"/>
  <c r="AI28" i="4"/>
  <c r="AK27" i="4"/>
  <c r="AJ27" i="4"/>
  <c r="AI27" i="4"/>
  <c r="AK26" i="4"/>
  <c r="AJ26" i="4"/>
  <c r="AI26" i="4"/>
  <c r="AK25" i="4"/>
  <c r="AJ25" i="4"/>
  <c r="AI25" i="4"/>
  <c r="AK24" i="4"/>
  <c r="AJ24" i="4"/>
  <c r="AI24" i="4"/>
  <c r="AK23" i="4"/>
  <c r="AJ23" i="4"/>
  <c r="AI23" i="4"/>
  <c r="AK22" i="4"/>
  <c r="AJ22" i="4"/>
  <c r="AI22" i="4"/>
  <c r="AK21" i="4"/>
  <c r="AJ21" i="4"/>
  <c r="AI21" i="4"/>
  <c r="AK20" i="4"/>
  <c r="AJ20" i="4"/>
  <c r="AI20" i="4"/>
  <c r="AK19" i="4"/>
  <c r="AJ19" i="4"/>
  <c r="AI19" i="4"/>
  <c r="AK18" i="4"/>
  <c r="AJ18" i="4"/>
  <c r="AI18" i="4"/>
  <c r="AK17" i="4"/>
  <c r="AJ17" i="4"/>
  <c r="AI17" i="4"/>
  <c r="AK16" i="4"/>
  <c r="AJ16" i="4"/>
  <c r="AI16" i="4"/>
  <c r="AK15" i="4"/>
  <c r="AJ15" i="4"/>
  <c r="AI15" i="4"/>
  <c r="AK14" i="4"/>
  <c r="AJ14" i="4"/>
  <c r="AI14" i="4"/>
  <c r="AK13" i="4"/>
  <c r="AJ13" i="4"/>
  <c r="AI13" i="4"/>
  <c r="AK12" i="4"/>
  <c r="AJ12" i="4"/>
  <c r="AI12" i="4"/>
  <c r="AK11" i="4"/>
  <c r="AJ11" i="4"/>
  <c r="AI11" i="4"/>
  <c r="AK10" i="4"/>
  <c r="AJ10" i="4"/>
  <c r="AI10" i="4"/>
  <c r="AK9" i="4"/>
  <c r="AJ9" i="4"/>
  <c r="AI9" i="4"/>
  <c r="AK8" i="4"/>
  <c r="AJ8" i="4"/>
  <c r="AI8" i="4"/>
  <c r="AK7" i="4"/>
  <c r="AJ7" i="4"/>
  <c r="AI7" i="4"/>
  <c r="AH8" i="4"/>
  <c r="AH9" i="4"/>
  <c r="AH10" i="4"/>
  <c r="AH11" i="4"/>
  <c r="AH12" i="4"/>
  <c r="AH13" i="4"/>
  <c r="AH14" i="4"/>
  <c r="AH15" i="4"/>
  <c r="AH16" i="4"/>
  <c r="AH17" i="4"/>
  <c r="AH18" i="4"/>
  <c r="AH19" i="4"/>
  <c r="AH20" i="4"/>
  <c r="AH21" i="4"/>
  <c r="AH22" i="4"/>
  <c r="AH23" i="4"/>
  <c r="AH24" i="4"/>
  <c r="AH25" i="4"/>
  <c r="AH26" i="4"/>
  <c r="AH27" i="4"/>
  <c r="AH28" i="4"/>
  <c r="AH29" i="4"/>
  <c r="AH30" i="4"/>
  <c r="AH31" i="4"/>
  <c r="AH32" i="4"/>
  <c r="AH33" i="4"/>
  <c r="AH34" i="4"/>
  <c r="AH35" i="4"/>
  <c r="AH36" i="4"/>
  <c r="AH7" i="4"/>
  <c r="AH7" i="17"/>
  <c r="AH8" i="18"/>
  <c r="AH7" i="18"/>
  <c r="AH9" i="18"/>
  <c r="AH10" i="18"/>
  <c r="AH11" i="18"/>
  <c r="AH31" i="5"/>
  <c r="AH32" i="5"/>
  <c r="AH21" i="5"/>
  <c r="AH22" i="5"/>
  <c r="AH23" i="5"/>
  <c r="AH24" i="5"/>
  <c r="AH25" i="5"/>
  <c r="AH26" i="5"/>
  <c r="AH27" i="5"/>
  <c r="AH12" i="5"/>
  <c r="AH13" i="5"/>
  <c r="AH14" i="5"/>
  <c r="AH15" i="5"/>
  <c r="AH16" i="5"/>
  <c r="AH17" i="5"/>
  <c r="AH18" i="5"/>
  <c r="AH19" i="5"/>
  <c r="AH20" i="5"/>
  <c r="AH28" i="5"/>
  <c r="AH29" i="5"/>
  <c r="AH30" i="5"/>
  <c r="AH33" i="5"/>
  <c r="AH34" i="5"/>
  <c r="AH35" i="5"/>
  <c r="AH36" i="5"/>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1" i="25"/>
  <c r="AH7" i="23"/>
  <c r="AH8" i="23"/>
  <c r="AH9" i="23"/>
  <c r="AH10" i="23"/>
  <c r="AH11" i="23"/>
  <c r="AH7" i="20"/>
  <c r="AH8" i="20"/>
  <c r="AH9" i="20"/>
  <c r="AH10" i="20"/>
  <c r="AH11" i="20"/>
  <c r="AD12" i="15"/>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4" i="17"/>
  <c r="B1" i="17"/>
  <c r="B1" i="15"/>
  <c r="B1" i="5"/>
  <c r="AH12" i="17" l="1"/>
  <c r="AH12" i="21"/>
  <c r="AH12" i="22"/>
  <c r="AH12" i="25"/>
  <c r="AH12" i="20"/>
  <c r="AH12" i="19"/>
  <c r="AH12" i="24"/>
  <c r="AH4" i="15" l="1"/>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37" i="5"/>
  <c r="AH11" i="5" l="1"/>
  <c r="AH10" i="5"/>
  <c r="AH9" i="5"/>
  <c r="AE37" i="5"/>
  <c r="AD37" i="5"/>
  <c r="AC37" i="5"/>
  <c r="AB37" i="5"/>
  <c r="AA37" i="5"/>
  <c r="Z37" i="5"/>
  <c r="Y37" i="5"/>
  <c r="X37" i="5"/>
  <c r="W37" i="5"/>
  <c r="V37" i="5"/>
  <c r="U37" i="5"/>
  <c r="T37" i="5"/>
  <c r="S37" i="5"/>
  <c r="R37" i="5"/>
  <c r="Q37" i="5"/>
  <c r="P37" i="5"/>
  <c r="O37" i="5"/>
  <c r="N37" i="5"/>
  <c r="M37" i="5"/>
  <c r="L37" i="5"/>
  <c r="K37" i="5"/>
  <c r="J37" i="5"/>
  <c r="I37" i="5"/>
  <c r="H37" i="5"/>
  <c r="G37" i="5"/>
  <c r="F37" i="5"/>
  <c r="E37" i="5"/>
  <c r="D37" i="5"/>
  <c r="C37" i="5"/>
  <c r="AH8" i="5"/>
  <c r="AH7" i="5"/>
  <c r="AH37" i="5" l="1"/>
</calcChain>
</file>

<file path=xl/sharedStrings.xml><?xml version="1.0" encoding="utf-8"?>
<sst xmlns="http://schemas.openxmlformats.org/spreadsheetml/2006/main" count="790" uniqueCount="105">
  <si>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</si>
  <si>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</si>
  <si>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</si>
  <si>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</si>
  <si>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</si>
  <si>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</si>
  <si>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</si>
  <si>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</si>
  <si>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</si>
  <si>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</si>
  <si>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</si>
  <si>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</si>
  <si>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</si>
  <si>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</si>
  <si>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</si>
  <si>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</si>
  <si>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</si>
  <si>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</si>
  <si>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</si>
  <si>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</si>
  <si>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</si>
  <si>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</si>
  <si>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</si>
  <si>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</si>
  <si>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</si>
  <si>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</si>
  <si>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</si>
  <si>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</si>
  <si>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</si>
  <si>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</si>
  <si>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</si>
  <si>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</si>
  <si>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</si>
  <si>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</si>
  <si>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</si>
  <si>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</si>
  <si>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</si>
  <si>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</si>
  <si>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</si>
  <si>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</si>
  <si>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</si>
  <si>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</si>
  <si>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</si>
  <si>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</si>
  <si>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</si>
  <si>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</si>
  <si>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</si>
  <si>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</si>
  <si>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</si>
  <si>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</si>
  <si>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</si>
  <si>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</si>
  <si>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</si>
  <si>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</si>
  <si>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</si>
  <si>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</si>
  <si>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</si>
  <si>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</si>
  <si>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</si>
  <si>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</si>
  <si>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</si>
  <si>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</si>
  <si>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</si>
  <si>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FS</t>
  </si>
  <si>
    <t>A</t>
  </si>
  <si>
    <t>BONNEFOND Manon</t>
  </si>
  <si>
    <t>CABANNES Emile</t>
  </si>
  <si>
    <t>CHAZEAUD Anita</t>
  </si>
  <si>
    <t>CASTANG Jean-Claude</t>
  </si>
  <si>
    <t>DA SILVA Marc</t>
  </si>
  <si>
    <t>DERACO Philippe</t>
  </si>
  <si>
    <t>DURAN Alexandre</t>
  </si>
  <si>
    <t>FAGETTE Philippe</t>
  </si>
  <si>
    <t>FRANCOIS Jean-Paul</t>
  </si>
  <si>
    <t>FRANCOIS Mathéo</t>
  </si>
  <si>
    <t>FONDIN Patrice</t>
  </si>
  <si>
    <t>GRIVOIS Nicolas</t>
  </si>
  <si>
    <t>LAFAYE Marion</t>
  </si>
  <si>
    <t>MARCHE Philippe</t>
  </si>
  <si>
    <t>MARTIAL Jean-Luc</t>
  </si>
  <si>
    <t>MENARD Martial</t>
  </si>
  <si>
    <t>NOEL Didier</t>
  </si>
  <si>
    <t>NORMAND Christian</t>
  </si>
  <si>
    <t>PARAT Alex</t>
  </si>
  <si>
    <t>PICAUD Carine</t>
  </si>
  <si>
    <t>RIBEIRO Rui</t>
  </si>
  <si>
    <t>RIGAL Pauline</t>
  </si>
  <si>
    <t>ROUGIER Stéphanie</t>
  </si>
  <si>
    <t>SAVARIT André</t>
  </si>
  <si>
    <t>SAVARIT David</t>
  </si>
  <si>
    <t>THOMAS Karl</t>
  </si>
  <si>
    <t>VAVASSEUR Célia</t>
  </si>
  <si>
    <t>G1</t>
  </si>
  <si>
    <t>G2</t>
  </si>
  <si>
    <t>Calendrier des gardes et absences des employés</t>
  </si>
  <si>
    <t>Année :</t>
  </si>
  <si>
    <t>Dates</t>
  </si>
  <si>
    <t>Congés</t>
  </si>
  <si>
    <t>Gardes</t>
  </si>
  <si>
    <t>Gardes 1</t>
  </si>
  <si>
    <t>Gardes 2</t>
  </si>
  <si>
    <t>Formations/Stages</t>
  </si>
  <si>
    <t>Absences</t>
  </si>
  <si>
    <t>Formations       Stages</t>
  </si>
  <si>
    <t>Légende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</si>
</sst>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6"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2"/>
      <color theme="1"/>
      <name val="Calibri"/>
      <family val="2"/>
      <scheme val="minor"/>
    </font>
    <font>
      <sz val="14"/>
      <color theme="1"/>
      <name val="Calibri"/>
      <family val="2"/>
      <scheme val="minor"/>
    </font>
    <font>
      <b/>
      <i/>
      <sz val="11"/>
      <color theme="1"/>
      <name val="Calibri"/>
      <family val="2"/>
      <scheme val="minor"/>
    </font>
    <font>
      <b/>
      <sz val="14"/>
      <color theme="1"/>
      <name val="Calibri"/>
      <family val="2"/>
      <scheme val="minor"/>
    </font>
    <font>
      <b/>
      <i/>
      <sz val="14"/>
      <color theme="1"/>
      <name val="Calibri"/>
      <family val="2"/>
      <scheme val="minor"/>
    </font>
    <font>
      <b/>
      <u/>
      <sz val="24"/>
      <color theme="4" tint="-0.24994659260841701"/>
      <name val="Calibri"/>
      <family val="2"/>
      <scheme val="minor"/>
    </font>
    <font>
      <b/>
      <sz val="12"/>
      <color theme="4" tint="-0.249977111117893"/>
      <name val="Calibri"/>
      <family val="2"/>
      <scheme val="minor"/>
    </font>
  </fonts>
  <fills count="38">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6" tint="0.79998168889431442"/>
        <bgColor indexed="64"/>
      </patternFill>
    </fill>
    <fill>
      <patternFill patternType="solid">
        <fgColor theme="3" tint="0.89999084444715716"/>
        <bgColor indexed="64"/>
      </patternFill>
    </fill>
    <fill>
      <patternFill patternType="solid">
        <fgColor theme="0"/>
        <bgColor indexed="64"/>
      </patternFill>
    </fill>
    <fill>
      <patternFill patternType="solid">
        <fgColor rgb="FFFFCD2D"/>
        <bgColor indexed="64"/>
      </patternFill>
    </fill>
    <fill>
      <patternFill patternType="solid">
        <fgColor rgb="FFFFFFCC"/>
        <bgColor indexed="64"/>
      </patternFill>
    </fill>
  </fills>
  <borders count="11">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thin">
        <color indexed="64"/>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50">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5" fillId="2" borderId="0" xfId="3"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xf numFmtId="0" fontId="21" fillId="0" borderId="0" xfId="26" applyFont="1">
      <alignment horizontal="left" vertical="center" wrapText="1" indent="2"/>
    </xf>
    <xf numFmtId="0" fontId="19" fillId="0" borderId="0" xfId="0" applyFont="1" applyAlignment="1" applyProtection="1">
      <alignment horizontal="center" vertical="center"/>
    </xf>
    <xf numFmtId="0" fontId="19" fillId="0" borderId="0" xfId="0" applyFont="1" applyFill="1" applyBorder="1" applyAlignment="1" applyProtection="1">
      <alignment horizontal="center" vertical="center"/>
    </xf>
    <xf numFmtId="0" fontId="22" fillId="15" borderId="0" xfId="12" applyFont="1" applyAlignment="1" applyProtection="1">
      <alignment horizontal="center" vertical="center"/>
    </xf>
    <xf numFmtId="0" fontId="20" fillId="2" borderId="0" xfId="21" applyFont="1" applyAlignment="1" applyProtection="1">
      <alignment horizontal="left" vertical="center"/>
    </xf>
    <xf numFmtId="0" fontId="22" fillId="10" borderId="0" xfId="19" applyFont="1" applyAlignment="1" applyProtection="1">
      <alignment horizontal="center" vertical="center"/>
    </xf>
    <xf numFmtId="0" fontId="22" fillId="13" borderId="0" xfId="23" applyFont="1" applyAlignment="1" applyProtection="1">
      <alignment horizontal="center" vertical="center"/>
    </xf>
    <xf numFmtId="166" fontId="22" fillId="9" borderId="0" xfId="8" applyNumberFormat="1" applyFont="1" applyAlignment="1" applyProtection="1">
      <alignment horizontal="center" vertical="center"/>
    </xf>
    <xf numFmtId="166" fontId="22" fillId="14" borderId="0" xfId="24" applyNumberFormat="1" applyFont="1" applyAlignment="1" applyProtection="1">
      <alignment horizontal="center" vertical="center"/>
    </xf>
    <xf numFmtId="0" fontId="20" fillId="2" borderId="0" xfId="21" applyFont="1" applyBorder="1" applyAlignment="1" applyProtection="1">
      <alignment horizontal="left" vertical="center" indent="1"/>
    </xf>
    <xf numFmtId="0" fontId="23" fillId="0" borderId="8" xfId="26" applyFont="1" applyFill="1" applyBorder="1">
      <alignment horizontal="left" vertical="center" wrapText="1" indent="2"/>
    </xf>
    <xf numFmtId="0" fontId="23" fillId="0" borderId="9" xfId="26" applyFont="1" applyFill="1" applyBorder="1">
      <alignment horizontal="left" vertical="center" wrapText="1" indent="2"/>
    </xf>
    <xf numFmtId="0" fontId="24" fillId="2" borderId="0" xfId="3" applyFont="1" applyProtection="1">
      <alignment horizontal="center" vertical="center"/>
    </xf>
    <xf numFmtId="0" fontId="23" fillId="34" borderId="7" xfId="26" applyFont="1" applyFill="1" applyBorder="1">
      <alignment horizontal="left" vertical="center" wrapText="1" indent="2"/>
    </xf>
    <xf numFmtId="0" fontId="23" fillId="34" borderId="8" xfId="26" applyFont="1" applyFill="1" applyBorder="1">
      <alignment horizontal="left" vertical="center" wrapText="1" indent="2"/>
    </xf>
    <xf numFmtId="0" fontId="23" fillId="33" borderId="8" xfId="26" applyFont="1" applyFill="1" applyBorder="1">
      <alignment horizontal="left" vertical="center" wrapText="1" indent="2"/>
    </xf>
    <xf numFmtId="0" fontId="23" fillId="36" borderId="8" xfId="26" applyFont="1" applyFill="1" applyBorder="1">
      <alignment horizontal="left" vertical="center" wrapText="1" indent="2"/>
    </xf>
    <xf numFmtId="0" fontId="23" fillId="37" borderId="8" xfId="26" applyFont="1" applyFill="1" applyBorder="1">
      <alignment horizontal="left" vertical="center" wrapText="1" indent="2"/>
    </xf>
    <xf numFmtId="1" fontId="1" fillId="35" borderId="6" xfId="25" applyFill="1" applyBorder="1" applyProtection="1">
      <alignment horizontal="center" vertical="center"/>
    </xf>
    <xf numFmtId="1" fontId="23" fillId="35" borderId="6" xfId="0" applyNumberFormat="1" applyFont="1" applyFill="1" applyBorder="1" applyAlignment="1" applyProtection="1">
      <alignment horizontal="center" vertical="center"/>
    </xf>
    <xf numFmtId="0" fontId="5" fillId="2" borderId="10" xfId="3" applyFill="1" applyBorder="1" applyProtection="1">
      <alignment horizontal="center" vertical="center"/>
    </xf>
    <xf numFmtId="0" fontId="25" fillId="2" borderId="6" xfId="21" applyFont="1" applyFill="1" applyBorder="1" applyAlignment="1" applyProtection="1">
      <alignment horizontal="center" vertical="center"/>
    </xf>
    <xf numFmtId="0" fontId="25" fillId="2" borderId="6" xfId="21" applyFont="1" applyFill="1" applyBorder="1" applyAlignment="1" applyProtection="1">
      <alignment horizontal="center" vertical="center" wrapText="1"/>
    </xf>
    <xf numFmtId="0" fontId="22" fillId="20" borderId="0" xfId="4" applyFont="1" applyAlignment="1" applyProtection="1">
      <alignment horizontal="center" vertical="center"/>
    </xf>
    <xf numFmtId="0" fontId="21" fillId="35" borderId="0" xfId="26" applyFont="1" applyFill="1">
      <alignment horizontal="left" vertical="center" wrapText="1" indent="2"/>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4">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i/>
        <strike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border diagonalUp="0" diagonalDown="0" outline="0">
        <left style="thin">
          <color indexed="64"/>
        </left>
        <right style="thin">
          <color indexed="64"/>
        </right>
        <top/>
        <bottom/>
      </border>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i/>
        <sz val="14"/>
      </font>
      <fill>
        <patternFill patternType="none">
          <fgColor indexed="64"/>
          <bgColor indexed="65"/>
        </patternFill>
      </fill>
      <border diagonalUp="0" diagonalDown="0">
        <left style="thin">
          <color indexed="64"/>
        </left>
        <right style="thin">
          <color indexed="64"/>
        </right>
        <top/>
        <bottom/>
        <vertical/>
        <horizontal/>
      </border>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font>
        <b/>
        <i/>
      </font>
    </dxf>
    <dxf>
      <font>
        <b/>
        <i/>
      </font>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903"/>
      <tableStyleElement type="headerRow" dxfId="902"/>
      <tableStyleElement type="totalRow" dxfId="901"/>
      <tableStyleElement type="firstColumn" dxfId="900"/>
      <tableStyleElement type="lastColumn" dxfId="899"/>
      <tableStyleElement type="firstRowStripe" dxfId="898"/>
      <tableStyleElement type="secondRowStripe" dxfId="897"/>
      <tableStyleElement type="firstColumnStripe" dxfId="896"/>
      <tableStyleElement type="secondColumnStripe" dxfId="895"/>
      <tableStyleElement type="firstHeaderCell" dxfId="894"/>
      <tableStyleElement type="lastHeaderCell" dxfId="893"/>
      <tableStyleElement type="firstTotalCell" dxfId="892"/>
      <tableStyleElement type="lastTotalCell" dxfId="891"/>
    </tableStyle>
  </tableStyles>
  <colors>
    <mruColors>
      <color rgb="FFFFFFCC"/>
      <color rgb="FFFFCD2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id="3" name="Janvier" displayName="Janvier" ref="B6:AH37" totalsRowCount="1" headerRowDxfId="890" dataDxfId="889" totalsRowDxfId="888">
  <tableColumns count="33">
    <tableColumn id="1" name="Nom de l’employé" dataDxfId="226" totalsRowDxfId="65" dataCellStyle="Employé"/>
    <tableColumn id="2" name="1" dataDxfId="225" totalsRowDxfId="64"/>
    <tableColumn id="3" name="2" dataDxfId="224" totalsRowDxfId="63"/>
    <tableColumn id="4" name="3" dataDxfId="223" totalsRowDxfId="62"/>
    <tableColumn id="5" name="4" dataDxfId="222" totalsRowDxfId="61"/>
    <tableColumn id="6" name="5" totalsRowDxfId="60"/>
    <tableColumn id="7" name="6" dataDxfId="221" totalsRowDxfId="59"/>
    <tableColumn id="8" name="7" dataDxfId="220" totalsRowDxfId="58"/>
    <tableColumn id="9" name="8" dataDxfId="219" totalsRowDxfId="57"/>
    <tableColumn id="10" name="9" dataDxfId="218" totalsRowDxfId="56"/>
    <tableColumn id="11" name="10" dataDxfId="217" totalsRowDxfId="55"/>
    <tableColumn id="12" name="11" dataDxfId="216" totalsRowDxfId="54"/>
    <tableColumn id="13" name="12" dataDxfId="215" totalsRowDxfId="53"/>
    <tableColumn id="14" name="13" dataDxfId="214" totalsRowDxfId="52"/>
    <tableColumn id="15" name="14" dataDxfId="213" totalsRowDxfId="51"/>
    <tableColumn id="16" name="15" dataDxfId="212" totalsRowDxfId="50"/>
    <tableColumn id="17" name="16" dataDxfId="211" totalsRowDxfId="49"/>
    <tableColumn id="18" name="17" dataDxfId="210" totalsRowDxfId="48"/>
    <tableColumn id="19" name="18" dataDxfId="209" totalsRowDxfId="47"/>
    <tableColumn id="20" name="19" dataDxfId="208" totalsRowDxfId="46"/>
    <tableColumn id="21" name="20" dataDxfId="207" totalsRowDxfId="45"/>
    <tableColumn id="22" name="21" dataDxfId="206" totalsRowDxfId="44"/>
    <tableColumn id="23" name="22" dataDxfId="205" totalsRowDxfId="43"/>
    <tableColumn id="24" name="23" dataDxfId="204" totalsRowDxfId="42"/>
    <tableColumn id="25" name="24" dataDxfId="203" totalsRowDxfId="41"/>
    <tableColumn id="26" name="25" dataDxfId="202" totalsRowDxfId="40"/>
    <tableColumn id="27" name="26" dataDxfId="201" totalsRowDxfId="39"/>
    <tableColumn id="28" name="27" dataDxfId="200" totalsRowDxfId="38"/>
    <tableColumn id="29" name="28" dataDxfId="199" totalsRowDxfId="37"/>
    <tableColumn id="30" name="29" dataDxfId="198" totalsRowDxfId="36"/>
    <tableColumn id="31" name="30" dataDxfId="197" totalsRowDxfId="35"/>
    <tableColumn id="32" name="31" dataDxfId="196" totalsRowDxfId="34"/>
    <tableColumn id="33" name="Congés" totalsRowFunction="custom" totalsRowDxfId="33">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H37" totalsRowCount="1" headerRowDxfId="887" dataDxfId="886" totalsRowDxfId="885">
  <tableColumns count="33">
    <tableColumn id="1" name="Nom de l’employé" totalsRowFunction="custom" dataDxfId="133" totalsRowDxfId="32" dataCellStyle="Employé">
      <totalsRowFormula>NomMois&amp;" Total"</totalsRowFormula>
    </tableColumn>
    <tableColumn id="2" name="1" totalsRowFunction="count" dataDxfId="884" totalsRowDxfId="31"/>
    <tableColumn id="3" name="2" totalsRowFunction="count" dataDxfId="883" totalsRowDxfId="30"/>
    <tableColumn id="4" name="3" totalsRowFunction="count" dataDxfId="882" totalsRowDxfId="29"/>
    <tableColumn id="5" name="4" totalsRowFunction="count" dataDxfId="881" totalsRowDxfId="28"/>
    <tableColumn id="6" name="5" totalsRowFunction="count" dataDxfId="880" totalsRowDxfId="27"/>
    <tableColumn id="7" name="6" totalsRowFunction="count" dataDxfId="879" totalsRowDxfId="26"/>
    <tableColumn id="8" name="7" totalsRowFunction="count" dataDxfId="878" totalsRowDxfId="25"/>
    <tableColumn id="9" name="8" totalsRowFunction="count" dataDxfId="877" totalsRowDxfId="24"/>
    <tableColumn id="10" name="9" totalsRowFunction="count" dataDxfId="876" totalsRowDxfId="23"/>
    <tableColumn id="11" name="10" totalsRowFunction="count" dataDxfId="875" totalsRowDxfId="22"/>
    <tableColumn id="12" name="11" totalsRowFunction="count" dataDxfId="874" totalsRowDxfId="21"/>
    <tableColumn id="13" name="12" totalsRowFunction="count" dataDxfId="873" totalsRowDxfId="20"/>
    <tableColumn id="14" name="13" totalsRowFunction="count" dataDxfId="872" totalsRowDxfId="19"/>
    <tableColumn id="15" name="14" totalsRowFunction="count" dataDxfId="871" totalsRowDxfId="18"/>
    <tableColumn id="16" name="15" totalsRowFunction="count" dataDxfId="870" totalsRowDxfId="17"/>
    <tableColumn id="17" name="16" totalsRowFunction="count" dataDxfId="869" totalsRowDxfId="16"/>
    <tableColumn id="18" name="17" totalsRowFunction="count" dataDxfId="868" totalsRowDxfId="15"/>
    <tableColumn id="19" name="18" totalsRowFunction="count" dataDxfId="867" totalsRowDxfId="14"/>
    <tableColumn id="20" name="19" totalsRowFunction="count" dataDxfId="866" totalsRowDxfId="13"/>
    <tableColumn id="21" name="20" totalsRowFunction="count" dataDxfId="865" totalsRowDxfId="12"/>
    <tableColumn id="22" name="21" totalsRowFunction="count" dataDxfId="864" totalsRowDxfId="11"/>
    <tableColumn id="23" name="22" totalsRowFunction="count" dataDxfId="863" totalsRowDxfId="10"/>
    <tableColumn id="24" name="23" totalsRowFunction="count" dataDxfId="862" totalsRowDxfId="9"/>
    <tableColumn id="25" name="24" totalsRowFunction="count" dataDxfId="861" totalsRowDxfId="8"/>
    <tableColumn id="26" name="25" totalsRowFunction="count" dataDxfId="860" totalsRowDxfId="7"/>
    <tableColumn id="27" name="26" totalsRowFunction="count" dataDxfId="859" totalsRowDxfId="6"/>
    <tableColumn id="28" name="27" totalsRowFunction="count" dataDxfId="858" totalsRowDxfId="5"/>
    <tableColumn id="29" name="28" totalsRowFunction="count" dataDxfId="857" totalsRowDxfId="4"/>
    <tableColumn id="30" name="29" totalsRowFunction="count" dataDxfId="856" totalsRowDxfId="3"/>
    <tableColumn id="31" name=" " dataDxfId="855" totalsRowDxfId="2"/>
    <tableColumn id="32" name="  " dataDxfId="854" totalsRowDxfId="1"/>
    <tableColumn id="33" name="Total des jours" totalsRowFunction="sum" dataDxfId="853" totalsRowDxfId="0">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H12" totalsRowCount="1" headerRowDxfId="852" dataDxfId="851" totalsRowDxfId="850">
  <tableColumns count="33">
    <tableColumn id="1" name="Nom de l’employé" totalsRowFunction="custom" dataDxfId="849" totalsRowDxfId="98" dataCellStyle="Employé">
      <totalsRowFormula>NomMois&amp;" Total"</totalsRowFormula>
    </tableColumn>
    <tableColumn id="2" name="1" totalsRowFunction="count" dataDxfId="848" totalsRowDxfId="97"/>
    <tableColumn id="3" name="2" totalsRowFunction="count" dataDxfId="847" totalsRowDxfId="96"/>
    <tableColumn id="4" name="3" totalsRowFunction="count" dataDxfId="846" totalsRowDxfId="95"/>
    <tableColumn id="5" name="4" totalsRowFunction="count" dataDxfId="845" totalsRowDxfId="94"/>
    <tableColumn id="6" name="5" totalsRowFunction="count" dataDxfId="844" totalsRowDxfId="93"/>
    <tableColumn id="7" name="6" totalsRowFunction="count" dataDxfId="843" totalsRowDxfId="92"/>
    <tableColumn id="8" name="7" totalsRowFunction="count" dataDxfId="842" totalsRowDxfId="91"/>
    <tableColumn id="9" name="8" totalsRowFunction="count" dataDxfId="841" totalsRowDxfId="90"/>
    <tableColumn id="10" name="9" totalsRowFunction="count" dataDxfId="840" totalsRowDxfId="89"/>
    <tableColumn id="11" name="10" totalsRowFunction="count" dataDxfId="839" totalsRowDxfId="88"/>
    <tableColumn id="12" name="11" totalsRowFunction="count" dataDxfId="838" totalsRowDxfId="87"/>
    <tableColumn id="13" name="12" totalsRowFunction="count" dataDxfId="837" totalsRowDxfId="86"/>
    <tableColumn id="14" name="13" totalsRowFunction="count" dataDxfId="836" totalsRowDxfId="85"/>
    <tableColumn id="15" name="14" totalsRowFunction="count" dataDxfId="835" totalsRowDxfId="84"/>
    <tableColumn id="16" name="15" totalsRowFunction="count" dataDxfId="834" totalsRowDxfId="83"/>
    <tableColumn id="17" name="16" totalsRowFunction="count" dataDxfId="833" totalsRowDxfId="82"/>
    <tableColumn id="18" name="17" totalsRowFunction="count" dataDxfId="832" totalsRowDxfId="81"/>
    <tableColumn id="19" name="18" totalsRowFunction="count" dataDxfId="831" totalsRowDxfId="80"/>
    <tableColumn id="20" name="19" totalsRowFunction="count" dataDxfId="830" totalsRowDxfId="79"/>
    <tableColumn id="21" name="20" totalsRowFunction="count" dataDxfId="829" totalsRowDxfId="78"/>
    <tableColumn id="22" name="21" totalsRowFunction="count" dataDxfId="828" totalsRowDxfId="77"/>
    <tableColumn id="23" name="22" totalsRowFunction="count" dataDxfId="827" totalsRowDxfId="76"/>
    <tableColumn id="24" name="23" totalsRowFunction="count" dataDxfId="826" totalsRowDxfId="75"/>
    <tableColumn id="25" name="24" totalsRowFunction="count" dataDxfId="825" totalsRowDxfId="74"/>
    <tableColumn id="26" name="25" totalsRowFunction="count" dataDxfId="824" totalsRowDxfId="73"/>
    <tableColumn id="27" name="26" totalsRowFunction="count" dataDxfId="823" totalsRowDxfId="72"/>
    <tableColumn id="28" name="27" totalsRowFunction="count" dataDxfId="822" totalsRowDxfId="71"/>
    <tableColumn id="29" name="28" totalsRowFunction="count" dataDxfId="821" totalsRowDxfId="70"/>
    <tableColumn id="30" name="29" totalsRowFunction="count" dataDxfId="820" totalsRowDxfId="69"/>
    <tableColumn id="31" name="30" totalsRowFunction="count" dataDxfId="819" totalsRowDxfId="68"/>
    <tableColumn id="32" name="31" totalsRowFunction="count" dataDxfId="818" totalsRowDxfId="67"/>
    <tableColumn id="33" name="Total des jours" totalsRowFunction="sum" dataDxfId="817" totalsRowDxfId="66">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H12" totalsRowCount="1" headerRowDxfId="816" dataDxfId="815" totalsRowDxfId="814">
  <tableColumns count="33">
    <tableColumn id="1" name="Nom de l’employé" totalsRowFunction="custom" dataDxfId="813" totalsRowDxfId="132" dataCellStyle="Employé">
      <totalsRowFormula>NomMois&amp;" Total"</totalsRowFormula>
    </tableColumn>
    <tableColumn id="2" name="1" totalsRowFunction="count" dataDxfId="812" totalsRowDxfId="131"/>
    <tableColumn id="3" name="2" totalsRowFunction="count" dataDxfId="811" totalsRowDxfId="130"/>
    <tableColumn id="4" name="3" totalsRowFunction="count" dataDxfId="810" totalsRowDxfId="129"/>
    <tableColumn id="5" name="4" totalsRowFunction="count" dataDxfId="809" totalsRowDxfId="128"/>
    <tableColumn id="6" name="5" totalsRowFunction="count" dataDxfId="808" totalsRowDxfId="127"/>
    <tableColumn id="7" name="6" totalsRowFunction="count" dataDxfId="807" totalsRowDxfId="126"/>
    <tableColumn id="8" name="7" totalsRowFunction="count" dataDxfId="806" totalsRowDxfId="125"/>
    <tableColumn id="9" name="8" totalsRowFunction="count" dataDxfId="805" totalsRowDxfId="124"/>
    <tableColumn id="10" name="9" totalsRowFunction="count" dataDxfId="804" totalsRowDxfId="123"/>
    <tableColumn id="11" name="10" totalsRowFunction="count" dataDxfId="803" totalsRowDxfId="122"/>
    <tableColumn id="12" name="11" totalsRowFunction="count" dataDxfId="802" totalsRowDxfId="121"/>
    <tableColumn id="13" name="12" totalsRowFunction="count" dataDxfId="801" totalsRowDxfId="120"/>
    <tableColumn id="14" name="13" totalsRowFunction="count" dataDxfId="800" totalsRowDxfId="119"/>
    <tableColumn id="15" name="14" totalsRowFunction="count" dataDxfId="799" totalsRowDxfId="118"/>
    <tableColumn id="16" name="15" totalsRowFunction="count" dataDxfId="798" totalsRowDxfId="117"/>
    <tableColumn id="17" name="16" totalsRowFunction="count" dataDxfId="797" totalsRowDxfId="116"/>
    <tableColumn id="18" name="17" totalsRowFunction="count" dataDxfId="796" totalsRowDxfId="115"/>
    <tableColumn id="19" name="18" totalsRowFunction="count" dataDxfId="795" totalsRowDxfId="114"/>
    <tableColumn id="20" name="19" totalsRowFunction="count" dataDxfId="794" totalsRowDxfId="113"/>
    <tableColumn id="21" name="20" totalsRowFunction="count" dataDxfId="793" totalsRowDxfId="112"/>
    <tableColumn id="22" name="21" totalsRowFunction="count" dataDxfId="792" totalsRowDxfId="111"/>
    <tableColumn id="23" name="22" totalsRowFunction="count" dataDxfId="791" totalsRowDxfId="110"/>
    <tableColumn id="24" name="23" totalsRowFunction="count" dataDxfId="790" totalsRowDxfId="109"/>
    <tableColumn id="25" name="24" totalsRowFunction="count" dataDxfId="789" totalsRowDxfId="108"/>
    <tableColumn id="26" name="25" totalsRowFunction="count" dataDxfId="788" totalsRowDxfId="107"/>
    <tableColumn id="27" name="26" totalsRowFunction="count" dataDxfId="787" totalsRowDxfId="106"/>
    <tableColumn id="28" name="27" totalsRowFunction="count" dataDxfId="786" totalsRowDxfId="105"/>
    <tableColumn id="29" name="28" totalsRowFunction="count" dataDxfId="785" totalsRowDxfId="104"/>
    <tableColumn id="30" name="29" totalsRowFunction="count" dataDxfId="784" totalsRowDxfId="103"/>
    <tableColumn id="31" name="30" totalsRowFunction="count" dataDxfId="783" totalsRowDxfId="102"/>
    <tableColumn id="32" name=" " totalsRowFunction="custom" dataDxfId="782" totalsRowDxfId="101">
      <totalsRowFormula>SUBTOTAL(103,Avril[30])</totalsRowFormula>
    </tableColumn>
    <tableColumn id="33" name="Total des jours" totalsRowFunction="sum" dataDxfId="99" totalsRowDxfId="100">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H12" totalsRowCount="1" headerRowDxfId="781" dataDxfId="780" totalsRowDxfId="779">
  <tableColumns count="33">
    <tableColumn id="1" name="Nom de l’employé" totalsRowFunction="custom" dataDxfId="778" totalsRowDxfId="777" dataCellStyle="Employé">
      <totalsRowFormula>NomMois&amp;" Total"</totalsRowFormula>
    </tableColumn>
    <tableColumn id="2" name="1" totalsRowFunction="count" dataDxfId="776" totalsRowDxfId="775"/>
    <tableColumn id="3" name="2" totalsRowFunction="count" dataDxfId="774" totalsRowDxfId="773"/>
    <tableColumn id="4" name="3" totalsRowFunction="count" dataDxfId="772" totalsRowDxfId="771"/>
    <tableColumn id="5" name="4" totalsRowFunction="count" dataDxfId="770" totalsRowDxfId="769"/>
    <tableColumn id="6" name="5" totalsRowFunction="count" dataDxfId="768" totalsRowDxfId="767"/>
    <tableColumn id="7" name="6" totalsRowFunction="count" dataDxfId="766" totalsRowDxfId="765"/>
    <tableColumn id="8" name="7" totalsRowFunction="count" dataDxfId="764" totalsRowDxfId="763"/>
    <tableColumn id="9" name="8" totalsRowFunction="count" dataDxfId="762" totalsRowDxfId="761"/>
    <tableColumn id="10" name="9" totalsRowFunction="count" dataDxfId="760" totalsRowDxfId="759"/>
    <tableColumn id="11" name="10" totalsRowFunction="count" dataDxfId="758" totalsRowDxfId="757"/>
    <tableColumn id="12" name="11" totalsRowFunction="count" dataDxfId="756" totalsRowDxfId="755"/>
    <tableColumn id="13" name="12" totalsRowFunction="count" dataDxfId="754" totalsRowDxfId="753"/>
    <tableColumn id="14" name="13" totalsRowFunction="count" dataDxfId="752" totalsRowDxfId="751"/>
    <tableColumn id="15" name="14" totalsRowFunction="count" dataDxfId="750" totalsRowDxfId="749"/>
    <tableColumn id="16" name="15" totalsRowFunction="count" dataDxfId="748" totalsRowDxfId="747"/>
    <tableColumn id="17" name="16" totalsRowFunction="count" dataDxfId="746" totalsRowDxfId="745"/>
    <tableColumn id="18" name="17" totalsRowFunction="count" dataDxfId="744" totalsRowDxfId="743"/>
    <tableColumn id="19" name="18" totalsRowFunction="count" dataDxfId="742" totalsRowDxfId="741"/>
    <tableColumn id="20" name="19" totalsRowFunction="count" dataDxfId="740" totalsRowDxfId="739"/>
    <tableColumn id="21" name="20" totalsRowFunction="count" dataDxfId="738" totalsRowDxfId="737"/>
    <tableColumn id="22" name="21" totalsRowFunction="count" dataDxfId="736" totalsRowDxfId="735"/>
    <tableColumn id="23" name="22" totalsRowFunction="count" dataDxfId="734" totalsRowDxfId="733"/>
    <tableColumn id="24" name="23" totalsRowFunction="count" dataDxfId="732" totalsRowDxfId="731"/>
    <tableColumn id="25" name="24" totalsRowFunction="count" dataDxfId="730" totalsRowDxfId="729"/>
    <tableColumn id="26" name="25" totalsRowFunction="count" dataDxfId="728" totalsRowDxfId="727"/>
    <tableColumn id="27" name="26" totalsRowFunction="count" dataDxfId="726" totalsRowDxfId="725"/>
    <tableColumn id="28" name="27" totalsRowFunction="count" dataDxfId="724" totalsRowDxfId="723"/>
    <tableColumn id="29" name="28" totalsRowFunction="count" dataDxfId="722" totalsRowDxfId="721"/>
    <tableColumn id="30" name="29" totalsRowFunction="count" dataDxfId="720" totalsRowDxfId="719"/>
    <tableColumn id="31" name="30" totalsRowFunction="count" dataDxfId="718" totalsRowDxfId="717"/>
    <tableColumn id="32" name="31" totalsRowFunction="count" dataDxfId="716" totalsRowDxfId="715"/>
    <tableColumn id="33" name="Total des jours" totalsRowFunction="sum" dataDxfId="714" totalsRowDxfId="713">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H12" totalsRowCount="1" headerRowDxfId="712" dataDxfId="711" totalsRowDxfId="710">
  <tableColumns count="33">
    <tableColumn id="1" name="Nom de l’employé" totalsRowFunction="custom" dataDxfId="709" totalsRowDxfId="708" dataCellStyle="Employé">
      <totalsRowFormula>NomMois&amp;" Total"</totalsRowFormula>
    </tableColumn>
    <tableColumn id="2" name="1" totalsRowFunction="count" dataDxfId="707" totalsRowDxfId="706"/>
    <tableColumn id="3" name="2" totalsRowFunction="count" dataDxfId="705" totalsRowDxfId="704"/>
    <tableColumn id="4" name="3" totalsRowFunction="count" dataDxfId="703" totalsRowDxfId="702"/>
    <tableColumn id="5" name="4" totalsRowFunction="count" dataDxfId="701" totalsRowDxfId="700"/>
    <tableColumn id="6" name="5" totalsRowFunction="count" dataDxfId="699" totalsRowDxfId="698"/>
    <tableColumn id="7" name="6" totalsRowFunction="count" dataDxfId="697" totalsRowDxfId="696"/>
    <tableColumn id="8" name="7" totalsRowFunction="count" dataDxfId="695" totalsRowDxfId="694"/>
    <tableColumn id="9" name="8" totalsRowFunction="count" dataDxfId="693" totalsRowDxfId="692"/>
    <tableColumn id="10" name="9" totalsRowFunction="count" dataDxfId="691" totalsRowDxfId="690"/>
    <tableColumn id="11" name="10" totalsRowFunction="count" dataDxfId="689" totalsRowDxfId="688"/>
    <tableColumn id="12" name="11" totalsRowFunction="count" dataDxfId="687" totalsRowDxfId="686"/>
    <tableColumn id="13" name="12" totalsRowFunction="count" dataDxfId="685" totalsRowDxfId="684"/>
    <tableColumn id="14" name="13" totalsRowFunction="count" dataDxfId="683" totalsRowDxfId="682"/>
    <tableColumn id="15" name="14" totalsRowFunction="count" dataDxfId="681" totalsRowDxfId="680"/>
    <tableColumn id="16" name="15" totalsRowFunction="count" dataDxfId="679" totalsRowDxfId="678"/>
    <tableColumn id="17" name="16" totalsRowFunction="count" dataDxfId="677" totalsRowDxfId="676"/>
    <tableColumn id="18" name="17" totalsRowFunction="count" dataDxfId="675" totalsRowDxfId="674"/>
    <tableColumn id="19" name="18" totalsRowFunction="count" dataDxfId="673" totalsRowDxfId="672"/>
    <tableColumn id="20" name="19" totalsRowFunction="count" dataDxfId="671" totalsRowDxfId="670"/>
    <tableColumn id="21" name="20" totalsRowFunction="count" dataDxfId="669" totalsRowDxfId="668"/>
    <tableColumn id="22" name="21" totalsRowFunction="count" dataDxfId="667" totalsRowDxfId="666"/>
    <tableColumn id="23" name="22" totalsRowFunction="count" dataDxfId="665" totalsRowDxfId="664"/>
    <tableColumn id="24" name="23" totalsRowFunction="count" dataDxfId="663" totalsRowDxfId="662"/>
    <tableColumn id="25" name="24" totalsRowFunction="count" dataDxfId="661" totalsRowDxfId="660"/>
    <tableColumn id="26" name="25" totalsRowFunction="count" dataDxfId="659" totalsRowDxfId="658"/>
    <tableColumn id="27" name="26" totalsRowFunction="count" dataDxfId="657" totalsRowDxfId="656"/>
    <tableColumn id="28" name="27" totalsRowFunction="count" dataDxfId="655" totalsRowDxfId="654"/>
    <tableColumn id="29" name="28" totalsRowFunction="count" dataDxfId="653" totalsRowDxfId="652"/>
    <tableColumn id="30" name="29" totalsRowFunction="count" dataDxfId="651" totalsRowDxfId="650"/>
    <tableColumn id="31" name="30" totalsRowFunction="count" dataDxfId="649" totalsRowDxfId="648"/>
    <tableColumn id="32" name=" " totalsRowFunction="count" dataDxfId="647" totalsRowDxfId="646"/>
    <tableColumn id="33" name="Total des jours" totalsRowFunction="sum" dataDxfId="645" totalsRowDxfId="644">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H12" totalsRowCount="1" headerRowDxfId="643" dataDxfId="642" totalsRowDxfId="641">
  <tableColumns count="33">
    <tableColumn id="1" name="Nom de l’employé" totalsRowFunction="custom" dataDxfId="640" totalsRowDxfId="639" dataCellStyle="Employé">
      <totalsRowFormula>NomMois&amp;" Total"</totalsRowFormula>
    </tableColumn>
    <tableColumn id="2" name="1" totalsRowFunction="count" dataDxfId="638" totalsRowDxfId="637"/>
    <tableColumn id="3" name="2" totalsRowFunction="count" dataDxfId="636" totalsRowDxfId="635"/>
    <tableColumn id="4" name="3" totalsRowFunction="count" dataDxfId="634" totalsRowDxfId="633"/>
    <tableColumn id="5" name="4" totalsRowFunction="count" dataDxfId="632" totalsRowDxfId="631"/>
    <tableColumn id="6" name="5" totalsRowFunction="count" dataDxfId="630" totalsRowDxfId="629"/>
    <tableColumn id="7" name="6" totalsRowFunction="count" dataDxfId="628" totalsRowDxfId="627"/>
    <tableColumn id="8" name="7" totalsRowFunction="count" dataDxfId="626" totalsRowDxfId="625"/>
    <tableColumn id="9" name="8" totalsRowFunction="count" dataDxfId="624" totalsRowDxfId="623"/>
    <tableColumn id="10" name="9" totalsRowFunction="count" dataDxfId="622" totalsRowDxfId="621"/>
    <tableColumn id="11" name="10" totalsRowFunction="count" dataDxfId="620" totalsRowDxfId="619"/>
    <tableColumn id="12" name="11" totalsRowFunction="count" dataDxfId="618" totalsRowDxfId="617"/>
    <tableColumn id="13" name="12" totalsRowFunction="count" dataDxfId="616" totalsRowDxfId="615"/>
    <tableColumn id="14" name="13" totalsRowFunction="count" dataDxfId="614" totalsRowDxfId="613"/>
    <tableColumn id="15" name="14" totalsRowFunction="count" dataDxfId="612" totalsRowDxfId="611"/>
    <tableColumn id="16" name="15" totalsRowFunction="count" dataDxfId="610" totalsRowDxfId="609"/>
    <tableColumn id="17" name="16" totalsRowFunction="count" dataDxfId="608" totalsRowDxfId="607"/>
    <tableColumn id="18" name="17" totalsRowFunction="count" dataDxfId="606" totalsRowDxfId="605"/>
    <tableColumn id="19" name="18" totalsRowFunction="count" dataDxfId="604" totalsRowDxfId="603"/>
    <tableColumn id="20" name="19" totalsRowFunction="count" dataDxfId="602" totalsRowDxfId="601"/>
    <tableColumn id="21" name="20" totalsRowFunction="count" dataDxfId="600" totalsRowDxfId="599"/>
    <tableColumn id="22" name="21" totalsRowFunction="count" dataDxfId="598" totalsRowDxfId="597"/>
    <tableColumn id="23" name="22" totalsRowFunction="count" dataDxfId="596" totalsRowDxfId="595"/>
    <tableColumn id="24" name="23" totalsRowFunction="count" dataDxfId="594" totalsRowDxfId="593"/>
    <tableColumn id="25" name="24" totalsRowFunction="count" dataDxfId="592" totalsRowDxfId="591"/>
    <tableColumn id="26" name="25" totalsRowFunction="count" dataDxfId="590" totalsRowDxfId="589"/>
    <tableColumn id="27" name="26" totalsRowFunction="count" dataDxfId="588" totalsRowDxfId="587"/>
    <tableColumn id="28" name="27" totalsRowFunction="count" dataDxfId="586" totalsRowDxfId="585"/>
    <tableColumn id="29" name="28" totalsRowFunction="count" dataDxfId="584" totalsRowDxfId="583"/>
    <tableColumn id="30" name="29" totalsRowFunction="count" dataDxfId="582" totalsRowDxfId="581"/>
    <tableColumn id="31" name="30" totalsRowFunction="count" dataDxfId="580" totalsRowDxfId="579"/>
    <tableColumn id="32" name="31" totalsRowFunction="count" dataDxfId="578" totalsRowDxfId="577"/>
    <tableColumn id="33" name="Total des jours" totalsRowFunction="sum" dataDxfId="576" totalsRowDxfId="575">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H12" totalsRowCount="1" headerRowDxfId="574" dataDxfId="573" totalsRowDxfId="572">
  <tableColumns count="33">
    <tableColumn id="1" name="Nom de l’employé" totalsRowFunction="custom" dataDxfId="571" totalsRowDxfId="570" dataCellStyle="Employé">
      <totalsRowFormula>NomMois&amp;" Total"</totalsRowFormula>
    </tableColumn>
    <tableColumn id="2" name="1" totalsRowFunction="count" dataDxfId="569" totalsRowDxfId="568"/>
    <tableColumn id="3" name="2" totalsRowFunction="count" dataDxfId="567" totalsRowDxfId="566"/>
    <tableColumn id="4" name="3" totalsRowFunction="count" dataDxfId="565" totalsRowDxfId="564"/>
    <tableColumn id="5" name="4" totalsRowFunction="count" dataDxfId="563" totalsRowDxfId="562"/>
    <tableColumn id="6" name="5" totalsRowFunction="count" dataDxfId="561" totalsRowDxfId="560"/>
    <tableColumn id="7" name="6" totalsRowFunction="count" dataDxfId="559" totalsRowDxfId="558"/>
    <tableColumn id="8" name="7" totalsRowFunction="count" dataDxfId="557" totalsRowDxfId="556"/>
    <tableColumn id="9" name="8" totalsRowFunction="count" dataDxfId="555" totalsRowDxfId="554"/>
    <tableColumn id="10" name="9" totalsRowFunction="count" dataDxfId="553" totalsRowDxfId="552"/>
    <tableColumn id="11" name="10" totalsRowFunction="count" dataDxfId="551" totalsRowDxfId="550"/>
    <tableColumn id="12" name="11" totalsRowFunction="count" dataDxfId="549" totalsRowDxfId="548"/>
    <tableColumn id="13" name="12" totalsRowFunction="count" dataDxfId="547" totalsRowDxfId="546"/>
    <tableColumn id="14" name="13" totalsRowFunction="count" dataDxfId="545" totalsRowDxfId="544"/>
    <tableColumn id="15" name="14" totalsRowFunction="count" dataDxfId="543" totalsRowDxfId="542"/>
    <tableColumn id="16" name="15" totalsRowFunction="count" dataDxfId="541" totalsRowDxfId="540"/>
    <tableColumn id="17" name="16" totalsRowFunction="count" dataDxfId="539" totalsRowDxfId="538"/>
    <tableColumn id="18" name="17" totalsRowFunction="count" dataDxfId="537" totalsRowDxfId="536"/>
    <tableColumn id="19" name="18" totalsRowFunction="count" dataDxfId="535" totalsRowDxfId="534"/>
    <tableColumn id="20" name="19" totalsRowFunction="count" dataDxfId="533" totalsRowDxfId="532"/>
    <tableColumn id="21" name="20" totalsRowFunction="count" dataDxfId="531" totalsRowDxfId="530"/>
    <tableColumn id="22" name="21" totalsRowFunction="count" dataDxfId="529" totalsRowDxfId="528"/>
    <tableColumn id="23" name="22" totalsRowFunction="count" dataDxfId="527" totalsRowDxfId="526"/>
    <tableColumn id="24" name="23" totalsRowFunction="count" dataDxfId="525" totalsRowDxfId="524"/>
    <tableColumn id="25" name="24" totalsRowFunction="count" dataDxfId="523" totalsRowDxfId="522"/>
    <tableColumn id="26" name="25" totalsRowFunction="count" dataDxfId="521" totalsRowDxfId="520"/>
    <tableColumn id="27" name="26" totalsRowFunction="count" dataDxfId="519" totalsRowDxfId="518"/>
    <tableColumn id="28" name="27" totalsRowFunction="count" dataDxfId="517" totalsRowDxfId="516"/>
    <tableColumn id="29" name="28" totalsRowFunction="count" dataDxfId="515" totalsRowDxfId="514"/>
    <tableColumn id="30" name="29" totalsRowFunction="count" dataDxfId="513" totalsRowDxfId="512"/>
    <tableColumn id="31" name="30" totalsRowFunction="count" dataDxfId="511" totalsRowDxfId="510"/>
    <tableColumn id="32" name="31" totalsRowFunction="count" dataDxfId="509" totalsRowDxfId="508"/>
    <tableColumn id="33" name="Total des jours" totalsRowFunction="sum" dataDxfId="507" totalsRowDxfId="506">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H12" totalsRowCount="1" headerRowDxfId="505" dataDxfId="504" totalsRowDxfId="503">
  <tableColumns count="33">
    <tableColumn id="1" name="Nom de l’employé" totalsRowFunction="custom" dataDxfId="502" totalsRowDxfId="501" dataCellStyle="Employé">
      <totalsRowFormula>NomMois&amp;" Total"</totalsRowFormula>
    </tableColumn>
    <tableColumn id="2" name="1" totalsRowFunction="count" dataDxfId="500" totalsRowDxfId="499"/>
    <tableColumn id="3" name="2" totalsRowFunction="count" dataDxfId="498" totalsRowDxfId="497"/>
    <tableColumn id="4" name="3" totalsRowFunction="count" dataDxfId="496" totalsRowDxfId="495"/>
    <tableColumn id="5" name="4" totalsRowFunction="count" dataDxfId="494" totalsRowDxfId="493"/>
    <tableColumn id="6" name="5" totalsRowFunction="count" dataDxfId="492" totalsRowDxfId="491"/>
    <tableColumn id="7" name="6" totalsRowFunction="count" dataDxfId="490" totalsRowDxfId="489"/>
    <tableColumn id="8" name="7" totalsRowFunction="count" dataDxfId="488" totalsRowDxfId="487"/>
    <tableColumn id="9" name="8" totalsRowFunction="count" dataDxfId="486" totalsRowDxfId="485"/>
    <tableColumn id="10" name="9" totalsRowFunction="count" dataDxfId="484" totalsRowDxfId="483"/>
    <tableColumn id="11" name="10" totalsRowFunction="count" dataDxfId="482" totalsRowDxfId="481"/>
    <tableColumn id="12" name="11" totalsRowFunction="count" dataDxfId="480" totalsRowDxfId="479"/>
    <tableColumn id="13" name="12" totalsRowFunction="count" dataDxfId="478" totalsRowDxfId="477"/>
    <tableColumn id="14" name="13" totalsRowFunction="count" dataDxfId="476" totalsRowDxfId="475"/>
    <tableColumn id="15" name="14" totalsRowFunction="count" dataDxfId="474" totalsRowDxfId="473"/>
    <tableColumn id="16" name="15" totalsRowFunction="count" dataDxfId="472" totalsRowDxfId="471"/>
    <tableColumn id="17" name="16" totalsRowFunction="count" dataDxfId="470" totalsRowDxfId="469"/>
    <tableColumn id="18" name="17" totalsRowFunction="count" dataDxfId="468" totalsRowDxfId="467"/>
    <tableColumn id="19" name="18" totalsRowFunction="count" dataDxfId="466" totalsRowDxfId="465"/>
    <tableColumn id="20" name="19" totalsRowFunction="count" dataDxfId="464" totalsRowDxfId="463"/>
    <tableColumn id="21" name="20" totalsRowFunction="count" dataDxfId="462" totalsRowDxfId="461"/>
    <tableColumn id="22" name="21" totalsRowFunction="count" dataDxfId="460" totalsRowDxfId="459"/>
    <tableColumn id="23" name="22" totalsRowFunction="count" dataDxfId="458" totalsRowDxfId="457"/>
    <tableColumn id="24" name="23" totalsRowFunction="count" dataDxfId="456" totalsRowDxfId="455"/>
    <tableColumn id="25" name="24" totalsRowFunction="count" dataDxfId="454" totalsRowDxfId="453"/>
    <tableColumn id="26" name="25" totalsRowFunction="count" dataDxfId="452" totalsRowDxfId="451"/>
    <tableColumn id="27" name="26" totalsRowFunction="count" dataDxfId="450" totalsRowDxfId="449"/>
    <tableColumn id="28" name="27" totalsRowFunction="count" dataDxfId="448" totalsRowDxfId="447"/>
    <tableColumn id="29" name="28" totalsRowFunction="count" dataDxfId="446" totalsRowDxfId="445"/>
    <tableColumn id="30" name="29" totalsRowFunction="count" dataDxfId="444" totalsRowDxfId="443"/>
    <tableColumn id="31" name="30" totalsRowFunction="count" dataDxfId="442" totalsRowDxfId="441"/>
    <tableColumn id="32" name=" " totalsRowFunction="count" dataDxfId="440" totalsRowDxfId="439"/>
    <tableColumn id="33" name="Total des jours" totalsRowFunction="sum" dataDxfId="438" totalsRowDxfId="437">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H12" totalsRowCount="1" headerRowDxfId="436" dataDxfId="435" totalsRowDxfId="434">
  <tableColumns count="33">
    <tableColumn id="1" name="Nom de l’employé" totalsRowFunction="custom" dataDxfId="433" totalsRowDxfId="432" dataCellStyle="Employé">
      <totalsRowFormula>NomMois&amp;" Total"</totalsRowFormula>
    </tableColumn>
    <tableColumn id="2" name="1" totalsRowFunction="count" dataDxfId="431" totalsRowDxfId="430"/>
    <tableColumn id="3" name="2" totalsRowFunction="count" dataDxfId="429" totalsRowDxfId="428"/>
    <tableColumn id="4" name="3" totalsRowFunction="count" dataDxfId="427" totalsRowDxfId="426"/>
    <tableColumn id="5" name="4" totalsRowFunction="count" dataDxfId="425" totalsRowDxfId="424"/>
    <tableColumn id="6" name="5" totalsRowFunction="count" dataDxfId="423" totalsRowDxfId="422"/>
    <tableColumn id="7" name="6" totalsRowFunction="count" dataDxfId="421" totalsRowDxfId="420"/>
    <tableColumn id="8" name="7" totalsRowFunction="count" dataDxfId="419" totalsRowDxfId="418"/>
    <tableColumn id="9" name="8" totalsRowFunction="count" dataDxfId="417" totalsRowDxfId="416"/>
    <tableColumn id="10" name="9" totalsRowFunction="count" dataDxfId="415" totalsRowDxfId="414"/>
    <tableColumn id="11" name="10" totalsRowFunction="count" dataDxfId="413" totalsRowDxfId="412"/>
    <tableColumn id="12" name="11" totalsRowFunction="count" dataDxfId="411" totalsRowDxfId="410"/>
    <tableColumn id="13" name="12" totalsRowFunction="count" dataDxfId="409" totalsRowDxfId="408"/>
    <tableColumn id="14" name="13" totalsRowFunction="count" dataDxfId="407" totalsRowDxfId="406"/>
    <tableColumn id="15" name="14" totalsRowFunction="count" dataDxfId="405" totalsRowDxfId="404"/>
    <tableColumn id="16" name="15" totalsRowFunction="count" dataDxfId="403" totalsRowDxfId="402"/>
    <tableColumn id="17" name="16" totalsRowFunction="count" dataDxfId="401" totalsRowDxfId="400"/>
    <tableColumn id="18" name="17" totalsRowFunction="count" dataDxfId="399" totalsRowDxfId="398"/>
    <tableColumn id="19" name="18" totalsRowFunction="count" dataDxfId="397" totalsRowDxfId="396"/>
    <tableColumn id="20" name="19" totalsRowFunction="count" dataDxfId="395" totalsRowDxfId="394"/>
    <tableColumn id="21" name="20" totalsRowFunction="count" dataDxfId="393" totalsRowDxfId="392"/>
    <tableColumn id="22" name="21" totalsRowFunction="count" dataDxfId="391" totalsRowDxfId="390"/>
    <tableColumn id="23" name="22" totalsRowFunction="count" dataDxfId="389" totalsRowDxfId="388"/>
    <tableColumn id="24" name="23" totalsRowFunction="count" dataDxfId="387" totalsRowDxfId="386"/>
    <tableColumn id="25" name="24" totalsRowFunction="count" dataDxfId="385" totalsRowDxfId="384"/>
    <tableColumn id="26" name="25" totalsRowFunction="count" dataDxfId="383" totalsRowDxfId="382"/>
    <tableColumn id="27" name="26" totalsRowFunction="count" dataDxfId="381" totalsRowDxfId="380"/>
    <tableColumn id="28" name="27" totalsRowFunction="count" dataDxfId="379" totalsRowDxfId="378"/>
    <tableColumn id="29" name="28" totalsRowFunction="count" dataDxfId="377" totalsRowDxfId="376"/>
    <tableColumn id="30" name="29" totalsRowFunction="count" dataDxfId="375" totalsRowDxfId="374"/>
    <tableColumn id="31" name="30" totalsRowFunction="count" dataDxfId="373" totalsRowDxfId="372"/>
    <tableColumn id="32" name="31" totalsRowFunction="count" dataDxfId="371" totalsRowDxfId="370"/>
    <tableColumn id="33" name="Total des jours" totalsRowFunction="sum" dataDxfId="369" totalsRowDxfId="368">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H12" totalsRowCount="1" headerRowDxfId="367" dataDxfId="366" totalsRowDxfId="365">
  <tableColumns count="33">
    <tableColumn id="1" name="Nom de l’employé" totalsRowFunction="custom" dataDxfId="364" totalsRowDxfId="363" dataCellStyle="Employé">
      <totalsRowFormula>NomMois&amp;" Total"</totalsRowFormula>
    </tableColumn>
    <tableColumn id="2" name="1" totalsRowFunction="count" dataDxfId="362" totalsRowDxfId="361"/>
    <tableColumn id="3" name="2" totalsRowFunction="count" dataDxfId="360" totalsRowDxfId="359"/>
    <tableColumn id="4" name="3" totalsRowFunction="count" dataDxfId="358" totalsRowDxfId="357"/>
    <tableColumn id="5" name="4" totalsRowFunction="count" dataDxfId="356" totalsRowDxfId="355"/>
    <tableColumn id="6" name="5" totalsRowFunction="count" dataDxfId="354" totalsRowDxfId="353"/>
    <tableColumn id="7" name="6" totalsRowFunction="count" dataDxfId="352" totalsRowDxfId="351"/>
    <tableColumn id="8" name="7" totalsRowFunction="count" dataDxfId="350" totalsRowDxfId="349"/>
    <tableColumn id="9" name="8" totalsRowFunction="count" dataDxfId="348" totalsRowDxfId="347"/>
    <tableColumn id="10" name="9" totalsRowFunction="count" dataDxfId="346" totalsRowDxfId="345"/>
    <tableColumn id="11" name="10" totalsRowFunction="count" dataDxfId="344" totalsRowDxfId="343"/>
    <tableColumn id="12" name="11" totalsRowFunction="count" dataDxfId="342" totalsRowDxfId="341"/>
    <tableColumn id="13" name="12" totalsRowFunction="count" dataDxfId="340" totalsRowDxfId="339"/>
    <tableColumn id="14" name="13" totalsRowFunction="count" dataDxfId="338" totalsRowDxfId="337"/>
    <tableColumn id="15" name="14" totalsRowFunction="count" dataDxfId="336" totalsRowDxfId="335"/>
    <tableColumn id="16" name="15" totalsRowFunction="count" dataDxfId="334" totalsRowDxfId="333"/>
    <tableColumn id="17" name="16" totalsRowFunction="count" dataDxfId="332" totalsRowDxfId="331"/>
    <tableColumn id="18" name="17" totalsRowFunction="count" dataDxfId="330" totalsRowDxfId="329"/>
    <tableColumn id="19" name="18" totalsRowFunction="count" dataDxfId="328" totalsRowDxfId="327"/>
    <tableColumn id="20" name="19" totalsRowFunction="count" dataDxfId="326" totalsRowDxfId="325"/>
    <tableColumn id="21" name="20" totalsRowFunction="count" dataDxfId="324" totalsRowDxfId="323"/>
    <tableColumn id="22" name="21" totalsRowFunction="count" dataDxfId="322" totalsRowDxfId="321"/>
    <tableColumn id="23" name="22" totalsRowFunction="count" dataDxfId="320" totalsRowDxfId="319"/>
    <tableColumn id="24" name="23" totalsRowFunction="count" dataDxfId="318" totalsRowDxfId="317"/>
    <tableColumn id="25" name="24" totalsRowFunction="count" dataDxfId="316" totalsRowDxfId="315"/>
    <tableColumn id="26" name="25" totalsRowFunction="count" dataDxfId="314" totalsRowDxfId="313"/>
    <tableColumn id="27" name="26" totalsRowFunction="count" dataDxfId="312" totalsRowDxfId="311"/>
    <tableColumn id="28" name="27" totalsRowFunction="count" dataDxfId="310" totalsRowDxfId="309"/>
    <tableColumn id="29" name="28" totalsRowFunction="count" dataDxfId="308" totalsRowDxfId="307"/>
    <tableColumn id="30" name="29" totalsRowFunction="count" dataDxfId="306" totalsRowDxfId="305"/>
    <tableColumn id="31" name="30" totalsRowFunction="count" dataDxfId="304" totalsRowDxfId="303"/>
    <tableColumn id="32" name=" " totalsRowFunction="count" dataDxfId="302" totalsRowDxfId="301"/>
    <tableColumn id="33" name="Total des jours" totalsRowFunction="sum" dataDxfId="300" totalsRowDxfId="299">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H12" totalsRowCount="1" headerRowDxfId="298" dataDxfId="297" totalsRowDxfId="296">
  <tableColumns count="33">
    <tableColumn id="1" name="Nom de l’employé" totalsRowFunction="custom" dataDxfId="295" totalsRowDxfId="294" dataCellStyle="Employé">
      <totalsRowFormula>NomMois&amp;" Total"</totalsRowFormula>
    </tableColumn>
    <tableColumn id="2" name="1" totalsRowFunction="count" dataDxfId="293" totalsRowDxfId="292"/>
    <tableColumn id="3" name="2" totalsRowFunction="count" dataDxfId="291" totalsRowDxfId="290"/>
    <tableColumn id="4" name="3" totalsRowFunction="count" dataDxfId="289" totalsRowDxfId="288"/>
    <tableColumn id="5" name="4" totalsRowFunction="count" dataDxfId="287" totalsRowDxfId="286"/>
    <tableColumn id="6" name="5" totalsRowFunction="count" dataDxfId="285" totalsRowDxfId="284"/>
    <tableColumn id="7" name="6" totalsRowFunction="count" dataDxfId="283" totalsRowDxfId="282"/>
    <tableColumn id="8" name="7" totalsRowFunction="count" dataDxfId="281" totalsRowDxfId="280"/>
    <tableColumn id="9" name="8" totalsRowFunction="count" dataDxfId="279" totalsRowDxfId="278"/>
    <tableColumn id="10" name="9" totalsRowFunction="count" dataDxfId="277" totalsRowDxfId="276"/>
    <tableColumn id="11" name="10" totalsRowFunction="count" dataDxfId="275" totalsRowDxfId="274"/>
    <tableColumn id="12" name="11" totalsRowFunction="count" dataDxfId="273" totalsRowDxfId="272"/>
    <tableColumn id="13" name="12" totalsRowFunction="count" dataDxfId="271" totalsRowDxfId="270"/>
    <tableColumn id="14" name="13" totalsRowFunction="count" dataDxfId="269" totalsRowDxfId="268"/>
    <tableColumn id="15" name="14" totalsRowFunction="count" dataDxfId="267" totalsRowDxfId="266"/>
    <tableColumn id="16" name="15" totalsRowFunction="count" dataDxfId="265" totalsRowDxfId="264"/>
    <tableColumn id="17" name="16" totalsRowFunction="count" dataDxfId="263" totalsRowDxfId="262"/>
    <tableColumn id="18" name="17" totalsRowFunction="count" dataDxfId="261" totalsRowDxfId="260"/>
    <tableColumn id="19" name="18" totalsRowFunction="count" dataDxfId="259" totalsRowDxfId="258"/>
    <tableColumn id="20" name="19" totalsRowFunction="count" dataDxfId="257" totalsRowDxfId="256"/>
    <tableColumn id="21" name="20" totalsRowFunction="count" dataDxfId="255" totalsRowDxfId="254"/>
    <tableColumn id="22" name="21" totalsRowFunction="count" dataDxfId="253" totalsRowDxfId="252"/>
    <tableColumn id="23" name="22" totalsRowFunction="count" dataDxfId="251" totalsRowDxfId="250"/>
    <tableColumn id="24" name="23" totalsRowFunction="count" dataDxfId="249" totalsRowDxfId="248"/>
    <tableColumn id="25" name="24" totalsRowFunction="count" dataDxfId="247" totalsRowDxfId="246"/>
    <tableColumn id="26" name="25" totalsRowFunction="count" dataDxfId="245" totalsRowDxfId="244"/>
    <tableColumn id="27" name="26" totalsRowFunction="count" dataDxfId="243" totalsRowDxfId="242"/>
    <tableColumn id="28" name="27" totalsRowFunction="count" dataDxfId="241" totalsRowDxfId="240"/>
    <tableColumn id="29" name="28" totalsRowFunction="count" dataDxfId="239" totalsRowDxfId="238"/>
    <tableColumn id="30" name="29" totalsRowFunction="count" dataDxfId="237" totalsRowDxfId="236"/>
    <tableColumn id="31" name="30" totalsRowFunction="count" dataDxfId="235" totalsRowDxfId="234"/>
    <tableColumn id="32" name="31" totalsRowFunction="count" dataDxfId="233" totalsRowDxfId="232"/>
    <tableColumn id="33" name="Total des jours" totalsRowFunction="sum" dataDxfId="231" totalsRowDxfId="230">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id="13" name="NomEmployé" displayName="NomEmployé" ref="B3:B33" dataDxfId="227">
  <tableColumns count="1">
    <tableColumn id="1" name="Noms des employés" totalsRowFunction="count" dataDxfId="228" totalsRowDxfId="229"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pageSetUpPr fitToPage="1"/>
  </sheetPr>
  <dimension ref="A1:AK37"/>
  <sheetViews>
    <sheetView showGridLines="0" tabSelected="1" zoomScale="75" zoomScaleNormal="75" workbookViewId="0">
      <selection activeCell="L13" sqref="L13"/>
    </sheetView>
  </sheetViews>
  <sheetFormatPr baseColWidth="10" defaultColWidth="9.1796875" defaultRowHeight="30" customHeight="1" x14ac:dyDescent="0.35"/>
  <cols>
    <col min="1" max="1" width="2.7265625" style="9" customWidth="1"/>
    <col min="2" max="2" width="32.08984375" style="9" customWidth="1"/>
    <col min="3" max="33" width="6.90625" style="9" customWidth="1"/>
    <col min="34" max="37" width="11.6328125" style="9" customWidth="1"/>
    <col min="38" max="39" width="9.1796875" customWidth="1"/>
  </cols>
  <sheetData>
    <row r="1" spans="1:37" ht="50.15" customHeight="1" x14ac:dyDescent="0.35">
      <c r="A1" s="16"/>
      <c r="B1" s="12" t="s">
        <v>94</v>
      </c>
    </row>
    <row r="2" spans="1:37" ht="18.5" x14ac:dyDescent="0.35">
      <c r="B2" s="48" t="s">
        <v>104</v>
      </c>
      <c r="C2" s="28" t="s">
        <v>8</v>
      </c>
      <c r="D2" s="29" t="s">
        <v>97</v>
      </c>
      <c r="E2" s="29"/>
      <c r="F2" s="30" t="s">
        <v>92</v>
      </c>
      <c r="G2" s="29" t="s">
        <v>99</v>
      </c>
      <c r="H2" s="29"/>
      <c r="I2" s="29"/>
      <c r="J2" s="31" t="s">
        <v>93</v>
      </c>
      <c r="K2" s="29" t="s">
        <v>100</v>
      </c>
      <c r="L2" s="29"/>
      <c r="M2" s="32" t="s">
        <v>63</v>
      </c>
      <c r="N2" s="29" t="s">
        <v>101</v>
      </c>
      <c r="O2" s="29"/>
      <c r="P2" s="29"/>
      <c r="Q2" s="29"/>
      <c r="R2" s="33" t="s">
        <v>64</v>
      </c>
      <c r="S2" s="29" t="s">
        <v>102</v>
      </c>
      <c r="T2" s="29"/>
      <c r="U2" s="29"/>
      <c r="V2" s="29"/>
    </row>
    <row r="3" spans="1:37" ht="15" customHeight="1" x14ac:dyDescent="0.35">
      <c r="AH3" s="18" t="s">
        <v>95</v>
      </c>
      <c r="AI3" s="18"/>
      <c r="AJ3" s="18"/>
      <c r="AK3" s="18"/>
    </row>
    <row r="4" spans="1:37" ht="30" customHeight="1" x14ac:dyDescent="0.35">
      <c r="B4" s="37" t="s">
        <v>1</v>
      </c>
      <c r="C4" s="23" t="s">
        <v>96</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v>2023</v>
      </c>
      <c r="AI4" s="22"/>
      <c r="AJ4" s="22"/>
      <c r="AK4" s="22"/>
    </row>
    <row r="5" spans="1:37" ht="25" customHeight="1" x14ac:dyDescent="0.35">
      <c r="B5" s="10"/>
      <c r="C5" s="26" t="str">
        <f>TEXT(WEEKDAY(DATE(AnnéeCalendrier,1,1),1),"jjj")</f>
        <v>dim</v>
      </c>
      <c r="D5" s="26" t="str">
        <f>TEXT(WEEKDAY(DATE(AnnéeCalendrier,1,2),1),"jjj")</f>
        <v>lun</v>
      </c>
      <c r="E5" s="26" t="str">
        <f>TEXT(WEEKDAY(DATE(AnnéeCalendrier,1,3),1),"jjj")</f>
        <v>mar</v>
      </c>
      <c r="F5" s="26" t="str">
        <f>TEXT(WEEKDAY(DATE(AnnéeCalendrier,1,4),1),"jjj")</f>
        <v>mer</v>
      </c>
      <c r="G5" s="26" t="str">
        <f>TEXT(WEEKDAY(DATE(AnnéeCalendrier,1,5),1),"jjj")</f>
        <v>jeu</v>
      </c>
      <c r="H5" s="26" t="str">
        <f>TEXT(WEEKDAY(DATE(AnnéeCalendrier,1,6),1),"jjj")</f>
        <v>ven</v>
      </c>
      <c r="I5" s="26" t="str">
        <f>TEXT(WEEKDAY(DATE(AnnéeCalendrier,1,7),1),"jjj")</f>
        <v>sam</v>
      </c>
      <c r="J5" s="26" t="str">
        <f>TEXT(WEEKDAY(DATE(AnnéeCalendrier,1,8),1),"jjj")</f>
        <v>dim</v>
      </c>
      <c r="K5" s="26" t="str">
        <f>TEXT(WEEKDAY(DATE(AnnéeCalendrier,1,9),1),"jjj")</f>
        <v>lun</v>
      </c>
      <c r="L5" s="26" t="str">
        <f>TEXT(WEEKDAY(DATE(AnnéeCalendrier,1,10),1),"jjj")</f>
        <v>mar</v>
      </c>
      <c r="M5" s="26" t="str">
        <f>TEXT(WEEKDAY(DATE(AnnéeCalendrier,1,11),1),"jjj")</f>
        <v>mer</v>
      </c>
      <c r="N5" s="26" t="str">
        <f>TEXT(WEEKDAY(DATE(AnnéeCalendrier,1,12),1),"jjj")</f>
        <v>jeu</v>
      </c>
      <c r="O5" s="26" t="str">
        <f>TEXT(WEEKDAY(DATE(AnnéeCalendrier,1,13),1),"jjj")</f>
        <v>ven</v>
      </c>
      <c r="P5" s="26" t="str">
        <f>TEXT(WEEKDAY(DATE(AnnéeCalendrier,1,14),1),"jjj")</f>
        <v>sam</v>
      </c>
      <c r="Q5" s="26" t="str">
        <f>TEXT(WEEKDAY(DATE(AnnéeCalendrier,1,15),1),"jjj")</f>
        <v>dim</v>
      </c>
      <c r="R5" s="26" t="str">
        <f>TEXT(WEEKDAY(DATE(AnnéeCalendrier,1,16),1),"jjj")</f>
        <v>lun</v>
      </c>
      <c r="S5" s="26" t="str">
        <f>TEXT(WEEKDAY(DATE(AnnéeCalendrier,1,17),1),"jjj")</f>
        <v>mar</v>
      </c>
      <c r="T5" s="26" t="str">
        <f>TEXT(WEEKDAY(DATE(AnnéeCalendrier,1,18),1),"jjj")</f>
        <v>mer</v>
      </c>
      <c r="U5" s="26" t="str">
        <f>TEXT(WEEKDAY(DATE(AnnéeCalendrier,1,19),1),"jjj")</f>
        <v>jeu</v>
      </c>
      <c r="V5" s="26" t="str">
        <f>TEXT(WEEKDAY(DATE(AnnéeCalendrier,1,20),1),"jjj")</f>
        <v>ven</v>
      </c>
      <c r="W5" s="26" t="str">
        <f>TEXT(WEEKDAY(DATE(AnnéeCalendrier,1,21),1),"jjj")</f>
        <v>sam</v>
      </c>
      <c r="X5" s="26" t="str">
        <f>TEXT(WEEKDAY(DATE(AnnéeCalendrier,1,22),1),"jjj")</f>
        <v>dim</v>
      </c>
      <c r="Y5" s="26" t="str">
        <f>TEXT(WEEKDAY(DATE(AnnéeCalendrier,1,23),1),"jjj")</f>
        <v>lun</v>
      </c>
      <c r="Z5" s="26" t="str">
        <f>TEXT(WEEKDAY(DATE(AnnéeCalendrier,1,24),1),"jjj")</f>
        <v>mar</v>
      </c>
      <c r="AA5" s="26" t="str">
        <f>TEXT(WEEKDAY(DATE(AnnéeCalendrier,1,25),1),"jjj")</f>
        <v>mer</v>
      </c>
      <c r="AB5" s="26" t="str">
        <f>TEXT(WEEKDAY(DATE(AnnéeCalendrier,1,26),1),"jjj")</f>
        <v>jeu</v>
      </c>
      <c r="AC5" s="26" t="str">
        <f>TEXT(WEEKDAY(DATE(AnnéeCalendrier,1,27),1),"jjj")</f>
        <v>ven</v>
      </c>
      <c r="AD5" s="26" t="str">
        <f>TEXT(WEEKDAY(DATE(AnnéeCalendrier,1,28),1),"jjj")</f>
        <v>sam</v>
      </c>
      <c r="AE5" s="26" t="str">
        <f>TEXT(WEEKDAY(DATE(AnnéeCalendrier,1,29),1),"jjj")</f>
        <v>dim</v>
      </c>
      <c r="AF5" s="26" t="str">
        <f>TEXT(WEEKDAY(DATE(AnnéeCalendrier,1,30),1),"jjj")</f>
        <v>lun</v>
      </c>
      <c r="AG5" s="26" t="str">
        <f>TEXT(WEEKDAY(DATE(AnnéeCalendrier,1,31),1),"jjj")</f>
        <v>mar</v>
      </c>
      <c r="AH5" s="45"/>
      <c r="AI5" s="45"/>
      <c r="AJ5" s="45"/>
      <c r="AK5" s="45"/>
    </row>
    <row r="6" spans="1:37" ht="32" customHeight="1" x14ac:dyDescent="0.35">
      <c r="B6" s="34" t="s">
        <v>2</v>
      </c>
      <c r="C6" s="27" t="s">
        <v>10</v>
      </c>
      <c r="D6" s="27" t="s">
        <v>12</v>
      </c>
      <c r="E6" s="27" t="s">
        <v>13</v>
      </c>
      <c r="F6" s="27" t="s">
        <v>15</v>
      </c>
      <c r="G6" s="27" t="s">
        <v>17</v>
      </c>
      <c r="H6" s="27" t="s">
        <v>19</v>
      </c>
      <c r="I6" s="27" t="s">
        <v>20</v>
      </c>
      <c r="J6" s="27" t="s">
        <v>21</v>
      </c>
      <c r="K6" s="27" t="s">
        <v>22</v>
      </c>
      <c r="L6" s="27" t="s">
        <v>24</v>
      </c>
      <c r="M6" s="27" t="s">
        <v>25</v>
      </c>
      <c r="N6" s="27" t="s">
        <v>26</v>
      </c>
      <c r="O6" s="27" t="s">
        <v>28</v>
      </c>
      <c r="P6" s="27" t="s">
        <v>29</v>
      </c>
      <c r="Q6" s="27" t="s">
        <v>30</v>
      </c>
      <c r="R6" s="27" t="s">
        <v>31</v>
      </c>
      <c r="S6" s="27" t="s">
        <v>33</v>
      </c>
      <c r="T6" s="27" t="s">
        <v>34</v>
      </c>
      <c r="U6" s="27" t="s">
        <v>35</v>
      </c>
      <c r="V6" s="27" t="s">
        <v>36</v>
      </c>
      <c r="W6" s="27" t="s">
        <v>37</v>
      </c>
      <c r="X6" s="27" t="s">
        <v>38</v>
      </c>
      <c r="Y6" s="27" t="s">
        <v>39</v>
      </c>
      <c r="Z6" s="27" t="s">
        <v>40</v>
      </c>
      <c r="AA6" s="27" t="s">
        <v>41</v>
      </c>
      <c r="AB6" s="27" t="s">
        <v>42</v>
      </c>
      <c r="AC6" s="27" t="s">
        <v>43</v>
      </c>
      <c r="AD6" s="27" t="s">
        <v>44</v>
      </c>
      <c r="AE6" s="27" t="s">
        <v>45</v>
      </c>
      <c r="AF6" s="27" t="s">
        <v>46</v>
      </c>
      <c r="AG6" s="27" t="s">
        <v>47</v>
      </c>
      <c r="AH6" s="46" t="s">
        <v>97</v>
      </c>
      <c r="AI6" s="46" t="s">
        <v>98</v>
      </c>
      <c r="AJ6" s="47" t="s">
        <v>103</v>
      </c>
      <c r="AK6" s="46" t="s">
        <v>102</v>
      </c>
    </row>
    <row r="7" spans="1:37" ht="30" customHeight="1" x14ac:dyDescent="0.35">
      <c r="B7" s="38" t="s">
        <v>65</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43">
        <f>COUNTA(Janvier[[#This Row],[1]:[31]])</f>
        <v>0</v>
      </c>
      <c r="AI7" s="43">
        <f>COUNTA(Janvier[[#This Row],[1]:[31]])</f>
        <v>0</v>
      </c>
      <c r="AJ7" s="43">
        <f>COUNTA(Janvier[[#This Row],[1]:[31]])</f>
        <v>0</v>
      </c>
      <c r="AK7" s="43">
        <f>COUNTA(Janvier[[#This Row],[1]:[31]])</f>
        <v>0</v>
      </c>
    </row>
    <row r="8" spans="1:37" ht="30" customHeight="1" x14ac:dyDescent="0.35">
      <c r="B8" s="39" t="s">
        <v>66</v>
      </c>
      <c r="C8" s="2"/>
      <c r="D8" s="2"/>
      <c r="E8" s="2"/>
      <c r="F8" s="2"/>
      <c r="G8" s="2"/>
      <c r="H8" s="2" t="s">
        <v>92</v>
      </c>
      <c r="I8" s="2" t="s">
        <v>92</v>
      </c>
      <c r="J8" s="2" t="s">
        <v>92</v>
      </c>
      <c r="K8" s="2"/>
      <c r="L8" s="2"/>
      <c r="M8" s="2"/>
      <c r="N8" s="2"/>
      <c r="O8" s="2"/>
      <c r="P8" s="2"/>
      <c r="Q8" s="2"/>
      <c r="R8" s="2"/>
      <c r="S8" s="2"/>
      <c r="T8" s="2"/>
      <c r="U8" s="2"/>
      <c r="V8" s="2"/>
      <c r="W8" s="2"/>
      <c r="X8" s="2"/>
      <c r="Y8" s="2"/>
      <c r="Z8" s="2"/>
      <c r="AA8" s="2"/>
      <c r="AB8" s="2"/>
      <c r="AC8" s="2" t="s">
        <v>92</v>
      </c>
      <c r="AD8" s="2" t="s">
        <v>92</v>
      </c>
      <c r="AE8" s="2" t="s">
        <v>92</v>
      </c>
      <c r="AF8" s="2"/>
      <c r="AG8" s="2"/>
      <c r="AH8" s="43">
        <f>COUNTA(Janvier[[#This Row],[1]:[31]])</f>
        <v>6</v>
      </c>
      <c r="AI8" s="43">
        <f>COUNTA(Janvier[[#This Row],[1]:[31]])</f>
        <v>6</v>
      </c>
      <c r="AJ8" s="43">
        <f>COUNTA(Janvier[[#This Row],[1]:[31]])</f>
        <v>6</v>
      </c>
      <c r="AK8" s="43">
        <f>COUNTA(Janvier[[#This Row],[1]:[31]])</f>
        <v>6</v>
      </c>
    </row>
    <row r="9" spans="1:37" ht="30" customHeight="1" x14ac:dyDescent="0.35">
      <c r="B9" s="41" t="s">
        <v>67</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43">
        <f>COUNTA(Janvier[[#This Row],[1]:[31]])</f>
        <v>0</v>
      </c>
      <c r="AI9" s="43">
        <f>COUNTA(Janvier[[#This Row],[1]:[31]])</f>
        <v>0</v>
      </c>
      <c r="AJ9" s="43">
        <f>COUNTA(Janvier[[#This Row],[1]:[31]])</f>
        <v>0</v>
      </c>
      <c r="AK9" s="43">
        <f>COUNTA(Janvier[[#This Row],[1]:[31]])</f>
        <v>0</v>
      </c>
    </row>
    <row r="10" spans="1:37" ht="30" customHeight="1" x14ac:dyDescent="0.35">
      <c r="B10" s="40" t="s">
        <v>68</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43">
        <f>COUNTA(Janvier[[#This Row],[1]:[31]])</f>
        <v>0</v>
      </c>
      <c r="AI10" s="43">
        <f>COUNTA(Janvier[[#This Row],[1]:[31]])</f>
        <v>0</v>
      </c>
      <c r="AJ10" s="43">
        <f>COUNTA(Janvier[[#This Row],[1]:[31]])</f>
        <v>0</v>
      </c>
      <c r="AK10" s="43">
        <f>COUNTA(Janvier[[#This Row],[1]:[31]])</f>
        <v>0</v>
      </c>
    </row>
    <row r="11" spans="1:37" ht="30" customHeight="1" x14ac:dyDescent="0.35">
      <c r="B11" s="41" t="s">
        <v>69</v>
      </c>
      <c r="C11" s="2" t="s">
        <v>93</v>
      </c>
      <c r="D11" s="2"/>
      <c r="E11" s="2"/>
      <c r="F11" s="2"/>
      <c r="G11" s="2"/>
      <c r="H11" s="2"/>
      <c r="I11" s="2"/>
      <c r="J11" s="2"/>
      <c r="K11" s="2"/>
      <c r="L11" s="2"/>
      <c r="M11" s="2"/>
      <c r="N11" s="2"/>
      <c r="O11" s="2"/>
      <c r="P11" s="2"/>
      <c r="Q11" s="2"/>
      <c r="R11" s="2" t="s">
        <v>92</v>
      </c>
      <c r="S11" s="2" t="s">
        <v>92</v>
      </c>
      <c r="T11" s="2" t="s">
        <v>92</v>
      </c>
      <c r="U11" s="2" t="s">
        <v>92</v>
      </c>
      <c r="V11" s="2" t="s">
        <v>92</v>
      </c>
      <c r="W11" s="2" t="s">
        <v>92</v>
      </c>
      <c r="X11" s="2" t="s">
        <v>92</v>
      </c>
      <c r="Y11" s="2"/>
      <c r="Z11" s="2"/>
      <c r="AA11" s="2"/>
      <c r="AB11" s="2"/>
      <c r="AC11" s="2"/>
      <c r="AD11" s="2"/>
      <c r="AE11" s="2"/>
      <c r="AF11" s="2"/>
      <c r="AG11" s="2"/>
      <c r="AH11" s="43">
        <f>COUNTA(Janvier[[#This Row],[1]:[31]])</f>
        <v>8</v>
      </c>
      <c r="AI11" s="43">
        <f>COUNTA(Janvier[[#This Row],[1]:[31]])</f>
        <v>8</v>
      </c>
      <c r="AJ11" s="43">
        <f>COUNTA(Janvier[[#This Row],[1]:[31]])</f>
        <v>8</v>
      </c>
      <c r="AK11" s="43">
        <f>COUNTA(Janvier[[#This Row],[1]:[31]])</f>
        <v>8</v>
      </c>
    </row>
    <row r="12" spans="1:37" ht="30" customHeight="1" x14ac:dyDescent="0.35">
      <c r="B12" s="40" t="s">
        <v>70</v>
      </c>
      <c r="C12" s="2"/>
      <c r="D12" s="2"/>
      <c r="E12" s="2"/>
      <c r="F12" s="2"/>
      <c r="G12" s="2"/>
      <c r="H12" s="2"/>
      <c r="I12" s="2"/>
      <c r="J12" s="2"/>
      <c r="K12" s="2"/>
      <c r="L12" s="2"/>
      <c r="M12" s="2"/>
      <c r="N12" s="2"/>
      <c r="O12" s="2" t="s">
        <v>92</v>
      </c>
      <c r="P12" s="2" t="s">
        <v>92</v>
      </c>
      <c r="Q12" s="2" t="s">
        <v>92</v>
      </c>
      <c r="R12" s="2"/>
      <c r="S12" s="2"/>
      <c r="T12" s="2"/>
      <c r="U12" s="2"/>
      <c r="V12" s="2"/>
      <c r="W12" s="2"/>
      <c r="X12" s="2"/>
      <c r="Y12" s="2"/>
      <c r="Z12" s="2"/>
      <c r="AA12" s="2"/>
      <c r="AB12" s="2"/>
      <c r="AC12" s="2"/>
      <c r="AD12" s="2"/>
      <c r="AE12" s="2"/>
      <c r="AF12" s="2"/>
      <c r="AG12" s="2"/>
      <c r="AH12" s="43">
        <f>COUNTA(Janvier[[#This Row],[1]:[31]])</f>
        <v>3</v>
      </c>
      <c r="AI12" s="43">
        <f>COUNTA(Janvier[[#This Row],[1]:[31]])</f>
        <v>3</v>
      </c>
      <c r="AJ12" s="43">
        <f>COUNTA(Janvier[[#This Row],[1]:[31]])</f>
        <v>3</v>
      </c>
      <c r="AK12" s="43">
        <f>COUNTA(Janvier[[#This Row],[1]:[31]])</f>
        <v>3</v>
      </c>
    </row>
    <row r="13" spans="1:37" ht="30" customHeight="1" x14ac:dyDescent="0.35">
      <c r="B13" s="41" t="s">
        <v>71</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43">
        <f>COUNTA(Janvier[[#This Row],[1]:[31]])</f>
        <v>0</v>
      </c>
      <c r="AI13" s="43">
        <f>COUNTA(Janvier[[#This Row],[1]:[31]])</f>
        <v>0</v>
      </c>
      <c r="AJ13" s="43">
        <f>COUNTA(Janvier[[#This Row],[1]:[31]])</f>
        <v>0</v>
      </c>
      <c r="AK13" s="43">
        <f>COUNTA(Janvier[[#This Row],[1]:[31]])</f>
        <v>0</v>
      </c>
    </row>
    <row r="14" spans="1:37" ht="30" customHeight="1" x14ac:dyDescent="0.35">
      <c r="B14" s="42" t="s">
        <v>72</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43">
        <f>COUNTA(Janvier[[#This Row],[1]:[31]])</f>
        <v>0</v>
      </c>
      <c r="AI14" s="43">
        <f>COUNTA(Janvier[[#This Row],[1]:[31]])</f>
        <v>0</v>
      </c>
      <c r="AJ14" s="43">
        <f>COUNTA(Janvier[[#This Row],[1]:[31]])</f>
        <v>0</v>
      </c>
      <c r="AK14" s="43">
        <f>COUNTA(Janvier[[#This Row],[1]:[31]])</f>
        <v>0</v>
      </c>
    </row>
    <row r="15" spans="1:37" ht="30" customHeight="1" x14ac:dyDescent="0.35">
      <c r="B15" s="42" t="s">
        <v>73</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43">
        <f>COUNTA(Janvier[[#This Row],[1]:[31]])</f>
        <v>0</v>
      </c>
      <c r="AI15" s="43">
        <f>COUNTA(Janvier[[#This Row],[1]:[31]])</f>
        <v>0</v>
      </c>
      <c r="AJ15" s="43">
        <f>COUNTA(Janvier[[#This Row],[1]:[31]])</f>
        <v>0</v>
      </c>
      <c r="AK15" s="43">
        <f>COUNTA(Janvier[[#This Row],[1]:[31]])</f>
        <v>0</v>
      </c>
    </row>
    <row r="16" spans="1:37" ht="30" customHeight="1" x14ac:dyDescent="0.35">
      <c r="B16" s="42" t="s">
        <v>74</v>
      </c>
      <c r="C16" s="2"/>
      <c r="D16" s="2" t="s">
        <v>63</v>
      </c>
      <c r="E16" s="2" t="s">
        <v>63</v>
      </c>
      <c r="F16" s="2" t="s">
        <v>63</v>
      </c>
      <c r="G16" s="2" t="s">
        <v>63</v>
      </c>
      <c r="H16" s="2" t="s">
        <v>63</v>
      </c>
      <c r="I16" s="2"/>
      <c r="J16" s="2"/>
      <c r="K16" s="2"/>
      <c r="L16" s="2"/>
      <c r="M16" s="2"/>
      <c r="N16" s="2"/>
      <c r="O16" s="2"/>
      <c r="P16" s="2"/>
      <c r="Q16" s="2"/>
      <c r="R16" s="2"/>
      <c r="S16" s="2"/>
      <c r="T16" s="2"/>
      <c r="U16" s="2"/>
      <c r="V16" s="2"/>
      <c r="W16" s="2"/>
      <c r="X16" s="2"/>
      <c r="Y16" s="2" t="s">
        <v>63</v>
      </c>
      <c r="Z16" s="2" t="s">
        <v>63</v>
      </c>
      <c r="AA16" s="2" t="s">
        <v>63</v>
      </c>
      <c r="AB16" s="2" t="s">
        <v>63</v>
      </c>
      <c r="AC16" s="2" t="s">
        <v>63</v>
      </c>
      <c r="AD16" s="2"/>
      <c r="AE16" s="2"/>
      <c r="AF16" s="2"/>
      <c r="AG16" s="2"/>
      <c r="AH16" s="43">
        <f>COUNTA(Janvier[[#This Row],[1]:[31]])</f>
        <v>10</v>
      </c>
      <c r="AI16" s="43">
        <f>COUNTA(Janvier[[#This Row],[1]:[31]])</f>
        <v>10</v>
      </c>
      <c r="AJ16" s="43">
        <f>COUNTA(Janvier[[#This Row],[1]:[31]])</f>
        <v>10</v>
      </c>
      <c r="AK16" s="43">
        <f>COUNTA(Janvier[[#This Row],[1]:[31]])</f>
        <v>10</v>
      </c>
    </row>
    <row r="17" spans="2:37" ht="30" customHeight="1" x14ac:dyDescent="0.35">
      <c r="B17" s="42" t="s">
        <v>75</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43">
        <f>COUNTA(Janvier[[#This Row],[1]:[31]])</f>
        <v>0</v>
      </c>
      <c r="AI17" s="43">
        <f>COUNTA(Janvier[[#This Row],[1]:[31]])</f>
        <v>0</v>
      </c>
      <c r="AJ17" s="43">
        <f>COUNTA(Janvier[[#This Row],[1]:[31]])</f>
        <v>0</v>
      </c>
      <c r="AK17" s="43">
        <f>COUNTA(Janvier[[#This Row],[1]:[31]])</f>
        <v>0</v>
      </c>
    </row>
    <row r="18" spans="2:37" ht="30" customHeight="1" x14ac:dyDescent="0.35">
      <c r="B18" s="39" t="s">
        <v>76</v>
      </c>
      <c r="C18" s="2" t="s">
        <v>92</v>
      </c>
      <c r="D18" s="2"/>
      <c r="E18" s="2"/>
      <c r="F18" s="2"/>
      <c r="G18" s="2"/>
      <c r="H18" s="2"/>
      <c r="I18" s="2"/>
      <c r="J18" s="2"/>
      <c r="K18" s="2"/>
      <c r="L18" s="2"/>
      <c r="M18" s="2"/>
      <c r="N18" s="2"/>
      <c r="O18" s="2"/>
      <c r="P18" s="2"/>
      <c r="Q18" s="2"/>
      <c r="R18" s="2" t="s">
        <v>92</v>
      </c>
      <c r="S18" s="2" t="s">
        <v>92</v>
      </c>
      <c r="T18" s="2" t="s">
        <v>92</v>
      </c>
      <c r="U18" s="2" t="s">
        <v>92</v>
      </c>
      <c r="V18" s="2" t="s">
        <v>92</v>
      </c>
      <c r="W18" s="2" t="s">
        <v>92</v>
      </c>
      <c r="X18" s="2" t="s">
        <v>92</v>
      </c>
      <c r="Y18" s="2"/>
      <c r="Z18" s="2"/>
      <c r="AA18" s="2"/>
      <c r="AB18" s="2"/>
      <c r="AC18" s="2"/>
      <c r="AD18" s="2"/>
      <c r="AE18" s="2"/>
      <c r="AF18" s="2"/>
      <c r="AG18" s="2"/>
      <c r="AH18" s="43">
        <f>COUNTA(Janvier[[#This Row],[1]:[31]])</f>
        <v>8</v>
      </c>
      <c r="AI18" s="43">
        <f>COUNTA(Janvier[[#This Row],[1]:[31]])</f>
        <v>8</v>
      </c>
      <c r="AJ18" s="43">
        <f>COUNTA(Janvier[[#This Row],[1]:[31]])</f>
        <v>8</v>
      </c>
      <c r="AK18" s="43">
        <f>COUNTA(Janvier[[#This Row],[1]:[31]])</f>
        <v>8</v>
      </c>
    </row>
    <row r="19" spans="2:37" ht="30" customHeight="1" x14ac:dyDescent="0.35">
      <c r="B19" s="39" t="s">
        <v>77</v>
      </c>
      <c r="C19" s="2" t="s">
        <v>64</v>
      </c>
      <c r="D19" s="2" t="s">
        <v>64</v>
      </c>
      <c r="E19" s="2" t="s">
        <v>64</v>
      </c>
      <c r="F19" s="2" t="s">
        <v>64</v>
      </c>
      <c r="G19" s="2" t="s">
        <v>64</v>
      </c>
      <c r="H19" s="2" t="s">
        <v>64</v>
      </c>
      <c r="I19" s="2" t="s">
        <v>64</v>
      </c>
      <c r="J19" s="2" t="s">
        <v>64</v>
      </c>
      <c r="K19" s="2" t="s">
        <v>64</v>
      </c>
      <c r="L19" s="2" t="s">
        <v>64</v>
      </c>
      <c r="M19" s="2" t="s">
        <v>64</v>
      </c>
      <c r="N19" s="2" t="s">
        <v>64</v>
      </c>
      <c r="O19" s="2" t="s">
        <v>64</v>
      </c>
      <c r="P19" s="2" t="s">
        <v>64</v>
      </c>
      <c r="Q19" s="2" t="s">
        <v>64</v>
      </c>
      <c r="R19" s="2" t="s">
        <v>64</v>
      </c>
      <c r="S19" s="2" t="s">
        <v>64</v>
      </c>
      <c r="T19" s="2" t="s">
        <v>64</v>
      </c>
      <c r="U19" s="2" t="s">
        <v>64</v>
      </c>
      <c r="V19" s="2" t="s">
        <v>64</v>
      </c>
      <c r="W19" s="2" t="s">
        <v>64</v>
      </c>
      <c r="X19" s="2" t="s">
        <v>64</v>
      </c>
      <c r="Y19" s="2" t="s">
        <v>64</v>
      </c>
      <c r="Z19" s="2" t="s">
        <v>64</v>
      </c>
      <c r="AA19" s="2" t="s">
        <v>64</v>
      </c>
      <c r="AB19" s="2" t="s">
        <v>64</v>
      </c>
      <c r="AC19" s="2" t="s">
        <v>64</v>
      </c>
      <c r="AD19" s="2" t="s">
        <v>64</v>
      </c>
      <c r="AE19" s="2" t="s">
        <v>64</v>
      </c>
      <c r="AF19" s="2" t="s">
        <v>64</v>
      </c>
      <c r="AG19" s="2" t="s">
        <v>64</v>
      </c>
      <c r="AH19" s="43">
        <f>COUNTA(Janvier[[#This Row],[1]:[31]])</f>
        <v>31</v>
      </c>
      <c r="AI19" s="43">
        <f>COUNTA(Janvier[[#This Row],[1]:[31]])</f>
        <v>31</v>
      </c>
      <c r="AJ19" s="43">
        <f>COUNTA(Janvier[[#This Row],[1]:[31]])</f>
        <v>31</v>
      </c>
      <c r="AK19" s="43">
        <f>COUNTA(Janvier[[#This Row],[1]:[31]])</f>
        <v>31</v>
      </c>
    </row>
    <row r="20" spans="2:37" ht="30" customHeight="1" x14ac:dyDescent="0.35">
      <c r="B20" s="42" t="s">
        <v>78</v>
      </c>
      <c r="C20" s="2"/>
      <c r="D20" s="2"/>
      <c r="E20" s="2"/>
      <c r="F20" s="2"/>
      <c r="G20" s="2"/>
      <c r="H20" s="2"/>
      <c r="I20" s="2"/>
      <c r="J20" s="2"/>
      <c r="K20" s="2"/>
      <c r="L20" s="2"/>
      <c r="M20" s="2"/>
      <c r="N20" s="2"/>
      <c r="O20" s="2" t="s">
        <v>93</v>
      </c>
      <c r="P20" s="2" t="s">
        <v>93</v>
      </c>
      <c r="Q20" s="2" t="s">
        <v>93</v>
      </c>
      <c r="R20" s="2"/>
      <c r="S20" s="2"/>
      <c r="T20" s="2"/>
      <c r="U20" s="2"/>
      <c r="V20" s="2"/>
      <c r="W20" s="2"/>
      <c r="X20" s="2"/>
      <c r="Y20" s="2"/>
      <c r="Z20" s="2"/>
      <c r="AA20" s="2"/>
      <c r="AB20" s="2"/>
      <c r="AC20" s="2"/>
      <c r="AD20" s="2"/>
      <c r="AE20" s="2"/>
      <c r="AF20" s="2" t="s">
        <v>63</v>
      </c>
      <c r="AG20" s="2"/>
      <c r="AH20" s="43">
        <f>COUNTA(Janvier[[#This Row],[1]:[31]])</f>
        <v>4</v>
      </c>
      <c r="AI20" s="43">
        <f>COUNTA(Janvier[[#This Row],[1]:[31]])</f>
        <v>4</v>
      </c>
      <c r="AJ20" s="43">
        <f>COUNTA(Janvier[[#This Row],[1]:[31]])</f>
        <v>4</v>
      </c>
      <c r="AK20" s="43">
        <f>COUNTA(Janvier[[#This Row],[1]:[31]])</f>
        <v>4</v>
      </c>
    </row>
    <row r="21" spans="2:37" ht="30" customHeight="1" x14ac:dyDescent="0.35">
      <c r="B21" s="41" t="s">
        <v>79</v>
      </c>
      <c r="C21" s="2" t="s">
        <v>92</v>
      </c>
      <c r="D21" s="2" t="s">
        <v>8</v>
      </c>
      <c r="E21" s="2" t="s">
        <v>8</v>
      </c>
      <c r="F21" s="2" t="s">
        <v>8</v>
      </c>
      <c r="G21" s="2" t="s">
        <v>8</v>
      </c>
      <c r="H21" s="2" t="s">
        <v>8</v>
      </c>
      <c r="I21" s="2" t="s">
        <v>8</v>
      </c>
      <c r="J21" s="2" t="s">
        <v>8</v>
      </c>
      <c r="K21" s="2" t="s">
        <v>8</v>
      </c>
      <c r="L21" s="2" t="s">
        <v>8</v>
      </c>
      <c r="M21" s="2" t="s">
        <v>8</v>
      </c>
      <c r="N21" s="2" t="s">
        <v>8</v>
      </c>
      <c r="O21" s="2" t="s">
        <v>8</v>
      </c>
      <c r="P21" s="2" t="s">
        <v>8</v>
      </c>
      <c r="Q21" s="2" t="s">
        <v>8</v>
      </c>
      <c r="R21" s="2"/>
      <c r="S21" s="2"/>
      <c r="T21" s="2"/>
      <c r="U21" s="2"/>
      <c r="V21" s="2"/>
      <c r="W21" s="2"/>
      <c r="X21" s="2"/>
      <c r="Y21" s="2"/>
      <c r="Z21" s="2"/>
      <c r="AA21" s="2"/>
      <c r="AB21" s="2"/>
      <c r="AC21" s="2"/>
      <c r="AD21" s="2"/>
      <c r="AE21" s="2"/>
      <c r="AF21" s="2"/>
      <c r="AG21" s="2"/>
      <c r="AH21" s="43">
        <f>COUNTA(Janvier[[#This Row],[1]:[31]])</f>
        <v>15</v>
      </c>
      <c r="AI21" s="43">
        <f>COUNTA(Janvier[[#This Row],[1]:[31]])</f>
        <v>15</v>
      </c>
      <c r="AJ21" s="43">
        <f>COUNTA(Janvier[[#This Row],[1]:[31]])</f>
        <v>15</v>
      </c>
      <c r="AK21" s="43">
        <f>COUNTA(Janvier[[#This Row],[1]:[31]])</f>
        <v>15</v>
      </c>
    </row>
    <row r="22" spans="2:37" ht="30" customHeight="1" x14ac:dyDescent="0.35">
      <c r="B22" s="40" t="s">
        <v>80</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43">
        <f>COUNTA(Janvier[[#This Row],[1]:[31]])</f>
        <v>0</v>
      </c>
      <c r="AI22" s="43">
        <f>COUNTA(Janvier[[#This Row],[1]:[31]])</f>
        <v>0</v>
      </c>
      <c r="AJ22" s="43">
        <f>COUNTA(Janvier[[#This Row],[1]:[31]])</f>
        <v>0</v>
      </c>
      <c r="AK22" s="43">
        <f>COUNTA(Janvier[[#This Row],[1]:[31]])</f>
        <v>0</v>
      </c>
    </row>
    <row r="23" spans="2:37" ht="30" customHeight="1" x14ac:dyDescent="0.35">
      <c r="B23" s="42" t="s">
        <v>81</v>
      </c>
      <c r="C23" s="2"/>
      <c r="D23" s="2"/>
      <c r="E23" s="2"/>
      <c r="F23" s="2"/>
      <c r="G23" s="2"/>
      <c r="H23" s="2"/>
      <c r="I23" s="2"/>
      <c r="J23" s="2"/>
      <c r="K23" s="2"/>
      <c r="L23" s="2"/>
      <c r="M23" s="2"/>
      <c r="N23" s="2"/>
      <c r="O23" s="2"/>
      <c r="P23" s="2"/>
      <c r="Q23" s="2"/>
      <c r="R23" s="2"/>
      <c r="S23" s="2"/>
      <c r="T23" s="2"/>
      <c r="U23" s="2"/>
      <c r="V23" s="2"/>
      <c r="W23" s="2"/>
      <c r="X23" s="2"/>
      <c r="Y23" s="2"/>
      <c r="Z23" s="2"/>
      <c r="AA23" s="2"/>
      <c r="AB23" s="2"/>
      <c r="AC23" s="2" t="s">
        <v>92</v>
      </c>
      <c r="AD23" s="2" t="s">
        <v>92</v>
      </c>
      <c r="AE23" s="2" t="s">
        <v>92</v>
      </c>
      <c r="AF23" s="2"/>
      <c r="AG23" s="2"/>
      <c r="AH23" s="43">
        <f>COUNTA(Janvier[[#This Row],[1]:[31]])</f>
        <v>3</v>
      </c>
      <c r="AI23" s="43">
        <f>COUNTA(Janvier[[#This Row],[1]:[31]])</f>
        <v>3</v>
      </c>
      <c r="AJ23" s="43">
        <f>COUNTA(Janvier[[#This Row],[1]:[31]])</f>
        <v>3</v>
      </c>
      <c r="AK23" s="43">
        <f>COUNTA(Janvier[[#This Row],[1]:[31]])</f>
        <v>3</v>
      </c>
    </row>
    <row r="24" spans="2:37" ht="30" customHeight="1" x14ac:dyDescent="0.35">
      <c r="B24" s="40" t="s">
        <v>82</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43">
        <f>COUNTA(Janvier[[#This Row],[1]:[31]])</f>
        <v>0</v>
      </c>
      <c r="AI24" s="43">
        <f>COUNTA(Janvier[[#This Row],[1]:[31]])</f>
        <v>0</v>
      </c>
      <c r="AJ24" s="43">
        <f>COUNTA(Janvier[[#This Row],[1]:[31]])</f>
        <v>0</v>
      </c>
      <c r="AK24" s="43">
        <f>COUNTA(Janvier[[#This Row],[1]:[31]])</f>
        <v>0</v>
      </c>
    </row>
    <row r="25" spans="2:37" ht="30" customHeight="1" x14ac:dyDescent="0.35">
      <c r="B25" s="42" t="s">
        <v>83</v>
      </c>
      <c r="C25" s="2"/>
      <c r="D25" s="2"/>
      <c r="E25" s="2"/>
      <c r="F25" s="2"/>
      <c r="G25" s="2"/>
      <c r="H25" s="2" t="s">
        <v>92</v>
      </c>
      <c r="I25" s="2" t="s">
        <v>92</v>
      </c>
      <c r="J25" s="2" t="s">
        <v>92</v>
      </c>
      <c r="K25" s="2"/>
      <c r="L25" s="2"/>
      <c r="M25" s="2"/>
      <c r="N25" s="2"/>
      <c r="O25" s="2"/>
      <c r="P25" s="2"/>
      <c r="Q25" s="2"/>
      <c r="R25" s="2"/>
      <c r="S25" s="2"/>
      <c r="T25" s="2"/>
      <c r="U25" s="2"/>
      <c r="V25" s="2"/>
      <c r="W25" s="2"/>
      <c r="X25" s="2"/>
      <c r="Y25" s="2"/>
      <c r="Z25" s="2"/>
      <c r="AA25" s="2"/>
      <c r="AB25" s="2"/>
      <c r="AC25" s="2"/>
      <c r="AD25" s="2"/>
      <c r="AE25" s="2"/>
      <c r="AF25" s="2"/>
      <c r="AG25" s="2"/>
      <c r="AH25" s="43">
        <f>COUNTA(Janvier[[#This Row],[1]:[31]])</f>
        <v>3</v>
      </c>
      <c r="AI25" s="43">
        <f>COUNTA(Janvier[[#This Row],[1]:[31]])</f>
        <v>3</v>
      </c>
      <c r="AJ25" s="43">
        <f>COUNTA(Janvier[[#This Row],[1]:[31]])</f>
        <v>3</v>
      </c>
      <c r="AK25" s="43">
        <f>COUNTA(Janvier[[#This Row],[1]:[31]])</f>
        <v>3</v>
      </c>
    </row>
    <row r="26" spans="2:37" ht="30" customHeight="1" x14ac:dyDescent="0.35">
      <c r="B26" s="39" t="s">
        <v>84</v>
      </c>
      <c r="C26" s="2"/>
      <c r="D26" s="2"/>
      <c r="E26" s="2"/>
      <c r="F26" s="2"/>
      <c r="G26" s="2"/>
      <c r="H26" s="2"/>
      <c r="I26" s="2"/>
      <c r="J26" s="2"/>
      <c r="K26" s="2"/>
      <c r="L26" s="2"/>
      <c r="M26" s="2"/>
      <c r="N26" s="2"/>
      <c r="O26" s="2" t="s">
        <v>92</v>
      </c>
      <c r="P26" s="2" t="s">
        <v>92</v>
      </c>
      <c r="Q26" s="2" t="s">
        <v>92</v>
      </c>
      <c r="R26" s="2"/>
      <c r="S26" s="2"/>
      <c r="T26" s="2"/>
      <c r="U26" s="2"/>
      <c r="V26" s="2"/>
      <c r="W26" s="2"/>
      <c r="X26" s="2"/>
      <c r="Y26" s="2"/>
      <c r="Z26" s="2"/>
      <c r="AA26" s="2"/>
      <c r="AB26" s="2"/>
      <c r="AC26" s="2" t="s">
        <v>93</v>
      </c>
      <c r="AD26" s="2" t="s">
        <v>93</v>
      </c>
      <c r="AE26" s="2" t="s">
        <v>93</v>
      </c>
      <c r="AF26" s="2"/>
      <c r="AG26" s="2"/>
      <c r="AH26" s="43">
        <f>COUNTA(Janvier[[#This Row],[1]:[31]])</f>
        <v>6</v>
      </c>
      <c r="AI26" s="43">
        <f>COUNTA(Janvier[[#This Row],[1]:[31]])</f>
        <v>6</v>
      </c>
      <c r="AJ26" s="43">
        <f>COUNTA(Janvier[[#This Row],[1]:[31]])</f>
        <v>6</v>
      </c>
      <c r="AK26" s="43">
        <f>COUNTA(Janvier[[#This Row],[1]:[31]])</f>
        <v>6</v>
      </c>
    </row>
    <row r="27" spans="2:37" ht="30" customHeight="1" x14ac:dyDescent="0.35">
      <c r="B27" s="42" t="s">
        <v>85</v>
      </c>
      <c r="C27" s="2"/>
      <c r="D27" s="2"/>
      <c r="E27" s="2"/>
      <c r="F27" s="2"/>
      <c r="G27" s="2"/>
      <c r="H27" s="2"/>
      <c r="I27" s="2"/>
      <c r="J27" s="2"/>
      <c r="K27" s="2"/>
      <c r="L27" s="2"/>
      <c r="M27" s="2"/>
      <c r="N27" s="2"/>
      <c r="O27" s="2"/>
      <c r="P27" s="2"/>
      <c r="Q27" s="2"/>
      <c r="R27" s="2"/>
      <c r="S27" s="2"/>
      <c r="T27" s="2"/>
      <c r="U27" s="2"/>
      <c r="V27" s="2" t="s">
        <v>93</v>
      </c>
      <c r="W27" s="2" t="s">
        <v>93</v>
      </c>
      <c r="X27" s="2" t="s">
        <v>93</v>
      </c>
      <c r="Y27" s="2"/>
      <c r="Z27" s="2"/>
      <c r="AA27" s="2"/>
      <c r="AB27" s="2"/>
      <c r="AC27" s="2"/>
      <c r="AD27" s="2"/>
      <c r="AE27" s="2"/>
      <c r="AF27" s="2"/>
      <c r="AG27" s="2"/>
      <c r="AH27" s="43">
        <f>COUNTA(Janvier[[#This Row],[1]:[31]])</f>
        <v>3</v>
      </c>
      <c r="AI27" s="43">
        <f>COUNTA(Janvier[[#This Row],[1]:[31]])</f>
        <v>3</v>
      </c>
      <c r="AJ27" s="43">
        <f>COUNTA(Janvier[[#This Row],[1]:[31]])</f>
        <v>3</v>
      </c>
      <c r="AK27" s="43">
        <f>COUNTA(Janvier[[#This Row],[1]:[31]])</f>
        <v>3</v>
      </c>
    </row>
    <row r="28" spans="2:37" ht="30" customHeight="1" x14ac:dyDescent="0.35">
      <c r="B28" s="39" t="s">
        <v>86</v>
      </c>
      <c r="C28" s="2"/>
      <c r="D28" s="2"/>
      <c r="E28" s="2"/>
      <c r="F28" s="2"/>
      <c r="G28" s="2"/>
      <c r="H28" s="2"/>
      <c r="I28" s="2"/>
      <c r="J28" s="2"/>
      <c r="K28" s="2"/>
      <c r="L28" s="2"/>
      <c r="M28" s="2"/>
      <c r="N28" s="2"/>
      <c r="O28" s="2" t="s">
        <v>93</v>
      </c>
      <c r="P28" s="2" t="s">
        <v>93</v>
      </c>
      <c r="Q28" s="2" t="s">
        <v>93</v>
      </c>
      <c r="R28" s="2"/>
      <c r="S28" s="2"/>
      <c r="T28" s="2"/>
      <c r="U28" s="2"/>
      <c r="V28" s="2"/>
      <c r="W28" s="2"/>
      <c r="X28" s="2"/>
      <c r="Y28" s="2"/>
      <c r="Z28" s="2"/>
      <c r="AA28" s="2"/>
      <c r="AB28" s="2"/>
      <c r="AC28" s="2"/>
      <c r="AD28" s="2"/>
      <c r="AE28" s="2"/>
      <c r="AF28" s="2"/>
      <c r="AG28" s="2"/>
      <c r="AH28" s="43">
        <f>COUNTA(Janvier[[#This Row],[1]:[31]])</f>
        <v>3</v>
      </c>
      <c r="AI28" s="43">
        <f>COUNTA(Janvier[[#This Row],[1]:[31]])</f>
        <v>3</v>
      </c>
      <c r="AJ28" s="43">
        <f>COUNTA(Janvier[[#This Row],[1]:[31]])</f>
        <v>3</v>
      </c>
      <c r="AK28" s="43">
        <f>COUNTA(Janvier[[#This Row],[1]:[31]])</f>
        <v>3</v>
      </c>
    </row>
    <row r="29" spans="2:37" ht="30" customHeight="1" x14ac:dyDescent="0.35">
      <c r="B29" s="39" t="s">
        <v>87</v>
      </c>
      <c r="C29" s="2" t="s">
        <v>93</v>
      </c>
      <c r="D29" s="2"/>
      <c r="E29" s="2"/>
      <c r="F29" s="2"/>
      <c r="G29" s="2"/>
      <c r="H29" s="2"/>
      <c r="I29" s="2"/>
      <c r="J29" s="2"/>
      <c r="K29" s="2"/>
      <c r="L29" s="2"/>
      <c r="M29" s="2"/>
      <c r="N29" s="2"/>
      <c r="O29" s="2"/>
      <c r="P29" s="2"/>
      <c r="Q29" s="2"/>
      <c r="R29" s="2"/>
      <c r="S29" s="2"/>
      <c r="T29" s="2"/>
      <c r="U29" s="2"/>
      <c r="V29" s="2" t="s">
        <v>93</v>
      </c>
      <c r="W29" s="2" t="s">
        <v>93</v>
      </c>
      <c r="X29" s="2" t="s">
        <v>93</v>
      </c>
      <c r="Y29" s="2"/>
      <c r="Z29" s="2"/>
      <c r="AA29" s="2"/>
      <c r="AB29" s="2"/>
      <c r="AC29" s="2"/>
      <c r="AD29" s="2"/>
      <c r="AE29" s="2"/>
      <c r="AF29" s="2"/>
      <c r="AG29" s="2"/>
      <c r="AH29" s="43">
        <f>COUNTA(Janvier[[#This Row],[1]:[31]])</f>
        <v>4</v>
      </c>
      <c r="AI29" s="43">
        <f>COUNTA(Janvier[[#This Row],[1]:[31]])</f>
        <v>4</v>
      </c>
      <c r="AJ29" s="43">
        <f>COUNTA(Janvier[[#This Row],[1]:[31]])</f>
        <v>4</v>
      </c>
      <c r="AK29" s="43">
        <f>COUNTA(Janvier[[#This Row],[1]:[31]])</f>
        <v>4</v>
      </c>
    </row>
    <row r="30" spans="2:37" ht="30" customHeight="1" x14ac:dyDescent="0.35">
      <c r="B30" s="42" t="s">
        <v>88</v>
      </c>
      <c r="C30" s="2"/>
      <c r="D30" s="2"/>
      <c r="E30" s="2"/>
      <c r="F30" s="2"/>
      <c r="G30" s="2"/>
      <c r="H30" s="2"/>
      <c r="I30" s="2"/>
      <c r="J30" s="2"/>
      <c r="K30" s="2"/>
      <c r="L30" s="2"/>
      <c r="M30" s="2"/>
      <c r="N30" s="2"/>
      <c r="O30" s="2"/>
      <c r="P30" s="2"/>
      <c r="Q30" s="2"/>
      <c r="R30" s="2"/>
      <c r="S30" s="2"/>
      <c r="T30" s="2"/>
      <c r="U30" s="2"/>
      <c r="V30" s="2"/>
      <c r="W30" s="2"/>
      <c r="X30" s="2"/>
      <c r="Y30" s="2"/>
      <c r="Z30" s="2"/>
      <c r="AA30" s="2"/>
      <c r="AB30" s="2"/>
      <c r="AC30" s="2" t="s">
        <v>93</v>
      </c>
      <c r="AD30" s="2" t="s">
        <v>93</v>
      </c>
      <c r="AE30" s="2" t="s">
        <v>93</v>
      </c>
      <c r="AF30" s="2"/>
      <c r="AG30" s="2"/>
      <c r="AH30" s="43">
        <f>COUNTA(Janvier[[#This Row],[1]:[31]])</f>
        <v>3</v>
      </c>
      <c r="AI30" s="43">
        <f>COUNTA(Janvier[[#This Row],[1]:[31]])</f>
        <v>3</v>
      </c>
      <c r="AJ30" s="43">
        <f>COUNTA(Janvier[[#This Row],[1]:[31]])</f>
        <v>3</v>
      </c>
      <c r="AK30" s="43">
        <f>COUNTA(Janvier[[#This Row],[1]:[31]])</f>
        <v>3</v>
      </c>
    </row>
    <row r="31" spans="2:37" ht="30" customHeight="1" x14ac:dyDescent="0.35">
      <c r="B31" s="42" t="s">
        <v>89</v>
      </c>
      <c r="C31" s="2"/>
      <c r="D31" s="2"/>
      <c r="E31" s="2"/>
      <c r="F31" s="2"/>
      <c r="G31" s="2"/>
      <c r="H31" s="2" t="s">
        <v>93</v>
      </c>
      <c r="I31" s="2" t="s">
        <v>93</v>
      </c>
      <c r="J31" s="2" t="s">
        <v>93</v>
      </c>
      <c r="K31" s="2"/>
      <c r="L31" s="2"/>
      <c r="M31" s="2"/>
      <c r="N31" s="2"/>
      <c r="O31" s="2"/>
      <c r="P31" s="2"/>
      <c r="Q31" s="2"/>
      <c r="R31" s="2"/>
      <c r="S31" s="2"/>
      <c r="T31" s="2"/>
      <c r="U31" s="2"/>
      <c r="V31" s="2"/>
      <c r="W31" s="2"/>
      <c r="X31" s="2"/>
      <c r="Y31" s="2"/>
      <c r="Z31" s="2"/>
      <c r="AA31" s="2"/>
      <c r="AB31" s="2"/>
      <c r="AC31" s="2"/>
      <c r="AD31" s="2"/>
      <c r="AE31" s="2"/>
      <c r="AF31" s="2"/>
      <c r="AG31" s="2"/>
      <c r="AH31" s="43">
        <f>COUNTA(Janvier[[#This Row],[1]:[31]])</f>
        <v>3</v>
      </c>
      <c r="AI31" s="43">
        <f>COUNTA(Janvier[[#This Row],[1]:[31]])</f>
        <v>3</v>
      </c>
      <c r="AJ31" s="43">
        <f>COUNTA(Janvier[[#This Row],[1]:[31]])</f>
        <v>3</v>
      </c>
      <c r="AK31" s="43">
        <f>COUNTA(Janvier[[#This Row],[1]:[31]])</f>
        <v>3</v>
      </c>
    </row>
    <row r="32" spans="2:37" ht="30" customHeight="1" x14ac:dyDescent="0.35">
      <c r="B32" s="40" t="s">
        <v>90</v>
      </c>
      <c r="C32" s="2"/>
      <c r="D32" s="2" t="s">
        <v>63</v>
      </c>
      <c r="E32" s="2" t="s">
        <v>63</v>
      </c>
      <c r="F32" s="2" t="s">
        <v>63</v>
      </c>
      <c r="G32" s="2" t="s">
        <v>63</v>
      </c>
      <c r="H32" s="2" t="s">
        <v>63</v>
      </c>
      <c r="I32" s="2"/>
      <c r="J32" s="2"/>
      <c r="K32" s="2"/>
      <c r="L32" s="2"/>
      <c r="M32" s="2"/>
      <c r="N32" s="2"/>
      <c r="O32" s="2"/>
      <c r="P32" s="2"/>
      <c r="Q32" s="2"/>
      <c r="R32" s="2"/>
      <c r="S32" s="2"/>
      <c r="T32" s="2"/>
      <c r="U32" s="2"/>
      <c r="V32" s="2"/>
      <c r="W32" s="2"/>
      <c r="X32" s="2"/>
      <c r="Y32" s="2"/>
      <c r="Z32" s="2"/>
      <c r="AA32" s="2"/>
      <c r="AB32" s="2"/>
      <c r="AC32" s="2"/>
      <c r="AD32" s="2"/>
      <c r="AE32" s="2"/>
      <c r="AF32" s="2" t="s">
        <v>63</v>
      </c>
      <c r="AG32" s="2"/>
      <c r="AH32" s="43">
        <f>COUNTA(Janvier[[#This Row],[1]:[31]])</f>
        <v>6</v>
      </c>
      <c r="AI32" s="43">
        <f>COUNTA(Janvier[[#This Row],[1]:[31]])</f>
        <v>6</v>
      </c>
      <c r="AJ32" s="43">
        <f>COUNTA(Janvier[[#This Row],[1]:[31]])</f>
        <v>6</v>
      </c>
      <c r="AK32" s="43">
        <f>COUNTA(Janvier[[#This Row],[1]:[31]])</f>
        <v>6</v>
      </c>
    </row>
    <row r="33" spans="2:37" ht="30" customHeight="1" x14ac:dyDescent="0.35">
      <c r="B33" s="39" t="s">
        <v>91</v>
      </c>
      <c r="C33" s="2"/>
      <c r="D33" s="2"/>
      <c r="E33" s="2"/>
      <c r="F33" s="2"/>
      <c r="G33" s="2"/>
      <c r="H33" s="2" t="s">
        <v>93</v>
      </c>
      <c r="I33" s="2" t="s">
        <v>93</v>
      </c>
      <c r="J33" s="2" t="s">
        <v>93</v>
      </c>
      <c r="K33" s="2"/>
      <c r="L33" s="2"/>
      <c r="M33" s="2"/>
      <c r="N33" s="2"/>
      <c r="O33" s="2"/>
      <c r="P33" s="2"/>
      <c r="Q33" s="2"/>
      <c r="R33" s="2"/>
      <c r="S33" s="2"/>
      <c r="T33" s="2"/>
      <c r="U33" s="2"/>
      <c r="V33" s="2"/>
      <c r="W33" s="2"/>
      <c r="X33" s="2"/>
      <c r="Y33" s="2"/>
      <c r="Z33" s="2"/>
      <c r="AA33" s="2"/>
      <c r="AB33" s="2"/>
      <c r="AC33" s="2"/>
      <c r="AD33" s="2"/>
      <c r="AE33" s="2"/>
      <c r="AF33" s="2"/>
      <c r="AG33" s="2"/>
      <c r="AH33" s="43">
        <f>COUNTA(Janvier[[#This Row],[1]:[31]])</f>
        <v>3</v>
      </c>
      <c r="AI33" s="43">
        <f>COUNTA(Janvier[[#This Row],[1]:[31]])</f>
        <v>3</v>
      </c>
      <c r="AJ33" s="43">
        <f>COUNTA(Janvier[[#This Row],[1]:[31]])</f>
        <v>3</v>
      </c>
      <c r="AK33" s="43">
        <f>COUNTA(Janvier[[#This Row],[1]:[31]])</f>
        <v>3</v>
      </c>
    </row>
    <row r="34" spans="2:37" ht="30" customHeight="1" x14ac:dyDescent="0.35">
      <c r="B34" s="35">
        <v>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43">
        <f>COUNTA(Janvier[[#This Row],[1]:[31]])</f>
        <v>0</v>
      </c>
      <c r="AI34" s="43">
        <f>COUNTA(Janvier[[#This Row],[1]:[31]])</f>
        <v>0</v>
      </c>
      <c r="AJ34" s="43">
        <f>COUNTA(Janvier[[#This Row],[1]:[31]])</f>
        <v>0</v>
      </c>
      <c r="AK34" s="43">
        <f>COUNTA(Janvier[[#This Row],[1]:[31]])</f>
        <v>0</v>
      </c>
    </row>
    <row r="35" spans="2:37" ht="30" customHeight="1" x14ac:dyDescent="0.35">
      <c r="B35" s="35">
        <v>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43">
        <f>COUNTA(Janvier[[#This Row],[1]:[31]])</f>
        <v>0</v>
      </c>
      <c r="AI35" s="43">
        <f>COUNTA(Janvier[[#This Row],[1]:[31]])</f>
        <v>0</v>
      </c>
      <c r="AJ35" s="43">
        <f>COUNTA(Janvier[[#This Row],[1]:[31]])</f>
        <v>0</v>
      </c>
      <c r="AK35" s="43">
        <f>COUNTA(Janvier[[#This Row],[1]:[31]])</f>
        <v>0</v>
      </c>
    </row>
    <row r="36" spans="2:37" ht="30" customHeight="1" x14ac:dyDescent="0.35">
      <c r="B36" s="36">
        <v>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43">
        <f>COUNTA(Janvier[[#This Row],[1]:[31]])</f>
        <v>0</v>
      </c>
      <c r="AI36" s="43">
        <f>COUNTA(Janvier[[#This Row],[1]:[31]])</f>
        <v>0</v>
      </c>
      <c r="AJ36" s="43">
        <f>COUNTA(Janvier[[#This Row],[1]:[31]])</f>
        <v>0</v>
      </c>
      <c r="AK36" s="43">
        <f>COUNTA(Janvier[[#This Row],[1]:[31]])</f>
        <v>0</v>
      </c>
    </row>
    <row r="37" spans="2:37" ht="30" customHeight="1" x14ac:dyDescent="0.35">
      <c r="B37" s="35"/>
      <c r="AH37" s="44">
        <f>SUM(AH7:AH36)</f>
        <v>122</v>
      </c>
      <c r="AI37" s="44">
        <f t="shared" ref="AI37:AK37" si="0">SUM(AI7:AI36)</f>
        <v>122</v>
      </c>
      <c r="AJ37" s="44">
        <f t="shared" si="0"/>
        <v>122</v>
      </c>
      <c r="AK37" s="44">
        <f t="shared" si="0"/>
        <v>122</v>
      </c>
    </row>
  </sheetData>
  <mergeCells count="6">
    <mergeCell ref="C4:AG4"/>
    <mergeCell ref="D2:E2"/>
    <mergeCell ref="G2:I2"/>
    <mergeCell ref="K2:L2"/>
    <mergeCell ref="N2:Q2"/>
    <mergeCell ref="S2:V2"/>
  </mergeCells>
  <conditionalFormatting sqref="C7:AG36">
    <cfRule type="expression" priority="2" stopIfTrue="1">
      <formula>C7=""</formula>
    </cfRule>
    <cfRule type="expression" dxfId="195" priority="7" stopIfTrue="1">
      <formula>C7=CléPersonnalisée2</formula>
    </cfRule>
    <cfRule type="expression" dxfId="194" priority="8" stopIfTrue="1">
      <formula>C7=CléPersonnalisée1</formula>
    </cfRule>
    <cfRule type="expression" dxfId="193" priority="9" stopIfTrue="1">
      <formula>C7=CléMaladie</formula>
    </cfRule>
    <cfRule type="expression" dxfId="192" priority="10" stopIfTrue="1">
      <formula>C7=CléPersonnel</formula>
    </cfRule>
    <cfRule type="expression" dxfId="191" priority="11" stopIfTrue="1">
      <formula>C7=CléCongé</formula>
    </cfRule>
  </conditionalFormatting>
  <conditionalFormatting sqref="AH7:AH36">
    <cfRule type="dataBar" priority="169">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I7:AK36">
    <cfRule type="dataBar" priority="1">
      <dataBar>
        <cfvo type="num" val="0"/>
        <cfvo type="num" val="31"/>
        <color theme="2" tint="-0.249977111117893"/>
      </dataBar>
      <extLst>
        <ext xmlns:x14="http://schemas.microsoft.com/office/spreadsheetml/2009/9/main" uri="{B025F937-C7B1-47D3-B67F-A62EFF666E3E}">
          <x14:id>{4C282AA1-6943-4774-99C0-3C4DB9EBB653}</x14:id>
        </ext>
      </extLst>
    </cfRule>
  </conditionalFormatting>
  <dataValidations xWindow="212" yWindow="576" count="15">
    <dataValidation allowBlank="1" showInputMessage="1" showErrorMessage="1" prompt="Entrez l’année dans cette cellule." sqref="AH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K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68"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4C282AA1-6943-4774-99C0-3C4DB9EBB653}">
            <x14:dataBar minLength="0" maxLength="100">
              <x14:cfvo type="num">
                <xm:f>0</xm:f>
              </x14:cfvo>
              <x14:cfvo type="num">
                <xm:f>31</xm:f>
              </x14:cfvo>
              <x14:negativeFillColor rgb="FFFF0000"/>
              <x14:axisColor rgb="FF000000"/>
            </x14:dataBar>
          </x14:cfRule>
          <xm:sqref>AI7:AK36</xm:sqref>
        </x14:conditionalFormatting>
      </x14:conditionalFormattings>
    </ext>
    <ext xmlns:x14="http://schemas.microsoft.com/office/spreadsheetml/2009/9/main" uri="{CCE6A557-97BC-4b89-ADB6-D9C93CAAB3DF}">
      <x14:dataValidations xmlns:xm="http://schemas.microsoft.com/office/excel/2006/main" xWindow="212" yWindow="576" count="1">
        <x14:dataValidation type="list" allowBlank="1" showInputMessage="1" showErrorMessage="1">
          <x14:formula1>
            <xm:f>'Noms des employés'!$B$4:$B$33</xm:f>
          </x14:formula1>
          <xm:sqref>B7:B36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H37"/>
  <sheetViews>
    <sheetView showGridLines="0" zoomScaleNormal="100" workbookViewId="0">
      <selection activeCell="C4" sqref="C4:AG4"/>
    </sheetView>
  </sheetViews>
  <sheetFormatPr baseColWidth="10" defaultColWidth="9.1796875" defaultRowHeight="30" customHeight="1" x14ac:dyDescent="0.35"/>
  <cols>
    <col min="1" max="1" width="2.7265625" style="9" customWidth="1"/>
    <col min="2" max="2" width="35.269531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row>
    <row r="4" spans="2:34" ht="30" customHeight="1" x14ac:dyDescent="0.35">
      <c r="B4" s="10" t="s">
        <v>49</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v>2023</v>
      </c>
    </row>
    <row r="5" spans="2:34" ht="15" customHeight="1" x14ac:dyDescent="0.35">
      <c r="B5" s="10"/>
      <c r="C5" s="1" t="str">
        <f>TEXT(WEEKDAY(DATE(AnnéeCalendrier,2,1),1),"jjj")</f>
        <v>mer</v>
      </c>
      <c r="D5" s="1" t="str">
        <f>TEXT(WEEKDAY(DATE(AnnéeCalendrier,2,2),1),"jjj")</f>
        <v>jeu</v>
      </c>
      <c r="E5" s="1" t="str">
        <f>TEXT(WEEKDAY(DATE(AnnéeCalendrier,2,3),1),"jjj")</f>
        <v>ven</v>
      </c>
      <c r="F5" s="1" t="str">
        <f>TEXT(WEEKDAY(DATE(AnnéeCalendrier,2,4),1),"jjj")</f>
        <v>sam</v>
      </c>
      <c r="G5" s="1" t="str">
        <f>TEXT(WEEKDAY(DATE(AnnéeCalendrier,2,5),1),"jjj")</f>
        <v>dim</v>
      </c>
      <c r="H5" s="1" t="str">
        <f>TEXT(WEEKDAY(DATE(AnnéeCalendrier,2,6),1),"jjj")</f>
        <v>lun</v>
      </c>
      <c r="I5" s="1" t="str">
        <f>TEXT(WEEKDAY(DATE(AnnéeCalendrier,2,7),1),"jjj")</f>
        <v>mar</v>
      </c>
      <c r="J5" s="1" t="str">
        <f>TEXT(WEEKDAY(DATE(AnnéeCalendrier,2,8),1),"jjj")</f>
        <v>mer</v>
      </c>
      <c r="K5" s="1" t="str">
        <f>TEXT(WEEKDAY(DATE(AnnéeCalendrier,2,9),1),"jjj")</f>
        <v>jeu</v>
      </c>
      <c r="L5" s="1" t="str">
        <f>TEXT(WEEKDAY(DATE(AnnéeCalendrier,2,10),1),"jjj")</f>
        <v>ven</v>
      </c>
      <c r="M5" s="1" t="str">
        <f>TEXT(WEEKDAY(DATE(AnnéeCalendrier,2,11),1),"jjj")</f>
        <v>sam</v>
      </c>
      <c r="N5" s="1" t="str">
        <f>TEXT(WEEKDAY(DATE(AnnéeCalendrier,2,12),1),"jjj")</f>
        <v>dim</v>
      </c>
      <c r="O5" s="1" t="str">
        <f>TEXT(WEEKDAY(DATE(AnnéeCalendrier,2,13),1),"jjj")</f>
        <v>lun</v>
      </c>
      <c r="P5" s="1" t="str">
        <f>TEXT(WEEKDAY(DATE(AnnéeCalendrier,2,14),1),"jjj")</f>
        <v>mar</v>
      </c>
      <c r="Q5" s="1" t="str">
        <f>TEXT(WEEKDAY(DATE(AnnéeCalendrier,2,15),1),"jjj")</f>
        <v>mer</v>
      </c>
      <c r="R5" s="1" t="str">
        <f>TEXT(WEEKDAY(DATE(AnnéeCalendrier,2,16),1),"jjj")</f>
        <v>jeu</v>
      </c>
      <c r="S5" s="1" t="str">
        <f>TEXT(WEEKDAY(DATE(AnnéeCalendrier,2,17),1),"jjj")</f>
        <v>ven</v>
      </c>
      <c r="T5" s="1" t="str">
        <f>TEXT(WEEKDAY(DATE(AnnéeCalendrier,2,18),1),"jjj")</f>
        <v>sam</v>
      </c>
      <c r="U5" s="1" t="str">
        <f>TEXT(WEEKDAY(DATE(AnnéeCalendrier,2,19),1),"jjj")</f>
        <v>dim</v>
      </c>
      <c r="V5" s="1" t="str">
        <f>TEXT(WEEKDAY(DATE(AnnéeCalendrier,2,20),1),"jjj")</f>
        <v>lun</v>
      </c>
      <c r="W5" s="1" t="str">
        <f>TEXT(WEEKDAY(DATE(AnnéeCalendrier,2,21),1),"jjj")</f>
        <v>mar</v>
      </c>
      <c r="X5" s="1" t="str">
        <f>TEXT(WEEKDAY(DATE(AnnéeCalendrier,2,22),1),"jjj")</f>
        <v>mer</v>
      </c>
      <c r="Y5" s="1" t="str">
        <f>TEXT(WEEKDAY(DATE(AnnéeCalendrier,2,23),1),"jjj")</f>
        <v>jeu</v>
      </c>
      <c r="Z5" s="1" t="str">
        <f>TEXT(WEEKDAY(DATE(AnnéeCalendrier,2,24),1),"jjj")</f>
        <v>ven</v>
      </c>
      <c r="AA5" s="1" t="str">
        <f>TEXT(WEEKDAY(DATE(AnnéeCalendrier,2,25),1),"jjj")</f>
        <v>sam</v>
      </c>
      <c r="AB5" s="1" t="str">
        <f>TEXT(WEEKDAY(DATE(AnnéeCalendrier,2,26),1),"jjj")</f>
        <v>dim</v>
      </c>
      <c r="AC5" s="1" t="str">
        <f>TEXT(WEEKDAY(DATE(AnnéeCalendrier,2,27),1),"jjj")</f>
        <v>lun</v>
      </c>
      <c r="AD5" s="1" t="str">
        <f>TEXT(WEEKDAY(DATE(AnnéeCalendrier,2,28),1),"jjj")</f>
        <v>mar</v>
      </c>
      <c r="AE5" s="1" t="str">
        <f>TEXT(WEEKDAY(DATE(AnnéeCalendrier,2,29),1),"jjj")</f>
        <v>mer</v>
      </c>
      <c r="AF5" s="1"/>
      <c r="AG5" s="1"/>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50</v>
      </c>
      <c r="AG6" s="2" t="s">
        <v>51</v>
      </c>
      <c r="AH6" s="14" t="s">
        <v>48</v>
      </c>
    </row>
    <row r="7" spans="2:34" ht="30" customHeight="1" x14ac:dyDescent="0.35">
      <c r="B7" s="38" t="s">
        <v>65</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COUNTA(Février[[#This Row],[1]:[29]])</f>
        <v>0</v>
      </c>
    </row>
    <row r="8" spans="2:34" ht="30" customHeight="1" x14ac:dyDescent="0.35">
      <c r="B8" s="39" t="s">
        <v>66</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COUNTA(Février[[#This Row],[1]:[29]])</f>
        <v>0</v>
      </c>
    </row>
    <row r="9" spans="2:34" ht="30" customHeight="1" x14ac:dyDescent="0.35">
      <c r="B9" s="41" t="s">
        <v>67</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COUNTA(Février[[#This Row],[1]:[29]])</f>
        <v>0</v>
      </c>
    </row>
    <row r="10" spans="2:34" ht="30" customHeight="1" x14ac:dyDescent="0.35">
      <c r="B10" s="40" t="s">
        <v>68</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COUNTA(Février[[#This Row],[1]:[29]])</f>
        <v>0</v>
      </c>
    </row>
    <row r="11" spans="2:34" ht="30" customHeight="1" x14ac:dyDescent="0.35">
      <c r="B11" s="41" t="s">
        <v>69</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COUNTA(Février[[#This Row],[1]:[29]])</f>
        <v>0</v>
      </c>
    </row>
    <row r="12" spans="2:34" ht="30" customHeight="1" x14ac:dyDescent="0.35">
      <c r="B12" s="40" t="s">
        <v>70</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8">
        <f>COUNTA(Février[[#This Row],[1]:[29]])</f>
        <v>0</v>
      </c>
    </row>
    <row r="13" spans="2:34" ht="30" customHeight="1" x14ac:dyDescent="0.35">
      <c r="B13" s="41" t="s">
        <v>71</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8">
        <f>COUNTA(Février[[#This Row],[1]:[29]])</f>
        <v>0</v>
      </c>
    </row>
    <row r="14" spans="2:34" ht="30" customHeight="1" x14ac:dyDescent="0.35">
      <c r="B14" s="42" t="s">
        <v>72</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8">
        <f>COUNTA(Février[[#This Row],[1]:[29]])</f>
        <v>0</v>
      </c>
    </row>
    <row r="15" spans="2:34" ht="30" customHeight="1" x14ac:dyDescent="0.35">
      <c r="B15" s="42" t="s">
        <v>73</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8">
        <f>COUNTA(Février[[#This Row],[1]:[29]])</f>
        <v>0</v>
      </c>
    </row>
    <row r="16" spans="2:34" ht="30" customHeight="1" x14ac:dyDescent="0.35">
      <c r="B16" s="42" t="s">
        <v>74</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8">
        <f>COUNTA(Février[[#This Row],[1]:[29]])</f>
        <v>0</v>
      </c>
    </row>
    <row r="17" spans="2:34" ht="30" customHeight="1" x14ac:dyDescent="0.35">
      <c r="B17" s="42" t="s">
        <v>75</v>
      </c>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8">
        <f>COUNTA(Février[[#This Row],[1]:[29]])</f>
        <v>0</v>
      </c>
    </row>
    <row r="18" spans="2:34" ht="30" customHeight="1" x14ac:dyDescent="0.35">
      <c r="B18" s="39" t="s">
        <v>76</v>
      </c>
      <c r="C18" s="2"/>
      <c r="D18" s="2"/>
      <c r="E18" s="2"/>
      <c r="F18" s="2"/>
      <c r="G18" s="2"/>
      <c r="H18" s="2"/>
      <c r="I18" s="2"/>
      <c r="J18" s="2"/>
      <c r="K18" s="2"/>
      <c r="L18" s="2"/>
      <c r="M18" s="2"/>
      <c r="N18" s="2"/>
      <c r="O18" s="2"/>
      <c r="P18" s="2"/>
      <c r="Q18" s="2"/>
      <c r="R18" s="2"/>
      <c r="S18" s="2"/>
      <c r="T18" s="2"/>
      <c r="U18" s="2"/>
      <c r="V18" s="2"/>
      <c r="W18" s="2"/>
      <c r="X18" s="2"/>
      <c r="Y18" s="2"/>
      <c r="Z18" s="2"/>
      <c r="AA18" s="2"/>
      <c r="AB18" s="2"/>
      <c r="AC18" s="2"/>
      <c r="AD18" s="2"/>
      <c r="AE18" s="2"/>
      <c r="AF18" s="2"/>
      <c r="AG18" s="2"/>
      <c r="AH18" s="8">
        <f>COUNTA(Février[[#This Row],[1]:[29]])</f>
        <v>0</v>
      </c>
    </row>
    <row r="19" spans="2:34" ht="30" customHeight="1" x14ac:dyDescent="0.35">
      <c r="B19" s="39" t="s">
        <v>77</v>
      </c>
      <c r="C19" s="2"/>
      <c r="D19" s="2"/>
      <c r="E19" s="2"/>
      <c r="F19" s="2"/>
      <c r="G19" s="2"/>
      <c r="H19" s="2"/>
      <c r="I19" s="2"/>
      <c r="J19" s="2"/>
      <c r="K19" s="2"/>
      <c r="L19" s="2"/>
      <c r="M19" s="2"/>
      <c r="N19" s="2"/>
      <c r="O19" s="2"/>
      <c r="P19" s="2"/>
      <c r="Q19" s="2"/>
      <c r="R19" s="2"/>
      <c r="S19" s="2"/>
      <c r="T19" s="2"/>
      <c r="U19" s="2"/>
      <c r="V19" s="2"/>
      <c r="W19" s="2"/>
      <c r="X19" s="2"/>
      <c r="Y19" s="2"/>
      <c r="Z19" s="2"/>
      <c r="AA19" s="2"/>
      <c r="AB19" s="2"/>
      <c r="AC19" s="2"/>
      <c r="AD19" s="2"/>
      <c r="AE19" s="2"/>
      <c r="AF19" s="2"/>
      <c r="AG19" s="2"/>
      <c r="AH19" s="8">
        <f>COUNTA(Février[[#This Row],[1]:[29]])</f>
        <v>0</v>
      </c>
    </row>
    <row r="20" spans="2:34" ht="30" customHeight="1" x14ac:dyDescent="0.35">
      <c r="B20" s="42" t="s">
        <v>78</v>
      </c>
      <c r="C20" s="2"/>
      <c r="D20" s="2"/>
      <c r="E20" s="2"/>
      <c r="F20" s="2"/>
      <c r="G20" s="2"/>
      <c r="H20" s="2"/>
      <c r="I20" s="2"/>
      <c r="J20" s="2"/>
      <c r="K20" s="2"/>
      <c r="L20" s="2"/>
      <c r="M20" s="2"/>
      <c r="N20" s="2"/>
      <c r="O20" s="2"/>
      <c r="P20" s="2"/>
      <c r="Q20" s="2"/>
      <c r="R20" s="2"/>
      <c r="S20" s="2"/>
      <c r="T20" s="2"/>
      <c r="U20" s="2"/>
      <c r="V20" s="2"/>
      <c r="W20" s="2"/>
      <c r="X20" s="2"/>
      <c r="Y20" s="2"/>
      <c r="Z20" s="2"/>
      <c r="AA20" s="2"/>
      <c r="AB20" s="2"/>
      <c r="AC20" s="2"/>
      <c r="AD20" s="2"/>
      <c r="AE20" s="2"/>
      <c r="AF20" s="2"/>
      <c r="AG20" s="2"/>
      <c r="AH20" s="8">
        <f>COUNTA(Février[[#This Row],[1]:[29]])</f>
        <v>0</v>
      </c>
    </row>
    <row r="21" spans="2:34" ht="30" customHeight="1" x14ac:dyDescent="0.35">
      <c r="B21" s="41" t="s">
        <v>79</v>
      </c>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2"/>
      <c r="AG21" s="2"/>
      <c r="AH21" s="8">
        <f>COUNTA(Février[[#This Row],[1]:[29]])</f>
        <v>0</v>
      </c>
    </row>
    <row r="22" spans="2:34" ht="30" customHeight="1" x14ac:dyDescent="0.35">
      <c r="B22" s="40" t="s">
        <v>80</v>
      </c>
      <c r="C22" s="2"/>
      <c r="D22" s="2"/>
      <c r="E22" s="2"/>
      <c r="F22" s="2"/>
      <c r="G22" s="2"/>
      <c r="H22" s="2"/>
      <c r="I22" s="2"/>
      <c r="J22" s="2"/>
      <c r="K22" s="2"/>
      <c r="L22" s="2"/>
      <c r="M22" s="2"/>
      <c r="N22" s="2"/>
      <c r="O22" s="2"/>
      <c r="P22" s="2"/>
      <c r="Q22" s="2"/>
      <c r="R22" s="2"/>
      <c r="S22" s="2"/>
      <c r="T22" s="2"/>
      <c r="U22" s="2"/>
      <c r="V22" s="2"/>
      <c r="W22" s="2"/>
      <c r="X22" s="2"/>
      <c r="Y22" s="2"/>
      <c r="Z22" s="2"/>
      <c r="AA22" s="2"/>
      <c r="AB22" s="2"/>
      <c r="AC22" s="2"/>
      <c r="AD22" s="2"/>
      <c r="AE22" s="2"/>
      <c r="AF22" s="2"/>
      <c r="AG22" s="2"/>
      <c r="AH22" s="8">
        <f>COUNTA(Février[[#This Row],[1]:[29]])</f>
        <v>0</v>
      </c>
    </row>
    <row r="23" spans="2:34" ht="30" customHeight="1" x14ac:dyDescent="0.35">
      <c r="B23" s="42" t="s">
        <v>81</v>
      </c>
      <c r="C23" s="2"/>
      <c r="D23" s="2"/>
      <c r="E23" s="2"/>
      <c r="F23" s="2"/>
      <c r="G23" s="2"/>
      <c r="H23" s="2"/>
      <c r="I23" s="2"/>
      <c r="J23" s="2"/>
      <c r="K23" s="2"/>
      <c r="L23" s="2"/>
      <c r="M23" s="2"/>
      <c r="N23" s="2"/>
      <c r="O23" s="2"/>
      <c r="P23" s="2"/>
      <c r="Q23" s="2"/>
      <c r="R23" s="2"/>
      <c r="S23" s="2"/>
      <c r="T23" s="2"/>
      <c r="U23" s="2"/>
      <c r="V23" s="2"/>
      <c r="W23" s="2"/>
      <c r="X23" s="2"/>
      <c r="Y23" s="2"/>
      <c r="Z23" s="2"/>
      <c r="AA23" s="2"/>
      <c r="AB23" s="2"/>
      <c r="AC23" s="2"/>
      <c r="AD23" s="2"/>
      <c r="AE23" s="2"/>
      <c r="AF23" s="2"/>
      <c r="AG23" s="2"/>
      <c r="AH23" s="8">
        <f>COUNTA(Février[[#This Row],[1]:[29]])</f>
        <v>0</v>
      </c>
    </row>
    <row r="24" spans="2:34" ht="30" customHeight="1" x14ac:dyDescent="0.35">
      <c r="B24" s="40" t="s">
        <v>82</v>
      </c>
      <c r="C24" s="2"/>
      <c r="D24" s="2"/>
      <c r="E24" s="2"/>
      <c r="F24" s="2"/>
      <c r="G24" s="2"/>
      <c r="H24" s="2"/>
      <c r="I24" s="2"/>
      <c r="J24" s="2"/>
      <c r="K24" s="2"/>
      <c r="L24" s="2"/>
      <c r="M24" s="2"/>
      <c r="N24" s="2"/>
      <c r="O24" s="2"/>
      <c r="P24" s="2"/>
      <c r="Q24" s="2"/>
      <c r="R24" s="2"/>
      <c r="S24" s="2"/>
      <c r="T24" s="2"/>
      <c r="U24" s="2"/>
      <c r="V24" s="2"/>
      <c r="W24" s="2"/>
      <c r="X24" s="2"/>
      <c r="Y24" s="2"/>
      <c r="Z24" s="2"/>
      <c r="AA24" s="2"/>
      <c r="AB24" s="2"/>
      <c r="AC24" s="2"/>
      <c r="AD24" s="2"/>
      <c r="AE24" s="2"/>
      <c r="AF24" s="2"/>
      <c r="AG24" s="2"/>
      <c r="AH24" s="8">
        <f>COUNTA(Février[[#This Row],[1]:[29]])</f>
        <v>0</v>
      </c>
    </row>
    <row r="25" spans="2:34" ht="30" customHeight="1" x14ac:dyDescent="0.35">
      <c r="B25" s="42" t="s">
        <v>83</v>
      </c>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8">
        <f>COUNTA(Février[[#This Row],[1]:[29]])</f>
        <v>0</v>
      </c>
    </row>
    <row r="26" spans="2:34" ht="30" customHeight="1" x14ac:dyDescent="0.35">
      <c r="B26" s="39" t="s">
        <v>84</v>
      </c>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8">
        <f>COUNTA(Février[[#This Row],[1]:[29]])</f>
        <v>0</v>
      </c>
    </row>
    <row r="27" spans="2:34" ht="30" customHeight="1" x14ac:dyDescent="0.35">
      <c r="B27" s="42" t="s">
        <v>85</v>
      </c>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8">
        <f>COUNTA(Février[[#This Row],[1]:[29]])</f>
        <v>0</v>
      </c>
    </row>
    <row r="28" spans="2:34" ht="30" customHeight="1" x14ac:dyDescent="0.35">
      <c r="B28" s="39" t="s">
        <v>86</v>
      </c>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8">
        <f>COUNTA(Février[[#This Row],[1]:[29]])</f>
        <v>0</v>
      </c>
    </row>
    <row r="29" spans="2:34" ht="30" customHeight="1" x14ac:dyDescent="0.35">
      <c r="B29" s="39" t="s">
        <v>87</v>
      </c>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8">
        <f>COUNTA(Février[[#This Row],[1]:[29]])</f>
        <v>0</v>
      </c>
    </row>
    <row r="30" spans="2:34" ht="30" customHeight="1" x14ac:dyDescent="0.35">
      <c r="B30" s="42" t="s">
        <v>88</v>
      </c>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8">
        <f>COUNTA(Février[[#This Row],[1]:[29]])</f>
        <v>0</v>
      </c>
    </row>
    <row r="31" spans="2:34" ht="30" customHeight="1" x14ac:dyDescent="0.35">
      <c r="B31" s="42" t="s">
        <v>89</v>
      </c>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8">
        <f>COUNTA(Février[[#This Row],[1]:[29]])</f>
        <v>0</v>
      </c>
    </row>
    <row r="32" spans="2:34" ht="30" customHeight="1" x14ac:dyDescent="0.35">
      <c r="B32" s="40" t="s">
        <v>90</v>
      </c>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8">
        <f>COUNTA(Février[[#This Row],[1]:[29]])</f>
        <v>0</v>
      </c>
    </row>
    <row r="33" spans="2:34" ht="30" customHeight="1" x14ac:dyDescent="0.35">
      <c r="B33" s="39" t="s">
        <v>91</v>
      </c>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8">
        <f>COUNTA(Février[[#This Row],[1]:[29]])</f>
        <v>0</v>
      </c>
    </row>
    <row r="34" spans="2:34" ht="30" customHeight="1" x14ac:dyDescent="0.35">
      <c r="B34" s="35">
        <v>28</v>
      </c>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8">
        <f>COUNTA(Février[[#This Row],[1]:[29]])</f>
        <v>0</v>
      </c>
    </row>
    <row r="35" spans="2:34" ht="30" customHeight="1" x14ac:dyDescent="0.35">
      <c r="B35" s="35">
        <v>29</v>
      </c>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8">
        <f>COUNTA(Février[[#This Row],[1]:[29]])</f>
        <v>0</v>
      </c>
    </row>
    <row r="36" spans="2:34" ht="30" customHeight="1" x14ac:dyDescent="0.35">
      <c r="B36" s="36">
        <v>30</v>
      </c>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8">
        <f>COUNTA(Février[[#This Row],[1]:[29]])</f>
        <v>0</v>
      </c>
    </row>
    <row r="37" spans="2:34" ht="30" customHeight="1" x14ac:dyDescent="0.35">
      <c r="B37" s="19" t="str">
        <f>NomMois&amp;" Total"</f>
        <v>Février Total</v>
      </c>
      <c r="C37" s="11">
        <f>SUBTOTAL(103,Février[1])</f>
        <v>0</v>
      </c>
      <c r="D37" s="11">
        <f>SUBTOTAL(103,Février[2])</f>
        <v>0</v>
      </c>
      <c r="E37" s="11">
        <f>SUBTOTAL(103,Février[3])</f>
        <v>0</v>
      </c>
      <c r="F37" s="11">
        <f>SUBTOTAL(103,Février[4])</f>
        <v>0</v>
      </c>
      <c r="G37" s="11">
        <f>SUBTOTAL(103,Février[5])</f>
        <v>0</v>
      </c>
      <c r="H37" s="11">
        <f>SUBTOTAL(103,Février[6])</f>
        <v>0</v>
      </c>
      <c r="I37" s="11">
        <f>SUBTOTAL(103,Février[7])</f>
        <v>0</v>
      </c>
      <c r="J37" s="11">
        <f>SUBTOTAL(103,Février[8])</f>
        <v>0</v>
      </c>
      <c r="K37" s="11">
        <f>SUBTOTAL(103,Février[9])</f>
        <v>0</v>
      </c>
      <c r="L37" s="11">
        <f>SUBTOTAL(103,Février[10])</f>
        <v>0</v>
      </c>
      <c r="M37" s="11">
        <f>SUBTOTAL(103,Février[11])</f>
        <v>0</v>
      </c>
      <c r="N37" s="11">
        <f>SUBTOTAL(103,Février[12])</f>
        <v>0</v>
      </c>
      <c r="O37" s="11">
        <f>SUBTOTAL(103,Février[13])</f>
        <v>0</v>
      </c>
      <c r="P37" s="11">
        <f>SUBTOTAL(103,Février[14])</f>
        <v>0</v>
      </c>
      <c r="Q37" s="11">
        <f>SUBTOTAL(103,Février[15])</f>
        <v>0</v>
      </c>
      <c r="R37" s="11">
        <f>SUBTOTAL(103,Février[16])</f>
        <v>0</v>
      </c>
      <c r="S37" s="11">
        <f>SUBTOTAL(103,Février[17])</f>
        <v>0</v>
      </c>
      <c r="T37" s="11">
        <f>SUBTOTAL(103,Février[18])</f>
        <v>0</v>
      </c>
      <c r="U37" s="11">
        <f>SUBTOTAL(103,Février[19])</f>
        <v>0</v>
      </c>
      <c r="V37" s="11">
        <f>SUBTOTAL(103,Février[20])</f>
        <v>0</v>
      </c>
      <c r="W37" s="11">
        <f>SUBTOTAL(103,Février[21])</f>
        <v>0</v>
      </c>
      <c r="X37" s="11">
        <f>SUBTOTAL(103,Février[22])</f>
        <v>0</v>
      </c>
      <c r="Y37" s="11">
        <f>SUBTOTAL(103,Février[23])</f>
        <v>0</v>
      </c>
      <c r="Z37" s="11">
        <f>SUBTOTAL(103,Février[24])</f>
        <v>0</v>
      </c>
      <c r="AA37" s="11">
        <f>SUBTOTAL(103,Février[25])</f>
        <v>0</v>
      </c>
      <c r="AB37" s="11">
        <f>SUBTOTAL(103,Février[26])</f>
        <v>0</v>
      </c>
      <c r="AC37" s="11">
        <f>SUBTOTAL(103,Février[27])</f>
        <v>0</v>
      </c>
      <c r="AD37" s="11">
        <f>SUBTOTAL(103,Février[28])</f>
        <v>0</v>
      </c>
      <c r="AE37" s="11">
        <f>SUBTOTAL(103,Février[29])</f>
        <v>0</v>
      </c>
      <c r="AF37" s="11"/>
      <c r="AG37" s="11"/>
      <c r="AH37" s="11">
        <f>SUBTOTAL(109,Février[Total des jours])</f>
        <v>0</v>
      </c>
    </row>
  </sheetData>
  <mergeCells count="6">
    <mergeCell ref="C4:AG4"/>
    <mergeCell ref="D2:E2"/>
    <mergeCell ref="G2:I2"/>
    <mergeCell ref="K2:L2"/>
    <mergeCell ref="N2:Q2"/>
    <mergeCell ref="S2:V2"/>
  </mergeCells>
  <conditionalFormatting sqref="AE6">
    <cfRule type="expression" dxfId="190" priority="16">
      <formula>MONTH(DATE(AnnéeCalendrier,2,29))&lt;&gt;2</formula>
    </cfRule>
  </conditionalFormatting>
  <conditionalFormatting sqref="AE5">
    <cfRule type="expression" dxfId="189" priority="15">
      <formula>MONTH(DATE(AnnéeCalendrier,2,29))&lt;&gt;2</formula>
    </cfRule>
  </conditionalFormatting>
  <conditionalFormatting sqref="C7:AG36">
    <cfRule type="expression" priority="2" stopIfTrue="1">
      <formula>C7=""</formula>
    </cfRule>
    <cfRule type="expression" dxfId="188" priority="3" stopIfTrue="1">
      <formula>C7=CléPersonnalisée2</formula>
    </cfRule>
  </conditionalFormatting>
  <conditionalFormatting sqref="C7:AG36">
    <cfRule type="expression" dxfId="187" priority="5" stopIfTrue="1">
      <formula>C7=CléPersonnalisée1</formula>
    </cfRule>
    <cfRule type="expression" dxfId="186" priority="6" stopIfTrue="1">
      <formula>C7=CléMaladie</formula>
    </cfRule>
    <cfRule type="expression" dxfId="185" priority="7" stopIfTrue="1">
      <formula>C7=CléPersonnel</formula>
    </cfRule>
    <cfRule type="expression" dxfId="184" priority="8" stopIfTrue="1">
      <formula>C7=CléCongé</formula>
    </cfRule>
  </conditionalFormatting>
  <conditionalFormatting sqref="AH7:AH36">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AH7:AH36</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14:formula1>
            <xm:f>'Noms des employés'!$B$4:$B$33</xm:f>
          </x14:formula1>
          <xm:sqref>B7:B36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H12"/>
  <sheetViews>
    <sheetView showGridLines="0" zoomScaleNormal="100" workbookViewId="0">
      <selection activeCell="AA14" sqref="AA14"/>
    </sheetView>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52</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TEXT(WEEKDAY(DATE(AnnéeCalendrier,3,1),1),"jjj")</f>
        <v>mer</v>
      </c>
      <c r="D5" s="1" t="str">
        <f>TEXT(WEEKDAY(DATE(AnnéeCalendrier,3,2),1),"jjj")</f>
        <v>jeu</v>
      </c>
      <c r="E5" s="1" t="str">
        <f>TEXT(WEEKDAY(DATE(AnnéeCalendrier,3,3),1),"jjj")</f>
        <v>ven</v>
      </c>
      <c r="F5" s="1" t="str">
        <f>TEXT(WEEKDAY(DATE(AnnéeCalendrier,3,4),1),"jjj")</f>
        <v>sam</v>
      </c>
      <c r="G5" s="1" t="str">
        <f>TEXT(WEEKDAY(DATE(AnnéeCalendrier,3,5),1),"jjj")</f>
        <v>dim</v>
      </c>
      <c r="H5" s="1" t="str">
        <f>TEXT(WEEKDAY(DATE(AnnéeCalendrier,3,6),1),"jjj")</f>
        <v>lun</v>
      </c>
      <c r="I5" s="1" t="str">
        <f>TEXT(WEEKDAY(DATE(AnnéeCalendrier,3,7),1),"jjj")</f>
        <v>mar</v>
      </c>
      <c r="J5" s="1" t="str">
        <f>TEXT(WEEKDAY(DATE(AnnéeCalendrier,3,8),1),"jjj")</f>
        <v>mer</v>
      </c>
      <c r="K5" s="1" t="str">
        <f>TEXT(WEEKDAY(DATE(AnnéeCalendrier,3,9),1),"jjj")</f>
        <v>jeu</v>
      </c>
      <c r="L5" s="1" t="str">
        <f>TEXT(WEEKDAY(DATE(AnnéeCalendrier,3,10),1),"jjj")</f>
        <v>ven</v>
      </c>
      <c r="M5" s="1" t="str">
        <f>TEXT(WEEKDAY(DATE(AnnéeCalendrier,3,11),1),"jjj")</f>
        <v>sam</v>
      </c>
      <c r="N5" s="1" t="str">
        <f>TEXT(WEEKDAY(DATE(AnnéeCalendrier,3,12),1),"jjj")</f>
        <v>dim</v>
      </c>
      <c r="O5" s="1" t="str">
        <f>TEXT(WEEKDAY(DATE(AnnéeCalendrier,3,13),1),"jjj")</f>
        <v>lun</v>
      </c>
      <c r="P5" s="1" t="str">
        <f>TEXT(WEEKDAY(DATE(AnnéeCalendrier,3,14),1),"jjj")</f>
        <v>mar</v>
      </c>
      <c r="Q5" s="1" t="str">
        <f>TEXT(WEEKDAY(DATE(AnnéeCalendrier,3,15),1),"jjj")</f>
        <v>mer</v>
      </c>
      <c r="R5" s="1" t="str">
        <f>TEXT(WEEKDAY(DATE(AnnéeCalendrier,3,16),1),"jjj")</f>
        <v>jeu</v>
      </c>
      <c r="S5" s="1" t="str">
        <f>TEXT(WEEKDAY(DATE(AnnéeCalendrier,3,17),1),"jjj")</f>
        <v>ven</v>
      </c>
      <c r="T5" s="1" t="str">
        <f>TEXT(WEEKDAY(DATE(AnnéeCalendrier,3,18),1),"jjj")</f>
        <v>sam</v>
      </c>
      <c r="U5" s="1" t="str">
        <f>TEXT(WEEKDAY(DATE(AnnéeCalendrier,3,19),1),"jjj")</f>
        <v>dim</v>
      </c>
      <c r="V5" s="1" t="str">
        <f>TEXT(WEEKDAY(DATE(AnnéeCalendrier,3,20),1),"jjj")</f>
        <v>lun</v>
      </c>
      <c r="W5" s="1" t="str">
        <f>TEXT(WEEKDAY(DATE(AnnéeCalendrier,3,21),1),"jjj")</f>
        <v>mar</v>
      </c>
      <c r="X5" s="1" t="str">
        <f>TEXT(WEEKDAY(DATE(AnnéeCalendrier,3,22),1),"jjj")</f>
        <v>mer</v>
      </c>
      <c r="Y5" s="1" t="str">
        <f>TEXT(WEEKDAY(DATE(AnnéeCalendrier,3,23),1),"jjj")</f>
        <v>jeu</v>
      </c>
      <c r="Z5" s="1" t="str">
        <f>TEXT(WEEKDAY(DATE(AnnéeCalendrier,3,24),1),"jjj")</f>
        <v>ven</v>
      </c>
      <c r="AA5" s="1" t="str">
        <f>TEXT(WEEKDAY(DATE(AnnéeCalendrier,3,25),1),"jjj")</f>
        <v>sam</v>
      </c>
      <c r="AB5" s="1" t="str">
        <f>TEXT(WEEKDAY(DATE(AnnéeCalendrier,3,26),1),"jjj")</f>
        <v>dim</v>
      </c>
      <c r="AC5" s="1" t="str">
        <f>TEXT(WEEKDAY(DATE(AnnéeCalendrier,3,27),1),"jjj")</f>
        <v>lun</v>
      </c>
      <c r="AD5" s="1" t="str">
        <f>TEXT(WEEKDAY(DATE(AnnéeCalendrier,3,28),1),"jjj")</f>
        <v>mar</v>
      </c>
      <c r="AE5" s="1" t="str">
        <f>TEXT(WEEKDAY(DATE(AnnéeCalendrier,3,29),1),"jjj")</f>
        <v>mer</v>
      </c>
      <c r="AF5" s="1" t="str">
        <f>TEXT(WEEKDAY(DATE(AnnéeCalendrier,3,30),1),"jjj")</f>
        <v>jeu</v>
      </c>
      <c r="AG5" s="1" t="str">
        <f>TEXT(WEEKDAY(DATE(AnnéeCalendrier,3,31),1),"jjj")</f>
        <v>ven</v>
      </c>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47</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COUNTA(Mars[[#This Row],[1]:[31]])</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COUNTA(Mars[[#This Row],[1]:[31]])</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COUNTA(Mars[[#This Row],[1]:[31]])</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COUNTA(Mars[[#This Row],[1]:[31]])</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COUNTA(Mars[[#This Row],[1]:[31]])</f>
        <v>0</v>
      </c>
    </row>
    <row r="12" spans="2:34" ht="30" customHeight="1" x14ac:dyDescent="0.35">
      <c r="B12" s="19" t="str">
        <f>NomMois&amp;" Total"</f>
        <v>Mars Total</v>
      </c>
      <c r="C12" s="11">
        <f>SUBTOTAL(103,Mars[1])</f>
        <v>0</v>
      </c>
      <c r="D12" s="11">
        <f>SUBTOTAL(103,Mars[2])</f>
        <v>0</v>
      </c>
      <c r="E12" s="11">
        <f>SUBTOTAL(103,Mars[3])</f>
        <v>0</v>
      </c>
      <c r="F12" s="11">
        <f>SUBTOTAL(103,Mars[4])</f>
        <v>0</v>
      </c>
      <c r="G12" s="11">
        <f>SUBTOTAL(103,Mars[5])</f>
        <v>0</v>
      </c>
      <c r="H12" s="11">
        <f>SUBTOTAL(103,Mars[6])</f>
        <v>0</v>
      </c>
      <c r="I12" s="11">
        <f>SUBTOTAL(103,Mars[7])</f>
        <v>0</v>
      </c>
      <c r="J12" s="11">
        <f>SUBTOTAL(103,Mars[8])</f>
        <v>0</v>
      </c>
      <c r="K12" s="11">
        <f>SUBTOTAL(103,Mars[9])</f>
        <v>0</v>
      </c>
      <c r="L12" s="11">
        <f>SUBTOTAL(103,Mars[10])</f>
        <v>0</v>
      </c>
      <c r="M12" s="11">
        <f>SUBTOTAL(103,Mars[11])</f>
        <v>0</v>
      </c>
      <c r="N12" s="11">
        <f>SUBTOTAL(103,Mars[12])</f>
        <v>0</v>
      </c>
      <c r="O12" s="11">
        <f>SUBTOTAL(103,Mars[13])</f>
        <v>0</v>
      </c>
      <c r="P12" s="11">
        <f>SUBTOTAL(103,Mars[14])</f>
        <v>0</v>
      </c>
      <c r="Q12" s="11">
        <f>SUBTOTAL(103,Mars[15])</f>
        <v>0</v>
      </c>
      <c r="R12" s="11">
        <f>SUBTOTAL(103,Mars[16])</f>
        <v>0</v>
      </c>
      <c r="S12" s="11">
        <f>SUBTOTAL(103,Mars[17])</f>
        <v>0</v>
      </c>
      <c r="T12" s="11">
        <f>SUBTOTAL(103,Mars[18])</f>
        <v>0</v>
      </c>
      <c r="U12" s="11">
        <f>SUBTOTAL(103,Mars[19])</f>
        <v>0</v>
      </c>
      <c r="V12" s="11">
        <f>SUBTOTAL(103,Mars[20])</f>
        <v>0</v>
      </c>
      <c r="W12" s="11">
        <f>SUBTOTAL(103,Mars[21])</f>
        <v>0</v>
      </c>
      <c r="X12" s="11">
        <f>SUBTOTAL(103,Mars[22])</f>
        <v>0</v>
      </c>
      <c r="Y12" s="11">
        <f>SUBTOTAL(103,Mars[23])</f>
        <v>0</v>
      </c>
      <c r="Z12" s="11">
        <f>SUBTOTAL(103,Mars[24])</f>
        <v>0</v>
      </c>
      <c r="AA12" s="11">
        <f>SUBTOTAL(103,Mars[25])</f>
        <v>0</v>
      </c>
      <c r="AB12" s="11">
        <f>SUBTOTAL(103,Mars[26])</f>
        <v>0</v>
      </c>
      <c r="AC12" s="11">
        <f>SUBTOTAL(103,Mars[27])</f>
        <v>0</v>
      </c>
      <c r="AD12" s="11">
        <f>SUBTOTAL(103,Mars[28])</f>
        <v>0</v>
      </c>
      <c r="AE12" s="11">
        <f>SUBTOTAL(103,Mars[29])</f>
        <v>0</v>
      </c>
      <c r="AF12" s="11">
        <f>SUBTOTAL(103,Mars[30])</f>
        <v>0</v>
      </c>
      <c r="AG12" s="11">
        <f>SUBTOTAL(103,Mars[31])</f>
        <v>0</v>
      </c>
      <c r="AH12" s="11">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83" priority="2" stopIfTrue="1">
      <formula>C7=CléPersonnalisée2</formula>
    </cfRule>
    <cfRule type="expression" dxfId="182" priority="3" stopIfTrue="1">
      <formula>C7=CléPersonnalisée1</formula>
    </cfRule>
    <cfRule type="expression" dxfId="181" priority="4" stopIfTrue="1">
      <formula>C7=CléMaladie</formula>
    </cfRule>
    <cfRule type="expression" dxfId="180" priority="5" stopIfTrue="1">
      <formula>C7=CléPersonnel</formula>
    </cfRule>
    <cfRule type="expression" dxfId="179"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election activeCell="U16" sqref="U16"/>
    </sheetView>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53</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TEXT(WEEKDAY(DATE(AnnéeCalendrier,4,1),1),"jjj")</f>
        <v>sam</v>
      </c>
      <c r="D5" s="1" t="str">
        <f>TEXT(WEEKDAY(DATE(AnnéeCalendrier,4,2),1),"jjj")</f>
        <v>dim</v>
      </c>
      <c r="E5" s="1" t="str">
        <f>TEXT(WEEKDAY(DATE(AnnéeCalendrier,4,3),1),"jjj")</f>
        <v>lun</v>
      </c>
      <c r="F5" s="1" t="str">
        <f>TEXT(WEEKDAY(DATE(AnnéeCalendrier,4,4),1),"jjj")</f>
        <v>mar</v>
      </c>
      <c r="G5" s="1" t="str">
        <f>TEXT(WEEKDAY(DATE(AnnéeCalendrier,4,5),1),"jjj")</f>
        <v>mer</v>
      </c>
      <c r="H5" s="1" t="str">
        <f>TEXT(WEEKDAY(DATE(AnnéeCalendrier,4,6),1),"jjj")</f>
        <v>jeu</v>
      </c>
      <c r="I5" s="1" t="str">
        <f>TEXT(WEEKDAY(DATE(AnnéeCalendrier,4,7),1),"jjj")</f>
        <v>ven</v>
      </c>
      <c r="J5" s="1" t="str">
        <f>TEXT(WEEKDAY(DATE(AnnéeCalendrier,4,8),1),"jjj")</f>
        <v>sam</v>
      </c>
      <c r="K5" s="1" t="str">
        <f>TEXT(WEEKDAY(DATE(AnnéeCalendrier,4,9),1),"jjj")</f>
        <v>dim</v>
      </c>
      <c r="L5" s="1" t="str">
        <f>TEXT(WEEKDAY(DATE(AnnéeCalendrier,4,10),1),"jjj")</f>
        <v>lun</v>
      </c>
      <c r="M5" s="1" t="str">
        <f>TEXT(WEEKDAY(DATE(AnnéeCalendrier,4,11),1),"jjj")</f>
        <v>mar</v>
      </c>
      <c r="N5" s="1" t="str">
        <f>TEXT(WEEKDAY(DATE(AnnéeCalendrier,4,12),1),"jjj")</f>
        <v>mer</v>
      </c>
      <c r="O5" s="1" t="str">
        <f>TEXT(WEEKDAY(DATE(AnnéeCalendrier,4,13),1),"jjj")</f>
        <v>jeu</v>
      </c>
      <c r="P5" s="1" t="str">
        <f>TEXT(WEEKDAY(DATE(AnnéeCalendrier,4,14),1),"jjj")</f>
        <v>ven</v>
      </c>
      <c r="Q5" s="1" t="str">
        <f>TEXT(WEEKDAY(DATE(AnnéeCalendrier,4,15),1),"jjj")</f>
        <v>sam</v>
      </c>
      <c r="R5" s="1" t="str">
        <f>TEXT(WEEKDAY(DATE(AnnéeCalendrier,4,16),1),"jjj")</f>
        <v>dim</v>
      </c>
      <c r="S5" s="1" t="str">
        <f>TEXT(WEEKDAY(DATE(AnnéeCalendrier,4,17),1),"jjj")</f>
        <v>lun</v>
      </c>
      <c r="T5" s="1" t="str">
        <f>TEXT(WEEKDAY(DATE(AnnéeCalendrier,4,18),1),"jjj")</f>
        <v>mar</v>
      </c>
      <c r="U5" s="1" t="str">
        <f>TEXT(WEEKDAY(DATE(AnnéeCalendrier,4,19),1),"jjj")</f>
        <v>mer</v>
      </c>
      <c r="V5" s="1" t="str">
        <f>TEXT(WEEKDAY(DATE(AnnéeCalendrier,4,20),1),"jjj")</f>
        <v>jeu</v>
      </c>
      <c r="W5" s="1" t="str">
        <f>TEXT(WEEKDAY(DATE(AnnéeCalendrier,4,21),1),"jjj")</f>
        <v>ven</v>
      </c>
      <c r="X5" s="1" t="str">
        <f>TEXT(WEEKDAY(DATE(AnnéeCalendrier,4,22),1),"jjj")</f>
        <v>sam</v>
      </c>
      <c r="Y5" s="1" t="str">
        <f>TEXT(WEEKDAY(DATE(AnnéeCalendrier,4,23),1),"jjj")</f>
        <v>dim</v>
      </c>
      <c r="Z5" s="1" t="str">
        <f>TEXT(WEEKDAY(DATE(AnnéeCalendrier,4,24),1),"jjj")</f>
        <v>lun</v>
      </c>
      <c r="AA5" s="1" t="str">
        <f>TEXT(WEEKDAY(DATE(AnnéeCalendrier,4,25),1),"jjj")</f>
        <v>mar</v>
      </c>
      <c r="AB5" s="1" t="str">
        <f>TEXT(WEEKDAY(DATE(AnnéeCalendrier,4,26),1),"jjj")</f>
        <v>mer</v>
      </c>
      <c r="AC5" s="1" t="str">
        <f>TEXT(WEEKDAY(DATE(AnnéeCalendrier,4,27),1),"jjj")</f>
        <v>jeu</v>
      </c>
      <c r="AD5" s="1" t="str">
        <f>TEXT(WEEKDAY(DATE(AnnéeCalendrier,4,28),1),"jjj")</f>
        <v>ven</v>
      </c>
      <c r="AE5" s="1" t="str">
        <f>TEXT(WEEKDAY(DATE(AnnéeCalendrier,4,29),1),"jjj")</f>
        <v>sam</v>
      </c>
      <c r="AF5" s="1" t="str">
        <f>TEXT(WEEKDAY(DATE(AnnéeCalendrier,4,30),1),"jjj")</f>
        <v>dim</v>
      </c>
      <c r="AG5" s="1"/>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1" t="s">
        <v>50</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COUNTA(Avril[[#This Row],[1]:[30]])</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COUNTA(Avril[[#This Row],[1]:[30]])</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COUNTA(Avril[[#This Row],[1]:[30]])</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COUNTA(Avril[[#This Row],[1]:[30]])</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COUNTA(Avril[[#This Row],[1]:[30]])</f>
        <v>0</v>
      </c>
    </row>
    <row r="12" spans="2:34" ht="30" customHeight="1" x14ac:dyDescent="0.35">
      <c r="B12" s="19" t="str">
        <f>NomMois&amp;" Total"</f>
        <v>Avril Total</v>
      </c>
      <c r="C12" s="11">
        <f>SUBTOTAL(103,Avril[1])</f>
        <v>0</v>
      </c>
      <c r="D12" s="11">
        <f>SUBTOTAL(103,Avril[2])</f>
        <v>0</v>
      </c>
      <c r="E12" s="11">
        <f>SUBTOTAL(103,Avril[3])</f>
        <v>0</v>
      </c>
      <c r="F12" s="11">
        <f>SUBTOTAL(103,Avril[4])</f>
        <v>0</v>
      </c>
      <c r="G12" s="11">
        <f>SUBTOTAL(103,Avril[5])</f>
        <v>0</v>
      </c>
      <c r="H12" s="11">
        <f>SUBTOTAL(103,Avril[6])</f>
        <v>0</v>
      </c>
      <c r="I12" s="11">
        <f>SUBTOTAL(103,Avril[7])</f>
        <v>0</v>
      </c>
      <c r="J12" s="11">
        <f>SUBTOTAL(103,Avril[8])</f>
        <v>0</v>
      </c>
      <c r="K12" s="11">
        <f>SUBTOTAL(103,Avril[9])</f>
        <v>0</v>
      </c>
      <c r="L12" s="11">
        <f>SUBTOTAL(103,Avril[10])</f>
        <v>0</v>
      </c>
      <c r="M12" s="11">
        <f>SUBTOTAL(103,Avril[11])</f>
        <v>0</v>
      </c>
      <c r="N12" s="11">
        <f>SUBTOTAL(103,Avril[12])</f>
        <v>0</v>
      </c>
      <c r="O12" s="11">
        <f>SUBTOTAL(103,Avril[13])</f>
        <v>0</v>
      </c>
      <c r="P12" s="11">
        <f>SUBTOTAL(103,Avril[14])</f>
        <v>0</v>
      </c>
      <c r="Q12" s="11">
        <f>SUBTOTAL(103,Avril[15])</f>
        <v>0</v>
      </c>
      <c r="R12" s="11">
        <f>SUBTOTAL(103,Avril[16])</f>
        <v>0</v>
      </c>
      <c r="S12" s="11">
        <f>SUBTOTAL(103,Avril[17])</f>
        <v>0</v>
      </c>
      <c r="T12" s="11">
        <f>SUBTOTAL(103,Avril[18])</f>
        <v>0</v>
      </c>
      <c r="U12" s="11">
        <f>SUBTOTAL(103,Avril[19])</f>
        <v>0</v>
      </c>
      <c r="V12" s="11">
        <f>SUBTOTAL(103,Avril[20])</f>
        <v>0</v>
      </c>
      <c r="W12" s="11">
        <f>SUBTOTAL(103,Avril[21])</f>
        <v>0</v>
      </c>
      <c r="X12" s="11">
        <f>SUBTOTAL(103,Avril[22])</f>
        <v>0</v>
      </c>
      <c r="Y12" s="11">
        <f>SUBTOTAL(103,Avril[23])</f>
        <v>0</v>
      </c>
      <c r="Z12" s="11">
        <f>SUBTOTAL(103,Avril[24])</f>
        <v>0</v>
      </c>
      <c r="AA12" s="11">
        <f>SUBTOTAL(103,Avril[25])</f>
        <v>0</v>
      </c>
      <c r="AB12" s="11">
        <f>SUBTOTAL(103,Avril[26])</f>
        <v>0</v>
      </c>
      <c r="AC12" s="11">
        <f>SUBTOTAL(103,Avril[27])</f>
        <v>0</v>
      </c>
      <c r="AD12" s="11">
        <f>SUBTOTAL(103,Avril[28])</f>
        <v>0</v>
      </c>
      <c r="AE12" s="11">
        <f>SUBTOTAL(103,Avril[29])</f>
        <v>0</v>
      </c>
      <c r="AF12" s="11">
        <f>SUBTOTAL(103,Avril[30])</f>
        <v>0</v>
      </c>
      <c r="AG12" s="11">
        <f>SUBTOTAL(103,Avril[30])</f>
        <v>0</v>
      </c>
      <c r="AH12" s="11">
        <f>SUBTOTAL(109,Avril[Total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78" priority="2" stopIfTrue="1">
      <formula>C7=CléPersonnalisée2</formula>
    </cfRule>
    <cfRule type="expression" dxfId="177" priority="3" stopIfTrue="1">
      <formula>C7=CléPersonnalisée1</formula>
    </cfRule>
    <cfRule type="expression" dxfId="176" priority="4" stopIfTrue="1">
      <formula>C7=CléMaladie</formula>
    </cfRule>
    <cfRule type="expression" dxfId="175" priority="5" stopIfTrue="1">
      <formula>C7=CléPersonnel</formula>
    </cfRule>
    <cfRule type="expression" dxfId="17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sheetPr>
  <dimension ref="A1:AH12"/>
  <sheetViews>
    <sheetView showGridLines="0" zoomScaleNormal="100" workbookViewId="0">
      <selection activeCell="E12" sqref="E12"/>
    </sheetView>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54</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TEXT(WEEKDAY(DATE(AnnéeCalendrier,5,1),1),"jjj")</f>
        <v>lun</v>
      </c>
      <c r="D5" s="1" t="str">
        <f>TEXT(WEEKDAY(DATE(AnnéeCalendrier,5,2),1),"jjj")</f>
        <v>mar</v>
      </c>
      <c r="E5" s="1" t="str">
        <f>TEXT(WEEKDAY(DATE(AnnéeCalendrier,5,3),1),"jjj")</f>
        <v>mer</v>
      </c>
      <c r="F5" s="1" t="str">
        <f>TEXT(WEEKDAY(DATE(AnnéeCalendrier,5,4),1),"jjj")</f>
        <v>jeu</v>
      </c>
      <c r="G5" s="1" t="str">
        <f>TEXT(WEEKDAY(DATE(AnnéeCalendrier,5,5),1),"jjj")</f>
        <v>ven</v>
      </c>
      <c r="H5" s="1" t="str">
        <f>TEXT(WEEKDAY(DATE(AnnéeCalendrier,5,6),1),"jjj")</f>
        <v>sam</v>
      </c>
      <c r="I5" s="1" t="str">
        <f>TEXT(WEEKDAY(DATE(AnnéeCalendrier,5,7),1),"jjj")</f>
        <v>dim</v>
      </c>
      <c r="J5" s="1" t="str">
        <f>TEXT(WEEKDAY(DATE(AnnéeCalendrier,5,8),1),"jjj")</f>
        <v>lun</v>
      </c>
      <c r="K5" s="1" t="str">
        <f>TEXT(WEEKDAY(DATE(AnnéeCalendrier,5,9),1),"jjj")</f>
        <v>mar</v>
      </c>
      <c r="L5" s="1" t="str">
        <f>TEXT(WEEKDAY(DATE(AnnéeCalendrier,5,10),1),"jjj")</f>
        <v>mer</v>
      </c>
      <c r="M5" s="1" t="str">
        <f>TEXT(WEEKDAY(DATE(AnnéeCalendrier,5,11),1),"jjj")</f>
        <v>jeu</v>
      </c>
      <c r="N5" s="1" t="str">
        <f>TEXT(WEEKDAY(DATE(AnnéeCalendrier,5,12),1),"jjj")</f>
        <v>ven</v>
      </c>
      <c r="O5" s="1" t="str">
        <f>TEXT(WEEKDAY(DATE(AnnéeCalendrier,5,13),1),"jjj")</f>
        <v>sam</v>
      </c>
      <c r="P5" s="1" t="str">
        <f>TEXT(WEEKDAY(DATE(AnnéeCalendrier,5,14),1),"jjj")</f>
        <v>dim</v>
      </c>
      <c r="Q5" s="1" t="str">
        <f>TEXT(WEEKDAY(DATE(AnnéeCalendrier,5,15),1),"jjj")</f>
        <v>lun</v>
      </c>
      <c r="R5" s="1" t="str">
        <f>TEXT(WEEKDAY(DATE(AnnéeCalendrier,5,16),1),"jjj")</f>
        <v>mar</v>
      </c>
      <c r="S5" s="1" t="str">
        <f>TEXT(WEEKDAY(DATE(AnnéeCalendrier,5,17),1),"jjj")</f>
        <v>mer</v>
      </c>
      <c r="T5" s="1" t="str">
        <f>TEXT(WEEKDAY(DATE(AnnéeCalendrier,5,18),1),"jjj")</f>
        <v>jeu</v>
      </c>
      <c r="U5" s="1" t="str">
        <f>TEXT(WEEKDAY(DATE(AnnéeCalendrier,5,19),1),"jjj")</f>
        <v>ven</v>
      </c>
      <c r="V5" s="1" t="str">
        <f>TEXT(WEEKDAY(DATE(AnnéeCalendrier,5,20),1),"jjj")</f>
        <v>sam</v>
      </c>
      <c r="W5" s="1" t="str">
        <f>TEXT(WEEKDAY(DATE(AnnéeCalendrier,5,21),1),"jjj")</f>
        <v>dim</v>
      </c>
      <c r="X5" s="1" t="str">
        <f>TEXT(WEEKDAY(DATE(AnnéeCalendrier,5,22),1),"jjj")</f>
        <v>lun</v>
      </c>
      <c r="Y5" s="1" t="str">
        <f>TEXT(WEEKDAY(DATE(AnnéeCalendrier,5,23),1),"jjj")</f>
        <v>mar</v>
      </c>
      <c r="Z5" s="1" t="str">
        <f>TEXT(WEEKDAY(DATE(AnnéeCalendrier,5,24),1),"jjj")</f>
        <v>mer</v>
      </c>
      <c r="AA5" s="1" t="str">
        <f>TEXT(WEEKDAY(DATE(AnnéeCalendrier,5,25),1),"jjj")</f>
        <v>jeu</v>
      </c>
      <c r="AB5" s="1" t="str">
        <f>TEXT(WEEKDAY(DATE(AnnéeCalendrier,5,26),1),"jjj")</f>
        <v>ven</v>
      </c>
      <c r="AC5" s="1" t="str">
        <f>TEXT(WEEKDAY(DATE(AnnéeCalendrier,5,27),1),"jjj")</f>
        <v>sam</v>
      </c>
      <c r="AD5" s="1" t="str">
        <f>TEXT(WEEKDAY(DATE(AnnéeCalendrier,5,28),1),"jjj")</f>
        <v>dim</v>
      </c>
      <c r="AE5" s="1" t="str">
        <f>TEXT(WEEKDAY(DATE(AnnéeCalendrier,5,29),1),"jjj")</f>
        <v>lun</v>
      </c>
      <c r="AF5" s="1" t="str">
        <f>TEXT(WEEKDAY(DATE(AnnéeCalendrier,5,30),1),"jjj")</f>
        <v>mar</v>
      </c>
      <c r="AG5" s="1" t="str">
        <f>TEXT(WEEKDAY(DATE(AnnéeCalendrier,5,31),1),"jjj")</f>
        <v>mer</v>
      </c>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47</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COUNTA(Mai[[#This Row],[1]:[31]])</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COUNTA(Mai[[#This Row],[1]:[31]])</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COUNTA(Mai[[#This Row],[1]:[31]])</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COUNTA(Mai[[#This Row],[1]:[31]])</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COUNTA(Mai[[#This Row],[1]:[31]])</f>
        <v>0</v>
      </c>
    </row>
    <row r="12" spans="2:34" ht="30" customHeight="1" x14ac:dyDescent="0.35">
      <c r="B12" s="19" t="str">
        <f>NomMois&amp;" Total"</f>
        <v>Mai Total</v>
      </c>
      <c r="C12" s="11">
        <f>SUBTOTAL(103,Mai[1])</f>
        <v>0</v>
      </c>
      <c r="D12" s="11">
        <f>SUBTOTAL(103,Mai[2])</f>
        <v>0</v>
      </c>
      <c r="E12" s="11">
        <f>SUBTOTAL(103,Mai[3])</f>
        <v>0</v>
      </c>
      <c r="F12" s="11">
        <f>SUBTOTAL(103,Mai[4])</f>
        <v>0</v>
      </c>
      <c r="G12" s="11">
        <f>SUBTOTAL(103,Mai[5])</f>
        <v>0</v>
      </c>
      <c r="H12" s="11">
        <f>SUBTOTAL(103,Mai[6])</f>
        <v>0</v>
      </c>
      <c r="I12" s="11">
        <f>SUBTOTAL(103,Mai[7])</f>
        <v>0</v>
      </c>
      <c r="J12" s="11">
        <f>SUBTOTAL(103,Mai[8])</f>
        <v>0</v>
      </c>
      <c r="K12" s="11">
        <f>SUBTOTAL(103,Mai[9])</f>
        <v>0</v>
      </c>
      <c r="L12" s="11">
        <f>SUBTOTAL(103,Mai[10])</f>
        <v>0</v>
      </c>
      <c r="M12" s="11">
        <f>SUBTOTAL(103,Mai[11])</f>
        <v>0</v>
      </c>
      <c r="N12" s="11">
        <f>SUBTOTAL(103,Mai[12])</f>
        <v>0</v>
      </c>
      <c r="O12" s="11">
        <f>SUBTOTAL(103,Mai[13])</f>
        <v>0</v>
      </c>
      <c r="P12" s="11">
        <f>SUBTOTAL(103,Mai[14])</f>
        <v>0</v>
      </c>
      <c r="Q12" s="11">
        <f>SUBTOTAL(103,Mai[15])</f>
        <v>0</v>
      </c>
      <c r="R12" s="11">
        <f>SUBTOTAL(103,Mai[16])</f>
        <v>0</v>
      </c>
      <c r="S12" s="11">
        <f>SUBTOTAL(103,Mai[17])</f>
        <v>0</v>
      </c>
      <c r="T12" s="11">
        <f>SUBTOTAL(103,Mai[18])</f>
        <v>0</v>
      </c>
      <c r="U12" s="11">
        <f>SUBTOTAL(103,Mai[19])</f>
        <v>0</v>
      </c>
      <c r="V12" s="11">
        <f>SUBTOTAL(103,Mai[20])</f>
        <v>0</v>
      </c>
      <c r="W12" s="11">
        <f>SUBTOTAL(103,Mai[21])</f>
        <v>0</v>
      </c>
      <c r="X12" s="11">
        <f>SUBTOTAL(103,Mai[22])</f>
        <v>0</v>
      </c>
      <c r="Y12" s="11">
        <f>SUBTOTAL(103,Mai[23])</f>
        <v>0</v>
      </c>
      <c r="Z12" s="11">
        <f>SUBTOTAL(103,Mai[24])</f>
        <v>0</v>
      </c>
      <c r="AA12" s="11">
        <f>SUBTOTAL(103,Mai[25])</f>
        <v>0</v>
      </c>
      <c r="AB12" s="11">
        <f>SUBTOTAL(103,Mai[26])</f>
        <v>0</v>
      </c>
      <c r="AC12" s="11">
        <f>SUBTOTAL(103,Mai[27])</f>
        <v>0</v>
      </c>
      <c r="AD12" s="11">
        <f>SUBTOTAL(103,Mai[28])</f>
        <v>0</v>
      </c>
      <c r="AE12" s="11">
        <f>SUBTOTAL(103,Mai[29])</f>
        <v>0</v>
      </c>
      <c r="AF12" s="11">
        <f>SUBTOTAL(103,Mai[30])</f>
        <v>0</v>
      </c>
      <c r="AG12" s="11">
        <f>SUBTOTAL(103,Mai[31])</f>
        <v>0</v>
      </c>
      <c r="AH12" s="11">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73" priority="2" stopIfTrue="1">
      <formula>C7=CléPersonnalisée2</formula>
    </cfRule>
    <cfRule type="expression" dxfId="172" priority="3" stopIfTrue="1">
      <formula>C7=CléPersonnalisée1</formula>
    </cfRule>
    <cfRule type="expression" dxfId="171" priority="4" stopIfTrue="1">
      <formula>C7=CléMaladie</formula>
    </cfRule>
    <cfRule type="expression" dxfId="170" priority="5" stopIfTrue="1">
      <formula>C7=CléPersonnel</formula>
    </cfRule>
    <cfRule type="expression" dxfId="169"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sheetPr>
  <dimension ref="A1:AH12"/>
  <sheetViews>
    <sheetView showGridLines="0" zoomScaleNormal="100" workbookViewId="0"/>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55</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TEXT(WEEKDAY(DATE(AnnéeCalendrier,6,1),1),"jjj")</f>
        <v>jeu</v>
      </c>
      <c r="D5" s="1" t="str">
        <f>TEXT(WEEKDAY(DATE(AnnéeCalendrier,6,2),1),"jjj")</f>
        <v>ven</v>
      </c>
      <c r="E5" s="1" t="str">
        <f>TEXT(WEEKDAY(DATE(AnnéeCalendrier,6,3),1),"jjj")</f>
        <v>sam</v>
      </c>
      <c r="F5" s="1" t="str">
        <f>TEXT(WEEKDAY(DATE(AnnéeCalendrier,6,4),1),"jjj")</f>
        <v>dim</v>
      </c>
      <c r="G5" s="1" t="str">
        <f>TEXT(WEEKDAY(DATE(AnnéeCalendrier,6,5),1),"jjj")</f>
        <v>lun</v>
      </c>
      <c r="H5" s="1" t="str">
        <f>TEXT(WEEKDAY(DATE(AnnéeCalendrier,6,6),1),"jjj")</f>
        <v>mar</v>
      </c>
      <c r="I5" s="1" t="str">
        <f>TEXT(WEEKDAY(DATE(AnnéeCalendrier,6,7),1),"jjj")</f>
        <v>mer</v>
      </c>
      <c r="J5" s="1" t="str">
        <f>TEXT(WEEKDAY(DATE(AnnéeCalendrier,6,8),1),"jjj")</f>
        <v>jeu</v>
      </c>
      <c r="K5" s="1" t="str">
        <f>TEXT(WEEKDAY(DATE(AnnéeCalendrier,6,9),1),"jjj")</f>
        <v>ven</v>
      </c>
      <c r="L5" s="1" t="str">
        <f>TEXT(WEEKDAY(DATE(AnnéeCalendrier,6,10),1),"jjj")</f>
        <v>sam</v>
      </c>
      <c r="M5" s="1" t="str">
        <f>TEXT(WEEKDAY(DATE(AnnéeCalendrier,6,11),1),"jjj")</f>
        <v>dim</v>
      </c>
      <c r="N5" s="1" t="str">
        <f>TEXT(WEEKDAY(DATE(AnnéeCalendrier,6,12),1),"jjj")</f>
        <v>lun</v>
      </c>
      <c r="O5" s="1" t="str">
        <f>TEXT(WEEKDAY(DATE(AnnéeCalendrier,6,13),1),"jjj")</f>
        <v>mar</v>
      </c>
      <c r="P5" s="1" t="str">
        <f>TEXT(WEEKDAY(DATE(AnnéeCalendrier,6,14),1),"jjj")</f>
        <v>mer</v>
      </c>
      <c r="Q5" s="1" t="str">
        <f>TEXT(WEEKDAY(DATE(AnnéeCalendrier,6,15),1),"jjj")</f>
        <v>jeu</v>
      </c>
      <c r="R5" s="1" t="str">
        <f>TEXT(WEEKDAY(DATE(AnnéeCalendrier,6,16),1),"jjj")</f>
        <v>ven</v>
      </c>
      <c r="S5" s="1" t="str">
        <f>TEXT(WEEKDAY(DATE(AnnéeCalendrier,6,17),1),"jjj")</f>
        <v>sam</v>
      </c>
      <c r="T5" s="1" t="str">
        <f>TEXT(WEEKDAY(DATE(AnnéeCalendrier,6,18),1),"jjj")</f>
        <v>dim</v>
      </c>
      <c r="U5" s="1" t="str">
        <f>TEXT(WEEKDAY(DATE(AnnéeCalendrier,6,19),1),"jjj")</f>
        <v>lun</v>
      </c>
      <c r="V5" s="1" t="str">
        <f>TEXT(WEEKDAY(DATE(AnnéeCalendrier,6,20),1),"jjj")</f>
        <v>mar</v>
      </c>
      <c r="W5" s="1" t="str">
        <f>TEXT(WEEKDAY(DATE(AnnéeCalendrier,6,21),1),"jjj")</f>
        <v>mer</v>
      </c>
      <c r="X5" s="1" t="str">
        <f>TEXT(WEEKDAY(DATE(AnnéeCalendrier,6,22),1),"jjj")</f>
        <v>jeu</v>
      </c>
      <c r="Y5" s="1" t="str">
        <f>TEXT(WEEKDAY(DATE(AnnéeCalendrier,6,23),1),"jjj")</f>
        <v>ven</v>
      </c>
      <c r="Z5" s="1" t="str">
        <f>TEXT(WEEKDAY(DATE(AnnéeCalendrier,6,24),1),"jjj")</f>
        <v>sam</v>
      </c>
      <c r="AA5" s="1" t="str">
        <f>TEXT(WEEKDAY(DATE(AnnéeCalendrier,6,25),1),"jjj")</f>
        <v>dim</v>
      </c>
      <c r="AB5" s="1" t="str">
        <f>TEXT(WEEKDAY(DATE(AnnéeCalendrier,6,26),1),"jjj")</f>
        <v>lun</v>
      </c>
      <c r="AC5" s="1" t="str">
        <f>TEXT(WEEKDAY(DATE(AnnéeCalendrier,6,27),1),"jjj")</f>
        <v>mar</v>
      </c>
      <c r="AD5" s="1" t="str">
        <f>TEXT(WEEKDAY(DATE(AnnéeCalendrier,6,28),1),"jjj")</f>
        <v>mer</v>
      </c>
      <c r="AE5" s="1" t="str">
        <f>TEXT(WEEKDAY(DATE(AnnéeCalendrier,6,29),1),"jjj")</f>
        <v>jeu</v>
      </c>
      <c r="AF5" s="1" t="str">
        <f>TEXT(WEEKDAY(DATE(AnnéeCalendrier,6,30),1),"jjj")</f>
        <v>ven</v>
      </c>
      <c r="AG5" s="1"/>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50</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COUNTA(Juin[[#This Row],[1]:[30]])</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COUNTA(Juin[[#This Row],[1]:[30]])</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COUNTA(Juin[[#This Row],[1]:[30]])</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COUNTA(Juin[[#This Row],[1]:[30]])</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COUNTA(Juin[[#This Row],[1]:[30]])</f>
        <v>0</v>
      </c>
    </row>
    <row r="12" spans="2:34" ht="30" customHeight="1" x14ac:dyDescent="0.35">
      <c r="B12" s="19" t="str">
        <f>NomMois&amp;" Total"</f>
        <v>Juin Total</v>
      </c>
      <c r="C12" s="11">
        <f>SUBTOTAL(103,Juin[1])</f>
        <v>0</v>
      </c>
      <c r="D12" s="11">
        <f>SUBTOTAL(103,Juin[2])</f>
        <v>0</v>
      </c>
      <c r="E12" s="11">
        <f>SUBTOTAL(103,Juin[3])</f>
        <v>0</v>
      </c>
      <c r="F12" s="11">
        <f>SUBTOTAL(103,Juin[4])</f>
        <v>0</v>
      </c>
      <c r="G12" s="11">
        <f>SUBTOTAL(103,Juin[5])</f>
        <v>0</v>
      </c>
      <c r="H12" s="11">
        <f>SUBTOTAL(103,Juin[6])</f>
        <v>0</v>
      </c>
      <c r="I12" s="11">
        <f>SUBTOTAL(103,Juin[7])</f>
        <v>0</v>
      </c>
      <c r="J12" s="11">
        <f>SUBTOTAL(103,Juin[8])</f>
        <v>0</v>
      </c>
      <c r="K12" s="11">
        <f>SUBTOTAL(103,Juin[9])</f>
        <v>0</v>
      </c>
      <c r="L12" s="11">
        <f>SUBTOTAL(103,Juin[10])</f>
        <v>0</v>
      </c>
      <c r="M12" s="11">
        <f>SUBTOTAL(103,Juin[11])</f>
        <v>0</v>
      </c>
      <c r="N12" s="11">
        <f>SUBTOTAL(103,Juin[12])</f>
        <v>0</v>
      </c>
      <c r="O12" s="11">
        <f>SUBTOTAL(103,Juin[13])</f>
        <v>0</v>
      </c>
      <c r="P12" s="11">
        <f>SUBTOTAL(103,Juin[14])</f>
        <v>0</v>
      </c>
      <c r="Q12" s="11">
        <f>SUBTOTAL(103,Juin[15])</f>
        <v>0</v>
      </c>
      <c r="R12" s="11">
        <f>SUBTOTAL(103,Juin[16])</f>
        <v>0</v>
      </c>
      <c r="S12" s="11">
        <f>SUBTOTAL(103,Juin[17])</f>
        <v>0</v>
      </c>
      <c r="T12" s="11">
        <f>SUBTOTAL(103,Juin[18])</f>
        <v>0</v>
      </c>
      <c r="U12" s="11">
        <f>SUBTOTAL(103,Juin[19])</f>
        <v>0</v>
      </c>
      <c r="V12" s="11">
        <f>SUBTOTAL(103,Juin[20])</f>
        <v>0</v>
      </c>
      <c r="W12" s="11">
        <f>SUBTOTAL(103,Juin[21])</f>
        <v>0</v>
      </c>
      <c r="X12" s="11">
        <f>SUBTOTAL(103,Juin[22])</f>
        <v>0</v>
      </c>
      <c r="Y12" s="11">
        <f>SUBTOTAL(103,Juin[23])</f>
        <v>0</v>
      </c>
      <c r="Z12" s="11">
        <f>SUBTOTAL(103,Juin[24])</f>
        <v>0</v>
      </c>
      <c r="AA12" s="11">
        <f>SUBTOTAL(103,Juin[25])</f>
        <v>0</v>
      </c>
      <c r="AB12" s="11">
        <f>SUBTOTAL(103,Juin[26])</f>
        <v>0</v>
      </c>
      <c r="AC12" s="11">
        <f>SUBTOTAL(103,Juin[27])</f>
        <v>0</v>
      </c>
      <c r="AD12" s="11">
        <f>SUBTOTAL(103,Juin[28])</f>
        <v>0</v>
      </c>
      <c r="AE12" s="11">
        <f>SUBTOTAL(103,Juin[29])</f>
        <v>0</v>
      </c>
      <c r="AF12" s="11">
        <f>SUBTOTAL(103,Juin[30])</f>
        <v>0</v>
      </c>
      <c r="AG12" s="11">
        <f>SUBTOTAL(103,Juin[[ ]])</f>
        <v>0</v>
      </c>
      <c r="AH12" s="11">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68" priority="2" stopIfTrue="1">
      <formula>C7=CléPersonnalisée2</formula>
    </cfRule>
    <cfRule type="expression" dxfId="167" priority="3" stopIfTrue="1">
      <formula>C7=CléPersonnalisée1</formula>
    </cfRule>
    <cfRule type="expression" dxfId="166" priority="4" stopIfTrue="1">
      <formula>C7=CléMaladie</formula>
    </cfRule>
    <cfRule type="expression" dxfId="165" priority="5" stopIfTrue="1">
      <formula>C7=CléPersonnel</formula>
    </cfRule>
    <cfRule type="expression" dxfId="16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AH12"/>
  <sheetViews>
    <sheetView showGridLines="0" zoomScaleNormal="100" workbookViewId="0"/>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56</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TEXT(WEEKDAY(DATE(AnnéeCalendrier,7,1),1),"jjj")</f>
        <v>sam</v>
      </c>
      <c r="D5" s="1" t="str">
        <f>TEXT(WEEKDAY(DATE(AnnéeCalendrier,7,2),1),"jjj")</f>
        <v>dim</v>
      </c>
      <c r="E5" s="1" t="str">
        <f>TEXT(WEEKDAY(DATE(AnnéeCalendrier,7,3),1),"jjj")</f>
        <v>lun</v>
      </c>
      <c r="F5" s="1" t="str">
        <f>TEXT(WEEKDAY(DATE(AnnéeCalendrier,7,4),1),"jjj")</f>
        <v>mar</v>
      </c>
      <c r="G5" s="1" t="str">
        <f>TEXT(WEEKDAY(DATE(AnnéeCalendrier,7,5),1),"jjj")</f>
        <v>mer</v>
      </c>
      <c r="H5" s="1" t="str">
        <f>TEXT(WEEKDAY(DATE(AnnéeCalendrier,7,6),1),"jjj")</f>
        <v>jeu</v>
      </c>
      <c r="I5" s="1" t="str">
        <f>TEXT(WEEKDAY(DATE(AnnéeCalendrier,7,7),1),"jjj")</f>
        <v>ven</v>
      </c>
      <c r="J5" s="1" t="str">
        <f>TEXT(WEEKDAY(DATE(AnnéeCalendrier,7,8),1),"jjj")</f>
        <v>sam</v>
      </c>
      <c r="K5" s="1" t="str">
        <f>TEXT(WEEKDAY(DATE(AnnéeCalendrier,7,9),1),"jjj")</f>
        <v>dim</v>
      </c>
      <c r="L5" s="1" t="str">
        <f>TEXT(WEEKDAY(DATE(AnnéeCalendrier,7,10),1),"jjj")</f>
        <v>lun</v>
      </c>
      <c r="M5" s="1" t="str">
        <f>TEXT(WEEKDAY(DATE(AnnéeCalendrier,7,11),1),"jjj")</f>
        <v>mar</v>
      </c>
      <c r="N5" s="1" t="str">
        <f>TEXT(WEEKDAY(DATE(AnnéeCalendrier,7,12),1),"jjj")</f>
        <v>mer</v>
      </c>
      <c r="O5" s="1" t="str">
        <f>TEXT(WEEKDAY(DATE(AnnéeCalendrier,7,13),1),"jjj")</f>
        <v>jeu</v>
      </c>
      <c r="P5" s="1" t="str">
        <f>TEXT(WEEKDAY(DATE(AnnéeCalendrier,7,14),1),"jjj")</f>
        <v>ven</v>
      </c>
      <c r="Q5" s="1" t="str">
        <f>TEXT(WEEKDAY(DATE(AnnéeCalendrier,7,15),1),"jjj")</f>
        <v>sam</v>
      </c>
      <c r="R5" s="1" t="str">
        <f>TEXT(WEEKDAY(DATE(AnnéeCalendrier,7,16),1),"jjj")</f>
        <v>dim</v>
      </c>
      <c r="S5" s="1" t="str">
        <f>TEXT(WEEKDAY(DATE(AnnéeCalendrier,7,17),1),"jjj")</f>
        <v>lun</v>
      </c>
      <c r="T5" s="1" t="str">
        <f>TEXT(WEEKDAY(DATE(AnnéeCalendrier,7,18),1),"jjj")</f>
        <v>mar</v>
      </c>
      <c r="U5" s="1" t="str">
        <f>TEXT(WEEKDAY(DATE(AnnéeCalendrier,7,19),1),"jjj")</f>
        <v>mer</v>
      </c>
      <c r="V5" s="1" t="str">
        <f>TEXT(WEEKDAY(DATE(AnnéeCalendrier,7,20),1),"jjj")</f>
        <v>jeu</v>
      </c>
      <c r="W5" s="1" t="str">
        <f>TEXT(WEEKDAY(DATE(AnnéeCalendrier,7,21),1),"jjj")</f>
        <v>ven</v>
      </c>
      <c r="X5" s="1" t="str">
        <f>TEXT(WEEKDAY(DATE(AnnéeCalendrier,7,22),1),"jjj")</f>
        <v>sam</v>
      </c>
      <c r="Y5" s="1" t="str">
        <f>TEXT(WEEKDAY(DATE(AnnéeCalendrier,7,23),1),"jjj")</f>
        <v>dim</v>
      </c>
      <c r="Z5" s="1" t="str">
        <f>TEXT(WEEKDAY(DATE(AnnéeCalendrier,7,24),1),"jjj")</f>
        <v>lun</v>
      </c>
      <c r="AA5" s="1" t="str">
        <f>TEXT(WEEKDAY(DATE(AnnéeCalendrier,7,25),1),"jjj")</f>
        <v>mar</v>
      </c>
      <c r="AB5" s="1" t="str">
        <f>TEXT(WEEKDAY(DATE(AnnéeCalendrier,7,26),1),"jjj")</f>
        <v>mer</v>
      </c>
      <c r="AC5" s="1" t="str">
        <f>TEXT(WEEKDAY(DATE(AnnéeCalendrier,7,27),1),"jjj")</f>
        <v>jeu</v>
      </c>
      <c r="AD5" s="1" t="str">
        <f>TEXT(WEEKDAY(DATE(AnnéeCalendrier,7,28),1),"jjj")</f>
        <v>ven</v>
      </c>
      <c r="AE5" s="1" t="str">
        <f>TEXT(WEEKDAY(DATE(AnnéeCalendrier,7,29),1),"jjj")</f>
        <v>sam</v>
      </c>
      <c r="AF5" s="1" t="str">
        <f>TEXT(WEEKDAY(DATE(AnnéeCalendrier,7,30),1),"jjj")</f>
        <v>dim</v>
      </c>
      <c r="AG5" s="1" t="str">
        <f>TEXT(WEEKDAY(DATE(AnnéeCalendrier,7,31),1),"jjj")</f>
        <v>lun</v>
      </c>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47</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COUNTA(Juillet[[#This Row],[1]:[31]])</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COUNTA(Juillet[[#This Row],[1]:[31]])</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COUNTA(Juillet[[#This Row],[1]:[31]])</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COUNTA(Juillet[[#This Row],[1]:[31]])</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COUNTA(Juillet[[#This Row],[1]:[31]])</f>
        <v>0</v>
      </c>
    </row>
    <row r="12" spans="2:34" ht="30" customHeight="1" x14ac:dyDescent="0.35">
      <c r="B12" s="19" t="str">
        <f>NomMois&amp;" Total"</f>
        <v>Juillet Total</v>
      </c>
      <c r="C12" s="11">
        <f>SUBTOTAL(103,Juillet[1])</f>
        <v>0</v>
      </c>
      <c r="D12" s="11">
        <f>SUBTOTAL(103,Juillet[2])</f>
        <v>0</v>
      </c>
      <c r="E12" s="11">
        <f>SUBTOTAL(103,Juillet[3])</f>
        <v>0</v>
      </c>
      <c r="F12" s="11">
        <f>SUBTOTAL(103,Juillet[4])</f>
        <v>0</v>
      </c>
      <c r="G12" s="11">
        <f>SUBTOTAL(103,Juillet[5])</f>
        <v>0</v>
      </c>
      <c r="H12" s="11">
        <f>SUBTOTAL(103,Juillet[6])</f>
        <v>0</v>
      </c>
      <c r="I12" s="11">
        <f>SUBTOTAL(103,Juillet[7])</f>
        <v>0</v>
      </c>
      <c r="J12" s="11">
        <f>SUBTOTAL(103,Juillet[8])</f>
        <v>0</v>
      </c>
      <c r="K12" s="11">
        <f>SUBTOTAL(103,Juillet[9])</f>
        <v>0</v>
      </c>
      <c r="L12" s="11">
        <f>SUBTOTAL(103,Juillet[10])</f>
        <v>0</v>
      </c>
      <c r="M12" s="11">
        <f>SUBTOTAL(103,Juillet[11])</f>
        <v>0</v>
      </c>
      <c r="N12" s="11">
        <f>SUBTOTAL(103,Juillet[12])</f>
        <v>0</v>
      </c>
      <c r="O12" s="11">
        <f>SUBTOTAL(103,Juillet[13])</f>
        <v>0</v>
      </c>
      <c r="P12" s="11">
        <f>SUBTOTAL(103,Juillet[14])</f>
        <v>0</v>
      </c>
      <c r="Q12" s="11">
        <f>SUBTOTAL(103,Juillet[15])</f>
        <v>0</v>
      </c>
      <c r="R12" s="11">
        <f>SUBTOTAL(103,Juillet[16])</f>
        <v>0</v>
      </c>
      <c r="S12" s="11">
        <f>SUBTOTAL(103,Juillet[17])</f>
        <v>0</v>
      </c>
      <c r="T12" s="11">
        <f>SUBTOTAL(103,Juillet[18])</f>
        <v>0</v>
      </c>
      <c r="U12" s="11">
        <f>SUBTOTAL(103,Juillet[19])</f>
        <v>0</v>
      </c>
      <c r="V12" s="11">
        <f>SUBTOTAL(103,Juillet[20])</f>
        <v>0</v>
      </c>
      <c r="W12" s="11">
        <f>SUBTOTAL(103,Juillet[21])</f>
        <v>0</v>
      </c>
      <c r="X12" s="11">
        <f>SUBTOTAL(103,Juillet[22])</f>
        <v>0</v>
      </c>
      <c r="Y12" s="11">
        <f>SUBTOTAL(103,Juillet[23])</f>
        <v>0</v>
      </c>
      <c r="Z12" s="11">
        <f>SUBTOTAL(103,Juillet[24])</f>
        <v>0</v>
      </c>
      <c r="AA12" s="11">
        <f>SUBTOTAL(103,Juillet[25])</f>
        <v>0</v>
      </c>
      <c r="AB12" s="11">
        <f>SUBTOTAL(103,Juillet[26])</f>
        <v>0</v>
      </c>
      <c r="AC12" s="11">
        <f>SUBTOTAL(103,Juillet[27])</f>
        <v>0</v>
      </c>
      <c r="AD12" s="11">
        <f>SUBTOTAL(103,Juillet[28])</f>
        <v>0</v>
      </c>
      <c r="AE12" s="11">
        <f>SUBTOTAL(103,Juillet[29])</f>
        <v>0</v>
      </c>
      <c r="AF12" s="11">
        <f>SUBTOTAL(103,Juillet[30])</f>
        <v>0</v>
      </c>
      <c r="AG12" s="11">
        <f>SUBTOTAL(103,Juillet[31])</f>
        <v>0</v>
      </c>
      <c r="AH12" s="11">
        <f>SUBTOTAL(109,Juillet[Total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63" priority="2" stopIfTrue="1">
      <formula>C7=CléPersonnalisée2</formula>
    </cfRule>
    <cfRule type="expression" dxfId="162" priority="3" stopIfTrue="1">
      <formula>C7=CléPersonnalisée1</formula>
    </cfRule>
    <cfRule type="expression" dxfId="161" priority="4" stopIfTrue="1">
      <formula>C7=CléMaladie</formula>
    </cfRule>
    <cfRule type="expression" dxfId="160" priority="5" stopIfTrue="1">
      <formula>C7=CléPersonnel</formula>
    </cfRule>
    <cfRule type="expression" dxfId="159"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H12"/>
  <sheetViews>
    <sheetView showGridLines="0" zoomScaleNormal="100" workbookViewId="0"/>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57</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TEXT(WEEKDAY(DATE(AnnéeCalendrier,8,1),1),"jjj")</f>
        <v>mar</v>
      </c>
      <c r="D5" s="1" t="str">
        <f>TEXT(WEEKDAY(DATE(AnnéeCalendrier,8,2),1),"jjj")</f>
        <v>mer</v>
      </c>
      <c r="E5" s="1" t="str">
        <f>TEXT(WEEKDAY(DATE(AnnéeCalendrier,8,3),1),"jjj")</f>
        <v>jeu</v>
      </c>
      <c r="F5" s="1" t="str">
        <f>TEXT(WEEKDAY(DATE(AnnéeCalendrier,8,4),1),"jjj")</f>
        <v>ven</v>
      </c>
      <c r="G5" s="1" t="str">
        <f>TEXT(WEEKDAY(DATE(AnnéeCalendrier,8,5),1),"jjj")</f>
        <v>sam</v>
      </c>
      <c r="H5" s="1" t="str">
        <f>TEXT(WEEKDAY(DATE(AnnéeCalendrier,8,6),1),"jjj")</f>
        <v>dim</v>
      </c>
      <c r="I5" s="1" t="str">
        <f>TEXT(WEEKDAY(DATE(AnnéeCalendrier,8,7),1),"jjj")</f>
        <v>lun</v>
      </c>
      <c r="J5" s="1" t="str">
        <f>TEXT(WEEKDAY(DATE(AnnéeCalendrier,8,8),1),"jjj")</f>
        <v>mar</v>
      </c>
      <c r="K5" s="1" t="str">
        <f>TEXT(WEEKDAY(DATE(AnnéeCalendrier,8,9),1),"jjj")</f>
        <v>mer</v>
      </c>
      <c r="L5" s="1" t="str">
        <f>TEXT(WEEKDAY(DATE(AnnéeCalendrier,8,10),1),"jjj")</f>
        <v>jeu</v>
      </c>
      <c r="M5" s="1" t="str">
        <f>TEXT(WEEKDAY(DATE(AnnéeCalendrier,8,11),1),"jjj")</f>
        <v>ven</v>
      </c>
      <c r="N5" s="1" t="str">
        <f>TEXT(WEEKDAY(DATE(AnnéeCalendrier,8,12),1),"jjj")</f>
        <v>sam</v>
      </c>
      <c r="O5" s="1" t="str">
        <f>TEXT(WEEKDAY(DATE(AnnéeCalendrier,8,13),1),"jjj")</f>
        <v>dim</v>
      </c>
      <c r="P5" s="1" t="str">
        <f>TEXT(WEEKDAY(DATE(AnnéeCalendrier,8,14),1),"jjj")</f>
        <v>lun</v>
      </c>
      <c r="Q5" s="1" t="str">
        <f>TEXT(WEEKDAY(DATE(AnnéeCalendrier,8,15),1),"jjj")</f>
        <v>mar</v>
      </c>
      <c r="R5" s="1" t="str">
        <f>TEXT(WEEKDAY(DATE(AnnéeCalendrier,8,16),1),"jjj")</f>
        <v>mer</v>
      </c>
      <c r="S5" s="1" t="str">
        <f>TEXT(WEEKDAY(DATE(AnnéeCalendrier,8,17),1),"jjj")</f>
        <v>jeu</v>
      </c>
      <c r="T5" s="1" t="str">
        <f>TEXT(WEEKDAY(DATE(AnnéeCalendrier,8,18),1),"jjj")</f>
        <v>ven</v>
      </c>
      <c r="U5" s="1" t="str">
        <f>TEXT(WEEKDAY(DATE(AnnéeCalendrier,8,19),1),"jjj")</f>
        <v>sam</v>
      </c>
      <c r="V5" s="1" t="str">
        <f>TEXT(WEEKDAY(DATE(AnnéeCalendrier,8,20),1),"jjj")</f>
        <v>dim</v>
      </c>
      <c r="W5" s="1" t="str">
        <f>TEXT(WEEKDAY(DATE(AnnéeCalendrier,8,21),1),"jjj")</f>
        <v>lun</v>
      </c>
      <c r="X5" s="1" t="str">
        <f>TEXT(WEEKDAY(DATE(AnnéeCalendrier,8,22),1),"jjj")</f>
        <v>mar</v>
      </c>
      <c r="Y5" s="1" t="str">
        <f>TEXT(WEEKDAY(DATE(AnnéeCalendrier,8,23),1),"jjj")</f>
        <v>mer</v>
      </c>
      <c r="Z5" s="1" t="str">
        <f>TEXT(WEEKDAY(DATE(AnnéeCalendrier,8,24),1),"jjj")</f>
        <v>jeu</v>
      </c>
      <c r="AA5" s="1" t="str">
        <f>TEXT(WEEKDAY(DATE(AnnéeCalendrier,8,25),1),"jjj")</f>
        <v>ven</v>
      </c>
      <c r="AB5" s="1" t="str">
        <f>TEXT(WEEKDAY(DATE(AnnéeCalendrier,8,26),1),"jjj")</f>
        <v>sam</v>
      </c>
      <c r="AC5" s="1" t="str">
        <f>TEXT(WEEKDAY(DATE(AnnéeCalendrier,8,27),1),"jjj")</f>
        <v>dim</v>
      </c>
      <c r="AD5" s="1" t="str">
        <f>TEXT(WEEKDAY(DATE(AnnéeCalendrier,8,28),1),"jjj")</f>
        <v>lun</v>
      </c>
      <c r="AE5" s="1" t="str">
        <f>TEXT(WEEKDAY(DATE(AnnéeCalendrier,8,29),1),"jjj")</f>
        <v>mar</v>
      </c>
      <c r="AF5" s="1" t="str">
        <f>TEXT(WEEKDAY(DATE(AnnéeCalendrier,8,30),1),"jjj")</f>
        <v>mer</v>
      </c>
      <c r="AG5" s="1" t="str">
        <f>TEXT(WEEKDAY(DATE(AnnéeCalendrier,8,31),1),"jjj")</f>
        <v>jeu</v>
      </c>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47</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COUNTA(Août[[#This Row],[1]:[31]])</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COUNTA(Août[[#This Row],[1]:[31]])</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COUNTA(Août[[#This Row],[1]:[31]])</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COUNTA(Août[[#This Row],[1]:[31]])</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COUNTA(Août[[#This Row],[1]:[31]])</f>
        <v>0</v>
      </c>
    </row>
    <row r="12" spans="2:34" ht="30" customHeight="1" x14ac:dyDescent="0.35">
      <c r="B12" s="19" t="str">
        <f>NomMois&amp;" Total"</f>
        <v>Août Total</v>
      </c>
      <c r="C12" s="11">
        <f>SUBTOTAL(103,Août[1])</f>
        <v>0</v>
      </c>
      <c r="D12" s="11">
        <f>SUBTOTAL(103,Août[2])</f>
        <v>0</v>
      </c>
      <c r="E12" s="11">
        <f>SUBTOTAL(103,Août[3])</f>
        <v>0</v>
      </c>
      <c r="F12" s="11">
        <f>SUBTOTAL(103,Août[4])</f>
        <v>0</v>
      </c>
      <c r="G12" s="11">
        <f>SUBTOTAL(103,Août[5])</f>
        <v>0</v>
      </c>
      <c r="H12" s="11">
        <f>SUBTOTAL(103,Août[6])</f>
        <v>0</v>
      </c>
      <c r="I12" s="11">
        <f>SUBTOTAL(103,Août[7])</f>
        <v>0</v>
      </c>
      <c r="J12" s="11">
        <f>SUBTOTAL(103,Août[8])</f>
        <v>0</v>
      </c>
      <c r="K12" s="11">
        <f>SUBTOTAL(103,Août[9])</f>
        <v>0</v>
      </c>
      <c r="L12" s="11">
        <f>SUBTOTAL(103,Août[10])</f>
        <v>0</v>
      </c>
      <c r="M12" s="11">
        <f>SUBTOTAL(103,Août[11])</f>
        <v>0</v>
      </c>
      <c r="N12" s="11">
        <f>SUBTOTAL(103,Août[12])</f>
        <v>0</v>
      </c>
      <c r="O12" s="11">
        <f>SUBTOTAL(103,Août[13])</f>
        <v>0</v>
      </c>
      <c r="P12" s="11">
        <f>SUBTOTAL(103,Août[14])</f>
        <v>0</v>
      </c>
      <c r="Q12" s="11">
        <f>SUBTOTAL(103,Août[15])</f>
        <v>0</v>
      </c>
      <c r="R12" s="11">
        <f>SUBTOTAL(103,Août[16])</f>
        <v>0</v>
      </c>
      <c r="S12" s="11">
        <f>SUBTOTAL(103,Août[17])</f>
        <v>0</v>
      </c>
      <c r="T12" s="11">
        <f>SUBTOTAL(103,Août[18])</f>
        <v>0</v>
      </c>
      <c r="U12" s="11">
        <f>SUBTOTAL(103,Août[19])</f>
        <v>0</v>
      </c>
      <c r="V12" s="11">
        <f>SUBTOTAL(103,Août[20])</f>
        <v>0</v>
      </c>
      <c r="W12" s="11">
        <f>SUBTOTAL(103,Août[21])</f>
        <v>0</v>
      </c>
      <c r="X12" s="11">
        <f>SUBTOTAL(103,Août[22])</f>
        <v>0</v>
      </c>
      <c r="Y12" s="11">
        <f>SUBTOTAL(103,Août[23])</f>
        <v>0</v>
      </c>
      <c r="Z12" s="11">
        <f>SUBTOTAL(103,Août[24])</f>
        <v>0</v>
      </c>
      <c r="AA12" s="11">
        <f>SUBTOTAL(103,Août[25])</f>
        <v>0</v>
      </c>
      <c r="AB12" s="11">
        <f>SUBTOTAL(103,Août[26])</f>
        <v>0</v>
      </c>
      <c r="AC12" s="11">
        <f>SUBTOTAL(103,Août[27])</f>
        <v>0</v>
      </c>
      <c r="AD12" s="11">
        <f>SUBTOTAL(103,Août[28])</f>
        <v>0</v>
      </c>
      <c r="AE12" s="11">
        <f>SUBTOTAL(103,Août[29])</f>
        <v>0</v>
      </c>
      <c r="AF12" s="11">
        <f>SUBTOTAL(103,Août[30])</f>
        <v>0</v>
      </c>
      <c r="AG12" s="11">
        <f>SUBTOTAL(103,Août[31])</f>
        <v>0</v>
      </c>
      <c r="AH12" s="11">
        <f>SUBTOTAL(109,Août[Total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58" priority="2" stopIfTrue="1">
      <formula>C7=CléPersonnalisée2</formula>
    </cfRule>
    <cfRule type="expression" dxfId="157" priority="3" stopIfTrue="1">
      <formula>C7=CléPersonnalisée1</formula>
    </cfRule>
    <cfRule type="expression" dxfId="156" priority="4" stopIfTrue="1">
      <formula>C7=CléMaladie</formula>
    </cfRule>
    <cfRule type="expression" dxfId="155" priority="5" stopIfTrue="1">
      <formula>C7=CléPersonnel</formula>
    </cfRule>
    <cfRule type="expression" dxfId="15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H12"/>
  <sheetViews>
    <sheetView showGridLines="0" zoomScaleNormal="100" workbookViewId="0"/>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58</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TEXT(WEEKDAY(DATE(AnnéeCalendrier,9,1),1),"jjj")</f>
        <v>ven</v>
      </c>
      <c r="D5" s="1" t="str">
        <f>TEXT(WEEKDAY(DATE(AnnéeCalendrier,9,2),1),"jjj")</f>
        <v>sam</v>
      </c>
      <c r="E5" s="1" t="str">
        <f>TEXT(WEEKDAY(DATE(AnnéeCalendrier,9,3),1),"jjj")</f>
        <v>dim</v>
      </c>
      <c r="F5" s="1" t="str">
        <f>TEXT(WEEKDAY(DATE(AnnéeCalendrier,9,4),1),"jjj")</f>
        <v>lun</v>
      </c>
      <c r="G5" s="1" t="str">
        <f>TEXT(WEEKDAY(DATE(AnnéeCalendrier,9,5),1),"jjj")</f>
        <v>mar</v>
      </c>
      <c r="H5" s="1" t="str">
        <f>TEXT(WEEKDAY(DATE(AnnéeCalendrier,9,6),1),"jjj")</f>
        <v>mer</v>
      </c>
      <c r="I5" s="1" t="str">
        <f>TEXT(WEEKDAY(DATE(AnnéeCalendrier,9,7),1),"jjj")</f>
        <v>jeu</v>
      </c>
      <c r="J5" s="1" t="str">
        <f>TEXT(WEEKDAY(DATE(AnnéeCalendrier,9,8),1),"jjj")</f>
        <v>ven</v>
      </c>
      <c r="K5" s="1" t="str">
        <f>TEXT(WEEKDAY(DATE(AnnéeCalendrier,9,9),1),"jjj")</f>
        <v>sam</v>
      </c>
      <c r="L5" s="1" t="str">
        <f>TEXT(WEEKDAY(DATE(AnnéeCalendrier,9,10),1),"jjj")</f>
        <v>dim</v>
      </c>
      <c r="M5" s="1" t="str">
        <f>TEXT(WEEKDAY(DATE(AnnéeCalendrier,9,11),1),"jjj")</f>
        <v>lun</v>
      </c>
      <c r="N5" s="1" t="str">
        <f>TEXT(WEEKDAY(DATE(AnnéeCalendrier,9,12),1),"jjj")</f>
        <v>mar</v>
      </c>
      <c r="O5" s="1" t="str">
        <f>TEXT(WEEKDAY(DATE(AnnéeCalendrier,9,13),1),"jjj")</f>
        <v>mer</v>
      </c>
      <c r="P5" s="1" t="str">
        <f>TEXT(WEEKDAY(DATE(AnnéeCalendrier,9,14),1),"jjj")</f>
        <v>jeu</v>
      </c>
      <c r="Q5" s="1" t="str">
        <f>TEXT(WEEKDAY(DATE(AnnéeCalendrier,9,15),1),"jjj")</f>
        <v>ven</v>
      </c>
      <c r="R5" s="1" t="str">
        <f>TEXT(WEEKDAY(DATE(AnnéeCalendrier,9,16),1),"jjj")</f>
        <v>sam</v>
      </c>
      <c r="S5" s="1" t="str">
        <f>TEXT(WEEKDAY(DATE(AnnéeCalendrier,9,17),1),"jjj")</f>
        <v>dim</v>
      </c>
      <c r="T5" s="1" t="str">
        <f>TEXT(WEEKDAY(DATE(AnnéeCalendrier,9,18),1),"jjj")</f>
        <v>lun</v>
      </c>
      <c r="U5" s="1" t="str">
        <f>TEXT(WEEKDAY(DATE(AnnéeCalendrier,9,19),1),"jjj")</f>
        <v>mar</v>
      </c>
      <c r="V5" s="1" t="str">
        <f>TEXT(WEEKDAY(DATE(AnnéeCalendrier,9,20),1),"jjj")</f>
        <v>mer</v>
      </c>
      <c r="W5" s="1" t="str">
        <f>TEXT(WEEKDAY(DATE(AnnéeCalendrier,9,21),1),"jjj")</f>
        <v>jeu</v>
      </c>
      <c r="X5" s="1" t="str">
        <f>TEXT(WEEKDAY(DATE(AnnéeCalendrier,9,22),1),"jjj")</f>
        <v>ven</v>
      </c>
      <c r="Y5" s="1" t="str">
        <f>TEXT(WEEKDAY(DATE(AnnéeCalendrier,9,23),1),"jjj")</f>
        <v>sam</v>
      </c>
      <c r="Z5" s="1" t="str">
        <f>TEXT(WEEKDAY(DATE(AnnéeCalendrier,9,24),1),"jjj")</f>
        <v>dim</v>
      </c>
      <c r="AA5" s="1" t="str">
        <f>TEXT(WEEKDAY(DATE(AnnéeCalendrier,9,25),1),"jjj")</f>
        <v>lun</v>
      </c>
      <c r="AB5" s="1" t="str">
        <f>TEXT(WEEKDAY(DATE(AnnéeCalendrier,9,26),1),"jjj")</f>
        <v>mar</v>
      </c>
      <c r="AC5" s="1" t="str">
        <f>TEXT(WEEKDAY(DATE(AnnéeCalendrier,9,27),1),"jjj")</f>
        <v>mer</v>
      </c>
      <c r="AD5" s="1" t="str">
        <f>TEXT(WEEKDAY(DATE(AnnéeCalendrier,9,28),1),"jjj")</f>
        <v>jeu</v>
      </c>
      <c r="AE5" s="1" t="str">
        <f>TEXT(WEEKDAY(DATE(AnnéeCalendrier,9,29),1),"jjj")</f>
        <v>ven</v>
      </c>
      <c r="AF5" s="1" t="str">
        <f>TEXT(WEEKDAY(DATE(AnnéeCalendrier,9,30),1),"jjj")</f>
        <v>sam</v>
      </c>
      <c r="AG5" s="1"/>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50</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COUNTA(Septembre[[#This Row],[1]:[30]])</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COUNTA(Septembre[[#This Row],[1]:[30]])</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COUNTA(Septembre[[#This Row],[1]:[30]])</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COUNTA(Septembre[[#This Row],[1]:[30]])</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COUNTA(Septembre[[#This Row],[1]:[30]])</f>
        <v>0</v>
      </c>
    </row>
    <row r="12" spans="2:34" ht="30" customHeight="1" x14ac:dyDescent="0.35">
      <c r="B12" s="19" t="str">
        <f>NomMois&amp;" Total"</f>
        <v>Septembre Total</v>
      </c>
      <c r="C12" s="11">
        <f>SUBTOTAL(103,Septembre[1])</f>
        <v>0</v>
      </c>
      <c r="D12" s="11">
        <f>SUBTOTAL(103,Septembre[2])</f>
        <v>0</v>
      </c>
      <c r="E12" s="11">
        <f>SUBTOTAL(103,Septembre[3])</f>
        <v>0</v>
      </c>
      <c r="F12" s="11">
        <f>SUBTOTAL(103,Septembre[4])</f>
        <v>0</v>
      </c>
      <c r="G12" s="11">
        <f>SUBTOTAL(103,Septembre[5])</f>
        <v>0</v>
      </c>
      <c r="H12" s="11">
        <f>SUBTOTAL(103,Septembre[6])</f>
        <v>0</v>
      </c>
      <c r="I12" s="11">
        <f>SUBTOTAL(103,Septembre[7])</f>
        <v>0</v>
      </c>
      <c r="J12" s="11">
        <f>SUBTOTAL(103,Septembre[8])</f>
        <v>0</v>
      </c>
      <c r="K12" s="11">
        <f>SUBTOTAL(103,Septembre[9])</f>
        <v>0</v>
      </c>
      <c r="L12" s="11">
        <f>SUBTOTAL(103,Septembre[10])</f>
        <v>0</v>
      </c>
      <c r="M12" s="11">
        <f>SUBTOTAL(103,Septembre[11])</f>
        <v>0</v>
      </c>
      <c r="N12" s="11">
        <f>SUBTOTAL(103,Septembre[12])</f>
        <v>0</v>
      </c>
      <c r="O12" s="11">
        <f>SUBTOTAL(103,Septembre[13])</f>
        <v>0</v>
      </c>
      <c r="P12" s="11">
        <f>SUBTOTAL(103,Septembre[14])</f>
        <v>0</v>
      </c>
      <c r="Q12" s="11">
        <f>SUBTOTAL(103,Septembre[15])</f>
        <v>0</v>
      </c>
      <c r="R12" s="11">
        <f>SUBTOTAL(103,Septembre[16])</f>
        <v>0</v>
      </c>
      <c r="S12" s="11">
        <f>SUBTOTAL(103,Septembre[17])</f>
        <v>0</v>
      </c>
      <c r="T12" s="11">
        <f>SUBTOTAL(103,Septembre[18])</f>
        <v>0</v>
      </c>
      <c r="U12" s="11">
        <f>SUBTOTAL(103,Septembre[19])</f>
        <v>0</v>
      </c>
      <c r="V12" s="11">
        <f>SUBTOTAL(103,Septembre[20])</f>
        <v>0</v>
      </c>
      <c r="W12" s="11">
        <f>SUBTOTAL(103,Septembre[21])</f>
        <v>0</v>
      </c>
      <c r="X12" s="11">
        <f>SUBTOTAL(103,Septembre[22])</f>
        <v>0</v>
      </c>
      <c r="Y12" s="11">
        <f>SUBTOTAL(103,Septembre[23])</f>
        <v>0</v>
      </c>
      <c r="Z12" s="11">
        <f>SUBTOTAL(103,Septembre[24])</f>
        <v>0</v>
      </c>
      <c r="AA12" s="11">
        <f>SUBTOTAL(103,Septembre[25])</f>
        <v>0</v>
      </c>
      <c r="AB12" s="11">
        <f>SUBTOTAL(103,Septembre[26])</f>
        <v>0</v>
      </c>
      <c r="AC12" s="11">
        <f>SUBTOTAL(103,Septembre[27])</f>
        <v>0</v>
      </c>
      <c r="AD12" s="11">
        <f>SUBTOTAL(103,Septembre[28])</f>
        <v>0</v>
      </c>
      <c r="AE12" s="11">
        <f>SUBTOTAL(103,Septembre[29])</f>
        <v>0</v>
      </c>
      <c r="AF12" s="11">
        <f>SUBTOTAL(103,Septembre[30])</f>
        <v>0</v>
      </c>
      <c r="AG12" s="11">
        <f>SUBTOTAL(103,Septembre[[ ]])</f>
        <v>0</v>
      </c>
      <c r="AH12" s="11">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53" priority="2" stopIfTrue="1">
      <formula>C7=CléPersonnalisée2</formula>
    </cfRule>
    <cfRule type="expression" dxfId="152" priority="3" stopIfTrue="1">
      <formula>C7=CléPersonnalisée1</formula>
    </cfRule>
    <cfRule type="expression" dxfId="151" priority="4" stopIfTrue="1">
      <formula>C7=CléMaladie</formula>
    </cfRule>
    <cfRule type="expression" dxfId="150" priority="5" stopIfTrue="1">
      <formula>C7=CléPersonnel</formula>
    </cfRule>
    <cfRule type="expression" dxfId="149"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59</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TEXT(WEEKDAY(DATE(AnnéeCalendrier,10,1),1),"jjj")</f>
        <v>dim</v>
      </c>
      <c r="D5" s="1" t="str">
        <f>TEXT(WEEKDAY(DATE(AnnéeCalendrier,10,2),1),"jjj")</f>
        <v>lun</v>
      </c>
      <c r="E5" s="1" t="str">
        <f>TEXT(WEEKDAY(DATE(AnnéeCalendrier,10,3),1),"jjj")</f>
        <v>mar</v>
      </c>
      <c r="F5" s="1" t="str">
        <f>TEXT(WEEKDAY(DATE(AnnéeCalendrier,10,4),1),"jjj")</f>
        <v>mer</v>
      </c>
      <c r="G5" s="1" t="str">
        <f>TEXT(WEEKDAY(DATE(AnnéeCalendrier,10,5),1),"jjj")</f>
        <v>jeu</v>
      </c>
      <c r="H5" s="1" t="str">
        <f>TEXT(WEEKDAY(DATE(AnnéeCalendrier,10,6),1),"jjj")</f>
        <v>ven</v>
      </c>
      <c r="I5" s="1" t="str">
        <f>TEXT(WEEKDAY(DATE(AnnéeCalendrier,10,7),1),"jjj")</f>
        <v>sam</v>
      </c>
      <c r="J5" s="1" t="str">
        <f>TEXT(WEEKDAY(DATE(AnnéeCalendrier,10,8),1),"jjj")</f>
        <v>dim</v>
      </c>
      <c r="K5" s="1" t="str">
        <f>TEXT(WEEKDAY(DATE(AnnéeCalendrier,10,9),1),"jjj")</f>
        <v>lun</v>
      </c>
      <c r="L5" s="1" t="str">
        <f>TEXT(WEEKDAY(DATE(AnnéeCalendrier,10,10),1),"jjj")</f>
        <v>mar</v>
      </c>
      <c r="M5" s="1" t="str">
        <f>TEXT(WEEKDAY(DATE(AnnéeCalendrier,10,11),1),"jjj")</f>
        <v>mer</v>
      </c>
      <c r="N5" s="1" t="str">
        <f>TEXT(WEEKDAY(DATE(AnnéeCalendrier,10,12),1),"jjj")</f>
        <v>jeu</v>
      </c>
      <c r="O5" s="1" t="str">
        <f>TEXT(WEEKDAY(DATE(AnnéeCalendrier,10,13),1),"jjj")</f>
        <v>ven</v>
      </c>
      <c r="P5" s="1" t="str">
        <f>TEXT(WEEKDAY(DATE(AnnéeCalendrier,10,14),1),"jjj")</f>
        <v>sam</v>
      </c>
      <c r="Q5" s="1" t="str">
        <f>TEXT(WEEKDAY(DATE(AnnéeCalendrier,10,15),1),"jjj")</f>
        <v>dim</v>
      </c>
      <c r="R5" s="1" t="str">
        <f>TEXT(WEEKDAY(DATE(AnnéeCalendrier,10,16),1),"jjj")</f>
        <v>lun</v>
      </c>
      <c r="S5" s="1" t="str">
        <f>TEXT(WEEKDAY(DATE(AnnéeCalendrier,10,17),1),"jjj")</f>
        <v>mar</v>
      </c>
      <c r="T5" s="1" t="str">
        <f>TEXT(WEEKDAY(DATE(AnnéeCalendrier,10,18),1),"jjj")</f>
        <v>mer</v>
      </c>
      <c r="U5" s="1" t="str">
        <f>TEXT(WEEKDAY(DATE(AnnéeCalendrier,10,19),1),"jjj")</f>
        <v>jeu</v>
      </c>
      <c r="V5" s="1" t="str">
        <f>TEXT(WEEKDAY(DATE(AnnéeCalendrier,10,20),1),"jjj")</f>
        <v>ven</v>
      </c>
      <c r="W5" s="1" t="str">
        <f>TEXT(WEEKDAY(DATE(AnnéeCalendrier,10,21),1),"jjj")</f>
        <v>sam</v>
      </c>
      <c r="X5" s="1" t="str">
        <f>TEXT(WEEKDAY(DATE(AnnéeCalendrier,10,22),1),"jjj")</f>
        <v>dim</v>
      </c>
      <c r="Y5" s="1" t="str">
        <f>TEXT(WEEKDAY(DATE(AnnéeCalendrier,10,23),1),"jjj")</f>
        <v>lun</v>
      </c>
      <c r="Z5" s="1" t="str">
        <f>TEXT(WEEKDAY(DATE(AnnéeCalendrier,10,24),1),"jjj")</f>
        <v>mar</v>
      </c>
      <c r="AA5" s="1" t="str">
        <f>TEXT(WEEKDAY(DATE(AnnéeCalendrier,10,25),1),"jjj")</f>
        <v>mer</v>
      </c>
      <c r="AB5" s="1" t="str">
        <f>TEXT(WEEKDAY(DATE(AnnéeCalendrier,10,26),1),"jjj")</f>
        <v>jeu</v>
      </c>
      <c r="AC5" s="1" t="str">
        <f>TEXT(WEEKDAY(DATE(AnnéeCalendrier,10,27),1),"jjj")</f>
        <v>ven</v>
      </c>
      <c r="AD5" s="1" t="str">
        <f>TEXT(WEEKDAY(DATE(AnnéeCalendrier,10,28),1),"jjj")</f>
        <v>sam</v>
      </c>
      <c r="AE5" s="1" t="str">
        <f>TEXT(WEEKDAY(DATE(AnnéeCalendrier,10,29),1),"jjj")</f>
        <v>dim</v>
      </c>
      <c r="AF5" s="1" t="str">
        <f>TEXT(WEEKDAY(DATE(AnnéeCalendrier,10,30),1),"jjj")</f>
        <v>lun</v>
      </c>
      <c r="AG5" s="1" t="str">
        <f>TEXT(WEEKDAY(DATE(AnnéeCalendrier,10,31),1),"jjj")</f>
        <v>mar</v>
      </c>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47</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COUNTA(Octobre[[#This Row],[1]:[31]])</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COUNTA(Octobre[[#This Row],[1]:[31]])</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COUNTA(Octobre[[#This Row],[1]:[31]])</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COUNTA(Octobre[[#This Row],[1]:[31]])</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COUNTA(Octobre[[#This Row],[1]:[31]])</f>
        <v>0</v>
      </c>
    </row>
    <row r="12" spans="2:34" ht="30" customHeight="1" x14ac:dyDescent="0.35">
      <c r="B12" s="19" t="str">
        <f>NomMois&amp;" Total"</f>
        <v>Octobre Total</v>
      </c>
      <c r="C12" s="11">
        <f>SUBTOTAL(103,Octobre[1])</f>
        <v>0</v>
      </c>
      <c r="D12" s="11">
        <f>SUBTOTAL(103,Octobre[2])</f>
        <v>0</v>
      </c>
      <c r="E12" s="11">
        <f>SUBTOTAL(103,Octobre[3])</f>
        <v>0</v>
      </c>
      <c r="F12" s="11">
        <f>SUBTOTAL(103,Octobre[4])</f>
        <v>0</v>
      </c>
      <c r="G12" s="11">
        <f>SUBTOTAL(103,Octobre[5])</f>
        <v>0</v>
      </c>
      <c r="H12" s="11">
        <f>SUBTOTAL(103,Octobre[6])</f>
        <v>0</v>
      </c>
      <c r="I12" s="11">
        <f>SUBTOTAL(103,Octobre[7])</f>
        <v>0</v>
      </c>
      <c r="J12" s="11">
        <f>SUBTOTAL(103,Octobre[8])</f>
        <v>0</v>
      </c>
      <c r="K12" s="11">
        <f>SUBTOTAL(103,Octobre[9])</f>
        <v>0</v>
      </c>
      <c r="L12" s="11">
        <f>SUBTOTAL(103,Octobre[10])</f>
        <v>0</v>
      </c>
      <c r="M12" s="11">
        <f>SUBTOTAL(103,Octobre[11])</f>
        <v>0</v>
      </c>
      <c r="N12" s="11">
        <f>SUBTOTAL(103,Octobre[12])</f>
        <v>0</v>
      </c>
      <c r="O12" s="11">
        <f>SUBTOTAL(103,Octobre[13])</f>
        <v>0</v>
      </c>
      <c r="P12" s="11">
        <f>SUBTOTAL(103,Octobre[14])</f>
        <v>0</v>
      </c>
      <c r="Q12" s="11">
        <f>SUBTOTAL(103,Octobre[15])</f>
        <v>0</v>
      </c>
      <c r="R12" s="11">
        <f>SUBTOTAL(103,Octobre[16])</f>
        <v>0</v>
      </c>
      <c r="S12" s="11">
        <f>SUBTOTAL(103,Octobre[17])</f>
        <v>0</v>
      </c>
      <c r="T12" s="11">
        <f>SUBTOTAL(103,Octobre[18])</f>
        <v>0</v>
      </c>
      <c r="U12" s="11">
        <f>SUBTOTAL(103,Octobre[19])</f>
        <v>0</v>
      </c>
      <c r="V12" s="11">
        <f>SUBTOTAL(103,Octobre[20])</f>
        <v>0</v>
      </c>
      <c r="W12" s="11">
        <f>SUBTOTAL(103,Octobre[21])</f>
        <v>0</v>
      </c>
      <c r="X12" s="11">
        <f>SUBTOTAL(103,Octobre[22])</f>
        <v>0</v>
      </c>
      <c r="Y12" s="11">
        <f>SUBTOTAL(103,Octobre[23])</f>
        <v>0</v>
      </c>
      <c r="Z12" s="11">
        <f>SUBTOTAL(103,Octobre[24])</f>
        <v>0</v>
      </c>
      <c r="AA12" s="11">
        <f>SUBTOTAL(103,Octobre[25])</f>
        <v>0</v>
      </c>
      <c r="AB12" s="11">
        <f>SUBTOTAL(103,Octobre[26])</f>
        <v>0</v>
      </c>
      <c r="AC12" s="11">
        <f>SUBTOTAL(103,Octobre[27])</f>
        <v>0</v>
      </c>
      <c r="AD12" s="11">
        <f>SUBTOTAL(103,Octobre[28])</f>
        <v>0</v>
      </c>
      <c r="AE12" s="11">
        <f>SUBTOTAL(103,Octobre[29])</f>
        <v>0</v>
      </c>
      <c r="AF12" s="11">
        <f>SUBTOTAL(103,Octobre[30])</f>
        <v>0</v>
      </c>
      <c r="AG12" s="11">
        <f>SUBTOTAL(103,Octobre[31])</f>
        <v>0</v>
      </c>
      <c r="AH12" s="11">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8" priority="2" stopIfTrue="1">
      <formula>C7=CléPersonnalisée2</formula>
    </cfRule>
    <cfRule type="expression" dxfId="147" priority="3" stopIfTrue="1">
      <formula>C7=CléPersonnalisée1</formula>
    </cfRule>
    <cfRule type="expression" dxfId="146" priority="4" stopIfTrue="1">
      <formula>C7=CléMaladie</formula>
    </cfRule>
    <cfRule type="expression" dxfId="145" priority="5" stopIfTrue="1">
      <formula>C7=CléPersonnel</formula>
    </cfRule>
    <cfRule type="expression" dxfId="14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60</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TEXT(WEEKDAY(DATE(AnnéeCalendrier,11,1),1),"jjj")</f>
        <v>mer</v>
      </c>
      <c r="D5" s="1" t="str">
        <f>TEXT(WEEKDAY(DATE(AnnéeCalendrier,11,2),1),"jjj")</f>
        <v>jeu</v>
      </c>
      <c r="E5" s="1" t="str">
        <f>TEXT(WEEKDAY(DATE(AnnéeCalendrier,11,3),1),"jjj")</f>
        <v>ven</v>
      </c>
      <c r="F5" s="1" t="str">
        <f>TEXT(WEEKDAY(DATE(AnnéeCalendrier,11,4),1),"jjj")</f>
        <v>sam</v>
      </c>
      <c r="G5" s="1" t="str">
        <f>TEXT(WEEKDAY(DATE(AnnéeCalendrier,11,5),1),"jjj")</f>
        <v>dim</v>
      </c>
      <c r="H5" s="1" t="str">
        <f>TEXT(WEEKDAY(DATE(AnnéeCalendrier,11,6),1),"jjj")</f>
        <v>lun</v>
      </c>
      <c r="I5" s="1" t="str">
        <f>TEXT(WEEKDAY(DATE(AnnéeCalendrier,11,7),1),"jjj")</f>
        <v>mar</v>
      </c>
      <c r="J5" s="1" t="str">
        <f>TEXT(WEEKDAY(DATE(AnnéeCalendrier,11,8),1),"jjj")</f>
        <v>mer</v>
      </c>
      <c r="K5" s="1" t="str">
        <f>TEXT(WEEKDAY(DATE(AnnéeCalendrier,11,9),1),"jjj")</f>
        <v>jeu</v>
      </c>
      <c r="L5" s="1" t="str">
        <f>TEXT(WEEKDAY(DATE(AnnéeCalendrier,11,10),1),"jjj")</f>
        <v>ven</v>
      </c>
      <c r="M5" s="1" t="str">
        <f>TEXT(WEEKDAY(DATE(AnnéeCalendrier,11,11),1),"jjj")</f>
        <v>sam</v>
      </c>
      <c r="N5" s="1" t="str">
        <f>TEXT(WEEKDAY(DATE(AnnéeCalendrier,11,12),1),"jjj")</f>
        <v>dim</v>
      </c>
      <c r="O5" s="1" t="str">
        <f>TEXT(WEEKDAY(DATE(AnnéeCalendrier,11,13),1),"jjj")</f>
        <v>lun</v>
      </c>
      <c r="P5" s="1" t="str">
        <f>TEXT(WEEKDAY(DATE(AnnéeCalendrier,11,14),1),"jjj")</f>
        <v>mar</v>
      </c>
      <c r="Q5" s="1" t="str">
        <f>TEXT(WEEKDAY(DATE(AnnéeCalendrier,11,15),1),"jjj")</f>
        <v>mer</v>
      </c>
      <c r="R5" s="1" t="str">
        <f>TEXT(WEEKDAY(DATE(AnnéeCalendrier,11,16),1),"jjj")</f>
        <v>jeu</v>
      </c>
      <c r="S5" s="1" t="str">
        <f>TEXT(WEEKDAY(DATE(AnnéeCalendrier,11,17),1),"jjj")</f>
        <v>ven</v>
      </c>
      <c r="T5" s="1" t="str">
        <f>TEXT(WEEKDAY(DATE(AnnéeCalendrier,11,18),1),"jjj")</f>
        <v>sam</v>
      </c>
      <c r="U5" s="1" t="str">
        <f>TEXT(WEEKDAY(DATE(AnnéeCalendrier,11,19),1),"jjj")</f>
        <v>dim</v>
      </c>
      <c r="V5" s="1" t="str">
        <f>TEXT(WEEKDAY(DATE(AnnéeCalendrier,11,20),1),"jjj")</f>
        <v>lun</v>
      </c>
      <c r="W5" s="1" t="str">
        <f>TEXT(WEEKDAY(DATE(AnnéeCalendrier,11,21),1),"jjj")</f>
        <v>mar</v>
      </c>
      <c r="X5" s="1" t="str">
        <f>TEXT(WEEKDAY(DATE(AnnéeCalendrier,11,22),1),"jjj")</f>
        <v>mer</v>
      </c>
      <c r="Y5" s="1" t="str">
        <f>TEXT(WEEKDAY(DATE(AnnéeCalendrier,11,23),1),"jjj")</f>
        <v>jeu</v>
      </c>
      <c r="Z5" s="1" t="str">
        <f>TEXT(WEEKDAY(DATE(AnnéeCalendrier,11,24),1),"jjj")</f>
        <v>ven</v>
      </c>
      <c r="AA5" s="1" t="str">
        <f>TEXT(WEEKDAY(DATE(AnnéeCalendrier,11,25),1),"jjj")</f>
        <v>sam</v>
      </c>
      <c r="AB5" s="1" t="str">
        <f>TEXT(WEEKDAY(DATE(AnnéeCalendrier,11,26),1),"jjj")</f>
        <v>dim</v>
      </c>
      <c r="AC5" s="1" t="str">
        <f>TEXT(WEEKDAY(DATE(AnnéeCalendrier,11,27),1),"jjj")</f>
        <v>lun</v>
      </c>
      <c r="AD5" s="1" t="str">
        <f>TEXT(WEEKDAY(DATE(AnnéeCalendrier,11,28),1),"jjj")</f>
        <v>mar</v>
      </c>
      <c r="AE5" s="1" t="str">
        <f>TEXT(WEEKDAY(DATE(AnnéeCalendrier,11,29),1),"jjj")</f>
        <v>mer</v>
      </c>
      <c r="AF5" s="1" t="str">
        <f>TEXT(WEEKDAY(DATE(AnnéeCalendrier,11,30),1),"jjj")</f>
        <v>jeu</v>
      </c>
      <c r="AG5" s="1"/>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50</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COUNTA(Novembre[[#This Row],[1]:[30]])</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COUNTA(Novembre[[#This Row],[1]:[30]])</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COUNTA(Novembre[[#This Row],[1]:[30]])</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COUNTA(Novembre[[#This Row],[1]:[30]])</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COUNTA(Novembre[[#This Row],[1]:[30]])</f>
        <v>0</v>
      </c>
    </row>
    <row r="12" spans="2:34" ht="30" customHeight="1" x14ac:dyDescent="0.35">
      <c r="B12" s="19" t="str">
        <f>NomMois&amp;" Total"</f>
        <v>Novembre Total</v>
      </c>
      <c r="C12" s="11">
        <f>SUBTOTAL(103,Novembre[1])</f>
        <v>0</v>
      </c>
      <c r="D12" s="11">
        <f>SUBTOTAL(103,Novembre[2])</f>
        <v>0</v>
      </c>
      <c r="E12" s="11">
        <f>SUBTOTAL(103,Novembre[3])</f>
        <v>0</v>
      </c>
      <c r="F12" s="11">
        <f>SUBTOTAL(103,Novembre[4])</f>
        <v>0</v>
      </c>
      <c r="G12" s="11">
        <f>SUBTOTAL(103,Novembre[5])</f>
        <v>0</v>
      </c>
      <c r="H12" s="11">
        <f>SUBTOTAL(103,Novembre[6])</f>
        <v>0</v>
      </c>
      <c r="I12" s="11">
        <f>SUBTOTAL(103,Novembre[7])</f>
        <v>0</v>
      </c>
      <c r="J12" s="11">
        <f>SUBTOTAL(103,Novembre[8])</f>
        <v>0</v>
      </c>
      <c r="K12" s="11">
        <f>SUBTOTAL(103,Novembre[9])</f>
        <v>0</v>
      </c>
      <c r="L12" s="11">
        <f>SUBTOTAL(103,Novembre[10])</f>
        <v>0</v>
      </c>
      <c r="M12" s="11">
        <f>SUBTOTAL(103,Novembre[11])</f>
        <v>0</v>
      </c>
      <c r="N12" s="11">
        <f>SUBTOTAL(103,Novembre[12])</f>
        <v>0</v>
      </c>
      <c r="O12" s="11">
        <f>SUBTOTAL(103,Novembre[13])</f>
        <v>0</v>
      </c>
      <c r="P12" s="11">
        <f>SUBTOTAL(103,Novembre[14])</f>
        <v>0</v>
      </c>
      <c r="Q12" s="11">
        <f>SUBTOTAL(103,Novembre[15])</f>
        <v>0</v>
      </c>
      <c r="R12" s="11">
        <f>SUBTOTAL(103,Novembre[16])</f>
        <v>0</v>
      </c>
      <c r="S12" s="11">
        <f>SUBTOTAL(103,Novembre[17])</f>
        <v>0</v>
      </c>
      <c r="T12" s="11">
        <f>SUBTOTAL(103,Novembre[18])</f>
        <v>0</v>
      </c>
      <c r="U12" s="11">
        <f>SUBTOTAL(103,Novembre[19])</f>
        <v>0</v>
      </c>
      <c r="V12" s="11">
        <f>SUBTOTAL(103,Novembre[20])</f>
        <v>0</v>
      </c>
      <c r="W12" s="11">
        <f>SUBTOTAL(103,Novembre[21])</f>
        <v>0</v>
      </c>
      <c r="X12" s="11">
        <f>SUBTOTAL(103,Novembre[22])</f>
        <v>0</v>
      </c>
      <c r="Y12" s="11">
        <f>SUBTOTAL(103,Novembre[23])</f>
        <v>0</v>
      </c>
      <c r="Z12" s="11">
        <f>SUBTOTAL(103,Novembre[24])</f>
        <v>0</v>
      </c>
      <c r="AA12" s="11">
        <f>SUBTOTAL(103,Novembre[25])</f>
        <v>0</v>
      </c>
      <c r="AB12" s="11">
        <f>SUBTOTAL(103,Novembre[26])</f>
        <v>0</v>
      </c>
      <c r="AC12" s="11">
        <f>SUBTOTAL(103,Novembre[27])</f>
        <v>0</v>
      </c>
      <c r="AD12" s="11">
        <f>SUBTOTAL(103,Novembre[28])</f>
        <v>0</v>
      </c>
      <c r="AE12" s="11">
        <f>SUBTOTAL(103,Novembre[29])</f>
        <v>0</v>
      </c>
      <c r="AF12" s="11">
        <f>SUBTOTAL(103,Novembre[30])</f>
        <v>0</v>
      </c>
      <c r="AG12" s="11">
        <f>SUBTOTAL(103,Novembre[[ ]])</f>
        <v>0</v>
      </c>
      <c r="AH12" s="11">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3" priority="2" stopIfTrue="1">
      <formula>C7=CléPersonnalisée2</formula>
    </cfRule>
    <cfRule type="expression" dxfId="142" priority="3" stopIfTrue="1">
      <formula>C7=CléPersonnalisée1</formula>
    </cfRule>
    <cfRule type="expression" dxfId="141" priority="4" stopIfTrue="1">
      <formula>C7=CléMaladie</formula>
    </cfRule>
    <cfRule type="expression" dxfId="140" priority="5" stopIfTrue="1">
      <formula>C7=CléPersonnel</formula>
    </cfRule>
    <cfRule type="expression" dxfId="139"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sheetPr>
  <dimension ref="A1:AH12"/>
  <sheetViews>
    <sheetView showGridLines="0" zoomScaleNormal="100" workbookViewId="0"/>
  </sheetViews>
  <sheetFormatPr baseColWidth="10" defaultColWidth="9.1796875" defaultRowHeight="30" customHeight="1" x14ac:dyDescent="0.35"/>
  <cols>
    <col min="1" max="1" width="2.7265625" style="9" customWidth="1"/>
    <col min="2" max="2" width="25.7265625" style="9" customWidth="1"/>
    <col min="3" max="33" width="4.7265625" style="9" customWidth="1"/>
    <col min="34" max="34" width="13.54296875" style="9" customWidth="1"/>
    <col min="35" max="35" width="2.7265625" customWidth="1"/>
  </cols>
  <sheetData>
    <row r="1" spans="2:34" ht="50.15" customHeight="1" x14ac:dyDescent="0.35">
      <c r="B1" s="12" t="str">
        <f>Titre_Absence_Employé</f>
        <v>Calendrier des gardes et absences des employés</v>
      </c>
    </row>
    <row r="2" spans="2:34" ht="15" customHeight="1" x14ac:dyDescent="0.35">
      <c r="B2" s="17" t="s">
        <v>0</v>
      </c>
      <c r="C2" s="3" t="s">
        <v>8</v>
      </c>
      <c r="D2" s="24" t="s">
        <v>11</v>
      </c>
      <c r="E2" s="24"/>
      <c r="F2" s="4" t="s">
        <v>14</v>
      </c>
      <c r="G2" s="24" t="s">
        <v>18</v>
      </c>
      <c r="H2" s="24"/>
      <c r="I2" s="24"/>
      <c r="J2" s="5" t="s">
        <v>16</v>
      </c>
      <c r="K2" s="24" t="s">
        <v>23</v>
      </c>
      <c r="L2" s="24"/>
      <c r="M2" s="6"/>
      <c r="N2" s="24" t="s">
        <v>27</v>
      </c>
      <c r="O2" s="24"/>
      <c r="P2" s="24"/>
      <c r="Q2" s="24"/>
      <c r="R2" s="7"/>
      <c r="S2" s="24" t="s">
        <v>32</v>
      </c>
      <c r="T2" s="24"/>
      <c r="U2" s="24"/>
      <c r="V2" s="24"/>
    </row>
    <row r="3" spans="2:34" ht="15" customHeight="1" x14ac:dyDescent="0.35">
      <c r="B3" s="12"/>
    </row>
    <row r="4" spans="2:34" ht="30" customHeight="1" x14ac:dyDescent="0.35">
      <c r="B4" s="10" t="s">
        <v>61</v>
      </c>
      <c r="C4" s="23" t="s">
        <v>9</v>
      </c>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10">
        <f>AnnéeCalendrier</f>
        <v>2023</v>
      </c>
    </row>
    <row r="5" spans="2:34" ht="15" customHeight="1" x14ac:dyDescent="0.35">
      <c r="B5" s="10"/>
      <c r="C5" s="1" t="str">
        <f>TEXT(WEEKDAY(DATE(AnnéeCalendrier,12,1),1),"jjj")</f>
        <v>ven</v>
      </c>
      <c r="D5" s="1" t="str">
        <f>TEXT(WEEKDAY(DATE(AnnéeCalendrier,12,2),1),"jjj")</f>
        <v>sam</v>
      </c>
      <c r="E5" s="1" t="str">
        <f>TEXT(WEEKDAY(DATE(AnnéeCalendrier,12,3),1),"jjj")</f>
        <v>dim</v>
      </c>
      <c r="F5" s="1" t="str">
        <f>TEXT(WEEKDAY(DATE(AnnéeCalendrier,12,4),1),"jjj")</f>
        <v>lun</v>
      </c>
      <c r="G5" s="1" t="str">
        <f>TEXT(WEEKDAY(DATE(AnnéeCalendrier,12,5),1),"jjj")</f>
        <v>mar</v>
      </c>
      <c r="H5" s="1" t="str">
        <f>TEXT(WEEKDAY(DATE(AnnéeCalendrier,12,6),1),"jjj")</f>
        <v>mer</v>
      </c>
      <c r="I5" s="1" t="str">
        <f>TEXT(WEEKDAY(DATE(AnnéeCalendrier,12,7),1),"jjj")</f>
        <v>jeu</v>
      </c>
      <c r="J5" s="1" t="str">
        <f>TEXT(WEEKDAY(DATE(AnnéeCalendrier,12,8),1),"jjj")</f>
        <v>ven</v>
      </c>
      <c r="K5" s="1" t="str">
        <f>TEXT(WEEKDAY(DATE(AnnéeCalendrier,12,9),1),"jjj")</f>
        <v>sam</v>
      </c>
      <c r="L5" s="1" t="str">
        <f>TEXT(WEEKDAY(DATE(AnnéeCalendrier,12,10),1),"jjj")</f>
        <v>dim</v>
      </c>
      <c r="M5" s="1" t="str">
        <f>TEXT(WEEKDAY(DATE(AnnéeCalendrier,12,11),1),"jjj")</f>
        <v>lun</v>
      </c>
      <c r="N5" s="1" t="str">
        <f>TEXT(WEEKDAY(DATE(AnnéeCalendrier,12,12),1),"jjj")</f>
        <v>mar</v>
      </c>
      <c r="O5" s="1" t="str">
        <f>TEXT(WEEKDAY(DATE(AnnéeCalendrier,12,13),1),"jjj")</f>
        <v>mer</v>
      </c>
      <c r="P5" s="1" t="str">
        <f>TEXT(WEEKDAY(DATE(AnnéeCalendrier,12,14),1),"jjj")</f>
        <v>jeu</v>
      </c>
      <c r="Q5" s="1" t="str">
        <f>TEXT(WEEKDAY(DATE(AnnéeCalendrier,12,15),1),"jjj")</f>
        <v>ven</v>
      </c>
      <c r="R5" s="1" t="str">
        <f>TEXT(WEEKDAY(DATE(AnnéeCalendrier,12,16),1),"jjj")</f>
        <v>sam</v>
      </c>
      <c r="S5" s="1" t="str">
        <f>TEXT(WEEKDAY(DATE(AnnéeCalendrier,12,17),1),"jjj")</f>
        <v>dim</v>
      </c>
      <c r="T5" s="1" t="str">
        <f>TEXT(WEEKDAY(DATE(AnnéeCalendrier,12,18),1),"jjj")</f>
        <v>lun</v>
      </c>
      <c r="U5" s="1" t="str">
        <f>TEXT(WEEKDAY(DATE(AnnéeCalendrier,12,19),1),"jjj")</f>
        <v>mar</v>
      </c>
      <c r="V5" s="1" t="str">
        <f>TEXT(WEEKDAY(DATE(AnnéeCalendrier,12,20),1),"jjj")</f>
        <v>mer</v>
      </c>
      <c r="W5" s="1" t="str">
        <f>TEXT(WEEKDAY(DATE(AnnéeCalendrier,12,21),1),"jjj")</f>
        <v>jeu</v>
      </c>
      <c r="X5" s="1" t="str">
        <f>TEXT(WEEKDAY(DATE(AnnéeCalendrier,12,22),1),"jjj")</f>
        <v>ven</v>
      </c>
      <c r="Y5" s="1" t="str">
        <f>TEXT(WEEKDAY(DATE(AnnéeCalendrier,12,23),1),"jjj")</f>
        <v>sam</v>
      </c>
      <c r="Z5" s="1" t="str">
        <f>TEXT(WEEKDAY(DATE(AnnéeCalendrier,12,24),1),"jjj")</f>
        <v>dim</v>
      </c>
      <c r="AA5" s="1" t="str">
        <f>TEXT(WEEKDAY(DATE(AnnéeCalendrier,12,25),1),"jjj")</f>
        <v>lun</v>
      </c>
      <c r="AB5" s="1" t="str">
        <f>TEXT(WEEKDAY(DATE(AnnéeCalendrier,12,26),1),"jjj")</f>
        <v>mar</v>
      </c>
      <c r="AC5" s="1" t="str">
        <f>TEXT(WEEKDAY(DATE(AnnéeCalendrier,12,27),1),"jjj")</f>
        <v>mer</v>
      </c>
      <c r="AD5" s="1" t="str">
        <f>TEXT(WEEKDAY(DATE(AnnéeCalendrier,12,28),1),"jjj")</f>
        <v>jeu</v>
      </c>
      <c r="AE5" s="1" t="str">
        <f>TEXT(WEEKDAY(DATE(AnnéeCalendrier,12,29),1),"jjj")</f>
        <v>ven</v>
      </c>
      <c r="AF5" s="1" t="str">
        <f>TEXT(WEEKDAY(DATE(AnnéeCalendrier,12,30),1),"jjj")</f>
        <v>sam</v>
      </c>
      <c r="AG5" s="1" t="str">
        <f>TEXT(WEEKDAY(DATE(AnnéeCalendrier,12,31),1),"jjj")</f>
        <v>dim</v>
      </c>
      <c r="AH5" s="10"/>
    </row>
    <row r="6" spans="2:34" ht="15" customHeight="1" x14ac:dyDescent="0.35">
      <c r="B6" s="13" t="s">
        <v>2</v>
      </c>
      <c r="C6" s="2" t="s">
        <v>10</v>
      </c>
      <c r="D6" s="2" t="s">
        <v>12</v>
      </c>
      <c r="E6" s="2" t="s">
        <v>13</v>
      </c>
      <c r="F6" s="2" t="s">
        <v>15</v>
      </c>
      <c r="G6" s="2" t="s">
        <v>17</v>
      </c>
      <c r="H6" s="2" t="s">
        <v>19</v>
      </c>
      <c r="I6" s="2" t="s">
        <v>20</v>
      </c>
      <c r="J6" s="2" t="s">
        <v>21</v>
      </c>
      <c r="K6" s="2" t="s">
        <v>22</v>
      </c>
      <c r="L6" s="2" t="s">
        <v>24</v>
      </c>
      <c r="M6" s="2" t="s">
        <v>25</v>
      </c>
      <c r="N6" s="2" t="s">
        <v>26</v>
      </c>
      <c r="O6" s="2" t="s">
        <v>28</v>
      </c>
      <c r="P6" s="2" t="s">
        <v>29</v>
      </c>
      <c r="Q6" s="2" t="s">
        <v>30</v>
      </c>
      <c r="R6" s="2" t="s">
        <v>31</v>
      </c>
      <c r="S6" s="2" t="s">
        <v>33</v>
      </c>
      <c r="T6" s="2" t="s">
        <v>34</v>
      </c>
      <c r="U6" s="2" t="s">
        <v>35</v>
      </c>
      <c r="V6" s="2" t="s">
        <v>36</v>
      </c>
      <c r="W6" s="2" t="s">
        <v>37</v>
      </c>
      <c r="X6" s="2" t="s">
        <v>38</v>
      </c>
      <c r="Y6" s="2" t="s">
        <v>39</v>
      </c>
      <c r="Z6" s="2" t="s">
        <v>40</v>
      </c>
      <c r="AA6" s="2" t="s">
        <v>41</v>
      </c>
      <c r="AB6" s="2" t="s">
        <v>42</v>
      </c>
      <c r="AC6" s="2" t="s">
        <v>43</v>
      </c>
      <c r="AD6" s="2" t="s">
        <v>44</v>
      </c>
      <c r="AE6" s="2" t="s">
        <v>45</v>
      </c>
      <c r="AF6" s="2" t="s">
        <v>46</v>
      </c>
      <c r="AG6" s="2" t="s">
        <v>47</v>
      </c>
      <c r="AH6" s="14" t="s">
        <v>48</v>
      </c>
    </row>
    <row r="7" spans="2:34" ht="30" customHeight="1" x14ac:dyDescent="0.35">
      <c r="B7" s="15" t="s">
        <v>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COUNTA(Décembre[[#This Row],[1]:[31]])</f>
        <v>0</v>
      </c>
    </row>
    <row r="8" spans="2:34" ht="30" customHeight="1" x14ac:dyDescent="0.35">
      <c r="B8" s="15" t="s">
        <v>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COUNTA(Décembre[[#This Row],[1]:[31]])</f>
        <v>0</v>
      </c>
    </row>
    <row r="9" spans="2:34" ht="30" customHeight="1" x14ac:dyDescent="0.35">
      <c r="B9" s="15" t="s">
        <v>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COUNTA(Décembre[[#This Row],[1]:[31]])</f>
        <v>0</v>
      </c>
    </row>
    <row r="10" spans="2:34" ht="30" customHeight="1" x14ac:dyDescent="0.35">
      <c r="B10" s="15" t="s">
        <v>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COUNTA(Décembre[[#This Row],[1]:[31]])</f>
        <v>0</v>
      </c>
    </row>
    <row r="11" spans="2:34" ht="30" customHeight="1" x14ac:dyDescent="0.35">
      <c r="B11" s="15" t="s">
        <v>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COUNTA(Décembre[[#This Row],[1]:[31]])</f>
        <v>0</v>
      </c>
    </row>
    <row r="12" spans="2:34" ht="30" customHeight="1" x14ac:dyDescent="0.35">
      <c r="B12" s="19" t="str">
        <f>NomMois&amp;" Total"</f>
        <v>Décembre Total</v>
      </c>
      <c r="C12" s="11">
        <f>SUBTOTAL(103,Décembre[1])</f>
        <v>0</v>
      </c>
      <c r="D12" s="11">
        <f>SUBTOTAL(103,Décembre[2])</f>
        <v>0</v>
      </c>
      <c r="E12" s="11">
        <f>SUBTOTAL(103,Décembre[3])</f>
        <v>0</v>
      </c>
      <c r="F12" s="11">
        <f>SUBTOTAL(103,Décembre[4])</f>
        <v>0</v>
      </c>
      <c r="G12" s="11">
        <f>SUBTOTAL(103,Décembre[5])</f>
        <v>0</v>
      </c>
      <c r="H12" s="11">
        <f>SUBTOTAL(103,Décembre[6])</f>
        <v>0</v>
      </c>
      <c r="I12" s="11">
        <f>SUBTOTAL(103,Décembre[7])</f>
        <v>0</v>
      </c>
      <c r="J12" s="11">
        <f>SUBTOTAL(103,Décembre[8])</f>
        <v>0</v>
      </c>
      <c r="K12" s="11">
        <f>SUBTOTAL(103,Décembre[9])</f>
        <v>0</v>
      </c>
      <c r="L12" s="11">
        <f>SUBTOTAL(103,Décembre[10])</f>
        <v>0</v>
      </c>
      <c r="M12" s="11">
        <f>SUBTOTAL(103,Décembre[11])</f>
        <v>0</v>
      </c>
      <c r="N12" s="11">
        <f>SUBTOTAL(103,Décembre[12])</f>
        <v>0</v>
      </c>
      <c r="O12" s="11">
        <f>SUBTOTAL(103,Décembre[13])</f>
        <v>0</v>
      </c>
      <c r="P12" s="11">
        <f>SUBTOTAL(103,Décembre[14])</f>
        <v>0</v>
      </c>
      <c r="Q12" s="11">
        <f>SUBTOTAL(103,Décembre[15])</f>
        <v>0</v>
      </c>
      <c r="R12" s="11">
        <f>SUBTOTAL(103,Décembre[16])</f>
        <v>0</v>
      </c>
      <c r="S12" s="11">
        <f>SUBTOTAL(103,Décembre[17])</f>
        <v>0</v>
      </c>
      <c r="T12" s="11">
        <f>SUBTOTAL(103,Décembre[18])</f>
        <v>0</v>
      </c>
      <c r="U12" s="11">
        <f>SUBTOTAL(103,Décembre[19])</f>
        <v>0</v>
      </c>
      <c r="V12" s="11">
        <f>SUBTOTAL(103,Décembre[20])</f>
        <v>0</v>
      </c>
      <c r="W12" s="11">
        <f>SUBTOTAL(103,Décembre[21])</f>
        <v>0</v>
      </c>
      <c r="X12" s="11">
        <f>SUBTOTAL(103,Décembre[22])</f>
        <v>0</v>
      </c>
      <c r="Y12" s="11">
        <f>SUBTOTAL(103,Décembre[23])</f>
        <v>0</v>
      </c>
      <c r="Z12" s="11">
        <f>SUBTOTAL(103,Décembre[24])</f>
        <v>0</v>
      </c>
      <c r="AA12" s="11">
        <f>SUBTOTAL(103,Décembre[25])</f>
        <v>0</v>
      </c>
      <c r="AB12" s="11">
        <f>SUBTOTAL(103,Décembre[26])</f>
        <v>0</v>
      </c>
      <c r="AC12" s="11">
        <f>SUBTOTAL(103,Décembre[27])</f>
        <v>0</v>
      </c>
      <c r="AD12" s="11">
        <f>SUBTOTAL(103,Décembre[28])</f>
        <v>0</v>
      </c>
      <c r="AE12" s="11">
        <f>SUBTOTAL(103,Décembre[29])</f>
        <v>0</v>
      </c>
      <c r="AF12" s="11">
        <f>SUBTOTAL(103,Décembre[30])</f>
        <v>0</v>
      </c>
      <c r="AG12" s="11">
        <f>SUBTOTAL(103,Décembre[31])</f>
        <v>0</v>
      </c>
      <c r="AH12" s="11">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38" priority="2" stopIfTrue="1">
      <formula>C7=CléPersonnalisée2</formula>
    </cfRule>
    <cfRule type="expression" dxfId="137" priority="3" stopIfTrue="1">
      <formula>C7=CléPersonnalisée1</formula>
    </cfRule>
    <cfRule type="expression" dxfId="136" priority="4" stopIfTrue="1">
      <formula>C7=CléMaladie</formula>
    </cfRule>
    <cfRule type="expression" dxfId="135" priority="5" stopIfTrue="1">
      <formula>C7=CléPersonnel</formula>
    </cfRule>
    <cfRule type="expression" dxfId="134"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'Noms des employés'!$B$4:$B$8</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B1:B33"/>
  <sheetViews>
    <sheetView showGridLines="0" workbookViewId="0">
      <selection activeCell="G9" sqref="G9"/>
    </sheetView>
  </sheetViews>
  <sheetFormatPr baseColWidth="10" defaultColWidth="9.1796875" defaultRowHeight="30" customHeight="1" x14ac:dyDescent="0.35"/>
  <cols>
    <col min="1" max="1" width="2.7265625" customWidth="1"/>
    <col min="2" max="2" width="30.7265625" customWidth="1"/>
    <col min="3" max="3" width="2.7265625" customWidth="1"/>
  </cols>
  <sheetData>
    <row r="1" spans="2:2" ht="50.15" customHeight="1" x14ac:dyDescent="0.35">
      <c r="B1" s="20" t="s">
        <v>62</v>
      </c>
    </row>
    <row r="2" spans="2:2" ht="15" customHeight="1" x14ac:dyDescent="0.35"/>
    <row r="3" spans="2:2" ht="30" customHeight="1" x14ac:dyDescent="0.35">
      <c r="B3" t="s">
        <v>62</v>
      </c>
    </row>
    <row r="4" spans="2:2" ht="30" customHeight="1" x14ac:dyDescent="0.35">
      <c r="B4" s="25" t="s">
        <v>65</v>
      </c>
    </row>
    <row r="5" spans="2:2" ht="30" customHeight="1" x14ac:dyDescent="0.35">
      <c r="B5" s="25" t="s">
        <v>66</v>
      </c>
    </row>
    <row r="6" spans="2:2" ht="30" customHeight="1" x14ac:dyDescent="0.35">
      <c r="B6" s="25" t="s">
        <v>67</v>
      </c>
    </row>
    <row r="7" spans="2:2" ht="30" customHeight="1" x14ac:dyDescent="0.35">
      <c r="B7" s="25" t="s">
        <v>68</v>
      </c>
    </row>
    <row r="8" spans="2:2" ht="30" customHeight="1" x14ac:dyDescent="0.35">
      <c r="B8" s="25" t="s">
        <v>69</v>
      </c>
    </row>
    <row r="9" spans="2:2" ht="30" customHeight="1" x14ac:dyDescent="0.35">
      <c r="B9" s="25" t="s">
        <v>70</v>
      </c>
    </row>
    <row r="10" spans="2:2" ht="30" customHeight="1" x14ac:dyDescent="0.35">
      <c r="B10" s="25" t="s">
        <v>71</v>
      </c>
    </row>
    <row r="11" spans="2:2" ht="30" customHeight="1" x14ac:dyDescent="0.35">
      <c r="B11" s="25" t="s">
        <v>72</v>
      </c>
    </row>
    <row r="12" spans="2:2" ht="30" customHeight="1" x14ac:dyDescent="0.35">
      <c r="B12" s="25" t="s">
        <v>73</v>
      </c>
    </row>
    <row r="13" spans="2:2" ht="30" customHeight="1" x14ac:dyDescent="0.35">
      <c r="B13" s="49" t="s">
        <v>74</v>
      </c>
    </row>
    <row r="14" spans="2:2" ht="30" customHeight="1" x14ac:dyDescent="0.35">
      <c r="B14" s="25" t="s">
        <v>75</v>
      </c>
    </row>
    <row r="15" spans="2:2" ht="30" customHeight="1" x14ac:dyDescent="0.35">
      <c r="B15" s="25" t="s">
        <v>76</v>
      </c>
    </row>
    <row r="16" spans="2:2" ht="30" customHeight="1" x14ac:dyDescent="0.35">
      <c r="B16" s="25" t="s">
        <v>77</v>
      </c>
    </row>
    <row r="17" spans="2:2" ht="30" customHeight="1" x14ac:dyDescent="0.35">
      <c r="B17" s="25" t="s">
        <v>78</v>
      </c>
    </row>
    <row r="18" spans="2:2" ht="30" customHeight="1" x14ac:dyDescent="0.35">
      <c r="B18" s="25" t="s">
        <v>79</v>
      </c>
    </row>
    <row r="19" spans="2:2" ht="30" customHeight="1" x14ac:dyDescent="0.35">
      <c r="B19" s="25" t="s">
        <v>80</v>
      </c>
    </row>
    <row r="20" spans="2:2" ht="30" customHeight="1" x14ac:dyDescent="0.35">
      <c r="B20" s="25" t="s">
        <v>81</v>
      </c>
    </row>
    <row r="21" spans="2:2" ht="30" customHeight="1" x14ac:dyDescent="0.35">
      <c r="B21" s="25" t="s">
        <v>82</v>
      </c>
    </row>
    <row r="22" spans="2:2" ht="30" customHeight="1" x14ac:dyDescent="0.35">
      <c r="B22" s="25" t="s">
        <v>83</v>
      </c>
    </row>
    <row r="23" spans="2:2" ht="30" customHeight="1" x14ac:dyDescent="0.35">
      <c r="B23" s="25" t="s">
        <v>84</v>
      </c>
    </row>
    <row r="24" spans="2:2" ht="30" customHeight="1" x14ac:dyDescent="0.35">
      <c r="B24" s="25" t="s">
        <v>85</v>
      </c>
    </row>
    <row r="25" spans="2:2" ht="30" customHeight="1" x14ac:dyDescent="0.35">
      <c r="B25" s="25" t="s">
        <v>86</v>
      </c>
    </row>
    <row r="26" spans="2:2" ht="30" customHeight="1" x14ac:dyDescent="0.35">
      <c r="B26" s="25" t="s">
        <v>87</v>
      </c>
    </row>
    <row r="27" spans="2:2" ht="30" customHeight="1" x14ac:dyDescent="0.35">
      <c r="B27" s="25" t="s">
        <v>88</v>
      </c>
    </row>
    <row r="28" spans="2:2" ht="30" customHeight="1" x14ac:dyDescent="0.35">
      <c r="B28" s="25" t="s">
        <v>89</v>
      </c>
    </row>
    <row r="29" spans="2:2" ht="30" customHeight="1" x14ac:dyDescent="0.35">
      <c r="B29" s="25" t="s">
        <v>90</v>
      </c>
    </row>
    <row r="30" spans="2:2" ht="30" customHeight="1" x14ac:dyDescent="0.35">
      <c r="B30" s="25" t="s">
        <v>91</v>
      </c>
    </row>
    <row r="31" spans="2:2" ht="30" customHeight="1" x14ac:dyDescent="0.35">
      <c r="B31" s="25">
        <v>28</v>
      </c>
    </row>
    <row r="32" spans="2:2" ht="30" customHeight="1" x14ac:dyDescent="0.35">
      <c r="B32" s="25">
        <v>29</v>
      </c>
    </row>
    <row r="33" spans="2:2" ht="30" customHeight="1" x14ac:dyDescent="0.35">
      <c r="B33" s="25">
        <v>30</v>
      </c>
    </row>
  </sheetData>
  <dataValidations xWindow="238" yWindow="485"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51</vt:i4>
      </vt:variant>
    </vt:vector>
  </HeadingPairs>
  <TitlesOfParts>
    <vt:vector size="64"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Janvier!An</vt:lpstr>
      <vt:lpstr>AnnéeCalendrier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Alexandre PC Pro</dc:creator>
  <cp:lastModifiedBy>Alexandre PC Pro</cp:lastModifiedBy>
  <cp:lastPrinted>2022-12-01T11:09:14Z</cp:lastPrinted>
  <dcterms:created xsi:type="dcterms:W3CDTF">2016-12-06T04:52:27Z</dcterms:created>
  <dcterms:modified xsi:type="dcterms:W3CDTF">2022-12-01T11:12:54Z</dcterms:modified>
</cp:coreProperties>
</file>