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AD28" i="1"/>
  <c r="AE26"/>
  <c r="AD26"/>
  <c r="AA26"/>
  <c r="D22"/>
  <c r="I21"/>
  <c r="M19"/>
  <c r="I19"/>
  <c r="M17"/>
  <c r="H17"/>
  <c r="D17"/>
  <c r="AC32" s="1"/>
  <c r="AD32" s="1"/>
  <c r="AC15"/>
  <c r="AG14"/>
  <c r="M14"/>
  <c r="AC13"/>
  <c r="D13"/>
  <c r="M9"/>
  <c r="M7"/>
  <c r="F1"/>
  <c r="AC26" l="1"/>
  <c r="AF26" s="1"/>
  <c r="AH28"/>
  <c r="M21"/>
  <c r="M22"/>
  <c r="AB26"/>
  <c r="AG26" s="1"/>
  <c r="AD24" l="1"/>
  <c r="M11" s="1"/>
</calcChain>
</file>

<file path=xl/sharedStrings.xml><?xml version="1.0" encoding="utf-8"?>
<sst xmlns="http://schemas.openxmlformats.org/spreadsheetml/2006/main" count="270" uniqueCount="129">
  <si>
    <t>auges</t>
  </si>
  <si>
    <t>entraxes stations sup</t>
  </si>
  <si>
    <t>entraxes stations inf</t>
  </si>
  <si>
    <t>type de tension</t>
  </si>
  <si>
    <t>Diametres des rouleaux</t>
  </si>
  <si>
    <t>classes</t>
  </si>
  <si>
    <t>Projet</t>
  </si>
  <si>
    <t>Infrastructure</t>
  </si>
  <si>
    <t>Bande</t>
  </si>
  <si>
    <t>danseuse</t>
  </si>
  <si>
    <t>Installation</t>
  </si>
  <si>
    <t>H5</t>
  </si>
  <si>
    <t>angle d'auge (°)</t>
  </si>
  <si>
    <t>Largeur de bande (mm)</t>
  </si>
  <si>
    <t>fixe</t>
  </si>
  <si>
    <t>Produit</t>
  </si>
  <si>
    <t>Forme d'auge sup.</t>
  </si>
  <si>
    <t>3 rouleaux</t>
  </si>
  <si>
    <t>Type de bande</t>
  </si>
  <si>
    <t>textile</t>
  </si>
  <si>
    <t>contre poids</t>
  </si>
  <si>
    <t>matériaux</t>
  </si>
  <si>
    <t>Phosphates brisés</t>
  </si>
  <si>
    <t>Forme d'auge inf.</t>
  </si>
  <si>
    <t>2 rouleaux</t>
  </si>
  <si>
    <t>Nombre de plis</t>
  </si>
  <si>
    <t>Débit (t/h)</t>
  </si>
  <si>
    <t>distance entre les stations sup.(m)</t>
  </si>
  <si>
    <t>classe de la bande</t>
  </si>
  <si>
    <t>densité (t/m3)</t>
  </si>
  <si>
    <t>distance entre les stations inf.(m)</t>
  </si>
  <si>
    <t>classe de la bande choisie</t>
  </si>
  <si>
    <t>Angle du talus</t>
  </si>
  <si>
    <t>système de tension</t>
  </si>
  <si>
    <t>Poids de la bande Kg/m</t>
  </si>
  <si>
    <t>Conditions</t>
  </si>
  <si>
    <t>défavorables</t>
  </si>
  <si>
    <t>distance dispositif de tension/tête (m)</t>
  </si>
  <si>
    <t>Flêche admissible (°)</t>
  </si>
  <si>
    <t>Implantation</t>
  </si>
  <si>
    <t>hauteur du dispositif de tension (m)</t>
  </si>
  <si>
    <t>vitesse calculée (m/s)</t>
  </si>
  <si>
    <t>facteur de carcasse</t>
  </si>
  <si>
    <t>Longueur entraxes (m)</t>
  </si>
  <si>
    <t>diametre rouleau supérieur (mm)</t>
  </si>
  <si>
    <t>vitesse choisie (m/s)</t>
  </si>
  <si>
    <t>type de bande</t>
  </si>
  <si>
    <t>accouplement</t>
  </si>
  <si>
    <t>type de transmission</t>
  </si>
  <si>
    <t>longueur horizontale (m)</t>
  </si>
  <si>
    <t>diametre rouleau inférieur (mm)</t>
  </si>
  <si>
    <t>Coefficient de frottement</t>
  </si>
  <si>
    <t xml:space="preserve">engrenage et chaine </t>
  </si>
  <si>
    <t>longueur des rouleaux sup</t>
  </si>
  <si>
    <t>acier</t>
  </si>
  <si>
    <t>dist. queue avec début courbure</t>
  </si>
  <si>
    <t>Entrainement</t>
  </si>
  <si>
    <t>Coef. Sécurité bande</t>
  </si>
  <si>
    <t>élastique</t>
  </si>
  <si>
    <t>courroie trapezoidale</t>
  </si>
  <si>
    <t>X</t>
  </si>
  <si>
    <t>longueur en élevation (m)</t>
  </si>
  <si>
    <t>système d'entrainement</t>
  </si>
  <si>
    <t>simple en tête</t>
  </si>
  <si>
    <t>hydrodynamique</t>
  </si>
  <si>
    <t>tambour moteur</t>
  </si>
  <si>
    <t>longueur des rouleaux inf</t>
  </si>
  <si>
    <t>hauteur d'élévation (m)</t>
  </si>
  <si>
    <t>système d'accouplement</t>
  </si>
  <si>
    <t>Puissance et effort de tension</t>
  </si>
  <si>
    <t>flèche</t>
  </si>
  <si>
    <t>intermediaire ordinaire</t>
  </si>
  <si>
    <t>inclinaison (°)</t>
  </si>
  <si>
    <t>Facteur de démarrage</t>
  </si>
  <si>
    <t>Puissance nécéssaire</t>
  </si>
  <si>
    <t>accoup. hydraulique</t>
  </si>
  <si>
    <t>plat</t>
  </si>
  <si>
    <t>Type d'entrainement</t>
  </si>
  <si>
    <t>Puiss. standard à installer (Kw)</t>
  </si>
  <si>
    <t>Tambour de commande</t>
  </si>
  <si>
    <t>Rendement de l'entrainement</t>
  </si>
  <si>
    <t>effort de tension (N)</t>
  </si>
  <si>
    <t>Nature</t>
  </si>
  <si>
    <t>garni caoutchouc humide sal</t>
  </si>
  <si>
    <t>Rayon de courbure</t>
  </si>
  <si>
    <t>Nombre e plis</t>
  </si>
  <si>
    <t>Angle d'enroulement (°)</t>
  </si>
  <si>
    <t>Rayon de courbure calculé</t>
  </si>
  <si>
    <t>Longueur de courbure            X</t>
  </si>
  <si>
    <t>Coef. Frottement bande tambour</t>
  </si>
  <si>
    <t>Rayon de courbure choisi (&gt; à calculé)</t>
  </si>
  <si>
    <t>hauteur de courbure                Y</t>
  </si>
  <si>
    <t>lisse et sec</t>
  </si>
  <si>
    <t>Section de chargement</t>
  </si>
  <si>
    <t>A=A1+A2</t>
  </si>
  <si>
    <t>lisse mouillé propre</t>
  </si>
  <si>
    <t>b</t>
  </si>
  <si>
    <t>l1</t>
  </si>
  <si>
    <t>b-l</t>
  </si>
  <si>
    <t>A1</t>
  </si>
  <si>
    <t>A2</t>
  </si>
  <si>
    <t>lisse mouillé sale</t>
  </si>
  <si>
    <t>garni polyuréthane sec</t>
  </si>
  <si>
    <t>garni polyuréthane humide propre</t>
  </si>
  <si>
    <t>Conditions de manutention</t>
  </si>
  <si>
    <t>ф1=</t>
  </si>
  <si>
    <t>coefficient effectif de remplissage</t>
  </si>
  <si>
    <t>garni polyuréthane humide sal</t>
  </si>
  <si>
    <t>Favorables</t>
  </si>
  <si>
    <t>garni caoutchouc sec</t>
  </si>
  <si>
    <t>Normales</t>
  </si>
  <si>
    <t>garni caoutchouc humide propre</t>
  </si>
  <si>
    <t>inclinaison</t>
  </si>
  <si>
    <t>ф2</t>
  </si>
  <si>
    <t>très défavorables</t>
  </si>
  <si>
    <t>garni ceramique sec</t>
  </si>
  <si>
    <t>garni ceramique humide propre</t>
  </si>
  <si>
    <t>garni ceramique humide sal</t>
  </si>
  <si>
    <t>puissances standards</t>
  </si>
  <si>
    <r>
      <t>cos</t>
    </r>
    <r>
      <rPr>
        <sz val="11"/>
        <color theme="1"/>
        <rFont val="Calibri"/>
        <family val="2"/>
      </rPr>
      <t>λ</t>
    </r>
  </si>
  <si>
    <r>
      <t>sin</t>
    </r>
    <r>
      <rPr>
        <sz val="11"/>
        <color theme="1"/>
        <rFont val="Calibri"/>
        <family val="2"/>
      </rPr>
      <t>λ</t>
    </r>
  </si>
  <si>
    <t>Données de l'installation H5</t>
  </si>
  <si>
    <t>1405 N/mm</t>
  </si>
  <si>
    <t>261 Kw</t>
  </si>
  <si>
    <t>330 m</t>
  </si>
  <si>
    <t>86,59 m</t>
  </si>
  <si>
    <t>11,03 m</t>
  </si>
  <si>
    <t>cosλ</t>
  </si>
  <si>
    <t>sinλ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</si>
</sst>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2">
    <font>
      <sz val="11"/>
      <color theme="1"/>
      <name val="Calibri"/>
      <family val="2"/>
      <scheme val="minor"/>
    </font>
    <font>
      <b/>
      <i/>
      <u/>
      <sz val="14"/>
      <color rgb="FF0000FF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4"/>
      <color rgb="FF008000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1"/>
      <color theme="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Alignment="1">
      <alignment vertical="center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0" fontId="0" fillId="3" borderId="0" xfId="0" applyFill="1"/>
    <xf numFmtId="0" fontId="4" fillId="5" borderId="0" xfId="0" applyFont="1" applyFill="1" applyAlignment="1">
      <alignment vertical="center"/>
    </xf>
    <xf numFmtId="0" fontId="0" fillId="5" borderId="0" xfId="0" applyFill="1" applyAlignment="1">
      <alignment vertical="center"/>
    </xf>
    <xf numFmtId="0" fontId="4" fillId="6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1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7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6" fillId="0" borderId="9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7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0" fillId="0" borderId="15" xfId="0" applyBorder="1" applyAlignment="1">
      <alignment vertical="center"/>
    </xf>
    <xf numFmtId="2" fontId="8" fillId="0" borderId="12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7" fillId="0" borderId="18" xfId="0" applyFont="1" applyBorder="1" applyAlignment="1">
      <alignment horizontal="center" vertical="center"/>
    </xf>
    <xf numFmtId="0" fontId="4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6" fillId="0" borderId="19" xfId="0" applyFont="1" applyBorder="1" applyAlignment="1">
      <alignment vertical="center"/>
    </xf>
    <xf numFmtId="0" fontId="0" fillId="0" borderId="20" xfId="0" applyBorder="1" applyAlignment="1">
      <alignment vertical="center"/>
    </xf>
    <xf numFmtId="0" fontId="7" fillId="0" borderId="21" xfId="0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6" fillId="0" borderId="9" xfId="0" applyFont="1" applyFill="1" applyBorder="1" applyAlignment="1">
      <alignment vertical="center"/>
    </xf>
    <xf numFmtId="3" fontId="7" fillId="0" borderId="12" xfId="0" applyNumberFormat="1" applyFont="1" applyBorder="1" applyAlignment="1">
      <alignment horizontal="center" vertical="center"/>
    </xf>
    <xf numFmtId="0" fontId="4" fillId="8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0" fontId="6" fillId="0" borderId="16" xfId="0" applyFont="1" applyFill="1" applyBorder="1" applyAlignment="1">
      <alignment vertical="center"/>
    </xf>
    <xf numFmtId="164" fontId="8" fillId="0" borderId="18" xfId="0" applyNumberFormat="1" applyFont="1" applyBorder="1" applyAlignment="1">
      <alignment horizontal="center" vertical="center"/>
    </xf>
    <xf numFmtId="0" fontId="8" fillId="0" borderId="23" xfId="0" applyFont="1" applyBorder="1" applyAlignment="1">
      <alignment vertical="center"/>
    </xf>
    <xf numFmtId="164" fontId="7" fillId="0" borderId="12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0" borderId="23" xfId="0" applyFont="1" applyBorder="1" applyAlignment="1">
      <alignment vertical="center"/>
    </xf>
    <xf numFmtId="0" fontId="4" fillId="9" borderId="0" xfId="0" applyFont="1" applyFill="1" applyAlignment="1">
      <alignment vertical="center"/>
    </xf>
    <xf numFmtId="0" fontId="0" fillId="9" borderId="0" xfId="0" applyFill="1" applyAlignment="1">
      <alignment vertical="center"/>
    </xf>
    <xf numFmtId="0" fontId="6" fillId="0" borderId="25" xfId="0" applyFont="1" applyBorder="1" applyAlignment="1">
      <alignment vertical="center"/>
    </xf>
    <xf numFmtId="0" fontId="0" fillId="0" borderId="26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6" fillId="0" borderId="4" xfId="0" applyFont="1" applyFill="1" applyBorder="1" applyAlignment="1">
      <alignment vertical="center"/>
    </xf>
    <xf numFmtId="1" fontId="8" fillId="0" borderId="7" xfId="0" applyNumberFormat="1" applyFont="1" applyBorder="1" applyAlignment="1">
      <alignment horizontal="center" vertical="center"/>
    </xf>
    <xf numFmtId="0" fontId="4" fillId="10" borderId="0" xfId="0" applyFont="1" applyFill="1" applyAlignment="1">
      <alignment vertical="center"/>
    </xf>
    <xf numFmtId="0" fontId="0" fillId="10" borderId="0" xfId="0" applyFill="1" applyAlignment="1">
      <alignment vertical="center"/>
    </xf>
    <xf numFmtId="0" fontId="8" fillId="0" borderId="18" xfId="0" applyFont="1" applyBorder="1" applyAlignment="1">
      <alignment horizontal="center" vertical="center"/>
    </xf>
    <xf numFmtId="3" fontId="8" fillId="0" borderId="18" xfId="0" applyNumberFormat="1" applyFont="1" applyBorder="1" applyAlignment="1">
      <alignment horizontal="center" vertical="center"/>
    </xf>
    <xf numFmtId="0" fontId="0" fillId="0" borderId="0" xfId="0" applyBorder="1"/>
    <xf numFmtId="0" fontId="4" fillId="11" borderId="0" xfId="0" applyFont="1" applyFill="1" applyAlignment="1">
      <alignment vertical="center"/>
    </xf>
    <xf numFmtId="0" fontId="0" fillId="11" borderId="0" xfId="0" applyFill="1"/>
    <xf numFmtId="0" fontId="0" fillId="0" borderId="8" xfId="0" applyBorder="1"/>
    <xf numFmtId="1" fontId="8" fillId="0" borderId="7" xfId="0" applyNumberFormat="1" applyFont="1" applyBorder="1" applyAlignment="1">
      <alignment horizontal="center"/>
    </xf>
    <xf numFmtId="0" fontId="6" fillId="0" borderId="1" xfId="0" applyFont="1" applyFill="1" applyBorder="1" applyAlignment="1">
      <alignment vertical="center"/>
    </xf>
    <xf numFmtId="0" fontId="11" fillId="0" borderId="2" xfId="0" applyFont="1" applyBorder="1"/>
    <xf numFmtId="0" fontId="8" fillId="0" borderId="3" xfId="0" applyFont="1" applyBorder="1" applyAlignment="1">
      <alignment horizontal="center"/>
    </xf>
    <xf numFmtId="0" fontId="0" fillId="0" borderId="17" xfId="0" applyBorder="1"/>
    <xf numFmtId="0" fontId="7" fillId="0" borderId="18" xfId="0" applyFont="1" applyBorder="1" applyAlignment="1">
      <alignment horizontal="center"/>
    </xf>
    <xf numFmtId="0" fontId="0" fillId="0" borderId="2" xfId="0" applyBorder="1"/>
    <xf numFmtId="0" fontId="5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1" fillId="0" borderId="0" xfId="0" applyFont="1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0" fontId="7" fillId="0" borderId="10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0" fillId="1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tilitaire%20pour%20le%20calcul%20des%20convoye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données"/>
      <sheetName val="Détail"/>
      <sheetName val="calculs"/>
      <sheetName val="fiche à imprimer"/>
    </sheetNames>
    <sheetDataSet>
      <sheetData sheetId="0" refreshError="1"/>
      <sheetData sheetId="1">
        <row r="4">
          <cell r="I4">
            <v>30</v>
          </cell>
        </row>
        <row r="12">
          <cell r="M12">
            <v>3.5</v>
          </cell>
        </row>
      </sheetData>
      <sheetData sheetId="2">
        <row r="11">
          <cell r="E11">
            <v>261.1093546763143</v>
          </cell>
        </row>
        <row r="32">
          <cell r="E32">
            <v>73649.630182285706</v>
          </cell>
        </row>
        <row r="34">
          <cell r="E34">
            <v>329.83268012105896</v>
          </cell>
        </row>
        <row r="40">
          <cell r="K40">
            <v>128726.22243817434</v>
          </cell>
        </row>
      </sheetData>
      <sheetData sheetId="3">
        <row r="4">
          <cell r="AB4">
            <v>400</v>
          </cell>
          <cell r="AC4">
            <v>630</v>
          </cell>
          <cell r="AD4">
            <v>800</v>
          </cell>
          <cell r="AE4">
            <v>1000</v>
          </cell>
          <cell r="AF4">
            <v>1250</v>
          </cell>
          <cell r="AG4">
            <v>1600</v>
          </cell>
        </row>
        <row r="5">
          <cell r="P5" t="str">
            <v>fixe</v>
          </cell>
          <cell r="Q5">
            <v>2.5</v>
          </cell>
          <cell r="AA5">
            <v>800</v>
          </cell>
          <cell r="AB5">
            <v>13.2</v>
          </cell>
          <cell r="AC5">
            <v>14.36</v>
          </cell>
        </row>
        <row r="6">
          <cell r="P6" t="str">
            <v>élastique</v>
          </cell>
          <cell r="Q6">
            <v>1.5</v>
          </cell>
          <cell r="AA6">
            <v>1000</v>
          </cell>
          <cell r="AC6">
            <v>18.579999999999998</v>
          </cell>
          <cell r="AD6">
            <v>18.600000000000001</v>
          </cell>
        </row>
        <row r="7">
          <cell r="P7" t="str">
            <v>hydrodynamique</v>
          </cell>
          <cell r="Q7">
            <v>1.5</v>
          </cell>
          <cell r="AA7">
            <v>1200</v>
          </cell>
          <cell r="AC7">
            <v>22.17</v>
          </cell>
          <cell r="AD7">
            <v>23.31</v>
          </cell>
          <cell r="AF7">
            <v>22.6</v>
          </cell>
          <cell r="AG7">
            <v>28</v>
          </cell>
        </row>
        <row r="8">
          <cell r="B8">
            <v>245.90533784291807</v>
          </cell>
          <cell r="AA8">
            <v>1400</v>
          </cell>
          <cell r="AC8">
            <v>25.5</v>
          </cell>
          <cell r="AD8">
            <v>28.11</v>
          </cell>
          <cell r="AE8">
            <v>28.21</v>
          </cell>
          <cell r="AG8">
            <v>28</v>
          </cell>
        </row>
        <row r="9">
          <cell r="AA9">
            <v>1600</v>
          </cell>
          <cell r="AB9">
            <v>18.18</v>
          </cell>
          <cell r="AC9">
            <v>28.38</v>
          </cell>
          <cell r="AE9">
            <v>27.5</v>
          </cell>
        </row>
        <row r="10">
          <cell r="AA10">
            <v>1800</v>
          </cell>
        </row>
        <row r="32">
          <cell r="J32">
            <v>15</v>
          </cell>
        </row>
        <row r="34">
          <cell r="J34">
            <v>0.75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57"/>
  <sheetViews>
    <sheetView workbookViewId="0">
      <selection sqref="A1:XFD1048576"/>
    </sheetView>
  </sheetViews>
  <sheetFormatPr baseColWidth="10" defaultRowHeight="15"/>
  <cols>
    <col min="1" max="1" width="2" customWidth="1"/>
    <col min="2" max="2" width="14.42578125" customWidth="1"/>
    <col min="3" max="3" width="16.42578125" customWidth="1"/>
    <col min="4" max="4" width="7" customWidth="1"/>
    <col min="5" max="5" width="2.140625" customWidth="1"/>
    <col min="8" max="8" width="12.42578125" customWidth="1"/>
    <col min="9" max="9" width="13.42578125" customWidth="1"/>
    <col min="10" max="10" width="2.42578125" customWidth="1"/>
    <col min="11" max="11" width="14" customWidth="1"/>
    <col min="12" max="12" width="13.42578125" customWidth="1"/>
    <col min="13" max="13" width="15.42578125" customWidth="1"/>
    <col min="14" max="14" width="3.42578125" customWidth="1"/>
    <col min="15" max="17" width="11.42578125" customWidth="1"/>
    <col min="18" max="18" width="30.85546875" customWidth="1"/>
    <col min="19" max="19" width="11.42578125" customWidth="1"/>
    <col min="20" max="20" width="3.140625" customWidth="1"/>
    <col min="21" max="26" width="11.42578125" customWidth="1"/>
    <col min="28" max="28" width="14.28515625" customWidth="1"/>
  </cols>
  <sheetData>
    <row r="1" spans="2:33" ht="18.75">
      <c r="B1" s="1"/>
      <c r="C1" s="1"/>
      <c r="D1" s="1"/>
      <c r="E1" s="1"/>
      <c r="F1" s="87" t="str">
        <f>"Données de l'installation"&amp;" "&amp; C4</f>
        <v>Données de l'installation H5</v>
      </c>
      <c r="G1" s="88"/>
      <c r="H1" s="88"/>
      <c r="I1" s="88"/>
      <c r="J1" s="88"/>
      <c r="K1" s="1"/>
      <c r="L1" s="1"/>
      <c r="M1" s="1"/>
    </row>
    <row r="2" spans="2:33" ht="13.5" customHeight="1">
      <c r="E2" s="1"/>
      <c r="F2" s="1"/>
      <c r="G2" s="1"/>
      <c r="H2" s="1"/>
      <c r="I2" s="1"/>
      <c r="J2" s="1"/>
      <c r="K2" s="1"/>
      <c r="L2" s="1"/>
      <c r="M2" s="1"/>
      <c r="Q2" s="2" t="s">
        <v>0</v>
      </c>
      <c r="U2" s="2" t="s">
        <v>1</v>
      </c>
      <c r="V2" s="2"/>
      <c r="W2" s="2" t="s">
        <v>2</v>
      </c>
      <c r="X2" s="2"/>
      <c r="Y2" s="2" t="s">
        <v>3</v>
      </c>
      <c r="Z2" s="2"/>
      <c r="AA2" s="89" t="s">
        <v>4</v>
      </c>
      <c r="AB2" s="89"/>
      <c r="AG2" s="2" t="s">
        <v>5</v>
      </c>
    </row>
    <row r="3" spans="2:33" ht="15" customHeight="1">
      <c r="B3" s="3" t="s">
        <v>6</v>
      </c>
      <c r="C3" s="4"/>
      <c r="D3" s="4"/>
      <c r="E3" s="1"/>
      <c r="F3" s="5" t="s">
        <v>7</v>
      </c>
      <c r="G3" s="6"/>
      <c r="H3" s="6"/>
      <c r="I3" s="6"/>
      <c r="J3" s="1"/>
      <c r="K3" s="7" t="s">
        <v>8</v>
      </c>
      <c r="L3" s="8"/>
      <c r="M3" s="8"/>
      <c r="Q3" s="9">
        <v>20</v>
      </c>
      <c r="R3" s="10"/>
      <c r="S3" s="9"/>
      <c r="U3">
        <v>1.2</v>
      </c>
      <c r="W3">
        <v>1.5</v>
      </c>
      <c r="Y3" t="s">
        <v>9</v>
      </c>
      <c r="AA3">
        <v>800</v>
      </c>
      <c r="AB3">
        <v>88.9</v>
      </c>
      <c r="AC3">
        <v>108</v>
      </c>
      <c r="AD3">
        <v>133</v>
      </c>
      <c r="AG3">
        <v>400</v>
      </c>
    </row>
    <row r="4" spans="2:33" ht="15" customHeight="1">
      <c r="B4" s="11" t="s">
        <v>10</v>
      </c>
      <c r="C4" s="94" t="s">
        <v>11</v>
      </c>
      <c r="D4" s="95"/>
      <c r="E4" s="1"/>
      <c r="F4" s="12" t="s">
        <v>12</v>
      </c>
      <c r="G4" s="13"/>
      <c r="H4" s="14"/>
      <c r="I4" s="15">
        <v>30</v>
      </c>
      <c r="J4" s="1"/>
      <c r="K4" s="12" t="s">
        <v>13</v>
      </c>
      <c r="L4" s="16"/>
      <c r="M4" s="15">
        <v>1200</v>
      </c>
      <c r="Q4" s="9">
        <v>30</v>
      </c>
      <c r="R4" s="10"/>
      <c r="S4" s="9"/>
      <c r="U4">
        <v>1.25</v>
      </c>
      <c r="W4">
        <v>2</v>
      </c>
      <c r="Y4" t="s">
        <v>14</v>
      </c>
      <c r="AA4">
        <v>1000</v>
      </c>
      <c r="AB4">
        <v>88.9</v>
      </c>
      <c r="AC4">
        <v>108</v>
      </c>
      <c r="AD4">
        <v>133</v>
      </c>
      <c r="AE4">
        <v>159</v>
      </c>
      <c r="AG4">
        <v>630</v>
      </c>
    </row>
    <row r="5" spans="2:33" ht="15" customHeight="1">
      <c r="B5" s="7" t="s">
        <v>15</v>
      </c>
      <c r="C5" s="8"/>
      <c r="D5" s="8"/>
      <c r="E5" s="1"/>
      <c r="F5" s="17" t="s">
        <v>16</v>
      </c>
      <c r="G5" s="18"/>
      <c r="H5" s="19"/>
      <c r="I5" s="20" t="s">
        <v>17</v>
      </c>
      <c r="J5" s="1"/>
      <c r="K5" s="21" t="s">
        <v>18</v>
      </c>
      <c r="L5" s="22"/>
      <c r="M5" s="20" t="s">
        <v>19</v>
      </c>
      <c r="Q5" s="9">
        <v>35</v>
      </c>
      <c r="R5" s="10"/>
      <c r="S5" s="9"/>
      <c r="U5">
        <v>1.5</v>
      </c>
      <c r="W5">
        <v>2.5</v>
      </c>
      <c r="Y5" t="s">
        <v>20</v>
      </c>
      <c r="AA5">
        <v>1200</v>
      </c>
      <c r="AB5">
        <v>108</v>
      </c>
      <c r="AC5">
        <v>133</v>
      </c>
      <c r="AD5">
        <v>159</v>
      </c>
      <c r="AG5">
        <v>800</v>
      </c>
    </row>
    <row r="6" spans="2:33" ht="15" customHeight="1">
      <c r="B6" s="12" t="s">
        <v>21</v>
      </c>
      <c r="C6" s="96" t="s">
        <v>22</v>
      </c>
      <c r="D6" s="97"/>
      <c r="E6" s="1"/>
      <c r="F6" s="17" t="s">
        <v>23</v>
      </c>
      <c r="G6" s="18"/>
      <c r="H6" s="19"/>
      <c r="I6" s="20" t="s">
        <v>24</v>
      </c>
      <c r="J6" s="1"/>
      <c r="K6" s="21" t="s">
        <v>25</v>
      </c>
      <c r="L6" s="23"/>
      <c r="M6" s="20">
        <v>4</v>
      </c>
      <c r="Q6" s="9">
        <v>40</v>
      </c>
      <c r="R6" s="10"/>
      <c r="S6" s="10"/>
      <c r="W6">
        <v>3</v>
      </c>
      <c r="AA6">
        <v>1400</v>
      </c>
      <c r="AB6">
        <v>133</v>
      </c>
      <c r="AC6">
        <v>159</v>
      </c>
      <c r="AG6">
        <v>1000</v>
      </c>
    </row>
    <row r="7" spans="2:33" ht="15" customHeight="1">
      <c r="B7" s="17" t="s">
        <v>26</v>
      </c>
      <c r="C7" s="81">
        <v>2300</v>
      </c>
      <c r="D7" s="82"/>
      <c r="E7" s="1"/>
      <c r="F7" s="17" t="s">
        <v>27</v>
      </c>
      <c r="G7" s="24"/>
      <c r="H7" s="24"/>
      <c r="I7" s="20">
        <v>1.5</v>
      </c>
      <c r="J7" s="1"/>
      <c r="K7" s="17" t="s">
        <v>28</v>
      </c>
      <c r="L7" s="24"/>
      <c r="M7" s="25" t="str">
        <f>ROUND(([1]calculs!J32*[1]calculs!B8)/([1]calculs!J34*[1]données!M12),0)&amp;" N/mm"</f>
        <v>1405 N/mm</v>
      </c>
      <c r="Q7" s="9">
        <v>45</v>
      </c>
      <c r="R7" s="10"/>
      <c r="S7" s="10"/>
      <c r="W7">
        <v>4.5</v>
      </c>
      <c r="AA7">
        <v>1600</v>
      </c>
      <c r="AB7">
        <v>133</v>
      </c>
      <c r="AC7">
        <v>159</v>
      </c>
      <c r="AG7">
        <v>1250</v>
      </c>
    </row>
    <row r="8" spans="2:33" ht="15" customHeight="1">
      <c r="B8" s="17" t="s">
        <v>29</v>
      </c>
      <c r="C8" s="81">
        <v>1.4</v>
      </c>
      <c r="D8" s="82"/>
      <c r="E8" s="1"/>
      <c r="F8" s="17" t="s">
        <v>30</v>
      </c>
      <c r="G8" s="24"/>
      <c r="H8" s="24"/>
      <c r="I8" s="20">
        <v>4.5</v>
      </c>
      <c r="J8" s="1"/>
      <c r="K8" s="26" t="s">
        <v>31</v>
      </c>
      <c r="L8" s="24"/>
      <c r="M8" s="20">
        <v>1250</v>
      </c>
      <c r="AA8">
        <v>1800</v>
      </c>
      <c r="AB8">
        <v>133</v>
      </c>
      <c r="AC8">
        <v>159</v>
      </c>
      <c r="AG8">
        <v>1600</v>
      </c>
    </row>
    <row r="9" spans="2:33" ht="15" customHeight="1">
      <c r="B9" s="17" t="s">
        <v>32</v>
      </c>
      <c r="C9" s="81">
        <v>15</v>
      </c>
      <c r="D9" s="82"/>
      <c r="E9" s="1"/>
      <c r="F9" s="17" t="s">
        <v>33</v>
      </c>
      <c r="G9" s="18"/>
      <c r="H9" s="19"/>
      <c r="I9" s="20" t="s">
        <v>20</v>
      </c>
      <c r="J9" s="1"/>
      <c r="K9" s="17" t="s">
        <v>34</v>
      </c>
      <c r="L9" s="24"/>
      <c r="M9" s="25">
        <f>INDEX([1]calculs!$AB$5:$AG$10, MATCH($M$4, [1]calculs!$AA$5:$AA$10,0), MATCH($M$8,[1]calculs!$AB$4:$AG$4,0))</f>
        <v>22.6</v>
      </c>
      <c r="AA9">
        <v>2000</v>
      </c>
      <c r="AB9">
        <v>133</v>
      </c>
      <c r="AC9">
        <v>159</v>
      </c>
      <c r="AD9">
        <v>193.7</v>
      </c>
    </row>
    <row r="10" spans="2:33" ht="15" customHeight="1">
      <c r="B10" s="27" t="s">
        <v>35</v>
      </c>
      <c r="C10" s="98" t="s">
        <v>36</v>
      </c>
      <c r="D10" s="99"/>
      <c r="E10" s="1"/>
      <c r="F10" s="17" t="s">
        <v>37</v>
      </c>
      <c r="G10" s="24"/>
      <c r="H10" s="24"/>
      <c r="I10" s="20">
        <v>15</v>
      </c>
      <c r="J10" s="1"/>
      <c r="K10" s="17" t="s">
        <v>38</v>
      </c>
      <c r="L10" s="24"/>
      <c r="M10" s="20">
        <v>1</v>
      </c>
      <c r="AA10">
        <v>2200</v>
      </c>
      <c r="AB10">
        <v>159</v>
      </c>
      <c r="AC10">
        <v>193.7</v>
      </c>
      <c r="AD10">
        <v>219.1</v>
      </c>
    </row>
    <row r="11" spans="2:33" ht="15" customHeight="1">
      <c r="B11" s="29" t="s">
        <v>39</v>
      </c>
      <c r="C11" s="30"/>
      <c r="D11" s="30"/>
      <c r="E11" s="1"/>
      <c r="F11" s="17" t="s">
        <v>40</v>
      </c>
      <c r="G11" s="24"/>
      <c r="H11" s="24"/>
      <c r="I11" s="20">
        <v>12</v>
      </c>
      <c r="J11" s="1"/>
      <c r="K11" s="17" t="s">
        <v>41</v>
      </c>
      <c r="L11" s="24"/>
      <c r="M11" s="25">
        <f>C7/(C8*AD24*3600*AH28)</f>
        <v>3.4666459444028148</v>
      </c>
      <c r="AF11" s="2" t="s">
        <v>42</v>
      </c>
      <c r="AG11" s="2"/>
    </row>
    <row r="12" spans="2:33" ht="15" customHeight="1">
      <c r="B12" s="12" t="s">
        <v>43</v>
      </c>
      <c r="C12" s="16"/>
      <c r="D12" s="15">
        <v>616</v>
      </c>
      <c r="E12" s="1"/>
      <c r="F12" s="17" t="s">
        <v>44</v>
      </c>
      <c r="G12" s="24"/>
      <c r="H12" s="24"/>
      <c r="I12" s="20">
        <v>159</v>
      </c>
      <c r="J12" s="1"/>
      <c r="K12" s="31" t="s">
        <v>45</v>
      </c>
      <c r="L12" s="32"/>
      <c r="M12" s="33">
        <v>3.5</v>
      </c>
      <c r="S12" s="2" t="s">
        <v>46</v>
      </c>
      <c r="U12" s="2" t="s">
        <v>47</v>
      </c>
      <c r="W12" s="2" t="s">
        <v>48</v>
      </c>
      <c r="X12" s="4"/>
      <c r="AF12" t="s">
        <v>19</v>
      </c>
      <c r="AG12">
        <v>8</v>
      </c>
    </row>
    <row r="13" spans="2:33" ht="15" customHeight="1">
      <c r="B13" s="17" t="s">
        <v>49</v>
      </c>
      <c r="C13" s="24"/>
      <c r="D13" s="34">
        <f>D12-D15</f>
        <v>561</v>
      </c>
      <c r="E13" s="1"/>
      <c r="F13" s="27" t="s">
        <v>50</v>
      </c>
      <c r="G13" s="35"/>
      <c r="H13" s="35"/>
      <c r="I13" s="28">
        <v>159</v>
      </c>
      <c r="J13" s="1"/>
      <c r="K13" s="36" t="s">
        <v>51</v>
      </c>
      <c r="L13" s="24"/>
      <c r="M13" s="20">
        <v>2.1000000000000001E-2</v>
      </c>
      <c r="Q13" s="9"/>
      <c r="S13" t="s">
        <v>19</v>
      </c>
      <c r="U13" t="s">
        <v>14</v>
      </c>
      <c r="W13" t="s">
        <v>52</v>
      </c>
      <c r="Y13">
        <v>0.9</v>
      </c>
      <c r="AA13" s="2" t="s">
        <v>53</v>
      </c>
      <c r="AB13" s="2"/>
      <c r="AC13">
        <f>INDEX(AB19:AD23, MATCH(M4, AA19:AA23,0), MATCH(I5, AB17:AD17,0))</f>
        <v>465</v>
      </c>
      <c r="AF13" t="s">
        <v>54</v>
      </c>
      <c r="AG13">
        <v>16</v>
      </c>
    </row>
    <row r="14" spans="2:33" ht="15" customHeight="1">
      <c r="B14" s="17" t="s">
        <v>55</v>
      </c>
      <c r="C14" s="24"/>
      <c r="D14" s="37">
        <v>561</v>
      </c>
      <c r="E14" s="1"/>
      <c r="F14" s="38" t="s">
        <v>56</v>
      </c>
      <c r="G14" s="39"/>
      <c r="H14" s="39"/>
      <c r="I14" s="39"/>
      <c r="J14" s="1"/>
      <c r="K14" s="40" t="s">
        <v>57</v>
      </c>
      <c r="L14" s="35"/>
      <c r="M14" s="41">
        <f>M8*M4/[1]Détail!K40</f>
        <v>11.652637447047217</v>
      </c>
      <c r="Q14" s="9"/>
      <c r="S14" t="s">
        <v>54</v>
      </c>
      <c r="U14" t="s">
        <v>58</v>
      </c>
      <c r="W14" t="s">
        <v>59</v>
      </c>
      <c r="Y14">
        <v>0.95</v>
      </c>
      <c r="AF14" t="s">
        <v>60</v>
      </c>
      <c r="AG14">
        <f>VLOOKUP(M5,AF12:AG13,2,0)</f>
        <v>8</v>
      </c>
    </row>
    <row r="15" spans="2:33" ht="15" customHeight="1">
      <c r="B15" s="17" t="s">
        <v>61</v>
      </c>
      <c r="C15" s="24"/>
      <c r="D15" s="20">
        <v>55</v>
      </c>
      <c r="E15" s="1"/>
      <c r="F15" s="12" t="s">
        <v>62</v>
      </c>
      <c r="G15" s="16"/>
      <c r="H15" s="90" t="s">
        <v>63</v>
      </c>
      <c r="I15" s="91"/>
      <c r="J15" s="42"/>
      <c r="K15" s="1"/>
      <c r="L15" s="1"/>
      <c r="M15" s="1"/>
      <c r="Q15" s="9"/>
      <c r="U15" t="s">
        <v>64</v>
      </c>
      <c r="W15" t="s">
        <v>65</v>
      </c>
      <c r="Y15">
        <v>0.96</v>
      </c>
      <c r="AA15" s="2" t="s">
        <v>66</v>
      </c>
      <c r="AB15" s="2"/>
      <c r="AC15">
        <f>INDEX(AB19:AD23, MATCH(M4, AA19:AA23,0), MATCH(I6, AB17:AD17,0))</f>
        <v>700</v>
      </c>
    </row>
    <row r="16" spans="2:33" ht="15" customHeight="1">
      <c r="B16" s="17" t="s">
        <v>67</v>
      </c>
      <c r="C16" s="24"/>
      <c r="D16" s="43">
        <v>14</v>
      </c>
      <c r="E16" s="44"/>
      <c r="F16" s="17" t="s">
        <v>68</v>
      </c>
      <c r="G16" s="24"/>
      <c r="H16" s="81" t="s">
        <v>64</v>
      </c>
      <c r="I16" s="82"/>
      <c r="J16" s="45"/>
      <c r="K16" s="46" t="s">
        <v>69</v>
      </c>
      <c r="L16" s="47"/>
      <c r="M16" s="47"/>
      <c r="Q16" s="9"/>
      <c r="S16" s="2" t="s">
        <v>70</v>
      </c>
      <c r="W16" t="s">
        <v>71</v>
      </c>
      <c r="Y16">
        <v>0.94</v>
      </c>
    </row>
    <row r="17" spans="1:36" ht="15" customHeight="1">
      <c r="B17" s="48" t="s">
        <v>72</v>
      </c>
      <c r="C17" s="49"/>
      <c r="D17" s="41">
        <f>(ATAN(D16/D15))*(180/3.14)</f>
        <v>14.288339315075939</v>
      </c>
      <c r="E17" s="50"/>
      <c r="F17" s="17" t="s">
        <v>73</v>
      </c>
      <c r="G17" s="24"/>
      <c r="H17" s="92">
        <f>VLOOKUP(H16,[1]calculs!P5:Q7,2,0)</f>
        <v>1.5</v>
      </c>
      <c r="I17" s="93"/>
      <c r="J17" s="51"/>
      <c r="K17" s="52" t="s">
        <v>74</v>
      </c>
      <c r="L17" s="16"/>
      <c r="M17" s="53" t="str">
        <f>ROUND([1]Détail!E11,0)&amp;" Kw"</f>
        <v>261 Kw</v>
      </c>
      <c r="Q17" s="9"/>
      <c r="S17">
        <v>1</v>
      </c>
      <c r="W17" t="s">
        <v>75</v>
      </c>
      <c r="Y17">
        <v>0.9</v>
      </c>
      <c r="AB17" t="s">
        <v>76</v>
      </c>
      <c r="AC17" t="s">
        <v>24</v>
      </c>
      <c r="AD17" t="s">
        <v>17</v>
      </c>
    </row>
    <row r="18" spans="1:36" ht="15" customHeight="1">
      <c r="B18" s="1"/>
      <c r="C18" s="1"/>
      <c r="D18" s="1"/>
      <c r="E18" s="50"/>
      <c r="F18" s="17" t="s">
        <v>77</v>
      </c>
      <c r="G18" s="18"/>
      <c r="H18" s="81" t="s">
        <v>75</v>
      </c>
      <c r="I18" s="82"/>
      <c r="J18" s="45"/>
      <c r="K18" s="36" t="s">
        <v>78</v>
      </c>
      <c r="L18" s="24"/>
      <c r="M18" s="20">
        <v>315</v>
      </c>
      <c r="Q18" s="9"/>
      <c r="S18">
        <v>2</v>
      </c>
    </row>
    <row r="19" spans="1:36" ht="15" customHeight="1">
      <c r="B19" s="54" t="s">
        <v>79</v>
      </c>
      <c r="C19" s="55"/>
      <c r="D19" s="55"/>
      <c r="E19" s="50"/>
      <c r="F19" s="27" t="s">
        <v>80</v>
      </c>
      <c r="G19" s="35"/>
      <c r="H19" s="35"/>
      <c r="I19" s="56">
        <f>VLOOKUP(H18,W13:Y17,3,0)</f>
        <v>0.9</v>
      </c>
      <c r="J19" s="42"/>
      <c r="K19" s="40" t="s">
        <v>81</v>
      </c>
      <c r="L19" s="35"/>
      <c r="M19" s="57">
        <f>[1]Détail!E32</f>
        <v>73649.630182285706</v>
      </c>
      <c r="Q19" s="9"/>
      <c r="S19">
        <v>3</v>
      </c>
      <c r="AA19">
        <v>800</v>
      </c>
      <c r="AB19">
        <v>950</v>
      </c>
      <c r="AC19">
        <v>465</v>
      </c>
      <c r="AD19">
        <v>315</v>
      </c>
    </row>
    <row r="20" spans="1:36" ht="15" customHeight="1">
      <c r="B20" s="12" t="s">
        <v>82</v>
      </c>
      <c r="C20" s="83" t="s">
        <v>83</v>
      </c>
      <c r="D20" s="84"/>
      <c r="E20" s="58"/>
      <c r="F20" s="59" t="s">
        <v>84</v>
      </c>
      <c r="G20" s="60"/>
      <c r="H20" s="60"/>
      <c r="I20" s="60"/>
      <c r="Q20" s="9"/>
      <c r="U20" s="2" t="s">
        <v>85</v>
      </c>
      <c r="V20" s="2"/>
      <c r="AA20">
        <v>1000</v>
      </c>
      <c r="AB20">
        <v>1150</v>
      </c>
      <c r="AC20">
        <v>600</v>
      </c>
      <c r="AD20">
        <v>380</v>
      </c>
    </row>
    <row r="21" spans="1:36" ht="15" customHeight="1">
      <c r="B21" s="17" t="s">
        <v>86</v>
      </c>
      <c r="C21" s="24"/>
      <c r="D21" s="20">
        <v>210</v>
      </c>
      <c r="F21" s="52" t="s">
        <v>87</v>
      </c>
      <c r="G21" s="61"/>
      <c r="H21" s="61"/>
      <c r="I21" s="62" t="str">
        <f>ROUND([1]Détail!E34,0)&amp;" m"</f>
        <v>330 m</v>
      </c>
      <c r="K21" s="63" t="s">
        <v>88</v>
      </c>
      <c r="L21" s="64"/>
      <c r="M21" s="65" t="str">
        <f>ROUND(((I22*TAN(D17*PI()/180))),2)&amp;" m"</f>
        <v>86,59 m</v>
      </c>
      <c r="Q21" s="9"/>
      <c r="U21">
        <v>1</v>
      </c>
      <c r="V21">
        <v>0.7</v>
      </c>
      <c r="AA21">
        <v>1200</v>
      </c>
      <c r="AB21">
        <v>1400</v>
      </c>
      <c r="AC21">
        <v>700</v>
      </c>
      <c r="AD21">
        <v>465</v>
      </c>
    </row>
    <row r="22" spans="1:36" s="58" customFormat="1" ht="15" customHeight="1">
      <c r="A22"/>
      <c r="B22" s="85" t="s">
        <v>89</v>
      </c>
      <c r="C22" s="86"/>
      <c r="D22" s="56">
        <f>VLOOKUP(C20,R24:S35,2,0)</f>
        <v>0.3</v>
      </c>
      <c r="F22" s="40" t="s">
        <v>90</v>
      </c>
      <c r="G22" s="66"/>
      <c r="H22" s="66"/>
      <c r="I22" s="67">
        <v>340</v>
      </c>
      <c r="K22" s="63" t="s">
        <v>91</v>
      </c>
      <c r="L22" s="68"/>
      <c r="M22" s="65" t="str">
        <f>ROUND((((POWER(TAN(D17*PI()/180),2)*I22*0.5))),2)&amp;" m"</f>
        <v>11,03 m</v>
      </c>
      <c r="Q22" s="69"/>
      <c r="U22" s="58">
        <v>2</v>
      </c>
      <c r="V22" s="58">
        <v>0.5</v>
      </c>
      <c r="AA22">
        <v>1400</v>
      </c>
      <c r="AB22">
        <v>1600</v>
      </c>
      <c r="AC22">
        <v>800</v>
      </c>
      <c r="AD22">
        <v>530</v>
      </c>
      <c r="AG22"/>
    </row>
    <row r="23" spans="1:36" s="58" customFormat="1">
      <c r="A23"/>
      <c r="B23"/>
      <c r="C23"/>
      <c r="F23"/>
      <c r="U23" s="58">
        <v>3</v>
      </c>
      <c r="V23" s="58">
        <v>0.67</v>
      </c>
      <c r="AA23">
        <v>1600</v>
      </c>
      <c r="AB23">
        <v>1800</v>
      </c>
      <c r="AC23">
        <v>900</v>
      </c>
      <c r="AD23">
        <v>600</v>
      </c>
      <c r="AG23"/>
    </row>
    <row r="24" spans="1:36">
      <c r="R24" t="s">
        <v>92</v>
      </c>
      <c r="S24">
        <v>0.35</v>
      </c>
      <c r="AA24" s="2" t="s">
        <v>93</v>
      </c>
      <c r="AB24" s="2"/>
      <c r="AC24" s="71" t="s">
        <v>94</v>
      </c>
      <c r="AD24" s="72">
        <f>AF26+AG26</f>
        <v>0.16124348786184967</v>
      </c>
    </row>
    <row r="25" spans="1:36">
      <c r="R25" s="73" t="s">
        <v>95</v>
      </c>
      <c r="S25">
        <v>0.1</v>
      </c>
      <c r="AA25" s="71" t="s">
        <v>96</v>
      </c>
      <c r="AB25" s="71" t="s">
        <v>97</v>
      </c>
      <c r="AC25" s="71" t="s">
        <v>98</v>
      </c>
      <c r="AD25" s="71" t="s">
        <v>119</v>
      </c>
      <c r="AE25" s="71" t="s">
        <v>120</v>
      </c>
      <c r="AF25" s="71" t="s">
        <v>99</v>
      </c>
      <c r="AG25" s="71" t="s">
        <v>100</v>
      </c>
    </row>
    <row r="26" spans="1:36">
      <c r="R26" t="s">
        <v>101</v>
      </c>
      <c r="S26">
        <v>0.1</v>
      </c>
      <c r="AA26" s="71">
        <f>(0.9*M4)-50</f>
        <v>1030</v>
      </c>
      <c r="AB26" s="71">
        <f>0.5*(AA26-AC13)</f>
        <v>282.5</v>
      </c>
      <c r="AC26" s="71">
        <f>AA26-AC13</f>
        <v>565</v>
      </c>
      <c r="AD26" s="74">
        <f>COS(I4*PI()/180)</f>
        <v>0.86602540378443871</v>
      </c>
      <c r="AE26" s="74">
        <f>SIN(I4*PI()/180)</f>
        <v>0.49999999999999994</v>
      </c>
      <c r="AF26" s="75">
        <f>(0.25*(POWER((AC13+(AC26*AD26)), 2))*TAN(C9*PI()/180))/1000000</f>
        <v>6.1005117921463743E-2</v>
      </c>
      <c r="AG26" s="75">
        <f>((AC13+(AB26*AD26))*AE26*AB26)/1000000</f>
        <v>0.10023836994038592</v>
      </c>
    </row>
    <row r="27" spans="1:36">
      <c r="R27" s="73" t="s">
        <v>102</v>
      </c>
      <c r="S27">
        <v>0.35</v>
      </c>
    </row>
    <row r="28" spans="1:36">
      <c r="R28" t="s">
        <v>103</v>
      </c>
      <c r="S28">
        <v>0.35</v>
      </c>
      <c r="AA28" s="2" t="s">
        <v>104</v>
      </c>
      <c r="AB28" s="2"/>
      <c r="AC28" s="76" t="s">
        <v>105</v>
      </c>
      <c r="AD28" s="77">
        <f>VLOOKUP(C10,AA29:AB32,2,0)</f>
        <v>0.9</v>
      </c>
      <c r="AE28" t="s">
        <v>106</v>
      </c>
      <c r="AH28" s="78">
        <f>AD28*AD32</f>
        <v>0.81640494616431658</v>
      </c>
    </row>
    <row r="29" spans="1:36">
      <c r="R29" t="s">
        <v>107</v>
      </c>
      <c r="S29">
        <v>0.2</v>
      </c>
      <c r="AA29" t="s">
        <v>108</v>
      </c>
      <c r="AB29">
        <v>1</v>
      </c>
      <c r="AC29">
        <v>2</v>
      </c>
      <c r="AD29">
        <v>4</v>
      </c>
      <c r="AE29">
        <v>6</v>
      </c>
      <c r="AF29">
        <v>8</v>
      </c>
      <c r="AG29">
        <v>10</v>
      </c>
      <c r="AH29">
        <v>12</v>
      </c>
      <c r="AI29">
        <v>14</v>
      </c>
      <c r="AJ29">
        <v>16</v>
      </c>
    </row>
    <row r="30" spans="1:36">
      <c r="R30" s="73" t="s">
        <v>109</v>
      </c>
      <c r="S30">
        <v>0.45</v>
      </c>
      <c r="AA30" t="s">
        <v>110</v>
      </c>
      <c r="AB30">
        <v>0.95</v>
      </c>
      <c r="AC30">
        <v>1</v>
      </c>
      <c r="AD30">
        <v>0.99</v>
      </c>
      <c r="AE30">
        <v>0.98</v>
      </c>
      <c r="AF30">
        <v>0.97</v>
      </c>
      <c r="AG30">
        <v>0.95</v>
      </c>
      <c r="AH30">
        <v>0.93</v>
      </c>
      <c r="AI30">
        <v>0.91</v>
      </c>
      <c r="AJ30">
        <v>0.89</v>
      </c>
    </row>
    <row r="31" spans="1:36">
      <c r="R31" t="s">
        <v>111</v>
      </c>
      <c r="S31">
        <v>0.35</v>
      </c>
      <c r="AA31" t="s">
        <v>36</v>
      </c>
      <c r="AB31">
        <v>0.9</v>
      </c>
      <c r="AC31" s="71" t="s">
        <v>112</v>
      </c>
      <c r="AD31" s="70" t="s">
        <v>113</v>
      </c>
    </row>
    <row r="32" spans="1:36">
      <c r="R32" t="s">
        <v>83</v>
      </c>
      <c r="S32">
        <v>0.3</v>
      </c>
      <c r="AA32" t="s">
        <v>114</v>
      </c>
      <c r="AB32">
        <v>0.85</v>
      </c>
      <c r="AC32" s="79">
        <f>D17</f>
        <v>14.288339315075939</v>
      </c>
      <c r="AD32" s="78">
        <f>IF(AC32&lt;=8, 1.01+(-0.005*AC32), IF(AND(AC32&gt;8, AC32&lt;=16), 1.05+(-0.01*AC32), "angle trop élevé"))</f>
        <v>0.90711660684924067</v>
      </c>
    </row>
    <row r="33" spans="18:19">
      <c r="R33" s="73" t="s">
        <v>115</v>
      </c>
      <c r="S33">
        <v>0.4</v>
      </c>
    </row>
    <row r="34" spans="18:19">
      <c r="R34" t="s">
        <v>116</v>
      </c>
      <c r="S34">
        <v>0.35</v>
      </c>
    </row>
    <row r="35" spans="18:19">
      <c r="R35" t="s">
        <v>117</v>
      </c>
      <c r="S35">
        <v>0.35</v>
      </c>
    </row>
    <row r="37" spans="18:19">
      <c r="R37" s="2" t="s">
        <v>118</v>
      </c>
    </row>
    <row r="38" spans="18:19">
      <c r="R38" s="80">
        <v>7.5</v>
      </c>
    </row>
    <row r="39" spans="18:19">
      <c r="R39">
        <v>11</v>
      </c>
    </row>
    <row r="40" spans="18:19">
      <c r="R40">
        <v>15</v>
      </c>
    </row>
    <row r="41" spans="18:19">
      <c r="R41">
        <v>18.5</v>
      </c>
    </row>
    <row r="42" spans="18:19">
      <c r="R42">
        <v>22</v>
      </c>
    </row>
    <row r="43" spans="18:19">
      <c r="R43">
        <v>30</v>
      </c>
    </row>
    <row r="44" spans="18:19">
      <c r="R44">
        <v>37</v>
      </c>
    </row>
    <row r="45" spans="18:19">
      <c r="R45">
        <v>45</v>
      </c>
    </row>
    <row r="46" spans="18:19">
      <c r="R46">
        <v>55</v>
      </c>
    </row>
    <row r="47" spans="18:19">
      <c r="R47">
        <v>75</v>
      </c>
    </row>
    <row r="48" spans="18:19">
      <c r="R48">
        <v>90</v>
      </c>
    </row>
    <row r="49" spans="18:18">
      <c r="R49">
        <v>110</v>
      </c>
    </row>
    <row r="50" spans="18:18">
      <c r="R50">
        <v>132</v>
      </c>
    </row>
    <row r="51" spans="18:18">
      <c r="R51">
        <v>160</v>
      </c>
    </row>
    <row r="52" spans="18:18">
      <c r="R52">
        <v>200</v>
      </c>
    </row>
    <row r="53" spans="18:18">
      <c r="R53">
        <v>250</v>
      </c>
    </row>
    <row r="54" spans="18:18">
      <c r="R54">
        <v>315</v>
      </c>
    </row>
    <row r="55" spans="18:18">
      <c r="R55">
        <v>400</v>
      </c>
    </row>
    <row r="56" spans="18:18">
      <c r="R56">
        <v>500</v>
      </c>
    </row>
    <row r="57" spans="18:18">
      <c r="R57">
        <v>600</v>
      </c>
    </row>
  </sheetData>
  <mergeCells count="14">
    <mergeCell ref="H18:I18"/>
    <mergeCell ref="C20:D20"/>
    <mergeCell ref="B22:C22"/>
    <mergeCell ref="F1:J1"/>
    <mergeCell ref="AA2:AB2"/>
    <mergeCell ref="C4:D4"/>
    <mergeCell ref="H15:I15"/>
    <mergeCell ref="H16:I16"/>
    <mergeCell ref="H17:I17"/>
    <mergeCell ref="C6:D6"/>
    <mergeCell ref="C7:D7"/>
    <mergeCell ref="C8:D8"/>
    <mergeCell ref="C9:D9"/>
    <mergeCell ref="C10:D10"/>
  </mergeCells>
  <dataValidations count="16">
    <dataValidation type="list" allowBlank="1" showInputMessage="1" showErrorMessage="1" sqref="M8">
      <formula1>$AG$3:$AG$8</formula1>
    </dataValidation>
    <dataValidation type="list" allowBlank="1" showInputMessage="1" showErrorMessage="1" sqref="M6">
      <formula1>$U$21:$U$23</formula1>
    </dataValidation>
    <dataValidation type="list" allowBlank="1" showInputMessage="1" showErrorMessage="1" sqref="M4">
      <formula1>$AA$19:$AA$23</formula1>
    </dataValidation>
    <dataValidation type="list" allowBlank="1" showInputMessage="1" showErrorMessage="1" sqref="I4">
      <formula1>$Q$3:$Q$7</formula1>
    </dataValidation>
    <dataValidation type="list" allowBlank="1" showInputMessage="1" showErrorMessage="1" sqref="I5:I6">
      <formula1>$AB$17:$AD$17</formula1>
    </dataValidation>
    <dataValidation type="list" allowBlank="1" showInputMessage="1" showErrorMessage="1" sqref="I7">
      <formula1>$U$3:$U$5</formula1>
    </dataValidation>
    <dataValidation type="list" allowBlank="1" showInputMessage="1" showErrorMessage="1" sqref="I8">
      <formula1>$W$3:$W$7</formula1>
    </dataValidation>
    <dataValidation type="list" allowBlank="1" showInputMessage="1" showErrorMessage="1" sqref="I9">
      <formula1>$Y$3:$Y$5</formula1>
    </dataValidation>
    <dataValidation type="list" allowBlank="1" showInputMessage="1" showErrorMessage="1" sqref="M5">
      <formula1>$S$13:$S$14</formula1>
    </dataValidation>
    <dataValidation type="list" allowBlank="1" showInputMessage="1" showErrorMessage="1" sqref="H16">
      <formula1>$U$13:$U$15</formula1>
    </dataValidation>
    <dataValidation type="list" allowBlank="1" showInputMessage="1" showErrorMessage="1" sqref="H18">
      <formula1>$W$13:$W$17</formula1>
    </dataValidation>
    <dataValidation type="list" allowBlank="1" showInputMessage="1" showErrorMessage="1" sqref="M10">
      <formula1>$S$17:$S$19</formula1>
    </dataValidation>
    <dataValidation type="list" allowBlank="1" showInputMessage="1" showErrorMessage="1" sqref="I12:I13">
      <formula1>IF($M$4=800, $AB$3:$AD$3, IF($M$4=1000, $AB$4:$AE$4, IF($M$4=1200, $AB$5:$AD$5, IF($M$4=1400, $AB$6:$AC$6, IF($M$4=1600, $AB$7:$AC$7, IF($M$4=1800, $AB$8:$AC$8,IF($M$4=2000, $AB$9:$AD$9, IF($M$4=2200, $AB$10:$AD$10, 0))))))))</formula1>
    </dataValidation>
    <dataValidation type="list" allowBlank="1" showInputMessage="1" showErrorMessage="1" sqref="M18">
      <formula1>$R$38:$R$57</formula1>
    </dataValidation>
    <dataValidation type="list" allowBlank="1" showInputMessage="1" showErrorMessage="1" sqref="C10">
      <formula1>$AA$29:$AA$32</formula1>
    </dataValidation>
    <dataValidation type="list" allowBlank="1" showInputMessage="1" showErrorMessage="1" sqref="C20">
      <formula1>$R$24:$R$35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J57"/>
  <sheetViews>
    <sheetView tabSelected="1" workbookViewId="0">
      <selection activeCell="O24" sqref="O24"/>
    </sheetView>
  </sheetViews>
  <sheetFormatPr baseColWidth="10" defaultRowHeight="15"/>
  <cols>
    <col min="1" max="1" width="2" customWidth="1"/>
    <col min="2" max="2" width="14.42578125" customWidth="1"/>
    <col min="3" max="3" width="16.42578125" customWidth="1"/>
    <col min="4" max="4" width="7" customWidth="1"/>
    <col min="5" max="5" width="2.140625" customWidth="1"/>
    <col min="8" max="8" width="12.42578125" customWidth="1"/>
    <col min="9" max="9" width="13.42578125" customWidth="1"/>
    <col min="10" max="10" width="2.42578125" customWidth="1"/>
    <col min="11" max="11" width="14" customWidth="1"/>
    <col min="12" max="12" width="13.42578125" customWidth="1"/>
    <col min="13" max="13" width="15.42578125" customWidth="1"/>
    <col min="14" max="14" width="3.42578125" customWidth="1"/>
    <col min="15" max="17" width="11.42578125" customWidth="1"/>
    <col min="18" max="18" width="30.85546875" customWidth="1"/>
    <col min="19" max="19" width="11.42578125" customWidth="1"/>
    <col min="20" max="20" width="3.140625" customWidth="1"/>
    <col min="21" max="26" width="11.42578125" customWidth="1"/>
    <col min="28" max="28" width="14.28515625" customWidth="1"/>
  </cols>
  <sheetData>
    <row r="1" spans="2:33" ht="15" customHeight="1">
      <c r="B1" s="1"/>
      <c r="C1" s="1"/>
      <c r="D1" s="1"/>
      <c r="E1" s="1"/>
      <c r="F1" s="87" t="s">
        <v>121</v>
      </c>
      <c r="G1" s="88"/>
      <c r="H1" s="88"/>
      <c r="I1" s="88"/>
      <c r="J1" s="88"/>
      <c r="K1" s="1"/>
      <c r="L1" s="1"/>
      <c r="M1" s="1"/>
    </row>
    <row r="2" spans="2:33" ht="15" customHeight="1">
      <c r="E2" s="1"/>
      <c r="F2" s="1"/>
      <c r="G2" s="1"/>
      <c r="H2" s="1"/>
      <c r="I2" s="1"/>
      <c r="J2" s="1"/>
      <c r="K2" s="1"/>
      <c r="L2" s="1"/>
      <c r="M2" s="1"/>
      <c r="Q2" s="2" t="s">
        <v>0</v>
      </c>
      <c r="U2" s="2" t="s">
        <v>1</v>
      </c>
      <c r="V2" s="2"/>
      <c r="W2" s="2" t="s">
        <v>2</v>
      </c>
      <c r="X2" s="2"/>
      <c r="Y2" s="2" t="s">
        <v>3</v>
      </c>
      <c r="Z2" s="2"/>
      <c r="AA2" s="89" t="s">
        <v>4</v>
      </c>
      <c r="AB2" s="89"/>
      <c r="AG2" s="2" t="s">
        <v>5</v>
      </c>
    </row>
    <row r="3" spans="2:33" ht="15" customHeight="1">
      <c r="B3" s="3" t="s">
        <v>6</v>
      </c>
      <c r="C3" s="4"/>
      <c r="D3" s="4"/>
      <c r="E3" s="1"/>
      <c r="F3" s="5" t="s">
        <v>7</v>
      </c>
      <c r="G3" s="6"/>
      <c r="H3" s="6"/>
      <c r="I3" s="6"/>
      <c r="J3" s="1"/>
      <c r="K3" s="7" t="s">
        <v>8</v>
      </c>
      <c r="L3" s="8"/>
      <c r="M3" s="8"/>
      <c r="Q3" s="9">
        <v>20</v>
      </c>
      <c r="R3" s="10"/>
      <c r="S3" s="9"/>
      <c r="U3">
        <v>1.2</v>
      </c>
      <c r="W3">
        <v>1.5</v>
      </c>
      <c r="Y3" t="s">
        <v>9</v>
      </c>
      <c r="AA3">
        <v>800</v>
      </c>
      <c r="AB3">
        <v>88.9</v>
      </c>
      <c r="AC3">
        <v>108</v>
      </c>
      <c r="AD3">
        <v>133</v>
      </c>
      <c r="AG3">
        <v>400</v>
      </c>
    </row>
    <row r="4" spans="2:33" ht="15" customHeight="1">
      <c r="B4" s="11" t="s">
        <v>10</v>
      </c>
      <c r="C4" s="94" t="s">
        <v>11</v>
      </c>
      <c r="D4" s="95"/>
      <c r="E4" s="1"/>
      <c r="F4" s="12" t="s">
        <v>12</v>
      </c>
      <c r="G4" s="13"/>
      <c r="H4" s="14"/>
      <c r="I4" s="15">
        <v>30</v>
      </c>
      <c r="J4" s="1"/>
      <c r="K4" s="12" t="s">
        <v>13</v>
      </c>
      <c r="L4" s="16"/>
      <c r="M4" s="15">
        <v>1200</v>
      </c>
      <c r="Q4" s="9">
        <v>30</v>
      </c>
      <c r="R4" s="10"/>
      <c r="S4" s="9"/>
      <c r="U4">
        <v>1.25</v>
      </c>
      <c r="W4">
        <v>2</v>
      </c>
      <c r="Y4" t="s">
        <v>14</v>
      </c>
      <c r="AA4">
        <v>1000</v>
      </c>
      <c r="AB4">
        <v>88.9</v>
      </c>
      <c r="AC4">
        <v>108</v>
      </c>
      <c r="AD4">
        <v>133</v>
      </c>
      <c r="AE4">
        <v>159</v>
      </c>
      <c r="AG4">
        <v>630</v>
      </c>
    </row>
    <row r="5" spans="2:33" ht="15" customHeight="1">
      <c r="B5" s="7" t="s">
        <v>15</v>
      </c>
      <c r="C5" s="8"/>
      <c r="D5" s="8"/>
      <c r="E5" s="1"/>
      <c r="F5" s="17" t="s">
        <v>16</v>
      </c>
      <c r="G5" s="18"/>
      <c r="H5" s="19"/>
      <c r="I5" s="20" t="s">
        <v>17</v>
      </c>
      <c r="J5" s="1"/>
      <c r="K5" s="21" t="s">
        <v>18</v>
      </c>
      <c r="L5" s="22"/>
      <c r="M5" s="20" t="s">
        <v>19</v>
      </c>
      <c r="Q5" s="9">
        <v>35</v>
      </c>
      <c r="R5" s="10"/>
      <c r="S5" s="9"/>
      <c r="U5">
        <v>1.5</v>
      </c>
      <c r="W5">
        <v>2.5</v>
      </c>
      <c r="Y5" t="s">
        <v>20</v>
      </c>
      <c r="AA5">
        <v>1200</v>
      </c>
      <c r="AB5">
        <v>108</v>
      </c>
      <c r="AC5">
        <v>133</v>
      </c>
      <c r="AD5">
        <v>159</v>
      </c>
      <c r="AG5">
        <v>800</v>
      </c>
    </row>
    <row r="6" spans="2:33" ht="15" customHeight="1">
      <c r="B6" s="12" t="s">
        <v>21</v>
      </c>
      <c r="C6" s="96" t="s">
        <v>22</v>
      </c>
      <c r="D6" s="97"/>
      <c r="E6" s="1"/>
      <c r="F6" s="17" t="s">
        <v>23</v>
      </c>
      <c r="G6" s="18"/>
      <c r="H6" s="19"/>
      <c r="I6" s="20" t="s">
        <v>24</v>
      </c>
      <c r="J6" s="1"/>
      <c r="K6" s="21" t="s">
        <v>25</v>
      </c>
      <c r="L6" s="23"/>
      <c r="M6" s="20">
        <v>4</v>
      </c>
      <c r="Q6" s="9">
        <v>40</v>
      </c>
      <c r="R6" s="10"/>
      <c r="S6" s="10"/>
      <c r="W6">
        <v>3</v>
      </c>
      <c r="AA6">
        <v>1400</v>
      </c>
      <c r="AB6">
        <v>133</v>
      </c>
      <c r="AC6">
        <v>159</v>
      </c>
      <c r="AG6">
        <v>1000</v>
      </c>
    </row>
    <row r="7" spans="2:33" ht="15" customHeight="1">
      <c r="B7" s="17" t="s">
        <v>26</v>
      </c>
      <c r="C7" s="81">
        <v>2300</v>
      </c>
      <c r="D7" s="82"/>
      <c r="E7" s="1"/>
      <c r="F7" s="17" t="s">
        <v>27</v>
      </c>
      <c r="G7" s="24"/>
      <c r="H7" s="24"/>
      <c r="I7" s="20">
        <v>1.5</v>
      </c>
      <c r="J7" s="1"/>
      <c r="K7" s="17" t="s">
        <v>28</v>
      </c>
      <c r="L7" s="24"/>
      <c r="M7" s="25" t="s">
        <v>122</v>
      </c>
      <c r="Q7" s="9">
        <v>45</v>
      </c>
      <c r="R7" s="10"/>
      <c r="S7" s="10"/>
      <c r="W7">
        <v>4.5</v>
      </c>
      <c r="AA7">
        <v>1600</v>
      </c>
      <c r="AB7">
        <v>133</v>
      </c>
      <c r="AC7">
        <v>159</v>
      </c>
      <c r="AG7">
        <v>1250</v>
      </c>
    </row>
    <row r="8" spans="2:33" ht="15" customHeight="1">
      <c r="B8" s="17" t="s">
        <v>29</v>
      </c>
      <c r="C8" s="81">
        <v>1.4</v>
      </c>
      <c r="D8" s="82"/>
      <c r="E8" s="1"/>
      <c r="F8" s="17" t="s">
        <v>30</v>
      </c>
      <c r="G8" s="24"/>
      <c r="H8" s="24"/>
      <c r="I8" s="20">
        <v>4.5</v>
      </c>
      <c r="J8" s="1"/>
      <c r="K8" s="26" t="s">
        <v>31</v>
      </c>
      <c r="L8" s="24"/>
      <c r="M8" s="20">
        <v>1250</v>
      </c>
      <c r="AA8">
        <v>1800</v>
      </c>
      <c r="AB8">
        <v>133</v>
      </c>
      <c r="AC8">
        <v>159</v>
      </c>
      <c r="AG8">
        <v>1600</v>
      </c>
    </row>
    <row r="9" spans="2:33" ht="15" customHeight="1">
      <c r="B9" s="17" t="s">
        <v>32</v>
      </c>
      <c r="C9" s="81">
        <v>15</v>
      </c>
      <c r="D9" s="82"/>
      <c r="E9" s="1"/>
      <c r="F9" s="17" t="s">
        <v>33</v>
      </c>
      <c r="G9" s="18"/>
      <c r="H9" s="19"/>
      <c r="I9" s="20" t="s">
        <v>20</v>
      </c>
      <c r="J9" s="1"/>
      <c r="K9" s="17" t="s">
        <v>34</v>
      </c>
      <c r="L9" s="24"/>
      <c r="M9" s="25">
        <v>22.6</v>
      </c>
      <c r="AA9">
        <v>2000</v>
      </c>
      <c r="AB9">
        <v>133</v>
      </c>
      <c r="AC9">
        <v>159</v>
      </c>
      <c r="AD9">
        <v>193.7</v>
      </c>
    </row>
    <row r="10" spans="2:33" ht="15" customHeight="1">
      <c r="B10" s="27" t="s">
        <v>35</v>
      </c>
      <c r="C10" s="98" t="s">
        <v>36</v>
      </c>
      <c r="D10" s="99"/>
      <c r="E10" s="1"/>
      <c r="F10" s="17" t="s">
        <v>37</v>
      </c>
      <c r="G10" s="24"/>
      <c r="H10" s="24"/>
      <c r="I10" s="20">
        <v>15</v>
      </c>
      <c r="J10" s="1"/>
      <c r="K10" s="17" t="s">
        <v>38</v>
      </c>
      <c r="L10" s="24"/>
      <c r="M10" s="20">
        <v>1</v>
      </c>
      <c r="AA10">
        <v>2200</v>
      </c>
      <c r="AB10">
        <v>159</v>
      </c>
      <c r="AC10">
        <v>193.7</v>
      </c>
      <c r="AD10">
        <v>219.1</v>
      </c>
    </row>
    <row r="11" spans="2:33" ht="15" customHeight="1">
      <c r="B11" s="29" t="s">
        <v>39</v>
      </c>
      <c r="C11" s="30"/>
      <c r="D11" s="30"/>
      <c r="E11" s="1"/>
      <c r="F11" s="17" t="s">
        <v>40</v>
      </c>
      <c r="G11" s="24"/>
      <c r="H11" s="24"/>
      <c r="I11" s="20">
        <v>12</v>
      </c>
      <c r="J11" s="1"/>
      <c r="K11" s="17" t="s">
        <v>41</v>
      </c>
      <c r="L11" s="24"/>
      <c r="M11" s="25">
        <v>3.4666459444028148</v>
      </c>
      <c r="AF11" s="2" t="s">
        <v>42</v>
      </c>
      <c r="AG11" s="2"/>
    </row>
    <row r="12" spans="2:33" ht="15" customHeight="1">
      <c r="B12" s="12" t="s">
        <v>43</v>
      </c>
      <c r="C12" s="16"/>
      <c r="D12" s="15">
        <v>616</v>
      </c>
      <c r="E12" s="1"/>
      <c r="F12" s="17" t="s">
        <v>44</v>
      </c>
      <c r="G12" s="24"/>
      <c r="H12" s="24"/>
      <c r="I12" s="20">
        <v>159</v>
      </c>
      <c r="J12" s="1"/>
      <c r="K12" s="31" t="s">
        <v>45</v>
      </c>
      <c r="L12" s="32"/>
      <c r="M12" s="33">
        <v>3.5</v>
      </c>
      <c r="S12" s="2" t="s">
        <v>46</v>
      </c>
      <c r="U12" s="2" t="s">
        <v>47</v>
      </c>
      <c r="W12" s="2" t="s">
        <v>48</v>
      </c>
      <c r="X12" s="4"/>
      <c r="AF12" t="s">
        <v>19</v>
      </c>
      <c r="AG12">
        <v>8</v>
      </c>
    </row>
    <row r="13" spans="2:33" ht="15" customHeight="1">
      <c r="B13" s="17" t="s">
        <v>49</v>
      </c>
      <c r="C13" s="24"/>
      <c r="D13" s="34">
        <v>561</v>
      </c>
      <c r="E13" s="1"/>
      <c r="F13" s="27" t="s">
        <v>50</v>
      </c>
      <c r="G13" s="35"/>
      <c r="H13" s="35"/>
      <c r="I13" s="28">
        <v>159</v>
      </c>
      <c r="J13" s="1"/>
      <c r="K13" s="36" t="s">
        <v>51</v>
      </c>
      <c r="L13" s="24"/>
      <c r="M13" s="20">
        <v>2.1000000000000001E-2</v>
      </c>
      <c r="Q13" s="9"/>
      <c r="S13" t="s">
        <v>19</v>
      </c>
      <c r="U13" t="s">
        <v>14</v>
      </c>
      <c r="W13" t="s">
        <v>52</v>
      </c>
      <c r="Y13">
        <v>0.9</v>
      </c>
      <c r="AA13" s="2" t="s">
        <v>53</v>
      </c>
      <c r="AB13" s="2"/>
      <c r="AC13">
        <v>465</v>
      </c>
      <c r="AF13" t="s">
        <v>54</v>
      </c>
      <c r="AG13">
        <v>16</v>
      </c>
    </row>
    <row r="14" spans="2:33" ht="15" customHeight="1">
      <c r="B14" s="17" t="s">
        <v>55</v>
      </c>
      <c r="C14" s="24"/>
      <c r="D14" s="37">
        <v>561</v>
      </c>
      <c r="E14" s="1"/>
      <c r="F14" s="38" t="s">
        <v>56</v>
      </c>
      <c r="G14" s="39"/>
      <c r="H14" s="39"/>
      <c r="I14" s="39"/>
      <c r="J14" s="1"/>
      <c r="K14" s="40" t="s">
        <v>57</v>
      </c>
      <c r="L14" s="35"/>
      <c r="M14" s="41">
        <v>11.652637447047217</v>
      </c>
      <c r="Q14" s="9"/>
      <c r="S14" t="s">
        <v>54</v>
      </c>
      <c r="U14" t="s">
        <v>58</v>
      </c>
      <c r="W14" t="s">
        <v>59</v>
      </c>
      <c r="Y14">
        <v>0.95</v>
      </c>
      <c r="AF14" t="s">
        <v>60</v>
      </c>
      <c r="AG14">
        <v>8</v>
      </c>
    </row>
    <row r="15" spans="2:33" ht="15" customHeight="1">
      <c r="B15" s="17" t="s">
        <v>61</v>
      </c>
      <c r="C15" s="24"/>
      <c r="D15" s="20">
        <v>55</v>
      </c>
      <c r="E15" s="1"/>
      <c r="F15" s="12" t="s">
        <v>62</v>
      </c>
      <c r="G15" s="16"/>
      <c r="H15" s="90" t="s">
        <v>63</v>
      </c>
      <c r="I15" s="91"/>
      <c r="J15" s="42"/>
      <c r="K15" s="1"/>
      <c r="L15" s="1"/>
      <c r="M15" s="1"/>
      <c r="Q15" s="9"/>
      <c r="U15" t="s">
        <v>64</v>
      </c>
      <c r="W15" t="s">
        <v>65</v>
      </c>
      <c r="Y15">
        <v>0.96</v>
      </c>
      <c r="AA15" s="2" t="s">
        <v>66</v>
      </c>
      <c r="AB15" s="2"/>
      <c r="AC15">
        <v>700</v>
      </c>
    </row>
    <row r="16" spans="2:33" ht="15" customHeight="1">
      <c r="B16" s="17" t="s">
        <v>67</v>
      </c>
      <c r="C16" s="24"/>
      <c r="D16" s="43">
        <v>14</v>
      </c>
      <c r="E16" s="44"/>
      <c r="F16" s="17" t="s">
        <v>68</v>
      </c>
      <c r="G16" s="24"/>
      <c r="H16" s="81" t="s">
        <v>64</v>
      </c>
      <c r="I16" s="82"/>
      <c r="J16" s="45"/>
      <c r="K16" s="46" t="s">
        <v>69</v>
      </c>
      <c r="L16" s="47"/>
      <c r="M16" s="47"/>
      <c r="Q16" s="9"/>
      <c r="S16" s="2" t="s">
        <v>70</v>
      </c>
      <c r="W16" t="s">
        <v>71</v>
      </c>
      <c r="Y16">
        <v>0.94</v>
      </c>
    </row>
    <row r="17" spans="1:36" ht="15" customHeight="1">
      <c r="B17" s="48" t="s">
        <v>72</v>
      </c>
      <c r="C17" s="49"/>
      <c r="D17" s="41">
        <v>14.288339315075939</v>
      </c>
      <c r="E17" s="50"/>
      <c r="F17" s="17" t="s">
        <v>73</v>
      </c>
      <c r="G17" s="24"/>
      <c r="H17" s="92">
        <v>1.5</v>
      </c>
      <c r="I17" s="93"/>
      <c r="J17" s="51"/>
      <c r="K17" s="52" t="s">
        <v>74</v>
      </c>
      <c r="L17" s="16"/>
      <c r="M17" s="53" t="s">
        <v>123</v>
      </c>
      <c r="Q17" s="9"/>
      <c r="S17">
        <v>1</v>
      </c>
      <c r="W17" t="s">
        <v>75</v>
      </c>
      <c r="Y17">
        <v>0.9</v>
      </c>
      <c r="AB17" t="s">
        <v>76</v>
      </c>
      <c r="AC17" t="s">
        <v>24</v>
      </c>
      <c r="AD17" t="s">
        <v>17</v>
      </c>
    </row>
    <row r="18" spans="1:36" ht="15" customHeight="1">
      <c r="B18" s="1"/>
      <c r="C18" s="1"/>
      <c r="D18" s="1"/>
      <c r="E18" s="50"/>
      <c r="F18" s="17" t="s">
        <v>77</v>
      </c>
      <c r="G18" s="18"/>
      <c r="H18" s="81" t="s">
        <v>75</v>
      </c>
      <c r="I18" s="82"/>
      <c r="J18" s="45"/>
      <c r="K18" s="36" t="s">
        <v>78</v>
      </c>
      <c r="L18" s="24"/>
      <c r="M18" s="20">
        <v>315</v>
      </c>
      <c r="Q18" s="9"/>
      <c r="S18">
        <v>2</v>
      </c>
    </row>
    <row r="19" spans="1:36" ht="15" customHeight="1">
      <c r="B19" s="54" t="s">
        <v>79</v>
      </c>
      <c r="C19" s="55"/>
      <c r="D19" s="55"/>
      <c r="E19" s="50"/>
      <c r="F19" s="27" t="s">
        <v>80</v>
      </c>
      <c r="G19" s="35"/>
      <c r="H19" s="35"/>
      <c r="I19" s="56">
        <v>0.9</v>
      </c>
      <c r="J19" s="42"/>
      <c r="K19" s="40" t="s">
        <v>81</v>
      </c>
      <c r="L19" s="35"/>
      <c r="M19" s="57">
        <v>73649.630182285706</v>
      </c>
      <c r="Q19" s="9"/>
      <c r="S19">
        <v>3</v>
      </c>
      <c r="AA19">
        <v>800</v>
      </c>
      <c r="AB19">
        <v>950</v>
      </c>
      <c r="AC19">
        <v>465</v>
      </c>
      <c r="AD19">
        <v>315</v>
      </c>
    </row>
    <row r="20" spans="1:36" ht="15" customHeight="1">
      <c r="B20" s="12" t="s">
        <v>82</v>
      </c>
      <c r="C20" s="83" t="s">
        <v>83</v>
      </c>
      <c r="D20" s="84"/>
      <c r="E20" s="58"/>
      <c r="F20" s="59" t="s">
        <v>84</v>
      </c>
      <c r="G20" s="60"/>
      <c r="H20" s="60"/>
      <c r="I20" s="60"/>
      <c r="Q20" s="9"/>
      <c r="U20" s="2" t="s">
        <v>85</v>
      </c>
      <c r="V20" s="2"/>
      <c r="AA20">
        <v>1000</v>
      </c>
      <c r="AB20">
        <v>1150</v>
      </c>
      <c r="AC20">
        <v>600</v>
      </c>
      <c r="AD20">
        <v>380</v>
      </c>
    </row>
    <row r="21" spans="1:36" ht="15" customHeight="1">
      <c r="B21" s="17" t="s">
        <v>86</v>
      </c>
      <c r="C21" s="24"/>
      <c r="D21" s="20">
        <v>210</v>
      </c>
      <c r="F21" s="52" t="s">
        <v>87</v>
      </c>
      <c r="G21" s="61"/>
      <c r="H21" s="61"/>
      <c r="I21" s="62" t="s">
        <v>124</v>
      </c>
      <c r="K21" s="63" t="s">
        <v>88</v>
      </c>
      <c r="L21" s="64"/>
      <c r="M21" s="65" t="s">
        <v>125</v>
      </c>
      <c r="Q21" s="9"/>
      <c r="U21">
        <v>1</v>
      </c>
      <c r="V21">
        <v>0.7</v>
      </c>
      <c r="AA21">
        <v>1200</v>
      </c>
      <c r="AB21">
        <v>1400</v>
      </c>
      <c r="AC21">
        <v>700</v>
      </c>
      <c r="AD21">
        <v>465</v>
      </c>
    </row>
    <row r="22" spans="1:36" s="58" customFormat="1" ht="15" customHeight="1">
      <c r="A22"/>
      <c r="B22" s="85" t="s">
        <v>89</v>
      </c>
      <c r="C22" s="86"/>
      <c r="D22" s="56">
        <v>0.3</v>
      </c>
      <c r="F22" s="40" t="s">
        <v>90</v>
      </c>
      <c r="G22" s="66"/>
      <c r="H22" s="66"/>
      <c r="I22" s="67">
        <v>340</v>
      </c>
      <c r="K22" s="63" t="s">
        <v>91</v>
      </c>
      <c r="L22" s="68"/>
      <c r="M22" s="65" t="s">
        <v>126</v>
      </c>
      <c r="Q22" s="69"/>
      <c r="U22" s="58">
        <v>2</v>
      </c>
      <c r="V22" s="58">
        <v>0.5</v>
      </c>
      <c r="AA22">
        <v>1400</v>
      </c>
      <c r="AB22">
        <v>1600</v>
      </c>
      <c r="AC22">
        <v>800</v>
      </c>
      <c r="AD22">
        <v>530</v>
      </c>
      <c r="AG22"/>
    </row>
    <row r="23" spans="1:36" s="58" customFormat="1">
      <c r="A23"/>
      <c r="B23"/>
      <c r="C23"/>
      <c r="F23"/>
      <c r="U23" s="58">
        <v>3</v>
      </c>
      <c r="V23" s="58">
        <v>0.67</v>
      </c>
      <c r="AA23">
        <v>1600</v>
      </c>
      <c r="AB23">
        <v>1800</v>
      </c>
      <c r="AC23">
        <v>900</v>
      </c>
      <c r="AD23">
        <v>600</v>
      </c>
      <c r="AG23"/>
    </row>
    <row r="24" spans="1:36">
      <c r="O24" s="100"/>
      <c r="R24" t="s">
        <v>92</v>
      </c>
      <c r="S24">
        <v>0.35</v>
      </c>
      <c r="AA24" s="2" t="s">
        <v>93</v>
      </c>
      <c r="AB24" s="2"/>
      <c r="AC24" s="71" t="s">
        <v>94</v>
      </c>
      <c r="AD24" s="72">
        <v>0.16124348786184967</v>
      </c>
    </row>
    <row r="25" spans="1:36">
      <c r="R25" s="73" t="s">
        <v>95</v>
      </c>
      <c r="S25">
        <v>0.1</v>
      </c>
      <c r="AA25" s="71" t="s">
        <v>96</v>
      </c>
      <c r="AB25" s="71" t="s">
        <v>97</v>
      </c>
      <c r="AC25" s="71" t="s">
        <v>98</v>
      </c>
      <c r="AD25" s="71" t="s">
        <v>127</v>
      </c>
      <c r="AE25" s="71" t="s">
        <v>128</v>
      </c>
      <c r="AF25" s="71" t="s">
        <v>99</v>
      </c>
      <c r="AG25" s="71" t="s">
        <v>100</v>
      </c>
    </row>
    <row r="26" spans="1:36">
      <c r="R26" t="s">
        <v>101</v>
      </c>
      <c r="S26">
        <v>0.1</v>
      </c>
      <c r="AA26" s="71">
        <v>1030</v>
      </c>
      <c r="AB26" s="71">
        <v>282.5</v>
      </c>
      <c r="AC26" s="71">
        <v>565</v>
      </c>
      <c r="AD26" s="74">
        <v>0.86602540378443871</v>
      </c>
      <c r="AE26" s="74">
        <v>0.49999999999999994</v>
      </c>
      <c r="AF26" s="75">
        <v>6.1005117921463743E-2</v>
      </c>
      <c r="AG26" s="75">
        <v>0.10023836994038592</v>
      </c>
    </row>
    <row r="27" spans="1:36">
      <c r="R27" s="73" t="s">
        <v>102</v>
      </c>
      <c r="S27">
        <v>0.35</v>
      </c>
    </row>
    <row r="28" spans="1:36">
      <c r="R28" t="s">
        <v>103</v>
      </c>
      <c r="S28">
        <v>0.35</v>
      </c>
      <c r="AA28" s="2" t="s">
        <v>104</v>
      </c>
      <c r="AB28" s="2"/>
      <c r="AC28" s="76" t="s">
        <v>105</v>
      </c>
      <c r="AD28" s="77">
        <v>0.9</v>
      </c>
      <c r="AE28" t="s">
        <v>106</v>
      </c>
      <c r="AH28" s="78">
        <v>0.81640494616431658</v>
      </c>
    </row>
    <row r="29" spans="1:36">
      <c r="R29" t="s">
        <v>107</v>
      </c>
      <c r="S29">
        <v>0.2</v>
      </c>
      <c r="AA29" t="s">
        <v>108</v>
      </c>
      <c r="AB29">
        <v>1</v>
      </c>
      <c r="AC29">
        <v>2</v>
      </c>
      <c r="AD29">
        <v>4</v>
      </c>
      <c r="AE29">
        <v>6</v>
      </c>
      <c r="AF29">
        <v>8</v>
      </c>
      <c r="AG29">
        <v>10</v>
      </c>
      <c r="AH29">
        <v>12</v>
      </c>
      <c r="AI29">
        <v>14</v>
      </c>
      <c r="AJ29">
        <v>16</v>
      </c>
    </row>
    <row r="30" spans="1:36">
      <c r="R30" s="73" t="s">
        <v>109</v>
      </c>
      <c r="S30">
        <v>0.45</v>
      </c>
      <c r="AA30" t="s">
        <v>110</v>
      </c>
      <c r="AB30">
        <v>0.95</v>
      </c>
      <c r="AC30">
        <v>1</v>
      </c>
      <c r="AD30">
        <v>0.99</v>
      </c>
      <c r="AE30">
        <v>0.98</v>
      </c>
      <c r="AF30">
        <v>0.97</v>
      </c>
      <c r="AG30">
        <v>0.95</v>
      </c>
      <c r="AH30">
        <v>0.93</v>
      </c>
      <c r="AI30">
        <v>0.91</v>
      </c>
      <c r="AJ30">
        <v>0.89</v>
      </c>
    </row>
    <row r="31" spans="1:36">
      <c r="R31" t="s">
        <v>111</v>
      </c>
      <c r="S31">
        <v>0.35</v>
      </c>
      <c r="AA31" t="s">
        <v>36</v>
      </c>
      <c r="AB31">
        <v>0.9</v>
      </c>
      <c r="AC31" s="71" t="s">
        <v>112</v>
      </c>
      <c r="AD31" s="70" t="s">
        <v>113</v>
      </c>
    </row>
    <row r="32" spans="1:36">
      <c r="R32" t="s">
        <v>83</v>
      </c>
      <c r="S32">
        <v>0.3</v>
      </c>
      <c r="AA32" t="s">
        <v>114</v>
      </c>
      <c r="AB32">
        <v>0.85</v>
      </c>
      <c r="AC32" s="79">
        <v>14.288339315075939</v>
      </c>
      <c r="AD32" s="78">
        <v>0.90711660684924067</v>
      </c>
    </row>
    <row r="33" spans="18:19">
      <c r="R33" s="73" t="s">
        <v>115</v>
      </c>
      <c r="S33">
        <v>0.4</v>
      </c>
    </row>
    <row r="34" spans="18:19">
      <c r="R34" t="s">
        <v>116</v>
      </c>
      <c r="S34">
        <v>0.35</v>
      </c>
    </row>
    <row r="35" spans="18:19">
      <c r="R35" t="s">
        <v>117</v>
      </c>
      <c r="S35">
        <v>0.35</v>
      </c>
    </row>
    <row r="37" spans="18:19">
      <c r="R37" s="2" t="s">
        <v>118</v>
      </c>
    </row>
    <row r="38" spans="18:19">
      <c r="R38" s="80">
        <v>7.5</v>
      </c>
    </row>
    <row r="39" spans="18:19">
      <c r="R39">
        <v>11</v>
      </c>
    </row>
    <row r="40" spans="18:19">
      <c r="R40">
        <v>15</v>
      </c>
    </row>
    <row r="41" spans="18:19">
      <c r="R41">
        <v>18.5</v>
      </c>
    </row>
    <row r="42" spans="18:19">
      <c r="R42">
        <v>22</v>
      </c>
    </row>
    <row r="43" spans="18:19">
      <c r="R43">
        <v>30</v>
      </c>
    </row>
    <row r="44" spans="18:19">
      <c r="R44">
        <v>37</v>
      </c>
    </row>
    <row r="45" spans="18:19">
      <c r="R45">
        <v>45</v>
      </c>
    </row>
    <row r="46" spans="18:19">
      <c r="R46">
        <v>55</v>
      </c>
    </row>
    <row r="47" spans="18:19">
      <c r="R47">
        <v>75</v>
      </c>
    </row>
    <row r="48" spans="18:19">
      <c r="R48">
        <v>90</v>
      </c>
    </row>
    <row r="49" spans="18:18">
      <c r="R49">
        <v>110</v>
      </c>
    </row>
    <row r="50" spans="18:18">
      <c r="R50">
        <v>132</v>
      </c>
    </row>
    <row r="51" spans="18:18">
      <c r="R51">
        <v>160</v>
      </c>
    </row>
    <row r="52" spans="18:18">
      <c r="R52">
        <v>200</v>
      </c>
    </row>
    <row r="53" spans="18:18">
      <c r="R53">
        <v>250</v>
      </c>
    </row>
    <row r="54" spans="18:18">
      <c r="R54">
        <v>315</v>
      </c>
    </row>
    <row r="55" spans="18:18">
      <c r="R55">
        <v>400</v>
      </c>
    </row>
    <row r="56" spans="18:18">
      <c r="R56">
        <v>500</v>
      </c>
    </row>
    <row r="57" spans="18:18">
      <c r="R57">
        <v>600</v>
      </c>
    </row>
  </sheetData>
  <mergeCells count="14">
    <mergeCell ref="H18:I18"/>
    <mergeCell ref="C20:D20"/>
    <mergeCell ref="B22:C22"/>
    <mergeCell ref="C6:D6"/>
    <mergeCell ref="C7:D7"/>
    <mergeCell ref="C8:D8"/>
    <mergeCell ref="C9:D9"/>
    <mergeCell ref="C10:D10"/>
    <mergeCell ref="F1:J1"/>
    <mergeCell ref="AA2:AB2"/>
    <mergeCell ref="C4:D4"/>
    <mergeCell ref="H15:I15"/>
    <mergeCell ref="H16:I16"/>
    <mergeCell ref="H17:I17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</dc:creator>
  <cp:lastModifiedBy>hassini</cp:lastModifiedBy>
  <dcterms:created xsi:type="dcterms:W3CDTF">2010-07-16T09:34:10Z</dcterms:created>
  <dcterms:modified xsi:type="dcterms:W3CDTF">2010-07-16T09:52:38Z</dcterms:modified>
</cp:coreProperties>
</file>