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dechanet\Documents\"/>
    </mc:Choice>
  </mc:AlternateContent>
  <bookViews>
    <workbookView xWindow="0" yWindow="0" windowWidth="20490" windowHeight="7650"/>
  </bookViews>
  <sheets>
    <sheet name="Capacité" sheetId="10" r:id="rId1"/>
  </sheets>
  <externalReferences>
    <externalReference r:id="rId2"/>
  </externalReferences>
  <definedNames>
    <definedName name="_xlnm._FilterDatabase" localSheetId="0" hidden="1">Capacité!$A$1:$E$32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7" i="10" l="1"/>
  <c r="Q37" i="10"/>
  <c r="Q36" i="10"/>
  <c r="N36" i="10"/>
  <c r="Q25" i="10" l="1"/>
  <c r="Q24" i="10"/>
  <c r="P24" i="10"/>
  <c r="Q18" i="10"/>
  <c r="P18" i="10"/>
  <c r="Q17" i="10"/>
  <c r="P17" i="10"/>
  <c r="Q16" i="10"/>
  <c r="Q13" i="10"/>
  <c r="P13" i="10"/>
  <c r="P12" i="10"/>
  <c r="Q11" i="10"/>
  <c r="Q9" i="10"/>
  <c r="P9" i="10"/>
  <c r="AG8" i="10"/>
  <c r="AF8" i="10"/>
  <c r="Q8" i="10"/>
  <c r="Q7" i="10"/>
  <c r="P7" i="10"/>
  <c r="Q6" i="10"/>
  <c r="P6" i="10"/>
  <c r="P4" i="10"/>
  <c r="N25" i="10"/>
  <c r="O24" i="10"/>
  <c r="N24" i="10"/>
  <c r="N21" i="10"/>
  <c r="N19" i="10"/>
  <c r="O18" i="10"/>
  <c r="N18" i="10"/>
  <c r="O17" i="10"/>
  <c r="N17" i="10"/>
  <c r="N16" i="10"/>
  <c r="N13" i="10"/>
  <c r="N12" i="10"/>
  <c r="O11" i="10"/>
  <c r="N11" i="10"/>
  <c r="N10" i="10"/>
  <c r="O9" i="10"/>
  <c r="N9" i="10"/>
  <c r="O8" i="10"/>
  <c r="N8" i="10"/>
  <c r="O7" i="10"/>
  <c r="N7" i="10"/>
  <c r="O6" i="10"/>
  <c r="N6" i="10"/>
  <c r="O5" i="10"/>
  <c r="N5" i="10"/>
  <c r="O4" i="10"/>
  <c r="N4" i="10"/>
  <c r="K4" i="10"/>
  <c r="J31" i="10" l="1"/>
  <c r="AE27" i="10" l="1"/>
  <c r="AE26" i="10"/>
  <c r="AE25" i="10"/>
  <c r="AE24" i="10"/>
  <c r="AE23" i="10"/>
  <c r="AE22" i="10"/>
  <c r="AE21" i="10"/>
  <c r="AE20" i="10"/>
  <c r="AE19" i="10"/>
  <c r="AE18" i="10"/>
  <c r="AE17" i="10"/>
  <c r="AE16" i="10"/>
  <c r="AE15" i="10"/>
  <c r="AE14" i="10"/>
  <c r="AE13" i="10"/>
  <c r="AE12" i="10"/>
  <c r="AE11" i="10"/>
  <c r="AE10" i="10"/>
  <c r="AE9" i="10"/>
  <c r="AE8" i="10"/>
  <c r="AE7" i="10"/>
  <c r="AE6" i="10"/>
  <c r="AE5" i="10"/>
  <c r="AE4" i="10"/>
  <c r="V27" i="10"/>
  <c r="V26" i="10"/>
  <c r="V25" i="10"/>
  <c r="V24" i="10"/>
  <c r="V23" i="10"/>
  <c r="V22" i="10"/>
  <c r="V21" i="10"/>
  <c r="V20" i="10"/>
  <c r="V19" i="10"/>
  <c r="V18" i="10"/>
  <c r="V17" i="10"/>
  <c r="V16" i="10"/>
  <c r="V15" i="10"/>
  <c r="V14" i="10"/>
  <c r="V13" i="10"/>
  <c r="V12" i="10"/>
  <c r="V11" i="10"/>
  <c r="V10" i="10"/>
  <c r="V9" i="10"/>
  <c r="V8" i="10"/>
  <c r="V7" i="10"/>
  <c r="V6" i="10"/>
  <c r="V5" i="10"/>
  <c r="V4" i="10"/>
  <c r="N28" i="10"/>
  <c r="M27" i="10"/>
  <c r="M26" i="10"/>
  <c r="M25" i="10"/>
  <c r="M24" i="10"/>
  <c r="M23" i="10"/>
  <c r="M22" i="10"/>
  <c r="M21" i="10"/>
  <c r="M20" i="10"/>
  <c r="M19" i="10"/>
  <c r="M18" i="10"/>
  <c r="M17" i="10"/>
  <c r="M16" i="10"/>
  <c r="M15" i="10"/>
  <c r="M14" i="10"/>
  <c r="M13" i="10"/>
  <c r="M12" i="10"/>
  <c r="M11" i="10"/>
  <c r="M10" i="10"/>
  <c r="M9" i="10"/>
  <c r="M8" i="10"/>
  <c r="M7" i="10"/>
  <c r="M6" i="10"/>
  <c r="M5" i="10"/>
  <c r="M4" i="10"/>
  <c r="H32" i="10"/>
  <c r="J32" i="10"/>
  <c r="H31" i="10"/>
  <c r="J29" i="10"/>
  <c r="D4" i="10" l="1"/>
  <c r="M28" i="10"/>
  <c r="L31" i="10" s="1"/>
  <c r="F25" i="10"/>
  <c r="K2" i="10"/>
  <c r="G17" i="10"/>
  <c r="G18" i="10"/>
  <c r="G19" i="10"/>
  <c r="G20" i="10"/>
  <c r="G21" i="10"/>
  <c r="G25" i="10"/>
  <c r="C30" i="10"/>
  <c r="C28" i="10"/>
  <c r="AD28" i="10" l="1"/>
  <c r="U28" i="10"/>
  <c r="L28" i="10"/>
  <c r="J28" i="10"/>
  <c r="AF28" i="10"/>
  <c r="AG28" i="10"/>
  <c r="AH28" i="10"/>
  <c r="W28" i="10"/>
  <c r="X28" i="10"/>
  <c r="Y28" i="10"/>
  <c r="Z28" i="10"/>
  <c r="AA28" i="10"/>
  <c r="AB28" i="10"/>
  <c r="AC28" i="10"/>
  <c r="P28" i="10"/>
  <c r="O28" i="10"/>
  <c r="Q28" i="10"/>
  <c r="R28" i="10"/>
  <c r="S28" i="10"/>
  <c r="T28" i="10"/>
  <c r="H28" i="10"/>
  <c r="F27" i="10"/>
  <c r="G27" i="10" s="1"/>
  <c r="F26" i="10"/>
  <c r="G26" i="10" s="1"/>
  <c r="V28" i="10" l="1"/>
  <c r="U32" i="10" s="1"/>
  <c r="AE28" i="10"/>
  <c r="D8" i="10"/>
  <c r="E8" i="10" s="1"/>
  <c r="F8" i="10"/>
  <c r="G8" i="10" s="1"/>
  <c r="F11" i="10"/>
  <c r="G11" i="10" s="1"/>
  <c r="F10" i="10"/>
  <c r="G10" i="10" s="1"/>
  <c r="F9" i="10"/>
  <c r="G9" i="10" s="1"/>
  <c r="F7" i="10"/>
  <c r="G7" i="10" s="1"/>
  <c r="F6" i="10"/>
  <c r="G6" i="10" s="1"/>
  <c r="F5" i="10"/>
  <c r="G5" i="10" s="1"/>
  <c r="F4" i="10"/>
  <c r="U29" i="10" l="1"/>
  <c r="U31" i="10"/>
  <c r="AD31" i="10"/>
  <c r="AD32" i="10"/>
  <c r="AD29" i="10"/>
  <c r="L29" i="10"/>
  <c r="L32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D7" i="10"/>
  <c r="D6" i="10"/>
  <c r="D5" i="10"/>
  <c r="C31" i="10" l="1"/>
  <c r="H29" i="10"/>
  <c r="F24" i="10" l="1"/>
  <c r="G24" i="10" s="1"/>
  <c r="F23" i="10"/>
  <c r="G23" i="10" s="1"/>
  <c r="F22" i="10"/>
  <c r="G22" i="10" s="1"/>
  <c r="F16" i="10"/>
  <c r="G16" i="10" s="1"/>
  <c r="F15" i="10"/>
  <c r="G15" i="10" s="1"/>
  <c r="F14" i="10"/>
  <c r="G14" i="10" s="1"/>
  <c r="F13" i="10"/>
  <c r="G13" i="10" s="1"/>
  <c r="F12" i="10"/>
  <c r="G12" i="10" s="1"/>
  <c r="G4" i="10" l="1"/>
  <c r="G28" i="10" s="1"/>
  <c r="F28" i="10" l="1"/>
  <c r="D28" i="10" l="1"/>
  <c r="C32" i="10" s="1"/>
  <c r="E5" i="10" l="1"/>
  <c r="E7" i="10"/>
  <c r="E15" i="10"/>
  <c r="E16" i="10"/>
  <c r="E14" i="10"/>
  <c r="E13" i="10"/>
  <c r="E12" i="10"/>
  <c r="E4" i="10"/>
  <c r="E9" i="10"/>
  <c r="E11" i="10"/>
  <c r="E6" i="10"/>
  <c r="E10" i="10"/>
  <c r="E26" i="10"/>
  <c r="E27" i="10"/>
  <c r="E25" i="10" l="1"/>
  <c r="E24" i="10"/>
  <c r="E23" i="10"/>
  <c r="E22" i="10"/>
  <c r="E21" i="10"/>
  <c r="E20" i="10"/>
  <c r="E19" i="10"/>
  <c r="E18" i="10"/>
  <c r="E17" i="10" l="1"/>
  <c r="E28" i="10" l="1"/>
</calcChain>
</file>

<file path=xl/sharedStrings.xml><?xml version="1.0" encoding="utf-8"?>
<sst xmlns="http://schemas.openxmlformats.org/spreadsheetml/2006/main" count="65" uniqueCount="41">
  <si>
    <t>MED</t>
  </si>
  <si>
    <t>PACA</t>
  </si>
  <si>
    <t>EST</t>
  </si>
  <si>
    <t>2A</t>
  </si>
  <si>
    <t>2B</t>
  </si>
  <si>
    <t>CORSE</t>
  </si>
  <si>
    <t>Agence</t>
  </si>
  <si>
    <t>Dépt.</t>
  </si>
  <si>
    <t xml:space="preserve">CTA </t>
  </si>
  <si>
    <t>TOTAL</t>
  </si>
  <si>
    <t>4</t>
  </si>
  <si>
    <t>5</t>
  </si>
  <si>
    <t>6</t>
  </si>
  <si>
    <t>2</t>
  </si>
  <si>
    <t>Ecart</t>
  </si>
  <si>
    <t xml:space="preserve">% </t>
  </si>
  <si>
    <t>RDV Programmé</t>
  </si>
  <si>
    <t>Objectif</t>
  </si>
  <si>
    <t>RDV Réalisé</t>
  </si>
  <si>
    <t>Capacitaire Jour hors GEM</t>
  </si>
  <si>
    <t>Activité à 50%</t>
  </si>
  <si>
    <t>Activité à 30%</t>
  </si>
  <si>
    <t>Activité à 0%</t>
  </si>
  <si>
    <t>%</t>
  </si>
  <si>
    <t>Capacité &gt; 10%</t>
  </si>
  <si>
    <t>Semaine 45</t>
  </si>
  <si>
    <t>INE</t>
  </si>
  <si>
    <t>Prév 11/22</t>
  </si>
  <si>
    <t>Projection 11/22</t>
  </si>
  <si>
    <t>Semaine 46</t>
  </si>
  <si>
    <t>Sem 44</t>
  </si>
  <si>
    <t>Semaine 47</t>
  </si>
  <si>
    <t>Semaine 48</t>
  </si>
  <si>
    <t>RDV à J-7</t>
  </si>
  <si>
    <t>Samedi</t>
  </si>
  <si>
    <t xml:space="preserve">Activité à minimiser </t>
  </si>
  <si>
    <t>Dép. Prioritaire = Sécurisation du RDV</t>
  </si>
  <si>
    <t>PACA = 06</t>
  </si>
  <si>
    <t>MED = 30</t>
  </si>
  <si>
    <t>diviisé par</t>
  </si>
  <si>
    <t>divisé par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</si>
</sst>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_ ;\-#,##0\ "/>
    <numFmt numFmtId="165" formatCode="#,##0.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b/>
      <sz val="9"/>
      <color rgb="FFFF0000"/>
      <name val="Calibri"/>
      <family val="2"/>
    </font>
    <font>
      <b/>
      <sz val="9"/>
      <name val="Calibri"/>
      <family val="2"/>
    </font>
    <font>
      <sz val="8"/>
      <name val="Calibri"/>
      <family val="2"/>
      <scheme val="minor"/>
    </font>
    <font>
      <b/>
      <sz val="11"/>
      <color rgb="FFFF0000"/>
      <name val="Calibri"/>
      <family val="2"/>
    </font>
    <font>
      <b/>
      <sz val="11"/>
      <name val="Calibri"/>
      <family val="2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b/>
      <sz val="9"/>
      <color theme="1"/>
      <name val="Calibri"/>
      <family val="2"/>
    </font>
    <font>
      <sz val="9"/>
      <name val="Calibri"/>
      <family val="2"/>
    </font>
    <font>
      <sz val="9"/>
      <color theme="1"/>
      <name val="Calibri"/>
      <family val="2"/>
    </font>
    <font>
      <b/>
      <sz val="9"/>
      <color theme="9" tint="-0.249977111117893"/>
      <name val="Calibri"/>
      <family val="2"/>
    </font>
    <font>
      <sz val="11"/>
      <color rgb="FFFF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7030A0"/>
        <bgColor indexed="64"/>
      </patternFill>
    </fill>
  </fills>
  <borders count="7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/>
  </cellStyleXfs>
  <cellXfs count="277">
    <xf numFmtId="0" fontId="0" fillId="0" borderId="0" xfId="0"/>
    <xf numFmtId="0" fontId="2" fillId="0" borderId="0" xfId="2"/>
    <xf numFmtId="0" fontId="3" fillId="0" borderId="0" xfId="2" applyFont="1"/>
    <xf numFmtId="0" fontId="2" fillId="0" borderId="0" xfId="2" applyAlignment="1">
      <alignment horizontal="center"/>
    </xf>
    <xf numFmtId="0" fontId="5" fillId="0" borderId="0" xfId="2" applyFont="1"/>
    <xf numFmtId="49" fontId="5" fillId="0" borderId="8" xfId="2" applyNumberFormat="1" applyFont="1" applyBorder="1" applyAlignment="1">
      <alignment horizontal="center"/>
    </xf>
    <xf numFmtId="0" fontId="5" fillId="0" borderId="5" xfId="2" applyFont="1" applyBorder="1" applyAlignment="1">
      <alignment horizontal="center"/>
    </xf>
    <xf numFmtId="0" fontId="5" fillId="0" borderId="9" xfId="2" applyFont="1" applyBorder="1" applyAlignment="1">
      <alignment horizontal="center"/>
    </xf>
    <xf numFmtId="0" fontId="5" fillId="0" borderId="8" xfId="2" applyFont="1" applyBorder="1" applyAlignment="1">
      <alignment horizontal="center"/>
    </xf>
    <xf numFmtId="49" fontId="5" fillId="0" borderId="5" xfId="2" applyNumberFormat="1" applyFont="1" applyBorder="1" applyAlignment="1">
      <alignment horizontal="center"/>
    </xf>
    <xf numFmtId="49" fontId="5" fillId="0" borderId="9" xfId="2" applyNumberFormat="1" applyFont="1" applyBorder="1" applyAlignment="1">
      <alignment horizontal="center"/>
    </xf>
    <xf numFmtId="0" fontId="4" fillId="0" borderId="0" xfId="2" applyFont="1" applyAlignment="1">
      <alignment horizontal="center"/>
    </xf>
    <xf numFmtId="0" fontId="4" fillId="0" borderId="4" xfId="2" applyFont="1" applyBorder="1" applyAlignment="1">
      <alignment horizontal="center"/>
    </xf>
    <xf numFmtId="0" fontId="4" fillId="0" borderId="7" xfId="2" applyFont="1" applyBorder="1" applyAlignment="1">
      <alignment horizontal="center"/>
    </xf>
    <xf numFmtId="0" fontId="9" fillId="0" borderId="0" xfId="2" applyFont="1"/>
    <xf numFmtId="3" fontId="2" fillId="0" borderId="0" xfId="2" applyNumberFormat="1" applyAlignment="1">
      <alignment horizontal="center"/>
    </xf>
    <xf numFmtId="0" fontId="10" fillId="0" borderId="0" xfId="2" applyFont="1"/>
    <xf numFmtId="9" fontId="3" fillId="0" borderId="0" xfId="1" applyFont="1" applyAlignment="1">
      <alignment horizontal="center"/>
    </xf>
    <xf numFmtId="3" fontId="9" fillId="0" borderId="0" xfId="2" applyNumberFormat="1" applyFont="1"/>
    <xf numFmtId="164" fontId="5" fillId="0" borderId="21" xfId="2" applyNumberFormat="1" applyFont="1" applyBorder="1" applyAlignment="1">
      <alignment horizontal="center" vertical="center"/>
    </xf>
    <xf numFmtId="164" fontId="5" fillId="0" borderId="23" xfId="2" applyNumberFormat="1" applyFont="1" applyBorder="1" applyAlignment="1">
      <alignment horizontal="center" vertical="center"/>
    </xf>
    <xf numFmtId="3" fontId="4" fillId="0" borderId="23" xfId="2" applyNumberFormat="1" applyFont="1" applyBorder="1" applyAlignment="1">
      <alignment horizontal="center" vertical="center"/>
    </xf>
    <xf numFmtId="49" fontId="4" fillId="0" borderId="0" xfId="2" applyNumberFormat="1" applyFont="1" applyAlignment="1">
      <alignment horizontal="center"/>
    </xf>
    <xf numFmtId="0" fontId="4" fillId="3" borderId="19" xfId="2" applyFont="1" applyFill="1" applyBorder="1" applyAlignment="1">
      <alignment horizontal="center" vertical="center" wrapText="1"/>
    </xf>
    <xf numFmtId="9" fontId="7" fillId="3" borderId="17" xfId="1" applyFont="1" applyFill="1" applyBorder="1" applyAlignment="1">
      <alignment horizontal="center" vertical="center" wrapText="1"/>
    </xf>
    <xf numFmtId="3" fontId="4" fillId="4" borderId="19" xfId="2" applyNumberFormat="1" applyFont="1" applyFill="1" applyBorder="1" applyAlignment="1">
      <alignment horizontal="center" vertical="center" wrapText="1"/>
    </xf>
    <xf numFmtId="165" fontId="6" fillId="3" borderId="0" xfId="2" applyNumberFormat="1" applyFont="1" applyFill="1" applyAlignment="1">
      <alignment horizontal="center" vertical="center" wrapText="1"/>
    </xf>
    <xf numFmtId="3" fontId="6" fillId="0" borderId="18" xfId="2" applyNumberFormat="1" applyFont="1" applyBorder="1" applyAlignment="1">
      <alignment horizontal="center" vertical="center"/>
    </xf>
    <xf numFmtId="0" fontId="12" fillId="0" borderId="0" xfId="2" applyFont="1"/>
    <xf numFmtId="0" fontId="11" fillId="2" borderId="0" xfId="2" applyFont="1" applyFill="1" applyAlignment="1">
      <alignment horizontal="center"/>
    </xf>
    <xf numFmtId="3" fontId="4" fillId="0" borderId="22" xfId="2" applyNumberFormat="1" applyFont="1" applyBorder="1" applyAlignment="1">
      <alignment horizontal="center" vertical="center"/>
    </xf>
    <xf numFmtId="49" fontId="13" fillId="2" borderId="7" xfId="2" applyNumberFormat="1" applyFont="1" applyFill="1" applyBorder="1" applyAlignment="1">
      <alignment horizontal="center"/>
    </xf>
    <xf numFmtId="0" fontId="13" fillId="2" borderId="0" xfId="2" applyFont="1" applyFill="1" applyAlignment="1">
      <alignment horizontal="center"/>
    </xf>
    <xf numFmtId="0" fontId="13" fillId="2" borderId="4" xfId="2" applyFont="1" applyFill="1" applyBorder="1" applyAlignment="1">
      <alignment horizontal="center"/>
    </xf>
    <xf numFmtId="0" fontId="4" fillId="2" borderId="0" xfId="2" applyFont="1" applyFill="1" applyAlignment="1">
      <alignment horizontal="center"/>
    </xf>
    <xf numFmtId="3" fontId="5" fillId="0" borderId="25" xfId="2" applyNumberFormat="1" applyFont="1" applyBorder="1" applyAlignment="1">
      <alignment horizontal="center" vertical="center"/>
    </xf>
    <xf numFmtId="3" fontId="5" fillId="0" borderId="20" xfId="2" applyNumberFormat="1" applyFont="1" applyBorder="1" applyAlignment="1">
      <alignment horizontal="center" vertical="center"/>
    </xf>
    <xf numFmtId="3" fontId="15" fillId="0" borderId="35" xfId="2" applyNumberFormat="1" applyFont="1" applyBorder="1" applyAlignment="1">
      <alignment horizontal="center" vertical="center"/>
    </xf>
    <xf numFmtId="3" fontId="15" fillId="0" borderId="36" xfId="2" applyNumberFormat="1" applyFont="1" applyBorder="1" applyAlignment="1">
      <alignment horizontal="center" vertical="center"/>
    </xf>
    <xf numFmtId="3" fontId="15" fillId="0" borderId="27" xfId="2" applyNumberFormat="1" applyFont="1" applyBorder="1" applyAlignment="1">
      <alignment horizontal="center" vertical="center"/>
    </xf>
    <xf numFmtId="3" fontId="15" fillId="0" borderId="25" xfId="2" applyNumberFormat="1" applyFont="1" applyBorder="1" applyAlignment="1">
      <alignment horizontal="center" vertical="center"/>
    </xf>
    <xf numFmtId="3" fontId="6" fillId="0" borderId="27" xfId="2" applyNumberFormat="1" applyFont="1" applyBorder="1" applyAlignment="1">
      <alignment horizontal="center" vertical="center"/>
    </xf>
    <xf numFmtId="3" fontId="15" fillId="0" borderId="18" xfId="2" applyNumberFormat="1" applyFont="1" applyBorder="1" applyAlignment="1">
      <alignment horizontal="center" vertical="center"/>
    </xf>
    <xf numFmtId="3" fontId="15" fillId="0" borderId="20" xfId="2" applyNumberFormat="1" applyFont="1" applyBorder="1" applyAlignment="1">
      <alignment horizontal="center" vertical="center"/>
    </xf>
    <xf numFmtId="3" fontId="15" fillId="0" borderId="37" xfId="2" applyNumberFormat="1" applyFont="1" applyBorder="1" applyAlignment="1">
      <alignment horizontal="center" vertical="center"/>
    </xf>
    <xf numFmtId="3" fontId="15" fillId="0" borderId="33" xfId="2" applyNumberFormat="1" applyFont="1" applyBorder="1" applyAlignment="1">
      <alignment horizontal="center" vertical="center"/>
    </xf>
    <xf numFmtId="3" fontId="15" fillId="0" borderId="34" xfId="2" applyNumberFormat="1" applyFont="1" applyBorder="1" applyAlignment="1">
      <alignment horizontal="center" vertical="center"/>
    </xf>
    <xf numFmtId="3" fontId="6" fillId="0" borderId="33" xfId="2" applyNumberFormat="1" applyFont="1" applyBorder="1" applyAlignment="1">
      <alignment horizontal="center" vertical="center"/>
    </xf>
    <xf numFmtId="3" fontId="6" fillId="0" borderId="25" xfId="2" applyNumberFormat="1" applyFont="1" applyBorder="1" applyAlignment="1">
      <alignment horizontal="center" vertical="center"/>
    </xf>
    <xf numFmtId="3" fontId="6" fillId="0" borderId="34" xfId="2" applyNumberFormat="1" applyFont="1" applyBorder="1" applyAlignment="1">
      <alignment horizontal="center" vertical="center"/>
    </xf>
    <xf numFmtId="3" fontId="15" fillId="0" borderId="46" xfId="2" applyNumberFormat="1" applyFont="1" applyBorder="1" applyAlignment="1">
      <alignment horizontal="center" vertical="center"/>
    </xf>
    <xf numFmtId="3" fontId="15" fillId="0" borderId="47" xfId="2" applyNumberFormat="1" applyFont="1" applyBorder="1" applyAlignment="1">
      <alignment horizontal="center" vertical="center"/>
    </xf>
    <xf numFmtId="3" fontId="5" fillId="0" borderId="36" xfId="2" applyNumberFormat="1" applyFont="1" applyBorder="1" applyAlignment="1">
      <alignment horizontal="center" vertical="center"/>
    </xf>
    <xf numFmtId="3" fontId="5" fillId="0" borderId="24" xfId="2" applyNumberFormat="1" applyFont="1" applyBorder="1" applyAlignment="1">
      <alignment horizontal="center" vertical="center"/>
    </xf>
    <xf numFmtId="3" fontId="7" fillId="2" borderId="29" xfId="2" applyNumberFormat="1" applyFont="1" applyFill="1" applyBorder="1" applyAlignment="1">
      <alignment horizontal="center" vertical="center"/>
    </xf>
    <xf numFmtId="3" fontId="7" fillId="2" borderId="19" xfId="2" applyNumberFormat="1" applyFont="1" applyFill="1" applyBorder="1" applyAlignment="1">
      <alignment horizontal="center" vertical="center"/>
    </xf>
    <xf numFmtId="3" fontId="7" fillId="0" borderId="19" xfId="2" applyNumberFormat="1" applyFont="1" applyBorder="1" applyAlignment="1">
      <alignment horizontal="center" vertical="center"/>
    </xf>
    <xf numFmtId="3" fontId="7" fillId="0" borderId="20" xfId="2" applyNumberFormat="1" applyFont="1" applyBorder="1" applyAlignment="1">
      <alignment horizontal="center" vertical="center"/>
    </xf>
    <xf numFmtId="3" fontId="7" fillId="2" borderId="20" xfId="2" applyNumberFormat="1" applyFont="1" applyFill="1" applyBorder="1" applyAlignment="1">
      <alignment horizontal="center" vertical="center"/>
    </xf>
    <xf numFmtId="3" fontId="13" fillId="2" borderId="27" xfId="2" applyNumberFormat="1" applyFont="1" applyFill="1" applyBorder="1" applyAlignment="1">
      <alignment horizontal="center" vertical="center"/>
    </xf>
    <xf numFmtId="3" fontId="13" fillId="2" borderId="46" xfId="2" applyNumberFormat="1" applyFont="1" applyFill="1" applyBorder="1" applyAlignment="1">
      <alignment horizontal="center" vertical="center"/>
    </xf>
    <xf numFmtId="3" fontId="15" fillId="0" borderId="52" xfId="2" applyNumberFormat="1" applyFont="1" applyBorder="1" applyAlignment="1">
      <alignment horizontal="center" vertical="center"/>
    </xf>
    <xf numFmtId="3" fontId="13" fillId="2" borderId="34" xfId="2" applyNumberFormat="1" applyFont="1" applyFill="1" applyBorder="1" applyAlignment="1">
      <alignment horizontal="center" vertical="center"/>
    </xf>
    <xf numFmtId="3" fontId="13" fillId="2" borderId="53" xfId="2" applyNumberFormat="1" applyFont="1" applyFill="1" applyBorder="1" applyAlignment="1">
      <alignment horizontal="center" vertical="center"/>
    </xf>
    <xf numFmtId="3" fontId="6" fillId="0" borderId="46" xfId="2" applyNumberFormat="1" applyFont="1" applyBorder="1" applyAlignment="1">
      <alignment horizontal="center" vertical="center"/>
    </xf>
    <xf numFmtId="3" fontId="15" fillId="0" borderId="56" xfId="2" applyNumberFormat="1" applyFont="1" applyBorder="1" applyAlignment="1">
      <alignment horizontal="center" vertical="center"/>
    </xf>
    <xf numFmtId="3" fontId="15" fillId="0" borderId="57" xfId="2" applyNumberFormat="1" applyFont="1" applyBorder="1" applyAlignment="1">
      <alignment horizontal="center" vertical="center"/>
    </xf>
    <xf numFmtId="3" fontId="5" fillId="0" borderId="58" xfId="2" applyNumberFormat="1" applyFont="1" applyBorder="1" applyAlignment="1">
      <alignment horizontal="center" vertical="center"/>
    </xf>
    <xf numFmtId="3" fontId="5" fillId="0" borderId="59" xfId="2" applyNumberFormat="1" applyFont="1" applyBorder="1" applyAlignment="1">
      <alignment horizontal="center" vertical="center"/>
    </xf>
    <xf numFmtId="3" fontId="4" fillId="0" borderId="54" xfId="2" applyNumberFormat="1" applyFont="1" applyBorder="1" applyAlignment="1">
      <alignment horizontal="center" vertical="center"/>
    </xf>
    <xf numFmtId="3" fontId="4" fillId="0" borderId="55" xfId="2" applyNumberFormat="1" applyFont="1" applyBorder="1" applyAlignment="1">
      <alignment horizontal="center" vertical="center"/>
    </xf>
    <xf numFmtId="3" fontId="4" fillId="0" borderId="60" xfId="2" applyNumberFormat="1" applyFont="1" applyBorder="1" applyAlignment="1">
      <alignment horizontal="center" vertical="center"/>
    </xf>
    <xf numFmtId="3" fontId="5" fillId="0" borderId="19" xfId="2" applyNumberFormat="1" applyFont="1" applyBorder="1" applyAlignment="1">
      <alignment horizontal="center" vertical="center"/>
    </xf>
    <xf numFmtId="3" fontId="15" fillId="0" borderId="17" xfId="2" applyNumberFormat="1" applyFont="1" applyBorder="1" applyAlignment="1">
      <alignment horizontal="center" vertical="center"/>
    </xf>
    <xf numFmtId="3" fontId="15" fillId="0" borderId="19" xfId="2" applyNumberFormat="1" applyFont="1" applyBorder="1" applyAlignment="1">
      <alignment horizontal="center" vertical="center"/>
    </xf>
    <xf numFmtId="3" fontId="13" fillId="2" borderId="61" xfId="2" applyNumberFormat="1" applyFont="1" applyFill="1" applyBorder="1" applyAlignment="1">
      <alignment horizontal="center" vertical="center"/>
    </xf>
    <xf numFmtId="3" fontId="6" fillId="0" borderId="17" xfId="2" applyNumberFormat="1" applyFont="1" applyBorder="1" applyAlignment="1">
      <alignment horizontal="center" vertical="center"/>
    </xf>
    <xf numFmtId="3" fontId="15" fillId="0" borderId="62" xfId="2" applyNumberFormat="1" applyFont="1" applyBorder="1" applyAlignment="1">
      <alignment horizontal="center" vertical="center"/>
    </xf>
    <xf numFmtId="3" fontId="4" fillId="0" borderId="50" xfId="2" applyNumberFormat="1" applyFont="1" applyBorder="1" applyAlignment="1">
      <alignment horizontal="center" vertical="center"/>
    </xf>
    <xf numFmtId="3" fontId="4" fillId="0" borderId="63" xfId="2" applyNumberFormat="1" applyFont="1" applyBorder="1" applyAlignment="1">
      <alignment horizontal="center" vertical="center"/>
    </xf>
    <xf numFmtId="3" fontId="6" fillId="0" borderId="64" xfId="2" applyNumberFormat="1" applyFont="1" applyBorder="1" applyAlignment="1">
      <alignment horizontal="center" vertical="center"/>
    </xf>
    <xf numFmtId="3" fontId="4" fillId="0" borderId="13" xfId="2" applyNumberFormat="1" applyFont="1" applyBorder="1" applyAlignment="1">
      <alignment horizontal="center" vertical="center"/>
    </xf>
    <xf numFmtId="3" fontId="5" fillId="0" borderId="56" xfId="2" applyNumberFormat="1" applyFont="1" applyBorder="1" applyAlignment="1">
      <alignment horizontal="center" vertical="center"/>
    </xf>
    <xf numFmtId="3" fontId="5" fillId="0" borderId="57" xfId="2" applyNumberFormat="1" applyFont="1" applyBorder="1" applyAlignment="1">
      <alignment horizontal="center" vertical="center"/>
    </xf>
    <xf numFmtId="3" fontId="14" fillId="0" borderId="63" xfId="2" applyNumberFormat="1" applyFont="1" applyBorder="1" applyAlignment="1">
      <alignment horizontal="center" vertical="center"/>
    </xf>
    <xf numFmtId="3" fontId="15" fillId="0" borderId="67" xfId="2" applyNumberFormat="1" applyFont="1" applyBorder="1" applyAlignment="1">
      <alignment horizontal="center" vertical="center"/>
    </xf>
    <xf numFmtId="3" fontId="15" fillId="0" borderId="64" xfId="2" applyNumberFormat="1" applyFont="1" applyBorder="1" applyAlignment="1">
      <alignment horizontal="center" vertical="center"/>
    </xf>
    <xf numFmtId="3" fontId="13" fillId="2" borderId="67" xfId="2" applyNumberFormat="1" applyFont="1" applyFill="1" applyBorder="1" applyAlignment="1">
      <alignment horizontal="center" vertical="center"/>
    </xf>
    <xf numFmtId="3" fontId="6" fillId="0" borderId="67" xfId="2" applyNumberFormat="1" applyFont="1" applyBorder="1" applyAlignment="1">
      <alignment horizontal="center" vertical="center"/>
    </xf>
    <xf numFmtId="3" fontId="15" fillId="0" borderId="68" xfId="2" applyNumberFormat="1" applyFont="1" applyBorder="1" applyAlignment="1">
      <alignment horizontal="center" vertical="center"/>
    </xf>
    <xf numFmtId="3" fontId="15" fillId="0" borderId="2" xfId="2" applyNumberFormat="1" applyFont="1" applyBorder="1" applyAlignment="1">
      <alignment horizontal="center" vertical="center"/>
    </xf>
    <xf numFmtId="3" fontId="15" fillId="0" borderId="15" xfId="2" applyNumberFormat="1" applyFont="1" applyBorder="1" applyAlignment="1">
      <alignment horizontal="center" vertical="center"/>
    </xf>
    <xf numFmtId="3" fontId="5" fillId="0" borderId="66" xfId="2" applyNumberFormat="1" applyFont="1" applyBorder="1" applyAlignment="1">
      <alignment horizontal="center" vertical="center"/>
    </xf>
    <xf numFmtId="3" fontId="15" fillId="0" borderId="40" xfId="2" applyNumberFormat="1" applyFont="1" applyBorder="1" applyAlignment="1">
      <alignment horizontal="center" vertical="center"/>
    </xf>
    <xf numFmtId="3" fontId="4" fillId="0" borderId="51" xfId="2" applyNumberFormat="1" applyFont="1" applyBorder="1" applyAlignment="1">
      <alignment horizontal="center" vertical="center"/>
    </xf>
    <xf numFmtId="0" fontId="4" fillId="2" borderId="7" xfId="2" applyFont="1" applyFill="1" applyBorder="1" applyAlignment="1">
      <alignment horizontal="center" vertical="center" wrapText="1"/>
    </xf>
    <xf numFmtId="3" fontId="5" fillId="0" borderId="22" xfId="2" applyNumberFormat="1" applyFont="1" applyBorder="1" applyAlignment="1">
      <alignment horizontal="center" vertical="center"/>
    </xf>
    <xf numFmtId="164" fontId="5" fillId="0" borderId="28" xfId="2" applyNumberFormat="1" applyFont="1" applyBorder="1" applyAlignment="1">
      <alignment horizontal="center" vertical="center"/>
    </xf>
    <xf numFmtId="164" fontId="5" fillId="0" borderId="32" xfId="2" applyNumberFormat="1" applyFont="1" applyBorder="1" applyAlignment="1">
      <alignment horizontal="center" vertical="center"/>
    </xf>
    <xf numFmtId="164" fontId="5" fillId="0" borderId="31" xfId="2" applyNumberFormat="1" applyFont="1" applyBorder="1" applyAlignment="1">
      <alignment horizontal="center" vertical="center"/>
    </xf>
    <xf numFmtId="3" fontId="4" fillId="5" borderId="3" xfId="2" applyNumberFormat="1" applyFont="1" applyFill="1" applyBorder="1" applyAlignment="1">
      <alignment horizontal="center" vertical="center"/>
    </xf>
    <xf numFmtId="3" fontId="4" fillId="5" borderId="42" xfId="2" applyNumberFormat="1" applyFont="1" applyFill="1" applyBorder="1" applyAlignment="1">
      <alignment horizontal="center" vertical="center"/>
    </xf>
    <xf numFmtId="3" fontId="4" fillId="5" borderId="2" xfId="2" applyNumberFormat="1" applyFont="1" applyFill="1" applyBorder="1" applyAlignment="1">
      <alignment horizontal="center" vertical="center"/>
    </xf>
    <xf numFmtId="3" fontId="4" fillId="5" borderId="23" xfId="2" applyNumberFormat="1" applyFont="1" applyFill="1" applyBorder="1" applyAlignment="1">
      <alignment horizontal="center" vertical="center"/>
    </xf>
    <xf numFmtId="2" fontId="16" fillId="3" borderId="0" xfId="1" applyNumberFormat="1" applyFont="1" applyFill="1" applyAlignment="1">
      <alignment horizontal="center" vertical="center" wrapText="1"/>
    </xf>
    <xf numFmtId="3" fontId="4" fillId="5" borderId="51" xfId="2" applyNumberFormat="1" applyFont="1" applyFill="1" applyBorder="1" applyAlignment="1">
      <alignment horizontal="center" vertical="center"/>
    </xf>
    <xf numFmtId="3" fontId="17" fillId="0" borderId="0" xfId="2" applyNumberFormat="1" applyFont="1"/>
    <xf numFmtId="164" fontId="5" fillId="0" borderId="41" xfId="2" applyNumberFormat="1" applyFont="1" applyBorder="1" applyAlignment="1">
      <alignment horizontal="center" vertical="center"/>
    </xf>
    <xf numFmtId="164" fontId="5" fillId="0" borderId="65" xfId="2" applyNumberFormat="1" applyFont="1" applyBorder="1" applyAlignment="1">
      <alignment horizontal="center" vertical="center"/>
    </xf>
    <xf numFmtId="164" fontId="5" fillId="0" borderId="26" xfId="2" applyNumberFormat="1" applyFont="1" applyBorder="1" applyAlignment="1">
      <alignment horizontal="center" vertical="center"/>
    </xf>
    <xf numFmtId="3" fontId="5" fillId="0" borderId="65" xfId="2" applyNumberFormat="1" applyFont="1" applyBorder="1" applyAlignment="1">
      <alignment horizontal="center" vertical="center"/>
    </xf>
    <xf numFmtId="9" fontId="4" fillId="0" borderId="21" xfId="1" applyFont="1" applyBorder="1" applyAlignment="1">
      <alignment horizontal="center" vertical="center"/>
    </xf>
    <xf numFmtId="3" fontId="14" fillId="9" borderId="1" xfId="2" applyNumberFormat="1" applyFont="1" applyFill="1" applyBorder="1" applyAlignment="1">
      <alignment horizontal="center" vertical="center"/>
    </xf>
    <xf numFmtId="9" fontId="4" fillId="0" borderId="22" xfId="1" applyFont="1" applyBorder="1" applyAlignment="1">
      <alignment horizontal="center" vertical="center"/>
    </xf>
    <xf numFmtId="3" fontId="14" fillId="2" borderId="40" xfId="2" applyNumberFormat="1" applyFont="1" applyFill="1" applyBorder="1" applyAlignment="1">
      <alignment horizontal="center" vertical="center"/>
    </xf>
    <xf numFmtId="3" fontId="14" fillId="9" borderId="40" xfId="2" applyNumberFormat="1" applyFont="1" applyFill="1" applyBorder="1" applyAlignment="1">
      <alignment horizontal="center" vertical="center"/>
    </xf>
    <xf numFmtId="9" fontId="4" fillId="0" borderId="23" xfId="1" applyFont="1" applyBorder="1" applyAlignment="1">
      <alignment horizontal="center" vertical="center"/>
    </xf>
    <xf numFmtId="3" fontId="14" fillId="9" borderId="2" xfId="2" applyNumberFormat="1" applyFont="1" applyFill="1" applyBorder="1" applyAlignment="1">
      <alignment horizontal="center" vertical="center"/>
    </xf>
    <xf numFmtId="3" fontId="14" fillId="2" borderId="2" xfId="2" applyNumberFormat="1" applyFont="1" applyFill="1" applyBorder="1" applyAlignment="1">
      <alignment horizontal="center" vertical="center"/>
    </xf>
    <xf numFmtId="3" fontId="14" fillId="2" borderId="1" xfId="2" applyNumberFormat="1" applyFont="1" applyFill="1" applyBorder="1" applyAlignment="1">
      <alignment horizontal="center" vertical="center"/>
    </xf>
    <xf numFmtId="3" fontId="4" fillId="5" borderId="10" xfId="2" applyNumberFormat="1" applyFont="1" applyFill="1" applyBorder="1" applyAlignment="1">
      <alignment horizontal="center" vertical="center"/>
    </xf>
    <xf numFmtId="3" fontId="4" fillId="5" borderId="45" xfId="2" applyNumberFormat="1" applyFont="1" applyFill="1" applyBorder="1" applyAlignment="1">
      <alignment horizontal="center" vertical="center"/>
    </xf>
    <xf numFmtId="3" fontId="4" fillId="5" borderId="26" xfId="2" applyNumberFormat="1" applyFont="1" applyFill="1" applyBorder="1" applyAlignment="1">
      <alignment horizontal="center" vertical="center"/>
    </xf>
    <xf numFmtId="3" fontId="4" fillId="5" borderId="65" xfId="2" applyNumberFormat="1" applyFont="1" applyFill="1" applyBorder="1" applyAlignment="1">
      <alignment horizontal="center" vertical="center"/>
    </xf>
    <xf numFmtId="3" fontId="4" fillId="5" borderId="43" xfId="2" applyNumberFormat="1" applyFont="1" applyFill="1" applyBorder="1" applyAlignment="1">
      <alignment horizontal="center" vertical="center"/>
    </xf>
    <xf numFmtId="3" fontId="4" fillId="5" borderId="31" xfId="2" applyNumberFormat="1" applyFont="1" applyFill="1" applyBorder="1" applyAlignment="1">
      <alignment horizontal="center" vertical="center"/>
    </xf>
    <xf numFmtId="3" fontId="5" fillId="0" borderId="58" xfId="2" applyNumberFormat="1" applyFont="1" applyFill="1" applyBorder="1" applyAlignment="1">
      <alignment horizontal="center" vertical="center"/>
    </xf>
    <xf numFmtId="3" fontId="15" fillId="0" borderId="34" xfId="2" applyNumberFormat="1" applyFont="1" applyFill="1" applyBorder="1" applyAlignment="1">
      <alignment horizontal="center" vertical="center"/>
    </xf>
    <xf numFmtId="3" fontId="15" fillId="0" borderId="33" xfId="2" applyNumberFormat="1" applyFont="1" applyFill="1" applyBorder="1" applyAlignment="1">
      <alignment horizontal="center" vertical="center"/>
    </xf>
    <xf numFmtId="3" fontId="13" fillId="0" borderId="34" xfId="2" applyNumberFormat="1" applyFont="1" applyFill="1" applyBorder="1" applyAlignment="1">
      <alignment horizontal="center" vertical="center"/>
    </xf>
    <xf numFmtId="3" fontId="6" fillId="0" borderId="34" xfId="2" applyNumberFormat="1" applyFont="1" applyFill="1" applyBorder="1" applyAlignment="1">
      <alignment horizontal="center" vertical="center"/>
    </xf>
    <xf numFmtId="3" fontId="5" fillId="0" borderId="24" xfId="2" applyNumberFormat="1" applyFont="1" applyFill="1" applyBorder="1" applyAlignment="1">
      <alignment horizontal="center" vertical="center"/>
    </xf>
    <xf numFmtId="3" fontId="15" fillId="0" borderId="27" xfId="2" applyNumberFormat="1" applyFont="1" applyFill="1" applyBorder="1" applyAlignment="1">
      <alignment horizontal="center" vertical="center"/>
    </xf>
    <xf numFmtId="3" fontId="15" fillId="0" borderId="25" xfId="2" applyNumberFormat="1" applyFont="1" applyFill="1" applyBorder="1" applyAlignment="1">
      <alignment horizontal="center" vertical="center"/>
    </xf>
    <xf numFmtId="3" fontId="13" fillId="0" borderId="27" xfId="2" applyNumberFormat="1" applyFont="1" applyFill="1" applyBorder="1" applyAlignment="1">
      <alignment horizontal="center" vertical="center"/>
    </xf>
    <xf numFmtId="3" fontId="6" fillId="0" borderId="27" xfId="2" applyNumberFormat="1" applyFont="1" applyFill="1" applyBorder="1" applyAlignment="1">
      <alignment horizontal="center" vertical="center"/>
    </xf>
    <xf numFmtId="3" fontId="5" fillId="0" borderId="20" xfId="2" applyNumberFormat="1" applyFont="1" applyFill="1" applyBorder="1" applyAlignment="1">
      <alignment horizontal="center" vertical="center"/>
    </xf>
    <xf numFmtId="3" fontId="15" fillId="0" borderId="18" xfId="2" applyNumberFormat="1" applyFont="1" applyFill="1" applyBorder="1" applyAlignment="1">
      <alignment horizontal="center" vertical="center"/>
    </xf>
    <xf numFmtId="3" fontId="15" fillId="0" borderId="20" xfId="2" applyNumberFormat="1" applyFont="1" applyFill="1" applyBorder="1" applyAlignment="1">
      <alignment horizontal="center" vertical="center"/>
    </xf>
    <xf numFmtId="3" fontId="13" fillId="0" borderId="53" xfId="2" applyNumberFormat="1" applyFont="1" applyFill="1" applyBorder="1" applyAlignment="1">
      <alignment horizontal="center" vertical="center"/>
    </xf>
    <xf numFmtId="3" fontId="6" fillId="0" borderId="18" xfId="2" applyNumberFormat="1" applyFont="1" applyFill="1" applyBorder="1" applyAlignment="1">
      <alignment horizontal="center" vertical="center"/>
    </xf>
    <xf numFmtId="3" fontId="6" fillId="0" borderId="33" xfId="2" applyNumberFormat="1" applyFont="1" applyFill="1" applyBorder="1" applyAlignment="1">
      <alignment horizontal="center" vertical="center"/>
    </xf>
    <xf numFmtId="3" fontId="6" fillId="0" borderId="25" xfId="2" applyNumberFormat="1" applyFont="1" applyFill="1" applyBorder="1" applyAlignment="1">
      <alignment horizontal="center" vertical="center"/>
    </xf>
    <xf numFmtId="3" fontId="15" fillId="0" borderId="56" xfId="2" applyNumberFormat="1" applyFont="1" applyFill="1" applyBorder="1" applyAlignment="1">
      <alignment horizontal="center" vertical="center"/>
    </xf>
    <xf numFmtId="3" fontId="15" fillId="0" borderId="57" xfId="2" applyNumberFormat="1" applyFont="1" applyFill="1" applyBorder="1" applyAlignment="1">
      <alignment horizontal="center" vertical="center"/>
    </xf>
    <xf numFmtId="3" fontId="5" fillId="0" borderId="25" xfId="2" applyNumberFormat="1" applyFont="1" applyFill="1" applyBorder="1" applyAlignment="1">
      <alignment horizontal="center" vertical="center"/>
    </xf>
    <xf numFmtId="3" fontId="5" fillId="0" borderId="57" xfId="2" applyNumberFormat="1" applyFont="1" applyFill="1" applyBorder="1" applyAlignment="1">
      <alignment horizontal="center" vertical="center"/>
    </xf>
    <xf numFmtId="3" fontId="5" fillId="0" borderId="56" xfId="2" applyNumberFormat="1" applyFont="1" applyFill="1" applyBorder="1" applyAlignment="1">
      <alignment horizontal="center" vertical="center"/>
    </xf>
    <xf numFmtId="3" fontId="14" fillId="0" borderId="63" xfId="2" applyNumberFormat="1" applyFont="1" applyFill="1" applyBorder="1" applyAlignment="1">
      <alignment horizontal="center" vertical="center"/>
    </xf>
    <xf numFmtId="3" fontId="15" fillId="0" borderId="67" xfId="2" applyNumberFormat="1" applyFont="1" applyFill="1" applyBorder="1" applyAlignment="1">
      <alignment horizontal="center" vertical="center"/>
    </xf>
    <xf numFmtId="3" fontId="15" fillId="0" borderId="64" xfId="2" applyNumberFormat="1" applyFont="1" applyFill="1" applyBorder="1" applyAlignment="1">
      <alignment horizontal="center" vertical="center"/>
    </xf>
    <xf numFmtId="3" fontId="5" fillId="0" borderId="59" xfId="2" applyNumberFormat="1" applyFont="1" applyFill="1" applyBorder="1" applyAlignment="1">
      <alignment horizontal="center" vertical="center"/>
    </xf>
    <xf numFmtId="3" fontId="15" fillId="0" borderId="46" xfId="2" applyNumberFormat="1" applyFont="1" applyFill="1" applyBorder="1" applyAlignment="1">
      <alignment horizontal="center" vertical="center"/>
    </xf>
    <xf numFmtId="3" fontId="15" fillId="0" borderId="47" xfId="2" applyNumberFormat="1" applyFont="1" applyFill="1" applyBorder="1" applyAlignment="1">
      <alignment horizontal="center" vertical="center"/>
    </xf>
    <xf numFmtId="9" fontId="4" fillId="0" borderId="26" xfId="1" applyFont="1" applyBorder="1" applyAlignment="1">
      <alignment horizontal="center" vertical="center"/>
    </xf>
    <xf numFmtId="9" fontId="4" fillId="0" borderId="4" xfId="1" applyFont="1" applyBorder="1" applyAlignment="1">
      <alignment horizontal="center" vertical="center"/>
    </xf>
    <xf numFmtId="9" fontId="4" fillId="0" borderId="2" xfId="1" applyFont="1" applyBorder="1" applyAlignment="1">
      <alignment horizontal="center" vertical="center"/>
    </xf>
    <xf numFmtId="16" fontId="4" fillId="0" borderId="28" xfId="2" applyNumberFormat="1" applyFont="1" applyBorder="1" applyAlignment="1">
      <alignment horizontal="center" vertical="center" wrapText="1"/>
    </xf>
    <xf numFmtId="16" fontId="4" fillId="0" borderId="31" xfId="2" applyNumberFormat="1" applyFont="1" applyBorder="1" applyAlignment="1">
      <alignment horizontal="center" vertical="center" wrapText="1"/>
    </xf>
    <xf numFmtId="3" fontId="4" fillId="0" borderId="28" xfId="2" applyNumberFormat="1" applyFont="1" applyBorder="1" applyAlignment="1">
      <alignment horizontal="center" vertical="center"/>
    </xf>
    <xf numFmtId="3" fontId="4" fillId="0" borderId="32" xfId="2" applyNumberFormat="1" applyFont="1" applyBorder="1" applyAlignment="1">
      <alignment horizontal="center" vertical="center"/>
    </xf>
    <xf numFmtId="9" fontId="4" fillId="0" borderId="11" xfId="1" applyFont="1" applyBorder="1" applyAlignment="1">
      <alignment horizontal="center" vertical="center"/>
    </xf>
    <xf numFmtId="9" fontId="4" fillId="0" borderId="12" xfId="1" applyFont="1" applyBorder="1" applyAlignment="1">
      <alignment horizontal="center" vertical="center"/>
    </xf>
    <xf numFmtId="9" fontId="4" fillId="0" borderId="13" xfId="1" applyFont="1" applyBorder="1" applyAlignment="1">
      <alignment horizontal="center" vertical="center"/>
    </xf>
    <xf numFmtId="3" fontId="7" fillId="0" borderId="10" xfId="2" applyNumberFormat="1" applyFont="1" applyBorder="1" applyAlignment="1">
      <alignment horizontal="center" vertical="center"/>
    </xf>
    <xf numFmtId="3" fontId="7" fillId="0" borderId="6" xfId="2" applyNumberFormat="1" applyFont="1" applyBorder="1" applyAlignment="1">
      <alignment horizontal="center" vertical="center"/>
    </xf>
    <xf numFmtId="3" fontId="7" fillId="0" borderId="3" xfId="2" applyNumberFormat="1" applyFont="1" applyBorder="1" applyAlignment="1">
      <alignment horizontal="center" vertical="center"/>
    </xf>
    <xf numFmtId="3" fontId="7" fillId="0" borderId="45" xfId="2" applyNumberFormat="1" applyFont="1" applyBorder="1" applyAlignment="1">
      <alignment horizontal="center" vertical="center"/>
    </xf>
    <xf numFmtId="3" fontId="7" fillId="0" borderId="30" xfId="2" applyNumberFormat="1" applyFont="1" applyBorder="1" applyAlignment="1">
      <alignment horizontal="center" vertical="center"/>
    </xf>
    <xf numFmtId="3" fontId="7" fillId="0" borderId="42" xfId="2" applyNumberFormat="1" applyFont="1" applyBorder="1" applyAlignment="1">
      <alignment horizontal="center" vertical="center"/>
    </xf>
    <xf numFmtId="9" fontId="4" fillId="0" borderId="41" xfId="1" applyFont="1" applyBorder="1" applyAlignment="1">
      <alignment horizontal="center"/>
    </xf>
    <xf numFmtId="9" fontId="4" fillId="0" borderId="7" xfId="1" applyFont="1" applyBorder="1" applyAlignment="1">
      <alignment horizontal="center"/>
    </xf>
    <xf numFmtId="9" fontId="4" fillId="0" borderId="1" xfId="1" applyFont="1" applyBorder="1" applyAlignment="1">
      <alignment horizontal="center"/>
    </xf>
    <xf numFmtId="16" fontId="4" fillId="0" borderId="29" xfId="2" applyNumberFormat="1" applyFont="1" applyBorder="1" applyAlignment="1">
      <alignment horizontal="center" vertical="center"/>
    </xf>
    <xf numFmtId="16" fontId="4" fillId="0" borderId="20" xfId="2" applyNumberFormat="1" applyFont="1" applyBorder="1" applyAlignment="1">
      <alignment horizontal="center" vertical="center"/>
    </xf>
    <xf numFmtId="16" fontId="4" fillId="0" borderId="1" xfId="2" applyNumberFormat="1" applyFont="1" applyBorder="1" applyAlignment="1">
      <alignment horizontal="center" vertical="center"/>
    </xf>
    <xf numFmtId="16" fontId="4" fillId="0" borderId="2" xfId="2" applyNumberFormat="1" applyFont="1" applyBorder="1" applyAlignment="1">
      <alignment horizontal="center" vertical="center"/>
    </xf>
    <xf numFmtId="3" fontId="4" fillId="5" borderId="28" xfId="2" applyNumberFormat="1" applyFont="1" applyFill="1" applyBorder="1" applyAlignment="1">
      <alignment horizontal="center" vertical="center"/>
    </xf>
    <xf numFmtId="3" fontId="4" fillId="5" borderId="32" xfId="2" applyNumberFormat="1" applyFont="1" applyFill="1" applyBorder="1" applyAlignment="1">
      <alignment horizontal="center" vertical="center"/>
    </xf>
    <xf numFmtId="0" fontId="4" fillId="2" borderId="41" xfId="2" applyFont="1" applyFill="1" applyBorder="1" applyAlignment="1">
      <alignment horizontal="center" vertical="center" wrapText="1"/>
    </xf>
    <xf numFmtId="0" fontId="4" fillId="2" borderId="7" xfId="2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 wrapText="1"/>
    </xf>
    <xf numFmtId="0" fontId="4" fillId="0" borderId="21" xfId="2" applyFont="1" applyBorder="1" applyAlignment="1">
      <alignment horizontal="center" vertical="center" wrapText="1"/>
    </xf>
    <xf numFmtId="0" fontId="4" fillId="0" borderId="23" xfId="2" applyFont="1" applyBorder="1" applyAlignment="1">
      <alignment horizontal="center" vertical="center" wrapText="1"/>
    </xf>
    <xf numFmtId="0" fontId="4" fillId="2" borderId="11" xfId="2" applyFont="1" applyFill="1" applyBorder="1" applyAlignment="1">
      <alignment horizontal="center" vertical="center" wrapText="1"/>
    </xf>
    <xf numFmtId="0" fontId="4" fillId="2" borderId="12" xfId="2" applyFont="1" applyFill="1" applyBorder="1" applyAlignment="1">
      <alignment horizontal="center" vertical="center" wrapText="1"/>
    </xf>
    <xf numFmtId="0" fontId="4" fillId="2" borderId="13" xfId="2" applyFont="1" applyFill="1" applyBorder="1" applyAlignment="1">
      <alignment horizontal="center" vertical="center" wrapText="1"/>
    </xf>
    <xf numFmtId="16" fontId="4" fillId="0" borderId="29" xfId="2" applyNumberFormat="1" applyFont="1" applyFill="1" applyBorder="1" applyAlignment="1">
      <alignment horizontal="center" vertical="center"/>
    </xf>
    <xf numFmtId="16" fontId="4" fillId="0" borderId="20" xfId="2" applyNumberFormat="1" applyFont="1" applyFill="1" applyBorder="1" applyAlignment="1">
      <alignment horizontal="center" vertical="center"/>
    </xf>
    <xf numFmtId="0" fontId="4" fillId="0" borderId="39" xfId="2" applyFont="1" applyBorder="1" applyAlignment="1">
      <alignment horizontal="center" vertical="center" wrapText="1"/>
    </xf>
    <xf numFmtId="0" fontId="4" fillId="0" borderId="40" xfId="2" applyFont="1" applyBorder="1" applyAlignment="1">
      <alignment horizontal="center" vertical="center" wrapText="1"/>
    </xf>
    <xf numFmtId="0" fontId="4" fillId="0" borderId="2" xfId="2" applyFont="1" applyBorder="1" applyAlignment="1">
      <alignment horizontal="center" vertical="center" wrapText="1"/>
    </xf>
    <xf numFmtId="0" fontId="4" fillId="0" borderId="28" xfId="2" applyFont="1" applyBorder="1" applyAlignment="1">
      <alignment horizontal="center" vertical="center" wrapText="1"/>
    </xf>
    <xf numFmtId="0" fontId="4" fillId="0" borderId="32" xfId="2" applyFont="1" applyBorder="1" applyAlignment="1">
      <alignment horizontal="center" vertical="center" wrapText="1"/>
    </xf>
    <xf numFmtId="0" fontId="4" fillId="0" borderId="31" xfId="2" applyFont="1" applyBorder="1" applyAlignment="1">
      <alignment horizontal="center" vertical="center" wrapText="1"/>
    </xf>
    <xf numFmtId="9" fontId="7" fillId="3" borderId="16" xfId="1" applyFont="1" applyFill="1" applyBorder="1" applyAlignment="1">
      <alignment horizontal="center" vertical="center" wrapText="1"/>
    </xf>
    <xf numFmtId="9" fontId="7" fillId="3" borderId="17" xfId="1" applyFont="1" applyFill="1" applyBorder="1" applyAlignment="1">
      <alignment horizontal="center" vertical="center" wrapText="1"/>
    </xf>
    <xf numFmtId="0" fontId="4" fillId="3" borderId="29" xfId="2" applyFont="1" applyFill="1" applyBorder="1" applyAlignment="1">
      <alignment horizontal="center" vertical="center" wrapText="1"/>
    </xf>
    <xf numFmtId="0" fontId="4" fillId="3" borderId="19" xfId="2" applyFont="1" applyFill="1" applyBorder="1" applyAlignment="1">
      <alignment horizontal="center" vertical="center" wrapText="1"/>
    </xf>
    <xf numFmtId="16" fontId="4" fillId="5" borderId="28" xfId="2" applyNumberFormat="1" applyFont="1" applyFill="1" applyBorder="1" applyAlignment="1">
      <alignment horizontal="center" vertical="center" wrapText="1"/>
    </xf>
    <xf numFmtId="16" fontId="4" fillId="5" borderId="31" xfId="2" applyNumberFormat="1" applyFont="1" applyFill="1" applyBorder="1" applyAlignment="1">
      <alignment horizontal="center" vertical="center" wrapText="1"/>
    </xf>
    <xf numFmtId="3" fontId="4" fillId="4" borderId="38" xfId="2" applyNumberFormat="1" applyFont="1" applyFill="1" applyBorder="1" applyAlignment="1">
      <alignment horizontal="center" vertical="center" wrapText="1"/>
    </xf>
    <xf numFmtId="3" fontId="4" fillId="4" borderId="19" xfId="2" applyNumberFormat="1" applyFont="1" applyFill="1" applyBorder="1" applyAlignment="1">
      <alignment horizontal="center" vertical="center" wrapText="1"/>
    </xf>
    <xf numFmtId="16" fontId="4" fillId="5" borderId="1" xfId="2" applyNumberFormat="1" applyFont="1" applyFill="1" applyBorder="1" applyAlignment="1">
      <alignment horizontal="center" vertical="center" wrapText="1"/>
    </xf>
    <xf numFmtId="16" fontId="4" fillId="5" borderId="2" xfId="2" applyNumberFormat="1" applyFont="1" applyFill="1" applyBorder="1" applyAlignment="1">
      <alignment horizontal="center" vertical="center" wrapText="1"/>
    </xf>
    <xf numFmtId="3" fontId="6" fillId="3" borderId="48" xfId="2" applyNumberFormat="1" applyFont="1" applyFill="1" applyBorder="1" applyAlignment="1">
      <alignment horizontal="center" vertical="center" wrapText="1"/>
    </xf>
    <xf numFmtId="3" fontId="6" fillId="3" borderId="1" xfId="2" applyNumberFormat="1" applyFont="1" applyFill="1" applyBorder="1" applyAlignment="1">
      <alignment horizontal="center" vertical="center" wrapText="1"/>
    </xf>
    <xf numFmtId="3" fontId="6" fillId="3" borderId="49" xfId="2" applyNumberFormat="1" applyFont="1" applyFill="1" applyBorder="1" applyAlignment="1">
      <alignment horizontal="center" vertical="center" wrapText="1"/>
    </xf>
    <xf numFmtId="3" fontId="6" fillId="3" borderId="40" xfId="2" applyNumberFormat="1" applyFont="1" applyFill="1" applyBorder="1" applyAlignment="1">
      <alignment horizontal="center" vertical="center" wrapText="1"/>
    </xf>
    <xf numFmtId="0" fontId="4" fillId="5" borderId="11" xfId="2" applyFont="1" applyFill="1" applyBorder="1" applyAlignment="1">
      <alignment horizontal="center" vertical="center" wrapText="1"/>
    </xf>
    <xf numFmtId="0" fontId="4" fillId="5" borderId="13" xfId="2" applyFont="1" applyFill="1" applyBorder="1" applyAlignment="1">
      <alignment horizontal="center" vertical="center" wrapText="1"/>
    </xf>
    <xf numFmtId="0" fontId="4" fillId="5" borderId="21" xfId="2" applyFont="1" applyFill="1" applyBorder="1" applyAlignment="1">
      <alignment horizontal="center" vertical="center" wrapText="1"/>
    </xf>
    <xf numFmtId="0" fontId="4" fillId="5" borderId="23" xfId="2" applyFont="1" applyFill="1" applyBorder="1" applyAlignment="1">
      <alignment horizontal="center" vertical="center" wrapText="1"/>
    </xf>
    <xf numFmtId="9" fontId="6" fillId="0" borderId="14" xfId="1" applyFont="1" applyBorder="1" applyAlignment="1">
      <alignment horizontal="center" vertical="center"/>
    </xf>
    <xf numFmtId="9" fontId="6" fillId="0" borderId="69" xfId="1" applyFont="1" applyBorder="1" applyAlignment="1">
      <alignment horizontal="center" vertical="center"/>
    </xf>
    <xf numFmtId="9" fontId="4" fillId="5" borderId="11" xfId="1" applyFont="1" applyFill="1" applyBorder="1" applyAlignment="1">
      <alignment horizontal="center" vertical="center"/>
    </xf>
    <xf numFmtId="9" fontId="4" fillId="5" borderId="12" xfId="1" applyFont="1" applyFill="1" applyBorder="1" applyAlignment="1">
      <alignment horizontal="center" vertical="center"/>
    </xf>
    <xf numFmtId="9" fontId="4" fillId="5" borderId="13" xfId="1" applyFont="1" applyFill="1" applyBorder="1" applyAlignment="1">
      <alignment horizontal="center" vertical="center"/>
    </xf>
    <xf numFmtId="3" fontId="4" fillId="5" borderId="21" xfId="2" applyNumberFormat="1" applyFont="1" applyFill="1" applyBorder="1" applyAlignment="1">
      <alignment horizontal="center" vertical="center"/>
    </xf>
    <xf numFmtId="3" fontId="4" fillId="5" borderId="22" xfId="2" applyNumberFormat="1" applyFont="1" applyFill="1" applyBorder="1" applyAlignment="1">
      <alignment horizontal="center" vertical="center"/>
    </xf>
    <xf numFmtId="3" fontId="4" fillId="5" borderId="23" xfId="2" applyNumberFormat="1" applyFont="1" applyFill="1" applyBorder="1" applyAlignment="1">
      <alignment horizontal="center" vertical="center"/>
    </xf>
    <xf numFmtId="0" fontId="4" fillId="0" borderId="41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26" xfId="2" applyFont="1" applyBorder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164" fontId="4" fillId="0" borderId="28" xfId="2" applyNumberFormat="1" applyFont="1" applyBorder="1" applyAlignment="1">
      <alignment horizontal="center" vertical="center"/>
    </xf>
    <xf numFmtId="164" fontId="4" fillId="0" borderId="31" xfId="2" applyNumberFormat="1" applyFont="1" applyBorder="1" applyAlignment="1">
      <alignment horizontal="center" vertical="center"/>
    </xf>
    <xf numFmtId="164" fontId="6" fillId="0" borderId="28" xfId="2" applyNumberFormat="1" applyFont="1" applyBorder="1" applyAlignment="1">
      <alignment horizontal="center" vertical="center"/>
    </xf>
    <xf numFmtId="164" fontId="6" fillId="0" borderId="31" xfId="2" applyNumberFormat="1" applyFont="1" applyBorder="1" applyAlignment="1">
      <alignment horizontal="center" vertical="center"/>
    </xf>
    <xf numFmtId="9" fontId="4" fillId="0" borderId="28" xfId="1" applyFont="1" applyBorder="1" applyAlignment="1">
      <alignment horizontal="center" vertical="center"/>
    </xf>
    <xf numFmtId="9" fontId="4" fillId="0" borderId="31" xfId="1" applyFont="1" applyBorder="1" applyAlignment="1">
      <alignment horizontal="center" vertical="center"/>
    </xf>
    <xf numFmtId="3" fontId="6" fillId="0" borderId="29" xfId="2" applyNumberFormat="1" applyFont="1" applyBorder="1" applyAlignment="1">
      <alignment horizontal="center" vertical="center"/>
    </xf>
    <xf numFmtId="3" fontId="6" fillId="0" borderId="20" xfId="2" applyNumberFormat="1" applyFont="1" applyBorder="1" applyAlignment="1">
      <alignment horizontal="center" vertical="center"/>
    </xf>
    <xf numFmtId="3" fontId="14" fillId="0" borderId="29" xfId="2" applyNumberFormat="1" applyFont="1" applyBorder="1" applyAlignment="1">
      <alignment horizontal="center" vertical="center"/>
    </xf>
    <xf numFmtId="3" fontId="14" fillId="0" borderId="20" xfId="2" applyNumberFormat="1" applyFont="1" applyBorder="1" applyAlignment="1">
      <alignment horizontal="center" vertical="center"/>
    </xf>
    <xf numFmtId="0" fontId="7" fillId="0" borderId="10" xfId="2" applyFont="1" applyBorder="1" applyAlignment="1">
      <alignment horizontal="center"/>
    </xf>
    <xf numFmtId="0" fontId="7" fillId="0" borderId="3" xfId="2" applyFont="1" applyBorder="1" applyAlignment="1">
      <alignment horizontal="center"/>
    </xf>
    <xf numFmtId="0" fontId="3" fillId="8" borderId="41" xfId="2" applyFont="1" applyFill="1" applyBorder="1" applyAlignment="1">
      <alignment horizontal="center"/>
    </xf>
    <xf numFmtId="0" fontId="3" fillId="8" borderId="7" xfId="2" applyFont="1" applyFill="1" applyBorder="1" applyAlignment="1">
      <alignment horizontal="center"/>
    </xf>
    <xf numFmtId="0" fontId="3" fillId="8" borderId="1" xfId="2" applyFont="1" applyFill="1" applyBorder="1" applyAlignment="1">
      <alignment horizontal="center"/>
    </xf>
    <xf numFmtId="0" fontId="6" fillId="0" borderId="26" xfId="2" applyFont="1" applyBorder="1" applyAlignment="1">
      <alignment horizontal="center"/>
    </xf>
    <xf numFmtId="0" fontId="6" fillId="0" borderId="2" xfId="2" applyFont="1" applyBorder="1" applyAlignment="1">
      <alignment horizontal="center"/>
    </xf>
    <xf numFmtId="0" fontId="7" fillId="0" borderId="43" xfId="2" applyFont="1" applyBorder="1" applyAlignment="1">
      <alignment horizontal="center"/>
    </xf>
    <xf numFmtId="0" fontId="7" fillId="0" borderId="44" xfId="2" applyFont="1" applyBorder="1" applyAlignment="1">
      <alignment horizontal="center"/>
    </xf>
    <xf numFmtId="9" fontId="6" fillId="0" borderId="15" xfId="1" applyFont="1" applyBorder="1" applyAlignment="1">
      <alignment horizontal="center" vertical="center"/>
    </xf>
    <xf numFmtId="3" fontId="7" fillId="0" borderId="45" xfId="1" applyNumberFormat="1" applyFont="1" applyBorder="1" applyAlignment="1">
      <alignment horizontal="center" vertical="center"/>
    </xf>
    <xf numFmtId="3" fontId="7" fillId="0" borderId="42" xfId="1" applyNumberFormat="1" applyFont="1" applyBorder="1" applyAlignment="1">
      <alignment horizontal="center" vertical="center"/>
    </xf>
    <xf numFmtId="0" fontId="11" fillId="3" borderId="26" xfId="2" applyFont="1" applyFill="1" applyBorder="1" applyAlignment="1">
      <alignment horizontal="center"/>
    </xf>
    <xf numFmtId="0" fontId="11" fillId="3" borderId="4" xfId="2" applyFont="1" applyFill="1" applyBorder="1" applyAlignment="1">
      <alignment horizontal="center"/>
    </xf>
    <xf numFmtId="0" fontId="11" fillId="3" borderId="2" xfId="2" applyFont="1" applyFill="1" applyBorder="1" applyAlignment="1">
      <alignment horizontal="center"/>
    </xf>
    <xf numFmtId="0" fontId="3" fillId="4" borderId="65" xfId="2" applyFont="1" applyFill="1" applyBorder="1" applyAlignment="1">
      <alignment horizontal="center"/>
    </xf>
    <xf numFmtId="0" fontId="3" fillId="4" borderId="0" xfId="2" applyFont="1" applyFill="1" applyAlignment="1">
      <alignment horizontal="center"/>
    </xf>
    <xf numFmtId="0" fontId="3" fillId="4" borderId="40" xfId="2" applyFont="1" applyFill="1" applyBorder="1" applyAlignment="1">
      <alignment horizontal="center"/>
    </xf>
    <xf numFmtId="0" fontId="11" fillId="2" borderId="65" xfId="2" applyFont="1" applyFill="1" applyBorder="1" applyAlignment="1">
      <alignment horizontal="center"/>
    </xf>
    <xf numFmtId="0" fontId="11" fillId="2" borderId="0" xfId="2" applyFont="1" applyFill="1" applyAlignment="1">
      <alignment horizontal="center"/>
    </xf>
    <xf numFmtId="0" fontId="11" fillId="2" borderId="40" xfId="2" applyFont="1" applyFill="1" applyBorder="1" applyAlignment="1">
      <alignment horizontal="center"/>
    </xf>
    <xf numFmtId="0" fontId="11" fillId="6" borderId="65" xfId="2" applyFont="1" applyFill="1" applyBorder="1" applyAlignment="1">
      <alignment horizontal="center"/>
    </xf>
    <xf numFmtId="0" fontId="11" fillId="6" borderId="0" xfId="2" applyFont="1" applyFill="1" applyAlignment="1">
      <alignment horizontal="center"/>
    </xf>
    <xf numFmtId="0" fontId="11" fillId="6" borderId="40" xfId="2" applyFont="1" applyFill="1" applyBorder="1" applyAlignment="1">
      <alignment horizontal="center"/>
    </xf>
    <xf numFmtId="0" fontId="11" fillId="7" borderId="65" xfId="2" applyFont="1" applyFill="1" applyBorder="1" applyAlignment="1">
      <alignment horizontal="center"/>
    </xf>
    <xf numFmtId="0" fontId="11" fillId="7" borderId="0" xfId="2" applyFont="1" applyFill="1" applyAlignment="1">
      <alignment horizontal="center"/>
    </xf>
    <xf numFmtId="0" fontId="11" fillId="7" borderId="40" xfId="2" applyFont="1" applyFill="1" applyBorder="1" applyAlignment="1">
      <alignment horizontal="center"/>
    </xf>
    <xf numFmtId="0" fontId="6" fillId="0" borderId="0" xfId="2" applyFont="1" applyBorder="1" applyAlignment="1">
      <alignment horizontal="center"/>
    </xf>
    <xf numFmtId="9" fontId="6" fillId="0" borderId="0" xfId="1" applyFont="1" applyBorder="1" applyAlignment="1">
      <alignment horizontal="center" vertical="center"/>
    </xf>
    <xf numFmtId="3" fontId="2" fillId="0" borderId="0" xfId="2" applyNumberFormat="1"/>
    <xf numFmtId="9" fontId="4" fillId="0" borderId="7" xfId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3" fontId="2" fillId="10" borderId="0" xfId="2" applyNumberFormat="1" applyFill="1"/>
    <xf numFmtId="0" fontId="2" fillId="10" borderId="0" xfId="2" applyFill="1"/>
    <xf numFmtId="9" fontId="4" fillId="10" borderId="7" xfId="1" applyFont="1" applyFill="1" applyBorder="1" applyAlignment="1">
      <alignment horizontal="center" vertical="center" wrapText="1"/>
    </xf>
    <xf numFmtId="0" fontId="0" fillId="10" borderId="7" xfId="0" applyFill="1" applyBorder="1" applyAlignment="1">
      <alignment horizontal="center" vertical="center" wrapText="1"/>
    </xf>
    <xf numFmtId="0" fontId="4" fillId="11" borderId="0" xfId="1" applyNumberFormat="1" applyFont="1" applyFill="1" applyBorder="1" applyAlignment="1">
      <alignment horizontal="center" vertical="center" wrapText="1"/>
    </xf>
    <xf numFmtId="0" fontId="0" fillId="11" borderId="0" xfId="0" applyNumberFormat="1" applyFill="1" applyAlignment="1">
      <alignment horizontal="center" vertical="center" wrapText="1"/>
    </xf>
    <xf numFmtId="3" fontId="2" fillId="11" borderId="0" xfId="2" applyNumberFormat="1" applyFill="1"/>
    <xf numFmtId="0" fontId="2" fillId="11" borderId="0" xfId="2" applyFill="1"/>
    <xf numFmtId="164" fontId="2" fillId="11" borderId="0" xfId="2" applyNumberFormat="1" applyFill="1"/>
    <xf numFmtId="10" fontId="2" fillId="11" borderId="0" xfId="2" applyNumberFormat="1" applyFill="1"/>
  </cellXfs>
  <cellStyles count="3">
    <cellStyle name="Normal" xfId="0" builtinId="0"/>
    <cellStyle name="Normal 2" xfId="2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dechanet/AppData/Local/Microsoft/Windows/INetCache/Content.Outlook/PRFEZ9H7/BT%20DRIC%20Racco_Objectif%20RDV%20Volume_221117_V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cité"/>
    </sheetNames>
    <sheetDataSet>
      <sheetData sheetId="0">
        <row r="4">
          <cell r="L4">
            <v>69</v>
          </cell>
          <cell r="M4">
            <v>77</v>
          </cell>
          <cell r="N4">
            <v>81</v>
          </cell>
          <cell r="O4">
            <v>63</v>
          </cell>
          <cell r="P4">
            <v>0</v>
          </cell>
          <cell r="Q4">
            <v>25</v>
          </cell>
          <cell r="S4"/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H42"/>
  <sheetViews>
    <sheetView tabSelected="1" zoomScale="92" zoomScaleNormal="89" workbookViewId="0">
      <selection activeCell="J36" sqref="J36"/>
    </sheetView>
  </sheetViews>
  <sheetFormatPr baseColWidth="10" defaultColWidth="10.7109375" defaultRowHeight="15" x14ac:dyDescent="0.25"/>
  <cols>
    <col min="1" max="1" width="6.42578125" style="3" customWidth="1"/>
    <col min="2" max="2" width="5.5703125" style="1" customWidth="1"/>
    <col min="3" max="3" width="10.28515625" style="15" customWidth="1"/>
    <col min="4" max="4" width="8.5703125" style="1" customWidth="1"/>
    <col min="5" max="5" width="7" style="17" bestFit="1" customWidth="1"/>
    <col min="6" max="6" width="5.7109375" style="18" bestFit="1" customWidth="1"/>
    <col min="7" max="7" width="5.7109375" style="106" bestFit="1" customWidth="1"/>
    <col min="8" max="8" width="9.140625" style="1" bestFit="1" customWidth="1"/>
    <col min="9" max="10" width="7.7109375" style="1" customWidth="1"/>
    <col min="11" max="11" width="9.140625" style="1" bestFit="1" customWidth="1"/>
    <col min="12" max="12" width="5.7109375" style="1" customWidth="1"/>
    <col min="13" max="13" width="9.140625" style="1" bestFit="1" customWidth="1"/>
    <col min="14" max="14" width="7.85546875" style="1" bestFit="1" customWidth="1"/>
    <col min="15" max="16" width="5.7109375" style="1" bestFit="1" customWidth="1"/>
    <col min="17" max="17" width="7.42578125" style="1" bestFit="1" customWidth="1"/>
    <col min="18" max="18" width="7.28515625" style="1" bestFit="1" customWidth="1"/>
    <col min="19" max="20" width="5.7109375" style="1" bestFit="1" customWidth="1"/>
    <col min="21" max="21" width="5.7109375" style="1" customWidth="1"/>
    <col min="22" max="22" width="9.140625" style="1" bestFit="1" customWidth="1"/>
    <col min="23" max="29" width="5.7109375" style="1" bestFit="1" customWidth="1"/>
    <col min="30" max="30" width="5.7109375" style="1" customWidth="1"/>
    <col min="31" max="31" width="9.140625" style="1" bestFit="1" customWidth="1"/>
    <col min="32" max="34" width="5.7109375" style="1" bestFit="1" customWidth="1"/>
    <col min="35" max="16384" width="10.7109375" style="1"/>
  </cols>
  <sheetData>
    <row r="1" spans="1:34" ht="24.6" customHeight="1" thickBot="1" x14ac:dyDescent="0.3">
      <c r="A1" s="189" t="s">
        <v>6</v>
      </c>
      <c r="B1" s="192" t="s">
        <v>7</v>
      </c>
      <c r="C1" s="201" t="s">
        <v>27</v>
      </c>
      <c r="D1" s="197" t="s">
        <v>28</v>
      </c>
      <c r="E1" s="195" t="s">
        <v>15</v>
      </c>
      <c r="F1" s="205" t="s">
        <v>19</v>
      </c>
      <c r="G1" s="206"/>
      <c r="H1" s="209" t="s">
        <v>30</v>
      </c>
      <c r="I1" s="210"/>
      <c r="J1" s="209" t="s">
        <v>25</v>
      </c>
      <c r="K1" s="210"/>
      <c r="L1" s="184" t="s">
        <v>29</v>
      </c>
      <c r="M1" s="185"/>
      <c r="N1" s="185"/>
      <c r="O1" s="185"/>
      <c r="P1" s="185"/>
      <c r="Q1" s="185"/>
      <c r="R1" s="185"/>
      <c r="S1" s="185"/>
      <c r="T1" s="186"/>
      <c r="U1" s="184" t="s">
        <v>31</v>
      </c>
      <c r="V1" s="185"/>
      <c r="W1" s="185"/>
      <c r="X1" s="185"/>
      <c r="Y1" s="185"/>
      <c r="Z1" s="185"/>
      <c r="AA1" s="185"/>
      <c r="AB1" s="185"/>
      <c r="AC1" s="186"/>
      <c r="AD1" s="95"/>
      <c r="AE1" s="179" t="s">
        <v>32</v>
      </c>
      <c r="AF1" s="180"/>
      <c r="AG1" s="180"/>
      <c r="AH1" s="181"/>
    </row>
    <row r="2" spans="1:34" s="4" customFormat="1" ht="24" customHeight="1" x14ac:dyDescent="0.2">
      <c r="A2" s="190"/>
      <c r="B2" s="193"/>
      <c r="C2" s="202"/>
      <c r="D2" s="198"/>
      <c r="E2" s="196"/>
      <c r="F2" s="207"/>
      <c r="G2" s="208"/>
      <c r="H2" s="211" t="s">
        <v>16</v>
      </c>
      <c r="I2" s="203" t="s">
        <v>18</v>
      </c>
      <c r="J2" s="199" t="s">
        <v>33</v>
      </c>
      <c r="K2" s="203" t="str">
        <f>I2</f>
        <v>RDV Réalisé</v>
      </c>
      <c r="L2" s="157" t="s">
        <v>33</v>
      </c>
      <c r="M2" s="182" t="s">
        <v>16</v>
      </c>
      <c r="N2" s="187">
        <v>44879</v>
      </c>
      <c r="O2" s="187">
        <v>44880</v>
      </c>
      <c r="P2" s="187">
        <v>44881</v>
      </c>
      <c r="Q2" s="173">
        <v>44882</v>
      </c>
      <c r="R2" s="173">
        <v>44883</v>
      </c>
      <c r="S2" s="173">
        <v>44884</v>
      </c>
      <c r="T2" s="175">
        <v>44885</v>
      </c>
      <c r="U2" s="157" t="s">
        <v>33</v>
      </c>
      <c r="V2" s="182" t="s">
        <v>16</v>
      </c>
      <c r="W2" s="173">
        <v>44886</v>
      </c>
      <c r="X2" s="173">
        <v>44887</v>
      </c>
      <c r="Y2" s="173">
        <v>44888</v>
      </c>
      <c r="Z2" s="173">
        <v>44889</v>
      </c>
      <c r="AA2" s="173">
        <v>44890</v>
      </c>
      <c r="AB2" s="173">
        <v>44891</v>
      </c>
      <c r="AC2" s="175">
        <v>44892</v>
      </c>
      <c r="AD2" s="157" t="s">
        <v>33</v>
      </c>
      <c r="AE2" s="182" t="s">
        <v>16</v>
      </c>
      <c r="AF2" s="173">
        <v>44893</v>
      </c>
      <c r="AG2" s="173">
        <v>44894</v>
      </c>
      <c r="AH2" s="175">
        <v>44895</v>
      </c>
    </row>
    <row r="3" spans="1:34" s="4" customFormat="1" ht="15" customHeight="1" thickBot="1" x14ac:dyDescent="0.25">
      <c r="A3" s="191"/>
      <c r="B3" s="194"/>
      <c r="C3" s="25"/>
      <c r="D3" s="23"/>
      <c r="E3" s="24"/>
      <c r="F3" s="26">
        <v>5.5</v>
      </c>
      <c r="G3" s="104">
        <v>1.1000000000000001</v>
      </c>
      <c r="H3" s="212"/>
      <c r="I3" s="204"/>
      <c r="J3" s="200"/>
      <c r="K3" s="204"/>
      <c r="L3" s="158"/>
      <c r="M3" s="183"/>
      <c r="N3" s="188"/>
      <c r="O3" s="188"/>
      <c r="P3" s="188"/>
      <c r="Q3" s="174"/>
      <c r="R3" s="174"/>
      <c r="S3" s="174"/>
      <c r="T3" s="176"/>
      <c r="U3" s="158"/>
      <c r="V3" s="183"/>
      <c r="W3" s="174"/>
      <c r="X3" s="174"/>
      <c r="Y3" s="174"/>
      <c r="Z3" s="174"/>
      <c r="AA3" s="174"/>
      <c r="AB3" s="174"/>
      <c r="AC3" s="176"/>
      <c r="AD3" s="158"/>
      <c r="AE3" s="183"/>
      <c r="AF3" s="174"/>
      <c r="AG3" s="174"/>
      <c r="AH3" s="176"/>
    </row>
    <row r="4" spans="1:34" x14ac:dyDescent="0.25">
      <c r="A4" s="5" t="s">
        <v>26</v>
      </c>
      <c r="B4" s="31" t="s">
        <v>13</v>
      </c>
      <c r="C4" s="97">
        <v>1480</v>
      </c>
      <c r="D4" s="107">
        <f t="shared" ref="D4:D27" si="0">I4+K4+M4+V4+AE4</f>
        <v>1268</v>
      </c>
      <c r="E4" s="111">
        <f>D4/C4</f>
        <v>0.85675675675675678</v>
      </c>
      <c r="F4" s="54">
        <f>78*F$3</f>
        <v>429</v>
      </c>
      <c r="G4" s="112">
        <f>F4*G$3</f>
        <v>471.90000000000003</v>
      </c>
      <c r="H4" s="218">
        <v>5400</v>
      </c>
      <c r="I4" s="100">
        <v>231</v>
      </c>
      <c r="J4" s="177">
        <v>8795</v>
      </c>
      <c r="K4" s="120">
        <f>[1]Capacité!$L$4+[1]Capacité!$M$4+[1]Capacité!$N$4+[1]Capacité!$O$4+[1]Capacité!$P$4+[1]Capacité!$Q$4+[1]Capacité!$S$4</f>
        <v>315</v>
      </c>
      <c r="L4" s="177">
        <v>9663</v>
      </c>
      <c r="M4" s="69">
        <f>SUM(N4:T4)</f>
        <v>374</v>
      </c>
      <c r="N4" s="126">
        <f>13+12+35</f>
        <v>60</v>
      </c>
      <c r="O4" s="127">
        <f>7+15+10+47</f>
        <v>79</v>
      </c>
      <c r="P4" s="128">
        <f>35+29</f>
        <v>64</v>
      </c>
      <c r="Q4" s="128">
        <v>65</v>
      </c>
      <c r="R4" s="129">
        <v>65</v>
      </c>
      <c r="S4" s="130">
        <v>41</v>
      </c>
      <c r="T4" s="37">
        <v>0</v>
      </c>
      <c r="U4" s="159"/>
      <c r="V4" s="69">
        <f>SUM(W4:AC4)</f>
        <v>318</v>
      </c>
      <c r="W4" s="67">
        <v>80</v>
      </c>
      <c r="X4" s="46">
        <v>71</v>
      </c>
      <c r="Y4" s="45">
        <v>59</v>
      </c>
      <c r="Z4" s="45">
        <v>53</v>
      </c>
      <c r="AA4" s="62">
        <v>27</v>
      </c>
      <c r="AB4" s="49">
        <v>28</v>
      </c>
      <c r="AC4" s="37">
        <v>0</v>
      </c>
      <c r="AD4" s="159"/>
      <c r="AE4" s="69">
        <f t="shared" ref="AE4:AE27" si="1">SUM(AF4:AH4)</f>
        <v>30</v>
      </c>
      <c r="AF4" s="67">
        <v>11</v>
      </c>
      <c r="AG4" s="46">
        <v>9</v>
      </c>
      <c r="AH4" s="37">
        <v>10</v>
      </c>
    </row>
    <row r="5" spans="1:34" x14ac:dyDescent="0.25">
      <c r="A5" s="6" t="s">
        <v>26</v>
      </c>
      <c r="B5" s="32">
        <v>10</v>
      </c>
      <c r="C5" s="98">
        <v>1000</v>
      </c>
      <c r="D5" s="108">
        <f t="shared" si="0"/>
        <v>971</v>
      </c>
      <c r="E5" s="113">
        <f t="shared" ref="E5:E27" si="2">D5/C5</f>
        <v>0.97099999999999997</v>
      </c>
      <c r="F5" s="55">
        <f>55*F3</f>
        <v>302.5</v>
      </c>
      <c r="G5" s="114">
        <f t="shared" ref="G5:G27" si="3">F5*G$3</f>
        <v>332.75</v>
      </c>
      <c r="H5" s="219"/>
      <c r="I5" s="101">
        <v>155</v>
      </c>
      <c r="J5" s="178"/>
      <c r="K5" s="121">
        <v>220</v>
      </c>
      <c r="L5" s="178"/>
      <c r="M5" s="70">
        <f>SUM(N5:T5)</f>
        <v>246</v>
      </c>
      <c r="N5" s="131">
        <f>16+39</f>
        <v>55</v>
      </c>
      <c r="O5" s="132">
        <f>34+8</f>
        <v>42</v>
      </c>
      <c r="P5" s="133">
        <v>40</v>
      </c>
      <c r="Q5" s="133">
        <v>30</v>
      </c>
      <c r="R5" s="134">
        <v>57</v>
      </c>
      <c r="S5" s="135">
        <v>22</v>
      </c>
      <c r="T5" s="38">
        <v>0</v>
      </c>
      <c r="U5" s="160"/>
      <c r="V5" s="70">
        <f t="shared" ref="V5:V27" si="4">SUM(W5:AC5)</f>
        <v>275</v>
      </c>
      <c r="W5" s="53">
        <v>76</v>
      </c>
      <c r="X5" s="39">
        <v>50</v>
      </c>
      <c r="Y5" s="40">
        <v>57</v>
      </c>
      <c r="Z5" s="40">
        <v>29</v>
      </c>
      <c r="AA5" s="59">
        <v>25</v>
      </c>
      <c r="AB5" s="41">
        <v>38</v>
      </c>
      <c r="AC5" s="38">
        <v>0</v>
      </c>
      <c r="AD5" s="160"/>
      <c r="AE5" s="70">
        <f t="shared" si="1"/>
        <v>75</v>
      </c>
      <c r="AF5" s="53">
        <v>39</v>
      </c>
      <c r="AG5" s="39">
        <v>14</v>
      </c>
      <c r="AH5" s="38">
        <v>22</v>
      </c>
    </row>
    <row r="6" spans="1:34" x14ac:dyDescent="0.25">
      <c r="A6" s="6" t="s">
        <v>26</v>
      </c>
      <c r="B6" s="32">
        <v>45</v>
      </c>
      <c r="C6" s="98">
        <v>1000</v>
      </c>
      <c r="D6" s="108">
        <f t="shared" si="0"/>
        <v>1105</v>
      </c>
      <c r="E6" s="113">
        <f t="shared" si="2"/>
        <v>1.105</v>
      </c>
      <c r="F6" s="55">
        <f>72*F3</f>
        <v>396</v>
      </c>
      <c r="G6" s="114">
        <f t="shared" si="3"/>
        <v>435.6</v>
      </c>
      <c r="H6" s="219"/>
      <c r="I6" s="101">
        <v>211</v>
      </c>
      <c r="J6" s="178"/>
      <c r="K6" s="121">
        <v>261</v>
      </c>
      <c r="L6" s="178"/>
      <c r="M6" s="70">
        <f t="shared" ref="M6:M27" si="5">SUM(N6:T6)</f>
        <v>332</v>
      </c>
      <c r="N6" s="131">
        <f>3+8+32+15</f>
        <v>58</v>
      </c>
      <c r="O6" s="132">
        <f>27+34</f>
        <v>61</v>
      </c>
      <c r="P6" s="133">
        <f>45+14</f>
        <v>59</v>
      </c>
      <c r="Q6" s="133">
        <f>16+45</f>
        <v>61</v>
      </c>
      <c r="R6" s="134">
        <v>67</v>
      </c>
      <c r="S6" s="135">
        <v>26</v>
      </c>
      <c r="T6" s="38">
        <v>0</v>
      </c>
      <c r="U6" s="160"/>
      <c r="V6" s="70">
        <f t="shared" si="4"/>
        <v>274</v>
      </c>
      <c r="W6" s="53">
        <v>92</v>
      </c>
      <c r="X6" s="39">
        <v>51</v>
      </c>
      <c r="Y6" s="40">
        <v>49</v>
      </c>
      <c r="Z6" s="40">
        <v>24</v>
      </c>
      <c r="AA6" s="59">
        <v>42</v>
      </c>
      <c r="AB6" s="41">
        <v>16</v>
      </c>
      <c r="AC6" s="38">
        <v>0</v>
      </c>
      <c r="AD6" s="160"/>
      <c r="AE6" s="70">
        <f t="shared" si="1"/>
        <v>27</v>
      </c>
      <c r="AF6" s="53">
        <v>13</v>
      </c>
      <c r="AG6" s="39">
        <v>5</v>
      </c>
      <c r="AH6" s="38">
        <v>9</v>
      </c>
    </row>
    <row r="7" spans="1:34" x14ac:dyDescent="0.25">
      <c r="A7" s="6" t="s">
        <v>26</v>
      </c>
      <c r="B7" s="32">
        <v>51</v>
      </c>
      <c r="C7" s="98">
        <v>2320</v>
      </c>
      <c r="D7" s="108">
        <f t="shared" si="0"/>
        <v>2171</v>
      </c>
      <c r="E7" s="113">
        <f t="shared" si="2"/>
        <v>0.93577586206896557</v>
      </c>
      <c r="F7" s="56">
        <f>142*F3</f>
        <v>781</v>
      </c>
      <c r="G7" s="115">
        <f t="shared" si="3"/>
        <v>859.1</v>
      </c>
      <c r="H7" s="219"/>
      <c r="I7" s="101">
        <v>424</v>
      </c>
      <c r="J7" s="178"/>
      <c r="K7" s="121">
        <v>507</v>
      </c>
      <c r="L7" s="178"/>
      <c r="M7" s="70">
        <f t="shared" si="5"/>
        <v>571</v>
      </c>
      <c r="N7" s="131">
        <f>25+81+15</f>
        <v>121</v>
      </c>
      <c r="O7" s="132">
        <f>33+74</f>
        <v>107</v>
      </c>
      <c r="P7" s="133">
        <f>15+11+78</f>
        <v>104</v>
      </c>
      <c r="Q7" s="133">
        <f>7+17+21+35</f>
        <v>80</v>
      </c>
      <c r="R7" s="134">
        <v>123</v>
      </c>
      <c r="S7" s="135">
        <v>36</v>
      </c>
      <c r="T7" s="38">
        <v>0</v>
      </c>
      <c r="U7" s="160"/>
      <c r="V7" s="70">
        <f t="shared" si="4"/>
        <v>534</v>
      </c>
      <c r="W7" s="53">
        <v>149</v>
      </c>
      <c r="X7" s="39">
        <v>103</v>
      </c>
      <c r="Y7" s="40">
        <v>117</v>
      </c>
      <c r="Z7" s="40">
        <v>67</v>
      </c>
      <c r="AA7" s="59">
        <v>54</v>
      </c>
      <c r="AB7" s="41">
        <v>44</v>
      </c>
      <c r="AC7" s="38">
        <v>0</v>
      </c>
      <c r="AD7" s="160"/>
      <c r="AE7" s="70">
        <f t="shared" si="1"/>
        <v>135</v>
      </c>
      <c r="AF7" s="53">
        <v>57</v>
      </c>
      <c r="AG7" s="39">
        <v>34</v>
      </c>
      <c r="AH7" s="38">
        <v>44</v>
      </c>
    </row>
    <row r="8" spans="1:34" x14ac:dyDescent="0.25">
      <c r="A8" s="6" t="s">
        <v>26</v>
      </c>
      <c r="B8" s="32">
        <v>57</v>
      </c>
      <c r="C8" s="98">
        <v>2200</v>
      </c>
      <c r="D8" s="108">
        <f t="shared" si="0"/>
        <v>2228</v>
      </c>
      <c r="E8" s="113">
        <f>D8/C8</f>
        <v>1.0127272727272727</v>
      </c>
      <c r="F8" s="56">
        <f>100*F3</f>
        <v>550</v>
      </c>
      <c r="G8" s="115">
        <f t="shared" si="3"/>
        <v>605</v>
      </c>
      <c r="H8" s="219"/>
      <c r="I8" s="101">
        <v>333</v>
      </c>
      <c r="J8" s="178"/>
      <c r="K8" s="121">
        <v>580</v>
      </c>
      <c r="L8" s="178"/>
      <c r="M8" s="70">
        <f t="shared" si="5"/>
        <v>408</v>
      </c>
      <c r="N8" s="131">
        <f>28+38</f>
        <v>66</v>
      </c>
      <c r="O8" s="132">
        <f>25+37</f>
        <v>62</v>
      </c>
      <c r="P8" s="133">
        <v>63</v>
      </c>
      <c r="Q8" s="133">
        <f>14+15+44+31</f>
        <v>104</v>
      </c>
      <c r="R8" s="134">
        <v>99</v>
      </c>
      <c r="S8" s="135">
        <v>14</v>
      </c>
      <c r="T8" s="38">
        <v>0</v>
      </c>
      <c r="U8" s="160"/>
      <c r="V8" s="70">
        <f t="shared" si="4"/>
        <v>605</v>
      </c>
      <c r="W8" s="53">
        <v>132</v>
      </c>
      <c r="X8" s="39">
        <v>119</v>
      </c>
      <c r="Y8" s="40">
        <v>112</v>
      </c>
      <c r="Z8" s="40">
        <v>119</v>
      </c>
      <c r="AA8" s="59">
        <v>104</v>
      </c>
      <c r="AB8" s="41">
        <v>19</v>
      </c>
      <c r="AC8" s="38">
        <v>0</v>
      </c>
      <c r="AD8" s="160"/>
      <c r="AE8" s="70">
        <f t="shared" si="1"/>
        <v>302</v>
      </c>
      <c r="AF8" s="53">
        <f>86+30</f>
        <v>116</v>
      </c>
      <c r="AG8" s="39">
        <f>79+16</f>
        <v>95</v>
      </c>
      <c r="AH8" s="38">
        <v>91</v>
      </c>
    </row>
    <row r="9" spans="1:34" x14ac:dyDescent="0.25">
      <c r="A9" s="6" t="s">
        <v>26</v>
      </c>
      <c r="B9" s="32">
        <v>77</v>
      </c>
      <c r="C9" s="98">
        <v>3160</v>
      </c>
      <c r="D9" s="108">
        <f t="shared" si="0"/>
        <v>2371</v>
      </c>
      <c r="E9" s="113">
        <f t="shared" si="2"/>
        <v>0.75031645569620253</v>
      </c>
      <c r="F9" s="56">
        <f>145*F3</f>
        <v>797.5</v>
      </c>
      <c r="G9" s="115">
        <f t="shared" si="3"/>
        <v>877.25000000000011</v>
      </c>
      <c r="H9" s="219"/>
      <c r="I9" s="101">
        <v>416</v>
      </c>
      <c r="J9" s="178"/>
      <c r="K9" s="121">
        <v>571</v>
      </c>
      <c r="L9" s="178"/>
      <c r="M9" s="70">
        <f t="shared" si="5"/>
        <v>690</v>
      </c>
      <c r="N9" s="131">
        <f>17+19+95</f>
        <v>131</v>
      </c>
      <c r="O9" s="132">
        <f>23+77+15</f>
        <v>115</v>
      </c>
      <c r="P9" s="133">
        <f>26+82+18</f>
        <v>126</v>
      </c>
      <c r="Q9" s="133">
        <f>35+29+16+33</f>
        <v>113</v>
      </c>
      <c r="R9" s="134">
        <v>150</v>
      </c>
      <c r="S9" s="135">
        <v>55</v>
      </c>
      <c r="T9" s="38">
        <v>0</v>
      </c>
      <c r="U9" s="160"/>
      <c r="V9" s="70">
        <f t="shared" si="4"/>
        <v>590</v>
      </c>
      <c r="W9" s="53">
        <v>176</v>
      </c>
      <c r="X9" s="39">
        <v>114</v>
      </c>
      <c r="Y9" s="40">
        <v>123</v>
      </c>
      <c r="Z9" s="40">
        <v>78</v>
      </c>
      <c r="AA9" s="59">
        <v>51</v>
      </c>
      <c r="AB9" s="41">
        <v>48</v>
      </c>
      <c r="AC9" s="38">
        <v>0</v>
      </c>
      <c r="AD9" s="160"/>
      <c r="AE9" s="70">
        <f t="shared" si="1"/>
        <v>104</v>
      </c>
      <c r="AF9" s="53">
        <v>56</v>
      </c>
      <c r="AG9" s="39">
        <v>21</v>
      </c>
      <c r="AH9" s="38">
        <v>27</v>
      </c>
    </row>
    <row r="10" spans="1:34" x14ac:dyDescent="0.25">
      <c r="A10" s="6" t="s">
        <v>26</v>
      </c>
      <c r="B10" s="32">
        <v>89</v>
      </c>
      <c r="C10" s="98">
        <v>600</v>
      </c>
      <c r="D10" s="108">
        <f t="shared" si="0"/>
        <v>558</v>
      </c>
      <c r="E10" s="113">
        <f t="shared" si="2"/>
        <v>0.93</v>
      </c>
      <c r="F10" s="56">
        <f>36*F3</f>
        <v>198</v>
      </c>
      <c r="G10" s="115">
        <f t="shared" si="3"/>
        <v>217.8</v>
      </c>
      <c r="H10" s="219"/>
      <c r="I10" s="101">
        <v>109</v>
      </c>
      <c r="J10" s="178"/>
      <c r="K10" s="121">
        <v>131</v>
      </c>
      <c r="L10" s="178"/>
      <c r="M10" s="70">
        <f t="shared" si="5"/>
        <v>156</v>
      </c>
      <c r="N10" s="131">
        <f>9+24</f>
        <v>33</v>
      </c>
      <c r="O10" s="132">
        <v>22</v>
      </c>
      <c r="P10" s="133">
        <v>26</v>
      </c>
      <c r="Q10" s="133">
        <v>21</v>
      </c>
      <c r="R10" s="134">
        <v>34</v>
      </c>
      <c r="S10" s="135">
        <v>20</v>
      </c>
      <c r="T10" s="38">
        <v>0</v>
      </c>
      <c r="U10" s="160"/>
      <c r="V10" s="70">
        <f t="shared" si="4"/>
        <v>151</v>
      </c>
      <c r="W10" s="53">
        <v>44</v>
      </c>
      <c r="X10" s="39">
        <v>30</v>
      </c>
      <c r="Y10" s="40">
        <v>30</v>
      </c>
      <c r="Z10" s="40">
        <v>14</v>
      </c>
      <c r="AA10" s="59">
        <v>13</v>
      </c>
      <c r="AB10" s="41">
        <v>20</v>
      </c>
      <c r="AC10" s="38">
        <v>0</v>
      </c>
      <c r="AD10" s="160"/>
      <c r="AE10" s="70">
        <f t="shared" si="1"/>
        <v>11</v>
      </c>
      <c r="AF10" s="53">
        <v>7</v>
      </c>
      <c r="AG10" s="39">
        <v>1</v>
      </c>
      <c r="AH10" s="38">
        <v>3</v>
      </c>
    </row>
    <row r="11" spans="1:34" ht="15.75" thickBot="1" x14ac:dyDescent="0.3">
      <c r="A11" s="7" t="s">
        <v>26</v>
      </c>
      <c r="B11" s="33">
        <v>94</v>
      </c>
      <c r="C11" s="99">
        <v>2760</v>
      </c>
      <c r="D11" s="109">
        <f t="shared" si="0"/>
        <v>2114</v>
      </c>
      <c r="E11" s="116">
        <f t="shared" si="2"/>
        <v>0.76594202898550723</v>
      </c>
      <c r="F11" s="57">
        <f>122*F3</f>
        <v>671</v>
      </c>
      <c r="G11" s="117">
        <f t="shared" si="3"/>
        <v>738.1</v>
      </c>
      <c r="H11" s="219"/>
      <c r="I11" s="102">
        <v>349</v>
      </c>
      <c r="J11" s="178"/>
      <c r="K11" s="122">
        <v>487</v>
      </c>
      <c r="L11" s="178"/>
      <c r="M11" s="21">
        <f t="shared" si="5"/>
        <v>568</v>
      </c>
      <c r="N11" s="136">
        <f>19+8+93</f>
        <v>120</v>
      </c>
      <c r="O11" s="137">
        <f>17+78+15</f>
        <v>110</v>
      </c>
      <c r="P11" s="138">
        <v>90</v>
      </c>
      <c r="Q11" s="138">
        <f>23+22+36</f>
        <v>81</v>
      </c>
      <c r="R11" s="139">
        <v>111</v>
      </c>
      <c r="S11" s="140">
        <v>56</v>
      </c>
      <c r="T11" s="44">
        <v>0</v>
      </c>
      <c r="U11" s="160"/>
      <c r="V11" s="21">
        <f t="shared" si="4"/>
        <v>639</v>
      </c>
      <c r="W11" s="36">
        <v>169</v>
      </c>
      <c r="X11" s="42">
        <v>127</v>
      </c>
      <c r="Y11" s="43">
        <v>150</v>
      </c>
      <c r="Z11" s="43">
        <v>74</v>
      </c>
      <c r="AA11" s="63">
        <v>56</v>
      </c>
      <c r="AB11" s="27">
        <v>63</v>
      </c>
      <c r="AC11" s="44">
        <v>0</v>
      </c>
      <c r="AD11" s="160"/>
      <c r="AE11" s="21">
        <f t="shared" si="1"/>
        <v>71</v>
      </c>
      <c r="AF11" s="36">
        <v>30</v>
      </c>
      <c r="AG11" s="42">
        <v>13</v>
      </c>
      <c r="AH11" s="90">
        <v>28</v>
      </c>
    </row>
    <row r="12" spans="1:34" x14ac:dyDescent="0.25">
      <c r="A12" s="6" t="s">
        <v>8</v>
      </c>
      <c r="B12" s="34">
        <v>21</v>
      </c>
      <c r="C12" s="97">
        <v>1800</v>
      </c>
      <c r="D12" s="107">
        <f t="shared" si="0"/>
        <v>1365</v>
      </c>
      <c r="E12" s="111">
        <f t="shared" si="2"/>
        <v>0.7583333333333333</v>
      </c>
      <c r="F12" s="54">
        <f>130*F3</f>
        <v>715</v>
      </c>
      <c r="G12" s="112">
        <f t="shared" si="3"/>
        <v>786.50000000000011</v>
      </c>
      <c r="H12" s="219"/>
      <c r="I12" s="100">
        <v>255</v>
      </c>
      <c r="J12" s="178"/>
      <c r="K12" s="120">
        <v>323</v>
      </c>
      <c r="L12" s="178"/>
      <c r="M12" s="69">
        <f t="shared" si="5"/>
        <v>371</v>
      </c>
      <c r="N12" s="126">
        <f>27+56</f>
        <v>83</v>
      </c>
      <c r="O12" s="128">
        <v>61</v>
      </c>
      <c r="P12" s="127">
        <f>14+33</f>
        <v>47</v>
      </c>
      <c r="Q12" s="128">
        <v>54</v>
      </c>
      <c r="R12" s="129">
        <v>95</v>
      </c>
      <c r="S12" s="141">
        <v>31</v>
      </c>
      <c r="T12" s="37">
        <v>0</v>
      </c>
      <c r="U12" s="160"/>
      <c r="V12" s="69">
        <f t="shared" si="4"/>
        <v>358</v>
      </c>
      <c r="W12" s="67">
        <v>98</v>
      </c>
      <c r="X12" s="45">
        <v>68</v>
      </c>
      <c r="Y12" s="46">
        <v>78</v>
      </c>
      <c r="Z12" s="45">
        <v>46</v>
      </c>
      <c r="AA12" s="62">
        <v>48</v>
      </c>
      <c r="AB12" s="47">
        <v>20</v>
      </c>
      <c r="AC12" s="37">
        <v>0</v>
      </c>
      <c r="AD12" s="160"/>
      <c r="AE12" s="69">
        <f t="shared" si="1"/>
        <v>58</v>
      </c>
      <c r="AF12" s="67">
        <v>22</v>
      </c>
      <c r="AG12" s="45">
        <v>19</v>
      </c>
      <c r="AH12" s="37">
        <v>17</v>
      </c>
    </row>
    <row r="13" spans="1:34" x14ac:dyDescent="0.25">
      <c r="A13" s="6" t="s">
        <v>8</v>
      </c>
      <c r="B13" s="34">
        <v>38</v>
      </c>
      <c r="C13" s="98">
        <v>3360</v>
      </c>
      <c r="D13" s="108">
        <f t="shared" si="0"/>
        <v>2641</v>
      </c>
      <c r="E13" s="113">
        <f t="shared" si="2"/>
        <v>0.78601190476190474</v>
      </c>
      <c r="F13" s="56">
        <f>240*F3</f>
        <v>1320</v>
      </c>
      <c r="G13" s="115">
        <f t="shared" si="3"/>
        <v>1452.0000000000002</v>
      </c>
      <c r="H13" s="219"/>
      <c r="I13" s="101">
        <v>400</v>
      </c>
      <c r="J13" s="178"/>
      <c r="K13" s="121">
        <v>590</v>
      </c>
      <c r="L13" s="178"/>
      <c r="M13" s="70">
        <f t="shared" si="5"/>
        <v>749</v>
      </c>
      <c r="N13" s="131">
        <f>4+33+98+23</f>
        <v>158</v>
      </c>
      <c r="O13" s="133">
        <v>131</v>
      </c>
      <c r="P13" s="132">
        <f>6+26+20+89</f>
        <v>141</v>
      </c>
      <c r="Q13" s="133">
        <f>11+29+24+54</f>
        <v>118</v>
      </c>
      <c r="R13" s="134">
        <v>137</v>
      </c>
      <c r="S13" s="142">
        <v>64</v>
      </c>
      <c r="T13" s="38">
        <v>0</v>
      </c>
      <c r="U13" s="160"/>
      <c r="V13" s="70">
        <f t="shared" si="4"/>
        <v>730</v>
      </c>
      <c r="W13" s="53">
        <v>199</v>
      </c>
      <c r="X13" s="40">
        <v>155</v>
      </c>
      <c r="Y13" s="39">
        <v>151</v>
      </c>
      <c r="Z13" s="40">
        <v>100</v>
      </c>
      <c r="AA13" s="59">
        <v>81</v>
      </c>
      <c r="AB13" s="48">
        <v>44</v>
      </c>
      <c r="AC13" s="38">
        <v>0</v>
      </c>
      <c r="AD13" s="160"/>
      <c r="AE13" s="70">
        <f t="shared" si="1"/>
        <v>172</v>
      </c>
      <c r="AF13" s="53">
        <v>63</v>
      </c>
      <c r="AG13" s="40">
        <v>50</v>
      </c>
      <c r="AH13" s="38">
        <v>59</v>
      </c>
    </row>
    <row r="14" spans="1:34" x14ac:dyDescent="0.25">
      <c r="A14" s="6" t="s">
        <v>8</v>
      </c>
      <c r="B14" s="34">
        <v>58</v>
      </c>
      <c r="C14" s="98">
        <v>280</v>
      </c>
      <c r="D14" s="108">
        <f t="shared" si="0"/>
        <v>231</v>
      </c>
      <c r="E14" s="113">
        <f t="shared" si="2"/>
        <v>0.82499999999999996</v>
      </c>
      <c r="F14" s="55">
        <f>20*F3</f>
        <v>110</v>
      </c>
      <c r="G14" s="114">
        <f t="shared" si="3"/>
        <v>121.00000000000001</v>
      </c>
      <c r="H14" s="219"/>
      <c r="I14" s="101">
        <v>30</v>
      </c>
      <c r="J14" s="178"/>
      <c r="K14" s="121">
        <v>64</v>
      </c>
      <c r="L14" s="178"/>
      <c r="M14" s="70">
        <f t="shared" si="5"/>
        <v>66</v>
      </c>
      <c r="N14" s="131">
        <v>13</v>
      </c>
      <c r="O14" s="133">
        <v>12</v>
      </c>
      <c r="P14" s="132">
        <v>13</v>
      </c>
      <c r="Q14" s="133">
        <v>15</v>
      </c>
      <c r="R14" s="134">
        <v>10</v>
      </c>
      <c r="S14" s="142">
        <v>3</v>
      </c>
      <c r="T14" s="38">
        <v>0</v>
      </c>
      <c r="U14" s="160"/>
      <c r="V14" s="70">
        <f t="shared" si="4"/>
        <v>54</v>
      </c>
      <c r="W14" s="53">
        <v>15</v>
      </c>
      <c r="X14" s="40">
        <v>8</v>
      </c>
      <c r="Y14" s="39">
        <v>13</v>
      </c>
      <c r="Z14" s="40">
        <v>11</v>
      </c>
      <c r="AA14" s="59">
        <v>5</v>
      </c>
      <c r="AB14" s="48">
        <v>2</v>
      </c>
      <c r="AC14" s="38">
        <v>0</v>
      </c>
      <c r="AD14" s="160"/>
      <c r="AE14" s="70">
        <f t="shared" si="1"/>
        <v>17</v>
      </c>
      <c r="AF14" s="53">
        <v>9</v>
      </c>
      <c r="AG14" s="40">
        <v>3</v>
      </c>
      <c r="AH14" s="38">
        <v>5</v>
      </c>
    </row>
    <row r="15" spans="1:34" x14ac:dyDescent="0.25">
      <c r="A15" s="6" t="s">
        <v>8</v>
      </c>
      <c r="B15" s="34">
        <v>73</v>
      </c>
      <c r="C15" s="98">
        <v>840</v>
      </c>
      <c r="D15" s="108">
        <f t="shared" si="0"/>
        <v>766</v>
      </c>
      <c r="E15" s="113">
        <f t="shared" si="2"/>
        <v>0.91190476190476188</v>
      </c>
      <c r="F15" s="55">
        <f>50*F3</f>
        <v>275</v>
      </c>
      <c r="G15" s="114">
        <f t="shared" si="3"/>
        <v>302.5</v>
      </c>
      <c r="H15" s="219"/>
      <c r="I15" s="101">
        <v>118</v>
      </c>
      <c r="J15" s="178"/>
      <c r="K15" s="121">
        <v>180</v>
      </c>
      <c r="L15" s="178"/>
      <c r="M15" s="70">
        <f t="shared" si="5"/>
        <v>205</v>
      </c>
      <c r="N15" s="131">
        <v>45</v>
      </c>
      <c r="O15" s="133">
        <v>43</v>
      </c>
      <c r="P15" s="132">
        <v>40</v>
      </c>
      <c r="Q15" s="133">
        <v>30</v>
      </c>
      <c r="R15" s="134">
        <v>41</v>
      </c>
      <c r="S15" s="142">
        <v>6</v>
      </c>
      <c r="T15" s="38">
        <v>0</v>
      </c>
      <c r="U15" s="160"/>
      <c r="V15" s="70">
        <f t="shared" si="4"/>
        <v>205</v>
      </c>
      <c r="W15" s="53">
        <v>46</v>
      </c>
      <c r="X15" s="40">
        <v>43</v>
      </c>
      <c r="Y15" s="39">
        <v>46</v>
      </c>
      <c r="Z15" s="40">
        <v>41</v>
      </c>
      <c r="AA15" s="59">
        <v>23</v>
      </c>
      <c r="AB15" s="48">
        <v>6</v>
      </c>
      <c r="AC15" s="38">
        <v>0</v>
      </c>
      <c r="AD15" s="160"/>
      <c r="AE15" s="70">
        <f t="shared" si="1"/>
        <v>58</v>
      </c>
      <c r="AF15" s="53">
        <v>19</v>
      </c>
      <c r="AG15" s="40">
        <v>22</v>
      </c>
      <c r="AH15" s="38">
        <v>17</v>
      </c>
    </row>
    <row r="16" spans="1:34" ht="15.75" thickBot="1" x14ac:dyDescent="0.3">
      <c r="A16" s="7" t="s">
        <v>8</v>
      </c>
      <c r="B16" s="12">
        <v>74</v>
      </c>
      <c r="C16" s="99">
        <v>2040</v>
      </c>
      <c r="D16" s="109">
        <f t="shared" si="0"/>
        <v>1700</v>
      </c>
      <c r="E16" s="116">
        <f t="shared" si="2"/>
        <v>0.83333333333333337</v>
      </c>
      <c r="F16" s="58">
        <f>90*F3</f>
        <v>495</v>
      </c>
      <c r="G16" s="118">
        <f t="shared" si="3"/>
        <v>544.5</v>
      </c>
      <c r="H16" s="219"/>
      <c r="I16" s="102">
        <v>294</v>
      </c>
      <c r="J16" s="178"/>
      <c r="K16" s="122">
        <v>328</v>
      </c>
      <c r="L16" s="178"/>
      <c r="M16" s="21">
        <f t="shared" si="5"/>
        <v>448</v>
      </c>
      <c r="N16" s="136">
        <f>6+18+41+15</f>
        <v>80</v>
      </c>
      <c r="O16" s="138">
        <v>80</v>
      </c>
      <c r="P16" s="137">
        <v>80</v>
      </c>
      <c r="Q16" s="138">
        <f>44+34</f>
        <v>78</v>
      </c>
      <c r="R16" s="138">
        <v>98</v>
      </c>
      <c r="S16" s="142">
        <v>32</v>
      </c>
      <c r="T16" s="44">
        <v>0</v>
      </c>
      <c r="U16" s="160"/>
      <c r="V16" s="21">
        <f t="shared" si="4"/>
        <v>455</v>
      </c>
      <c r="W16" s="36">
        <v>97</v>
      </c>
      <c r="X16" s="43">
        <v>97</v>
      </c>
      <c r="Y16" s="42">
        <v>101</v>
      </c>
      <c r="Z16" s="43">
        <v>70</v>
      </c>
      <c r="AA16" s="43">
        <v>62</v>
      </c>
      <c r="AB16" s="48">
        <v>28</v>
      </c>
      <c r="AC16" s="44">
        <v>0</v>
      </c>
      <c r="AD16" s="160"/>
      <c r="AE16" s="21">
        <f t="shared" si="1"/>
        <v>175</v>
      </c>
      <c r="AF16" s="36">
        <v>69</v>
      </c>
      <c r="AG16" s="43">
        <v>51</v>
      </c>
      <c r="AH16" s="44">
        <v>55</v>
      </c>
    </row>
    <row r="17" spans="1:34" x14ac:dyDescent="0.25">
      <c r="A17" s="8" t="s">
        <v>0</v>
      </c>
      <c r="B17" s="13">
        <v>30</v>
      </c>
      <c r="C17" s="97">
        <v>2240</v>
      </c>
      <c r="D17" s="107">
        <f t="shared" si="0"/>
        <v>2034</v>
      </c>
      <c r="E17" s="111">
        <f t="shared" si="2"/>
        <v>0.90803571428571428</v>
      </c>
      <c r="F17" s="54">
        <v>469</v>
      </c>
      <c r="G17" s="119">
        <f t="shared" si="3"/>
        <v>515.90000000000009</v>
      </c>
      <c r="H17" s="219"/>
      <c r="I17" s="100">
        <v>303</v>
      </c>
      <c r="J17" s="178"/>
      <c r="K17" s="120">
        <v>381</v>
      </c>
      <c r="L17" s="178"/>
      <c r="M17" s="71">
        <f t="shared" si="5"/>
        <v>475</v>
      </c>
      <c r="N17" s="126">
        <f>4+17+45+18</f>
        <v>84</v>
      </c>
      <c r="O17" s="127">
        <f>15+57+10</f>
        <v>82</v>
      </c>
      <c r="P17" s="128">
        <f>16+12+56</f>
        <v>84</v>
      </c>
      <c r="Q17" s="128">
        <f>38+24+36</f>
        <v>98</v>
      </c>
      <c r="R17" s="129">
        <v>97</v>
      </c>
      <c r="S17" s="130">
        <v>30</v>
      </c>
      <c r="T17" s="37">
        <v>0</v>
      </c>
      <c r="U17" s="160"/>
      <c r="V17" s="71">
        <f t="shared" si="4"/>
        <v>590</v>
      </c>
      <c r="W17" s="67">
        <v>110</v>
      </c>
      <c r="X17" s="46">
        <v>115</v>
      </c>
      <c r="Y17" s="45">
        <v>120</v>
      </c>
      <c r="Z17" s="45">
        <v>111</v>
      </c>
      <c r="AA17" s="62">
        <v>111</v>
      </c>
      <c r="AB17" s="49">
        <v>23</v>
      </c>
      <c r="AC17" s="37">
        <v>0</v>
      </c>
      <c r="AD17" s="160"/>
      <c r="AE17" s="71">
        <f t="shared" si="1"/>
        <v>285</v>
      </c>
      <c r="AF17" s="67">
        <v>94</v>
      </c>
      <c r="AG17" s="46">
        <v>97</v>
      </c>
      <c r="AH17" s="37">
        <v>94</v>
      </c>
    </row>
    <row r="18" spans="1:34" x14ac:dyDescent="0.25">
      <c r="A18" s="6" t="s">
        <v>0</v>
      </c>
      <c r="B18" s="11">
        <v>34</v>
      </c>
      <c r="C18" s="98">
        <v>4560</v>
      </c>
      <c r="D18" s="108">
        <f t="shared" si="0"/>
        <v>3488</v>
      </c>
      <c r="E18" s="113">
        <f t="shared" si="2"/>
        <v>0.76491228070175443</v>
      </c>
      <c r="F18" s="55">
        <v>849</v>
      </c>
      <c r="G18" s="114">
        <f t="shared" si="3"/>
        <v>933.90000000000009</v>
      </c>
      <c r="H18" s="219"/>
      <c r="I18" s="101">
        <v>561</v>
      </c>
      <c r="J18" s="178"/>
      <c r="K18" s="121">
        <v>700</v>
      </c>
      <c r="L18" s="178"/>
      <c r="M18" s="70">
        <f t="shared" si="5"/>
        <v>908</v>
      </c>
      <c r="N18" s="131">
        <f>4+31+97+40</f>
        <v>172</v>
      </c>
      <c r="O18" s="132">
        <f>135+45</f>
        <v>180</v>
      </c>
      <c r="P18" s="133">
        <f>28+31+110</f>
        <v>169</v>
      </c>
      <c r="Q18" s="133">
        <f>20+45+34+79</f>
        <v>178</v>
      </c>
      <c r="R18" s="134">
        <v>173</v>
      </c>
      <c r="S18" s="135">
        <v>36</v>
      </c>
      <c r="T18" s="38">
        <v>0</v>
      </c>
      <c r="U18" s="160"/>
      <c r="V18" s="70">
        <f t="shared" si="4"/>
        <v>958</v>
      </c>
      <c r="W18" s="53">
        <v>204</v>
      </c>
      <c r="X18" s="39">
        <v>187</v>
      </c>
      <c r="Y18" s="40">
        <v>189</v>
      </c>
      <c r="Z18" s="40">
        <v>182</v>
      </c>
      <c r="AA18" s="59">
        <v>167</v>
      </c>
      <c r="AB18" s="41">
        <v>29</v>
      </c>
      <c r="AC18" s="38">
        <v>0</v>
      </c>
      <c r="AD18" s="160"/>
      <c r="AE18" s="70">
        <f t="shared" si="1"/>
        <v>361</v>
      </c>
      <c r="AF18" s="53">
        <v>152</v>
      </c>
      <c r="AG18" s="39">
        <v>108</v>
      </c>
      <c r="AH18" s="38">
        <v>101</v>
      </c>
    </row>
    <row r="19" spans="1:34" x14ac:dyDescent="0.25">
      <c r="A19" s="6" t="s">
        <v>0</v>
      </c>
      <c r="B19" s="11">
        <v>46</v>
      </c>
      <c r="C19" s="98">
        <v>280</v>
      </c>
      <c r="D19" s="108">
        <f t="shared" si="0"/>
        <v>208</v>
      </c>
      <c r="E19" s="113">
        <f t="shared" si="2"/>
        <v>0.74285714285714288</v>
      </c>
      <c r="F19" s="55">
        <v>55</v>
      </c>
      <c r="G19" s="114">
        <f t="shared" si="3"/>
        <v>60.500000000000007</v>
      </c>
      <c r="H19" s="219"/>
      <c r="I19" s="101">
        <v>28</v>
      </c>
      <c r="J19" s="178"/>
      <c r="K19" s="121">
        <v>54</v>
      </c>
      <c r="L19" s="178"/>
      <c r="M19" s="70">
        <f t="shared" si="5"/>
        <v>56</v>
      </c>
      <c r="N19" s="131">
        <f>3+3+8+2</f>
        <v>16</v>
      </c>
      <c r="O19" s="132">
        <v>7</v>
      </c>
      <c r="P19" s="133">
        <v>6</v>
      </c>
      <c r="Q19" s="133">
        <v>13</v>
      </c>
      <c r="R19" s="134">
        <v>9</v>
      </c>
      <c r="S19" s="135">
        <v>5</v>
      </c>
      <c r="T19" s="38">
        <v>0</v>
      </c>
      <c r="U19" s="160"/>
      <c r="V19" s="70">
        <f t="shared" si="4"/>
        <v>52</v>
      </c>
      <c r="W19" s="53">
        <v>15</v>
      </c>
      <c r="X19" s="39">
        <v>8</v>
      </c>
      <c r="Y19" s="40">
        <v>8</v>
      </c>
      <c r="Z19" s="40">
        <v>11</v>
      </c>
      <c r="AA19" s="59">
        <v>8</v>
      </c>
      <c r="AB19" s="41">
        <v>2</v>
      </c>
      <c r="AC19" s="38">
        <v>0</v>
      </c>
      <c r="AD19" s="160"/>
      <c r="AE19" s="70">
        <f t="shared" si="1"/>
        <v>18</v>
      </c>
      <c r="AF19" s="53">
        <v>8</v>
      </c>
      <c r="AG19" s="39">
        <v>6</v>
      </c>
      <c r="AH19" s="38">
        <v>4</v>
      </c>
    </row>
    <row r="20" spans="1:34" x14ac:dyDescent="0.25">
      <c r="A20" s="6" t="s">
        <v>0</v>
      </c>
      <c r="B20" s="34">
        <v>81</v>
      </c>
      <c r="C20" s="98">
        <v>720</v>
      </c>
      <c r="D20" s="108">
        <f t="shared" si="0"/>
        <v>522</v>
      </c>
      <c r="E20" s="113">
        <f t="shared" si="2"/>
        <v>0.72499999999999998</v>
      </c>
      <c r="F20" s="55">
        <v>134</v>
      </c>
      <c r="G20" s="114">
        <f t="shared" si="3"/>
        <v>147.4</v>
      </c>
      <c r="H20" s="219"/>
      <c r="I20" s="101">
        <v>88</v>
      </c>
      <c r="J20" s="178"/>
      <c r="K20" s="121">
        <v>114</v>
      </c>
      <c r="L20" s="178"/>
      <c r="M20" s="70">
        <f t="shared" si="5"/>
        <v>129</v>
      </c>
      <c r="N20" s="131">
        <v>25</v>
      </c>
      <c r="O20" s="132">
        <v>26</v>
      </c>
      <c r="P20" s="133">
        <v>22</v>
      </c>
      <c r="Q20" s="133">
        <v>26</v>
      </c>
      <c r="R20" s="134">
        <v>24</v>
      </c>
      <c r="S20" s="135">
        <v>6</v>
      </c>
      <c r="T20" s="38">
        <v>0</v>
      </c>
      <c r="U20" s="160"/>
      <c r="V20" s="70">
        <f t="shared" si="4"/>
        <v>156</v>
      </c>
      <c r="W20" s="53">
        <v>33</v>
      </c>
      <c r="X20" s="39">
        <v>33</v>
      </c>
      <c r="Y20" s="40">
        <v>35</v>
      </c>
      <c r="Z20" s="40">
        <v>29</v>
      </c>
      <c r="AA20" s="59">
        <v>22</v>
      </c>
      <c r="AB20" s="41">
        <v>4</v>
      </c>
      <c r="AC20" s="38">
        <v>0</v>
      </c>
      <c r="AD20" s="160"/>
      <c r="AE20" s="70">
        <f t="shared" si="1"/>
        <v>35</v>
      </c>
      <c r="AF20" s="53">
        <v>14</v>
      </c>
      <c r="AG20" s="39">
        <v>10</v>
      </c>
      <c r="AH20" s="38">
        <v>11</v>
      </c>
    </row>
    <row r="21" spans="1:34" ht="15.75" thickBot="1" x14ac:dyDescent="0.3">
      <c r="A21" s="7" t="s">
        <v>0</v>
      </c>
      <c r="B21" s="12">
        <v>82</v>
      </c>
      <c r="C21" s="99">
        <v>800</v>
      </c>
      <c r="D21" s="109">
        <f t="shared" si="0"/>
        <v>762</v>
      </c>
      <c r="E21" s="116">
        <f t="shared" si="2"/>
        <v>0.95250000000000001</v>
      </c>
      <c r="F21" s="58">
        <v>197</v>
      </c>
      <c r="G21" s="118">
        <f t="shared" si="3"/>
        <v>216.70000000000002</v>
      </c>
      <c r="H21" s="219"/>
      <c r="I21" s="102">
        <v>115</v>
      </c>
      <c r="J21" s="178"/>
      <c r="K21" s="123">
        <v>166</v>
      </c>
      <c r="L21" s="178"/>
      <c r="M21" s="21">
        <f t="shared" si="5"/>
        <v>213</v>
      </c>
      <c r="N21" s="136">
        <f>16+19</f>
        <v>35</v>
      </c>
      <c r="O21" s="143">
        <v>34</v>
      </c>
      <c r="P21" s="144">
        <v>43</v>
      </c>
      <c r="Q21" s="138">
        <v>42</v>
      </c>
      <c r="R21" s="139">
        <v>51</v>
      </c>
      <c r="S21" s="140">
        <v>8</v>
      </c>
      <c r="T21" s="44">
        <v>0</v>
      </c>
      <c r="U21" s="160"/>
      <c r="V21" s="21">
        <f t="shared" si="4"/>
        <v>216</v>
      </c>
      <c r="W21" s="36">
        <v>54</v>
      </c>
      <c r="X21" s="65">
        <v>51</v>
      </c>
      <c r="Y21" s="66">
        <v>44</v>
      </c>
      <c r="Z21" s="43">
        <v>28</v>
      </c>
      <c r="AA21" s="63">
        <v>32</v>
      </c>
      <c r="AB21" s="27">
        <v>7</v>
      </c>
      <c r="AC21" s="44">
        <v>0</v>
      </c>
      <c r="AD21" s="160"/>
      <c r="AE21" s="21">
        <f t="shared" si="1"/>
        <v>52</v>
      </c>
      <c r="AF21" s="36">
        <v>25</v>
      </c>
      <c r="AG21" s="65">
        <v>14</v>
      </c>
      <c r="AH21" s="91">
        <v>13</v>
      </c>
    </row>
    <row r="22" spans="1:34" x14ac:dyDescent="0.25">
      <c r="A22" s="5" t="s">
        <v>1</v>
      </c>
      <c r="B22" s="13" t="s">
        <v>10</v>
      </c>
      <c r="C22" s="96">
        <v>160</v>
      </c>
      <c r="D22" s="110">
        <f t="shared" si="0"/>
        <v>212</v>
      </c>
      <c r="E22" s="111">
        <f t="shared" si="2"/>
        <v>1.325</v>
      </c>
      <c r="F22" s="54">
        <f>12*F3</f>
        <v>66</v>
      </c>
      <c r="G22" s="119">
        <f t="shared" si="3"/>
        <v>72.600000000000009</v>
      </c>
      <c r="H22" s="219"/>
      <c r="I22" s="100">
        <v>35</v>
      </c>
      <c r="J22" s="178"/>
      <c r="K22" s="120">
        <v>39</v>
      </c>
      <c r="L22" s="178"/>
      <c r="M22" s="69">
        <f t="shared" si="5"/>
        <v>46</v>
      </c>
      <c r="N22" s="131">
        <v>6</v>
      </c>
      <c r="O22" s="132">
        <v>9</v>
      </c>
      <c r="P22" s="133">
        <v>10</v>
      </c>
      <c r="Q22" s="133">
        <v>8</v>
      </c>
      <c r="R22" s="134">
        <v>8</v>
      </c>
      <c r="S22" s="135">
        <v>5</v>
      </c>
      <c r="T22" s="37">
        <v>0</v>
      </c>
      <c r="U22" s="160"/>
      <c r="V22" s="69">
        <f t="shared" si="4"/>
        <v>62</v>
      </c>
      <c r="W22" s="53">
        <v>12</v>
      </c>
      <c r="X22" s="39">
        <v>11</v>
      </c>
      <c r="Y22" s="40">
        <v>10</v>
      </c>
      <c r="Z22" s="40">
        <v>12</v>
      </c>
      <c r="AA22" s="59">
        <v>11</v>
      </c>
      <c r="AB22" s="41">
        <v>6</v>
      </c>
      <c r="AC22" s="37">
        <v>0</v>
      </c>
      <c r="AD22" s="160"/>
      <c r="AE22" s="69">
        <f t="shared" si="1"/>
        <v>30</v>
      </c>
      <c r="AF22" s="53">
        <v>10</v>
      </c>
      <c r="AG22" s="39">
        <v>9</v>
      </c>
      <c r="AH22" s="38">
        <v>11</v>
      </c>
    </row>
    <row r="23" spans="1:34" x14ac:dyDescent="0.25">
      <c r="A23" s="9" t="s">
        <v>1</v>
      </c>
      <c r="B23" s="22" t="s">
        <v>11</v>
      </c>
      <c r="C23" s="96">
        <v>160</v>
      </c>
      <c r="D23" s="110">
        <f t="shared" si="0"/>
        <v>155</v>
      </c>
      <c r="E23" s="113">
        <f t="shared" si="2"/>
        <v>0.96875</v>
      </c>
      <c r="F23" s="55">
        <f>8*F3</f>
        <v>44</v>
      </c>
      <c r="G23" s="114">
        <f t="shared" si="3"/>
        <v>48.400000000000006</v>
      </c>
      <c r="H23" s="219"/>
      <c r="I23" s="101">
        <v>23</v>
      </c>
      <c r="J23" s="178"/>
      <c r="K23" s="121">
        <v>31</v>
      </c>
      <c r="L23" s="178"/>
      <c r="M23" s="70">
        <f t="shared" si="5"/>
        <v>39</v>
      </c>
      <c r="N23" s="131">
        <v>8</v>
      </c>
      <c r="O23" s="145">
        <v>6</v>
      </c>
      <c r="P23" s="145">
        <v>6</v>
      </c>
      <c r="Q23" s="145">
        <v>7</v>
      </c>
      <c r="R23" s="145">
        <v>9</v>
      </c>
      <c r="S23" s="135">
        <v>3</v>
      </c>
      <c r="T23" s="38">
        <v>0</v>
      </c>
      <c r="U23" s="160"/>
      <c r="V23" s="70">
        <f t="shared" si="4"/>
        <v>40</v>
      </c>
      <c r="W23" s="53">
        <v>9</v>
      </c>
      <c r="X23" s="35">
        <v>7</v>
      </c>
      <c r="Y23" s="35">
        <v>7</v>
      </c>
      <c r="Z23" s="35">
        <v>7</v>
      </c>
      <c r="AA23" s="35">
        <v>7</v>
      </c>
      <c r="AB23" s="41">
        <v>3</v>
      </c>
      <c r="AC23" s="38">
        <v>0</v>
      </c>
      <c r="AD23" s="160"/>
      <c r="AE23" s="70">
        <f t="shared" si="1"/>
        <v>22</v>
      </c>
      <c r="AF23" s="53">
        <v>8</v>
      </c>
      <c r="AG23" s="35">
        <v>7</v>
      </c>
      <c r="AH23" s="52">
        <v>7</v>
      </c>
    </row>
    <row r="24" spans="1:34" ht="15.75" thickBot="1" x14ac:dyDescent="0.3">
      <c r="A24" s="10" t="s">
        <v>1</v>
      </c>
      <c r="B24" s="22" t="s">
        <v>12</v>
      </c>
      <c r="C24" s="96">
        <v>4960</v>
      </c>
      <c r="D24" s="110">
        <f t="shared" si="0"/>
        <v>4810</v>
      </c>
      <c r="E24" s="116">
        <f t="shared" si="2"/>
        <v>0.969758064516129</v>
      </c>
      <c r="F24" s="58">
        <f>160*F3</f>
        <v>880</v>
      </c>
      <c r="G24" s="117">
        <f t="shared" si="3"/>
        <v>968.00000000000011</v>
      </c>
      <c r="H24" s="219"/>
      <c r="I24" s="102">
        <v>659</v>
      </c>
      <c r="J24" s="178"/>
      <c r="K24" s="122">
        <v>898</v>
      </c>
      <c r="L24" s="178"/>
      <c r="M24" s="21">
        <f t="shared" si="5"/>
        <v>1155</v>
      </c>
      <c r="N24" s="146">
        <f>49+128+26</f>
        <v>203</v>
      </c>
      <c r="O24" s="147">
        <f>55+36+131</f>
        <v>222</v>
      </c>
      <c r="P24" s="147">
        <f>45+119+30</f>
        <v>194</v>
      </c>
      <c r="Q24" s="147">
        <f>50+16+42+101</f>
        <v>209</v>
      </c>
      <c r="R24" s="147">
        <v>219</v>
      </c>
      <c r="S24" s="135">
        <v>108</v>
      </c>
      <c r="T24" s="44">
        <v>0</v>
      </c>
      <c r="U24" s="160"/>
      <c r="V24" s="21">
        <f t="shared" si="4"/>
        <v>1345</v>
      </c>
      <c r="W24" s="83">
        <v>245</v>
      </c>
      <c r="X24" s="82">
        <v>261</v>
      </c>
      <c r="Y24" s="82">
        <v>274</v>
      </c>
      <c r="Z24" s="82">
        <v>241</v>
      </c>
      <c r="AA24" s="82">
        <v>236</v>
      </c>
      <c r="AB24" s="41">
        <v>88</v>
      </c>
      <c r="AC24" s="44">
        <v>0</v>
      </c>
      <c r="AD24" s="160"/>
      <c r="AE24" s="21">
        <f t="shared" si="1"/>
        <v>753</v>
      </c>
      <c r="AF24" s="83">
        <v>264</v>
      </c>
      <c r="AG24" s="82">
        <v>248</v>
      </c>
      <c r="AH24" s="92">
        <v>241</v>
      </c>
    </row>
    <row r="25" spans="1:34" ht="15.75" thickBot="1" x14ac:dyDescent="0.3">
      <c r="A25" s="8" t="s">
        <v>2</v>
      </c>
      <c r="B25" s="13">
        <v>54</v>
      </c>
      <c r="C25" s="19">
        <v>884</v>
      </c>
      <c r="D25" s="107">
        <f t="shared" si="0"/>
        <v>1075</v>
      </c>
      <c r="E25" s="111">
        <f t="shared" si="2"/>
        <v>1.2160633484162895</v>
      </c>
      <c r="F25" s="54">
        <f>60*F3</f>
        <v>330</v>
      </c>
      <c r="G25" s="119">
        <f t="shared" si="3"/>
        <v>363.00000000000006</v>
      </c>
      <c r="H25" s="219"/>
      <c r="I25" s="100">
        <v>187</v>
      </c>
      <c r="J25" s="178"/>
      <c r="K25" s="124">
        <v>302</v>
      </c>
      <c r="L25" s="178"/>
      <c r="M25" s="78">
        <f t="shared" si="5"/>
        <v>283</v>
      </c>
      <c r="N25" s="148">
        <f>12+22+34</f>
        <v>68</v>
      </c>
      <c r="O25" s="149">
        <v>51</v>
      </c>
      <c r="P25" s="150">
        <v>48</v>
      </c>
      <c r="Q25" s="86">
        <f>23+28</f>
        <v>51</v>
      </c>
      <c r="R25" s="87">
        <v>55</v>
      </c>
      <c r="S25" s="88">
        <v>10</v>
      </c>
      <c r="T25" s="89">
        <v>0</v>
      </c>
      <c r="U25" s="160"/>
      <c r="V25" s="78">
        <f t="shared" si="4"/>
        <v>211</v>
      </c>
      <c r="W25" s="84">
        <v>53</v>
      </c>
      <c r="X25" s="85">
        <v>49</v>
      </c>
      <c r="Y25" s="86">
        <v>36</v>
      </c>
      <c r="Z25" s="86">
        <v>31</v>
      </c>
      <c r="AA25" s="87">
        <v>37</v>
      </c>
      <c r="AB25" s="88">
        <v>5</v>
      </c>
      <c r="AC25" s="89">
        <v>0</v>
      </c>
      <c r="AD25" s="160"/>
      <c r="AE25" s="78">
        <f t="shared" si="1"/>
        <v>92</v>
      </c>
      <c r="AF25" s="84">
        <v>38</v>
      </c>
      <c r="AG25" s="85">
        <v>26</v>
      </c>
      <c r="AH25" s="89">
        <v>28</v>
      </c>
    </row>
    <row r="26" spans="1:34" x14ac:dyDescent="0.25">
      <c r="A26" s="8" t="s">
        <v>5</v>
      </c>
      <c r="B26" s="13" t="s">
        <v>3</v>
      </c>
      <c r="C26" s="19">
        <v>160</v>
      </c>
      <c r="D26" s="107">
        <f t="shared" si="0"/>
        <v>114</v>
      </c>
      <c r="E26" s="111">
        <f t="shared" si="2"/>
        <v>0.71250000000000002</v>
      </c>
      <c r="F26" s="54">
        <f>7.5*F3</f>
        <v>41.25</v>
      </c>
      <c r="G26" s="119">
        <f t="shared" si="3"/>
        <v>45.375000000000007</v>
      </c>
      <c r="H26" s="219"/>
      <c r="I26" s="100">
        <v>18</v>
      </c>
      <c r="J26" s="178"/>
      <c r="K26" s="120">
        <v>21</v>
      </c>
      <c r="L26" s="178"/>
      <c r="M26" s="71">
        <f t="shared" si="5"/>
        <v>33</v>
      </c>
      <c r="N26" s="151">
        <v>4</v>
      </c>
      <c r="O26" s="152">
        <v>6</v>
      </c>
      <c r="P26" s="153">
        <v>9</v>
      </c>
      <c r="Q26" s="51">
        <v>6</v>
      </c>
      <c r="R26" s="60">
        <v>8</v>
      </c>
      <c r="S26" s="64">
        <v>0</v>
      </c>
      <c r="T26" s="61">
        <v>0</v>
      </c>
      <c r="U26" s="160"/>
      <c r="V26" s="71">
        <f t="shared" si="4"/>
        <v>33</v>
      </c>
      <c r="W26" s="68">
        <v>5</v>
      </c>
      <c r="X26" s="50">
        <v>6</v>
      </c>
      <c r="Y26" s="51">
        <v>9</v>
      </c>
      <c r="Z26" s="51">
        <v>7</v>
      </c>
      <c r="AA26" s="60">
        <v>6</v>
      </c>
      <c r="AB26" s="64">
        <v>0</v>
      </c>
      <c r="AC26" s="61">
        <v>0</v>
      </c>
      <c r="AD26" s="160"/>
      <c r="AE26" s="71">
        <f t="shared" si="1"/>
        <v>9</v>
      </c>
      <c r="AF26" s="68">
        <v>4</v>
      </c>
      <c r="AG26" s="50">
        <v>3</v>
      </c>
      <c r="AH26" s="61">
        <v>2</v>
      </c>
    </row>
    <row r="27" spans="1:34" ht="15.75" thickBot="1" x14ac:dyDescent="0.3">
      <c r="A27" s="7" t="s">
        <v>5</v>
      </c>
      <c r="B27" s="12" t="s">
        <v>4</v>
      </c>
      <c r="C27" s="20">
        <v>120</v>
      </c>
      <c r="D27" s="109">
        <f t="shared" si="0"/>
        <v>73</v>
      </c>
      <c r="E27" s="116">
        <f t="shared" si="2"/>
        <v>0.60833333333333328</v>
      </c>
      <c r="F27" s="58">
        <f>9*F3</f>
        <v>49.5</v>
      </c>
      <c r="G27" s="118">
        <f t="shared" si="3"/>
        <v>54.45</v>
      </c>
      <c r="H27" s="220"/>
      <c r="I27" s="102">
        <v>16</v>
      </c>
      <c r="J27" s="178"/>
      <c r="K27" s="122">
        <v>14</v>
      </c>
      <c r="L27" s="178"/>
      <c r="M27" s="30">
        <f t="shared" si="5"/>
        <v>26</v>
      </c>
      <c r="N27" s="72">
        <v>8</v>
      </c>
      <c r="O27" s="73">
        <v>8</v>
      </c>
      <c r="P27" s="74">
        <v>5</v>
      </c>
      <c r="Q27" s="74">
        <v>3</v>
      </c>
      <c r="R27" s="75">
        <v>2</v>
      </c>
      <c r="S27" s="76">
        <v>0</v>
      </c>
      <c r="T27" s="77">
        <v>0</v>
      </c>
      <c r="U27" s="160"/>
      <c r="V27" s="30">
        <f t="shared" si="4"/>
        <v>14</v>
      </c>
      <c r="W27" s="72">
        <v>2</v>
      </c>
      <c r="X27" s="73">
        <v>1</v>
      </c>
      <c r="Y27" s="74">
        <v>6</v>
      </c>
      <c r="Z27" s="74">
        <v>4</v>
      </c>
      <c r="AA27" s="75">
        <v>1</v>
      </c>
      <c r="AB27" s="76">
        <v>0</v>
      </c>
      <c r="AC27" s="77">
        <v>0</v>
      </c>
      <c r="AD27" s="160"/>
      <c r="AE27" s="30">
        <f t="shared" si="1"/>
        <v>3</v>
      </c>
      <c r="AF27" s="72">
        <v>2</v>
      </c>
      <c r="AG27" s="73">
        <v>0</v>
      </c>
      <c r="AH27" s="93">
        <v>1</v>
      </c>
    </row>
    <row r="28" spans="1:34" s="2" customFormat="1" ht="15.75" thickBot="1" x14ac:dyDescent="0.3">
      <c r="A28" s="221" t="s">
        <v>9</v>
      </c>
      <c r="B28" s="222"/>
      <c r="C28" s="225">
        <f>SUM(C4:C27)</f>
        <v>37884</v>
      </c>
      <c r="D28" s="227">
        <f>SUM(D4:D27)</f>
        <v>32942</v>
      </c>
      <c r="E28" s="229">
        <f>D28/C28</f>
        <v>0.86954915003695488</v>
      </c>
      <c r="F28" s="231">
        <f>SUM(F4:F27)</f>
        <v>10154.75</v>
      </c>
      <c r="G28" s="233">
        <f>SUM(G4:G27)</f>
        <v>11170.225</v>
      </c>
      <c r="H28" s="103">
        <f>H4</f>
        <v>5400</v>
      </c>
      <c r="I28" s="102">
        <v>5358</v>
      </c>
      <c r="J28" s="105">
        <f>J4</f>
        <v>8795</v>
      </c>
      <c r="K28" s="125">
        <v>7277</v>
      </c>
      <c r="L28" s="105">
        <f>L4</f>
        <v>9663</v>
      </c>
      <c r="M28" s="78">
        <f>SUM(M4:M27)</f>
        <v>8547</v>
      </c>
      <c r="N28" s="79">
        <f>SUM(N4:N27)</f>
        <v>1652</v>
      </c>
      <c r="O28" s="79">
        <f t="shared" ref="O28:T28" si="6">SUM(O4:O27)</f>
        <v>1556</v>
      </c>
      <c r="P28" s="79">
        <f t="shared" si="6"/>
        <v>1489</v>
      </c>
      <c r="Q28" s="79">
        <f t="shared" si="6"/>
        <v>1491</v>
      </c>
      <c r="R28" s="80">
        <f t="shared" si="6"/>
        <v>1742</v>
      </c>
      <c r="S28" s="80">
        <f t="shared" si="6"/>
        <v>617</v>
      </c>
      <c r="T28" s="81">
        <f t="shared" si="6"/>
        <v>0</v>
      </c>
      <c r="U28" s="94">
        <f>U4</f>
        <v>0</v>
      </c>
      <c r="V28" s="78">
        <f>SUM(V4:V27)</f>
        <v>8865</v>
      </c>
      <c r="W28" s="79">
        <f>SUM(W4:W27)</f>
        <v>2115</v>
      </c>
      <c r="X28" s="79">
        <f t="shared" ref="X28:AC28" si="7">SUM(X4:X27)</f>
        <v>1765</v>
      </c>
      <c r="Y28" s="79">
        <f t="shared" si="7"/>
        <v>1824</v>
      </c>
      <c r="Z28" s="79">
        <f t="shared" si="7"/>
        <v>1389</v>
      </c>
      <c r="AA28" s="80">
        <f t="shared" si="7"/>
        <v>1229</v>
      </c>
      <c r="AB28" s="80">
        <f t="shared" si="7"/>
        <v>543</v>
      </c>
      <c r="AC28" s="81">
        <f t="shared" si="7"/>
        <v>0</v>
      </c>
      <c r="AD28" s="94">
        <f>AD4</f>
        <v>0</v>
      </c>
      <c r="AE28" s="78">
        <f>SUM(AE4:AE27)</f>
        <v>2895</v>
      </c>
      <c r="AF28" s="79">
        <f>SUM(AF4:AF27)</f>
        <v>1130</v>
      </c>
      <c r="AG28" s="79">
        <f t="shared" ref="AG28:AH28" si="8">SUM(AG4:AG27)</f>
        <v>865</v>
      </c>
      <c r="AH28" s="81">
        <f t="shared" si="8"/>
        <v>900</v>
      </c>
    </row>
    <row r="29" spans="1:34" s="2" customFormat="1" ht="15.75" thickBot="1" x14ac:dyDescent="0.3">
      <c r="A29" s="223"/>
      <c r="B29" s="224"/>
      <c r="C29" s="226"/>
      <c r="D29" s="228"/>
      <c r="E29" s="230"/>
      <c r="F29" s="232"/>
      <c r="G29" s="234"/>
      <c r="H29" s="215">
        <f>I28/H28</f>
        <v>0.99222222222222223</v>
      </c>
      <c r="I29" s="217"/>
      <c r="J29" s="215">
        <f>J28/J30</f>
        <v>1.2564285714285715</v>
      </c>
      <c r="K29" s="216"/>
      <c r="L29" s="161">
        <f>M28/L30</f>
        <v>1.0055294117647058</v>
      </c>
      <c r="M29" s="162"/>
      <c r="N29" s="162"/>
      <c r="O29" s="162"/>
      <c r="P29" s="162"/>
      <c r="Q29" s="162"/>
      <c r="R29" s="162"/>
      <c r="S29" s="162"/>
      <c r="T29" s="163"/>
      <c r="U29" s="161">
        <f>V28/U30</f>
        <v>1.0429411764705883</v>
      </c>
      <c r="V29" s="162"/>
      <c r="W29" s="162"/>
      <c r="X29" s="162"/>
      <c r="Y29" s="162"/>
      <c r="Z29" s="162"/>
      <c r="AA29" s="162"/>
      <c r="AB29" s="162"/>
      <c r="AC29" s="163"/>
      <c r="AD29" s="170">
        <f>AE28/AD30</f>
        <v>0.35304878048780486</v>
      </c>
      <c r="AE29" s="171"/>
      <c r="AF29" s="171"/>
      <c r="AG29" s="171"/>
      <c r="AH29" s="172"/>
    </row>
    <row r="30" spans="1:34" s="16" customFormat="1" x14ac:dyDescent="0.25">
      <c r="A30" s="235" t="s">
        <v>17</v>
      </c>
      <c r="B30" s="236"/>
      <c r="C30" s="164">
        <f>SUM(H30:AH30)</f>
        <v>39200</v>
      </c>
      <c r="D30" s="165"/>
      <c r="E30" s="165"/>
      <c r="F30" s="165"/>
      <c r="G30" s="166"/>
      <c r="H30" s="164">
        <v>7000</v>
      </c>
      <c r="I30" s="166"/>
      <c r="J30" s="164">
        <v>7000</v>
      </c>
      <c r="K30" s="165"/>
      <c r="L30" s="164">
        <v>8500</v>
      </c>
      <c r="M30" s="165"/>
      <c r="N30" s="165"/>
      <c r="O30" s="165"/>
      <c r="P30" s="165"/>
      <c r="Q30" s="165"/>
      <c r="R30" s="165"/>
      <c r="S30" s="165"/>
      <c r="T30" s="166"/>
      <c r="U30" s="164">
        <v>8500</v>
      </c>
      <c r="V30" s="165"/>
      <c r="W30" s="165"/>
      <c r="X30" s="165"/>
      <c r="Y30" s="165"/>
      <c r="Z30" s="165"/>
      <c r="AA30" s="165"/>
      <c r="AB30" s="165"/>
      <c r="AC30" s="166"/>
      <c r="AD30" s="164">
        <v>8200</v>
      </c>
      <c r="AE30" s="165"/>
      <c r="AF30" s="165"/>
      <c r="AG30" s="165"/>
      <c r="AH30" s="166"/>
    </row>
    <row r="31" spans="1:34" s="16" customFormat="1" x14ac:dyDescent="0.25">
      <c r="A31" s="242" t="s">
        <v>14</v>
      </c>
      <c r="B31" s="243"/>
      <c r="C31" s="167">
        <f>SUM(H31:AH31)</f>
        <v>-6258</v>
      </c>
      <c r="D31" s="168"/>
      <c r="E31" s="168"/>
      <c r="F31" s="168"/>
      <c r="G31" s="169"/>
      <c r="H31" s="245">
        <f>I28-H30</f>
        <v>-1642</v>
      </c>
      <c r="I31" s="246"/>
      <c r="J31" s="167">
        <f>K28-J30</f>
        <v>277</v>
      </c>
      <c r="K31" s="168"/>
      <c r="L31" s="167">
        <f>M28-L30</f>
        <v>47</v>
      </c>
      <c r="M31" s="168"/>
      <c r="N31" s="168"/>
      <c r="O31" s="168"/>
      <c r="P31" s="168"/>
      <c r="Q31" s="168"/>
      <c r="R31" s="168"/>
      <c r="S31" s="168"/>
      <c r="T31" s="169"/>
      <c r="U31" s="167">
        <f>V28-U30</f>
        <v>365</v>
      </c>
      <c r="V31" s="168"/>
      <c r="W31" s="168"/>
      <c r="X31" s="168"/>
      <c r="Y31" s="168"/>
      <c r="Z31" s="168"/>
      <c r="AA31" s="168"/>
      <c r="AB31" s="168"/>
      <c r="AC31" s="169"/>
      <c r="AD31" s="167">
        <f>AE28-AD30</f>
        <v>-5305</v>
      </c>
      <c r="AE31" s="168"/>
      <c r="AF31" s="168"/>
      <c r="AG31" s="168"/>
      <c r="AH31" s="169"/>
    </row>
    <row r="32" spans="1:34" s="14" customFormat="1" ht="15.75" thickBot="1" x14ac:dyDescent="0.3">
      <c r="A32" s="240" t="s">
        <v>23</v>
      </c>
      <c r="B32" s="241"/>
      <c r="C32" s="213">
        <f>D28/C30</f>
        <v>0.8403571428571428</v>
      </c>
      <c r="D32" s="214"/>
      <c r="E32" s="214"/>
      <c r="F32" s="214"/>
      <c r="G32" s="244"/>
      <c r="H32" s="213">
        <f>I28/H30</f>
        <v>0.76542857142857146</v>
      </c>
      <c r="I32" s="244"/>
      <c r="J32" s="213">
        <f>K28/J30</f>
        <v>1.0395714285714286</v>
      </c>
      <c r="K32" s="214"/>
      <c r="L32" s="154">
        <f>M28/L30</f>
        <v>1.0055294117647058</v>
      </c>
      <c r="M32" s="155"/>
      <c r="N32" s="155"/>
      <c r="O32" s="155"/>
      <c r="P32" s="155"/>
      <c r="Q32" s="155"/>
      <c r="R32" s="155"/>
      <c r="S32" s="155"/>
      <c r="T32" s="156"/>
      <c r="U32" s="154">
        <f>V28/U30</f>
        <v>1.0429411764705883</v>
      </c>
      <c r="V32" s="155"/>
      <c r="W32" s="155"/>
      <c r="X32" s="155"/>
      <c r="Y32" s="155"/>
      <c r="Z32" s="155"/>
      <c r="AA32" s="155"/>
      <c r="AB32" s="155"/>
      <c r="AC32" s="156"/>
      <c r="AD32" s="154">
        <f>AE28/AD30</f>
        <v>0.35304878048780486</v>
      </c>
      <c r="AE32" s="155"/>
      <c r="AF32" s="155"/>
      <c r="AG32" s="155"/>
      <c r="AH32" s="156"/>
    </row>
    <row r="33" spans="1:34" s="14" customFormat="1" x14ac:dyDescent="0.25">
      <c r="A33" s="262"/>
      <c r="B33" s="262"/>
      <c r="C33" s="263"/>
      <c r="D33" s="263"/>
      <c r="E33" s="263"/>
      <c r="F33" s="263"/>
      <c r="G33" s="263"/>
      <c r="H33" s="263"/>
      <c r="I33" s="263"/>
      <c r="J33" s="263"/>
      <c r="K33" s="263"/>
      <c r="L33" s="269"/>
      <c r="M33" s="270"/>
      <c r="N33" s="270"/>
      <c r="O33" s="270"/>
      <c r="P33" s="270"/>
      <c r="Q33" s="270"/>
      <c r="R33" s="270"/>
      <c r="S33" s="270"/>
      <c r="T33" s="270"/>
      <c r="U33" s="265"/>
      <c r="V33" s="266"/>
      <c r="W33" s="266"/>
      <c r="X33" s="266"/>
      <c r="Y33" s="266"/>
      <c r="Z33" s="266"/>
      <c r="AA33" s="266"/>
      <c r="AB33" s="266"/>
      <c r="AC33" s="266"/>
      <c r="AD33" s="265"/>
      <c r="AE33" s="266"/>
      <c r="AF33" s="266"/>
      <c r="AG33" s="266"/>
      <c r="AH33" s="266"/>
    </row>
    <row r="34" spans="1:34" s="14" customFormat="1" x14ac:dyDescent="0.25">
      <c r="A34" s="262"/>
      <c r="B34" s="262"/>
      <c r="C34" s="263"/>
      <c r="D34" s="263"/>
      <c r="E34" s="263"/>
      <c r="F34" s="263"/>
      <c r="G34" s="263"/>
      <c r="H34" s="263"/>
      <c r="I34" s="263"/>
      <c r="J34" s="263"/>
      <c r="K34" s="263"/>
      <c r="L34" s="271"/>
      <c r="M34" s="272"/>
      <c r="N34" s="272"/>
      <c r="O34" s="272"/>
      <c r="P34" s="272"/>
      <c r="Q34" s="272"/>
      <c r="R34" s="272"/>
      <c r="S34" s="272"/>
      <c r="T34" s="272"/>
      <c r="U34" s="272"/>
      <c r="V34" s="272"/>
      <c r="W34" s="272"/>
      <c r="X34" s="272"/>
      <c r="Y34" s="272"/>
      <c r="Z34" s="272"/>
      <c r="AA34" s="272"/>
      <c r="AB34" s="272"/>
      <c r="AC34" s="272"/>
      <c r="AD34" s="272"/>
      <c r="AE34" s="272"/>
      <c r="AF34" s="272"/>
      <c r="AG34" s="272"/>
      <c r="AH34" s="272"/>
    </row>
    <row r="35" spans="1:34" ht="15.75" thickBot="1" x14ac:dyDescent="0.3">
      <c r="M35" s="264"/>
    </row>
    <row r="36" spans="1:34" ht="14.45" customHeight="1" x14ac:dyDescent="0.25">
      <c r="A36" s="237" t="s">
        <v>24</v>
      </c>
      <c r="B36" s="238"/>
      <c r="C36" s="238"/>
      <c r="D36" s="239"/>
      <c r="F36" s="18" t="s">
        <v>36</v>
      </c>
      <c r="N36" s="267">
        <f>N28+O28+P28+Q28</f>
        <v>6188</v>
      </c>
      <c r="O36" s="268" t="s">
        <v>39</v>
      </c>
      <c r="P36" s="268"/>
      <c r="Q36" s="267">
        <f>M28</f>
        <v>8547</v>
      </c>
    </row>
    <row r="37" spans="1:34" x14ac:dyDescent="0.25">
      <c r="A37" s="250" t="s">
        <v>34</v>
      </c>
      <c r="B37" s="251"/>
      <c r="C37" s="251"/>
      <c r="D37" s="252"/>
      <c r="F37" s="18" t="s">
        <v>37</v>
      </c>
      <c r="N37" s="273">
        <f>I28+K28+N28+O28+P28+Q28</f>
        <v>18823</v>
      </c>
      <c r="O37" s="274" t="s">
        <v>40</v>
      </c>
      <c r="P37" s="274"/>
      <c r="Q37" s="275">
        <f>C28</f>
        <v>37884</v>
      </c>
      <c r="R37" s="276">
        <v>0.497</v>
      </c>
    </row>
    <row r="38" spans="1:34" x14ac:dyDescent="0.25">
      <c r="A38" s="253" t="s">
        <v>20</v>
      </c>
      <c r="B38" s="254"/>
      <c r="C38" s="254"/>
      <c r="D38" s="255"/>
      <c r="F38" s="18" t="s">
        <v>38</v>
      </c>
    </row>
    <row r="39" spans="1:34" x14ac:dyDescent="0.25">
      <c r="A39" s="256" t="s">
        <v>21</v>
      </c>
      <c r="B39" s="257"/>
      <c r="C39" s="257"/>
      <c r="D39" s="258"/>
    </row>
    <row r="40" spans="1:34" x14ac:dyDescent="0.25">
      <c r="A40" s="259" t="s">
        <v>22</v>
      </c>
      <c r="B40" s="260"/>
      <c r="C40" s="260"/>
      <c r="D40" s="261"/>
    </row>
    <row r="41" spans="1:34" ht="15.75" thickBot="1" x14ac:dyDescent="0.3">
      <c r="A41" s="247" t="s">
        <v>35</v>
      </c>
      <c r="B41" s="248"/>
      <c r="C41" s="248"/>
      <c r="D41" s="249"/>
      <c r="H41" s="28"/>
      <c r="I41" s="28"/>
      <c r="J41" s="28"/>
    </row>
    <row r="42" spans="1:34" x14ac:dyDescent="0.25">
      <c r="A42" s="29"/>
      <c r="B42" s="29"/>
      <c r="C42" s="29"/>
      <c r="D42" s="29"/>
      <c r="H42" s="28"/>
      <c r="I42" s="28"/>
      <c r="J42" s="28"/>
    </row>
  </sheetData>
  <autoFilter ref="A1:E32"/>
  <mergeCells count="85">
    <mergeCell ref="L34:AH34"/>
    <mergeCell ref="L33:T33"/>
    <mergeCell ref="U33:AC33"/>
    <mergeCell ref="AD33:AH33"/>
    <mergeCell ref="A41:D41"/>
    <mergeCell ref="A37:D37"/>
    <mergeCell ref="A38:D38"/>
    <mergeCell ref="A39:D39"/>
    <mergeCell ref="A40:D40"/>
    <mergeCell ref="A36:D36"/>
    <mergeCell ref="A32:B32"/>
    <mergeCell ref="A31:B31"/>
    <mergeCell ref="H32:I32"/>
    <mergeCell ref="H31:I31"/>
    <mergeCell ref="C31:G31"/>
    <mergeCell ref="C32:G32"/>
    <mergeCell ref="C30:G30"/>
    <mergeCell ref="A28:B29"/>
    <mergeCell ref="C28:C29"/>
    <mergeCell ref="D28:D29"/>
    <mergeCell ref="E28:E29"/>
    <mergeCell ref="F28:F29"/>
    <mergeCell ref="G28:G29"/>
    <mergeCell ref="A30:B30"/>
    <mergeCell ref="J31:K31"/>
    <mergeCell ref="J32:K32"/>
    <mergeCell ref="J29:K29"/>
    <mergeCell ref="J4:J27"/>
    <mergeCell ref="H29:I29"/>
    <mergeCell ref="H30:I30"/>
    <mergeCell ref="H4:H27"/>
    <mergeCell ref="J30:K30"/>
    <mergeCell ref="K2:K3"/>
    <mergeCell ref="F1:G2"/>
    <mergeCell ref="H1:I1"/>
    <mergeCell ref="H2:H3"/>
    <mergeCell ref="I2:I3"/>
    <mergeCell ref="J1:K1"/>
    <mergeCell ref="A1:A3"/>
    <mergeCell ref="B1:B3"/>
    <mergeCell ref="E1:E2"/>
    <mergeCell ref="D1:D2"/>
    <mergeCell ref="J2:J3"/>
    <mergeCell ref="C1:C2"/>
    <mergeCell ref="U1:AC1"/>
    <mergeCell ref="R2:R3"/>
    <mergeCell ref="S2:S3"/>
    <mergeCell ref="T2:T3"/>
    <mergeCell ref="V2:V3"/>
    <mergeCell ref="W2:W3"/>
    <mergeCell ref="X2:X3"/>
    <mergeCell ref="Y2:Y3"/>
    <mergeCell ref="Z2:Z3"/>
    <mergeCell ref="AA2:AA3"/>
    <mergeCell ref="L1:T1"/>
    <mergeCell ref="M2:M3"/>
    <mergeCell ref="N2:N3"/>
    <mergeCell ref="O2:O3"/>
    <mergeCell ref="P2:P3"/>
    <mergeCell ref="Q2:Q3"/>
    <mergeCell ref="AE1:AH1"/>
    <mergeCell ref="AE2:AE3"/>
    <mergeCell ref="AF2:AF3"/>
    <mergeCell ref="AG2:AG3"/>
    <mergeCell ref="AH2:AH3"/>
    <mergeCell ref="L30:T30"/>
    <mergeCell ref="L31:T31"/>
    <mergeCell ref="L32:T32"/>
    <mergeCell ref="U2:U3"/>
    <mergeCell ref="U4:U27"/>
    <mergeCell ref="U32:AC32"/>
    <mergeCell ref="AB2:AB3"/>
    <mergeCell ref="AC2:AC3"/>
    <mergeCell ref="L29:T29"/>
    <mergeCell ref="L2:L3"/>
    <mergeCell ref="L4:L27"/>
    <mergeCell ref="AD32:AH32"/>
    <mergeCell ref="AD2:AD3"/>
    <mergeCell ref="AD4:AD27"/>
    <mergeCell ref="U29:AC29"/>
    <mergeCell ref="U30:AC30"/>
    <mergeCell ref="U31:AC31"/>
    <mergeCell ref="AD29:AH29"/>
    <mergeCell ref="AD30:AH30"/>
    <mergeCell ref="AD31:AH31"/>
  </mergeCells>
  <phoneticPr fontId="8" type="noConversion"/>
  <pageMargins left="0.70000000000000007" right="0.70000000000000007" top="0.75" bottom="0.75" header="0.30000000000000004" footer="0.30000000000000004"/>
  <pageSetup paperSize="9" fitToWidth="0" fitToHeight="0" orientation="portrait" r:id="rId1"/>
  <ignoredErrors>
    <ignoredError sqref="B22:B24 B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Capacité</vt:lpstr>
    </vt:vector>
  </TitlesOfParts>
  <Company>CIRCET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Maxence DECHANET</dc:creator>
  <cp:lastModifiedBy>Maxence DECHANET</cp:lastModifiedBy>
  <dcterms:created xsi:type="dcterms:W3CDTF">2022-07-21T16:25:14Z</dcterms:created>
  <dcterms:modified xsi:type="dcterms:W3CDTF">2022-11-18T10:24:25Z</dcterms:modified>
</cp:coreProperties>
</file>