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ongeon\Desktop\"/>
    </mc:Choice>
  </mc:AlternateContent>
  <xr:revisionPtr revIDLastSave="0" documentId="13_ncr:1_{4EAE95A6-EAE1-475E-B78D-BA358BC624D1}" xr6:coauthVersionLast="47" xr6:coauthVersionMax="47" xr10:uidLastSave="{00000000-0000-0000-0000-000000000000}"/>
  <bookViews>
    <workbookView xWindow="22932" yWindow="-84" windowWidth="23256" windowHeight="12576" activeTab="2" xr2:uid="{72B5E2FF-CCFE-4977-873F-A822839C2217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2" l="1"/>
  <c r="H23" i="3"/>
  <c r="J30" i="2"/>
  <c r="H22" i="3"/>
  <c r="J29" i="2"/>
  <c r="H21" i="3"/>
  <c r="J28" i="2"/>
  <c r="H20" i="3"/>
  <c r="J15" i="2"/>
  <c r="H11" i="3"/>
  <c r="I28" i="2"/>
  <c r="D20" i="3"/>
  <c r="E20" i="3"/>
  <c r="F20" i="3"/>
  <c r="G20" i="3"/>
  <c r="D24" i="3"/>
  <c r="I20" i="3"/>
  <c r="I15" i="2"/>
  <c r="D11" i="3"/>
  <c r="E11" i="3"/>
  <c r="F11" i="3"/>
  <c r="G11" i="3"/>
  <c r="D15" i="3"/>
  <c r="I11" i="3"/>
  <c r="I16" i="2"/>
  <c r="D12" i="3"/>
  <c r="E12" i="3"/>
  <c r="J16" i="2"/>
  <c r="H12" i="3"/>
  <c r="F12" i="3"/>
  <c r="G12" i="3"/>
  <c r="D16" i="3"/>
  <c r="I12" i="3"/>
  <c r="I31" i="2"/>
  <c r="D23" i="3"/>
  <c r="E23" i="3"/>
  <c r="F23" i="3"/>
  <c r="G23" i="3"/>
  <c r="D27" i="3"/>
  <c r="I23" i="3"/>
  <c r="L31" i="2"/>
  <c r="I30" i="2"/>
  <c r="D22" i="3"/>
  <c r="E22" i="3"/>
  <c r="F22" i="3"/>
  <c r="G22" i="3"/>
  <c r="D26" i="3"/>
  <c r="I22" i="3"/>
  <c r="L30" i="2"/>
  <c r="I29" i="2"/>
  <c r="D21" i="3"/>
  <c r="E21" i="3"/>
  <c r="F21" i="3"/>
  <c r="G21" i="3"/>
  <c r="D25" i="3"/>
  <c r="I21" i="3"/>
  <c r="L29" i="2"/>
  <c r="L28" i="2"/>
  <c r="A31" i="2"/>
  <c r="A30" i="2"/>
  <c r="A29" i="2"/>
  <c r="A28" i="2"/>
  <c r="A15" i="2"/>
  <c r="J18" i="2"/>
  <c r="J17" i="2"/>
  <c r="A18" i="2"/>
  <c r="A17" i="2"/>
  <c r="A16" i="2"/>
  <c r="I18" i="2"/>
  <c r="I17" i="2"/>
  <c r="H14" i="3"/>
  <c r="H13" i="3"/>
  <c r="I2" i="2"/>
  <c r="H2" i="3"/>
  <c r="D2" i="3"/>
  <c r="E2" i="3"/>
  <c r="F2" i="3"/>
  <c r="G2" i="3"/>
  <c r="D6" i="3"/>
  <c r="I2" i="3"/>
  <c r="F14" i="3"/>
  <c r="F13" i="3"/>
  <c r="F5" i="3"/>
  <c r="F4" i="3"/>
  <c r="F3" i="3"/>
  <c r="J2" i="2"/>
  <c r="L2" i="2"/>
  <c r="L16" i="2"/>
  <c r="G13" i="3"/>
  <c r="D17" i="3"/>
  <c r="D13" i="3"/>
  <c r="E13" i="3"/>
  <c r="I13" i="3"/>
  <c r="L17" i="2"/>
  <c r="G14" i="3"/>
  <c r="D18" i="3"/>
  <c r="D14" i="3"/>
  <c r="E14" i="3"/>
  <c r="I14" i="3"/>
  <c r="L18" i="2"/>
  <c r="L15" i="2"/>
  <c r="K2" i="2"/>
  <c r="A2" i="2"/>
  <c r="I3" i="2"/>
  <c r="H3" i="3"/>
  <c r="I4" i="2"/>
  <c r="H4" i="3"/>
  <c r="I5" i="2"/>
  <c r="H5" i="3"/>
  <c r="D3" i="3"/>
  <c r="E3" i="3"/>
  <c r="G3" i="3"/>
  <c r="D7" i="3"/>
  <c r="I3" i="3"/>
  <c r="D4" i="3"/>
  <c r="E4" i="3"/>
  <c r="G4" i="3"/>
  <c r="D8" i="3"/>
  <c r="I4" i="3"/>
  <c r="D5" i="3"/>
  <c r="E5" i="3"/>
  <c r="G5" i="3"/>
  <c r="D9" i="3"/>
  <c r="I5" i="3"/>
  <c r="L3" i="2"/>
  <c r="L4" i="2"/>
  <c r="L5" i="2"/>
  <c r="I3" i="1"/>
  <c r="J5" i="2"/>
  <c r="J4" i="2"/>
  <c r="J3" i="2"/>
  <c r="A5" i="2"/>
  <c r="A4" i="2"/>
  <c r="A3" i="2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24" i="3"/>
  <c r="I15" i="3"/>
  <c r="I6" i="3"/>
  <c r="B36" i="2"/>
  <c r="B37" i="2"/>
  <c r="E34" i="2"/>
  <c r="E35" i="2"/>
  <c r="B35" i="2"/>
  <c r="B33" i="2"/>
  <c r="B34" i="2"/>
  <c r="E33" i="2"/>
  <c r="K31" i="2"/>
  <c r="K30" i="2"/>
  <c r="K29" i="2"/>
  <c r="K28" i="2"/>
  <c r="B23" i="2"/>
  <c r="B24" i="2"/>
  <c r="E21" i="2"/>
  <c r="E22" i="2"/>
  <c r="B22" i="2"/>
  <c r="B20" i="2"/>
  <c r="B21" i="2"/>
  <c r="E20" i="2"/>
  <c r="K18" i="2"/>
  <c r="K17" i="2"/>
  <c r="K16" i="2"/>
  <c r="K15" i="2"/>
  <c r="B10" i="2"/>
  <c r="B11" i="2"/>
  <c r="E8" i="2"/>
  <c r="E9" i="2"/>
  <c r="B9" i="2"/>
  <c r="B7" i="2"/>
  <c r="B8" i="2"/>
  <c r="E7" i="2"/>
  <c r="K5" i="2"/>
  <c r="K4" i="2"/>
  <c r="K3" i="2"/>
  <c r="D29" i="1"/>
  <c r="D27" i="1"/>
  <c r="D25" i="1"/>
  <c r="D23" i="1"/>
  <c r="D22" i="1"/>
  <c r="D19" i="1"/>
  <c r="D17" i="1"/>
  <c r="D15" i="1"/>
  <c r="D13" i="1"/>
  <c r="D12" i="1"/>
</calcChain>
</file>

<file path=xl/sharedStrings.xml><?xml version="1.0" encoding="utf-8"?>
<sst xmlns="http://schemas.openxmlformats.org/spreadsheetml/2006/main" count="124" uniqueCount="58">
  <si>
    <t>HEURES</t>
  </si>
  <si>
    <t>CODE</t>
  </si>
  <si>
    <t>DESCRIPTION</t>
  </si>
  <si>
    <t>LONGUEUR MÈTRE</t>
  </si>
  <si>
    <t>DIAMÈTRE          MM</t>
  </si>
  <si>
    <t>MATÉRIAUX</t>
  </si>
  <si>
    <t>PRESSION                 LBS</t>
  </si>
  <si>
    <t>KPA</t>
  </si>
  <si>
    <t>E.S                BOUCHÉE</t>
  </si>
  <si>
    <t>T/Min                 Litre/h</t>
  </si>
  <si>
    <t>PERTE                CALCULÉE</t>
  </si>
  <si>
    <t>RÉSULTAT</t>
  </si>
  <si>
    <t>REGARD          HAUTEUR</t>
  </si>
  <si>
    <t>DE</t>
  </si>
  <si>
    <t>À</t>
  </si>
  <si>
    <t>Identification</t>
  </si>
  <si>
    <t>Longueur mètre</t>
  </si>
  <si>
    <t>Diamètre mm</t>
  </si>
  <si>
    <t>Matériaux</t>
  </si>
  <si>
    <t>Perte permise</t>
  </si>
  <si>
    <t xml:space="preserve">Étanchéité </t>
  </si>
  <si>
    <t>Conductivité</t>
  </si>
  <si>
    <t>Chloration  par:</t>
  </si>
  <si>
    <t xml:space="preserve">Rinçage par: </t>
  </si>
  <si>
    <t>Analyse bactériologique</t>
  </si>
  <si>
    <t>Pression psi::</t>
  </si>
  <si>
    <t xml:space="preserve">Ampérage: N/A </t>
  </si>
  <si>
    <t>Test-Tech Inc</t>
  </si>
  <si>
    <t>No de laboratoire</t>
  </si>
  <si>
    <t>Pression kpa:</t>
  </si>
  <si>
    <t>Perte permise L/h:</t>
  </si>
  <si>
    <t>Résultat:</t>
  </si>
  <si>
    <t>ppm</t>
  </si>
  <si>
    <t>Perte mesurée L/h:</t>
  </si>
  <si>
    <t>Essais:</t>
  </si>
  <si>
    <t>Date:</t>
  </si>
  <si>
    <t>Selon les normes du BNQ 1809-300/2018</t>
  </si>
  <si>
    <t>Chloration par:</t>
  </si>
  <si>
    <t xml:space="preserve">Rinçage  par: </t>
  </si>
  <si>
    <t>psi</t>
  </si>
  <si>
    <t>kpa</t>
  </si>
  <si>
    <t>diam</t>
  </si>
  <si>
    <t>perte permise</t>
  </si>
  <si>
    <t>Nbr joint seg. 1</t>
  </si>
  <si>
    <t>Nbr joint seg. 1,1</t>
  </si>
  <si>
    <t>Nbr joint seg. 1,2</t>
  </si>
  <si>
    <t>Nbr joint seg. 1,3</t>
  </si>
  <si>
    <r>
      <rPr>
        <sz val="8"/>
        <color theme="1"/>
        <rFont val="Sylfaen"/>
        <family val="1"/>
      </rPr>
      <t>√</t>
    </r>
    <r>
      <rPr>
        <sz val="8"/>
        <color theme="1"/>
        <rFont val="Calibri"/>
        <family val="2"/>
        <scheme val="minor"/>
      </rPr>
      <t>pression segment 1</t>
    </r>
  </si>
  <si>
    <r>
      <rPr>
        <sz val="8"/>
        <color theme="1"/>
        <rFont val="Sylfaen"/>
        <family val="1"/>
      </rPr>
      <t>√</t>
    </r>
    <r>
      <rPr>
        <sz val="8"/>
        <color theme="1"/>
        <rFont val="Calibri"/>
        <family val="2"/>
        <scheme val="minor"/>
      </rPr>
      <t>pression segment 1</t>
    </r>
    <r>
      <rPr>
        <sz val="8"/>
        <color theme="1"/>
        <rFont val="Calibri"/>
        <family val="1"/>
        <scheme val="minor"/>
      </rPr>
      <t>,1</t>
    </r>
  </si>
  <si>
    <r>
      <rPr>
        <sz val="8"/>
        <color theme="1"/>
        <rFont val="Sylfaen"/>
        <family val="1"/>
      </rPr>
      <t>√</t>
    </r>
    <r>
      <rPr>
        <sz val="8"/>
        <color theme="1"/>
        <rFont val="Calibri"/>
        <family val="2"/>
        <scheme val="minor"/>
      </rPr>
      <t>pression segment 1</t>
    </r>
    <r>
      <rPr>
        <sz val="8"/>
        <color theme="1"/>
        <rFont val="Calibri"/>
        <family val="1"/>
        <scheme val="minor"/>
      </rPr>
      <t>,2</t>
    </r>
  </si>
  <si>
    <r>
      <rPr>
        <sz val="8"/>
        <color theme="1"/>
        <rFont val="Sylfaen"/>
        <family val="1"/>
      </rPr>
      <t>√</t>
    </r>
    <r>
      <rPr>
        <sz val="8"/>
        <color theme="1"/>
        <rFont val="Calibri"/>
        <family val="2"/>
        <scheme val="minor"/>
      </rPr>
      <t>pression segment 1</t>
    </r>
    <r>
      <rPr>
        <sz val="8"/>
        <color theme="1"/>
        <rFont val="Calibri"/>
        <family val="1"/>
        <scheme val="minor"/>
      </rPr>
      <t>,3</t>
    </r>
  </si>
  <si>
    <t>Nbr joint seg. 2</t>
  </si>
  <si>
    <t>Nbr joint seg. 2,1</t>
  </si>
  <si>
    <t>Nbr joint seg. 2,2</t>
  </si>
  <si>
    <t>Nbr joint seg. 2,3</t>
  </si>
  <si>
    <t>test 2</t>
  </si>
  <si>
    <t>test 1</t>
  </si>
  <si>
    <t xml:space="preserve">test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</si>
</sst>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Sylfaen"/>
      <family val="1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1"/>
      <scheme val="minor"/>
    </font>
    <font>
      <sz val="8"/>
      <color theme="1"/>
      <name val="Sylfaen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4" xfId="0" applyFon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7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2" fillId="2" borderId="24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4" xfId="0" applyBorder="1"/>
    <xf numFmtId="0" fontId="4" fillId="0" borderId="24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Protection="1">
      <protection locked="0"/>
    </xf>
    <xf numFmtId="2" fontId="4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165" fontId="6" fillId="0" borderId="0" xfId="0" applyNumberFormat="1" applyFont="1" applyAlignment="1" applyProtection="1">
      <alignment horizontal="center"/>
      <protection locked="0"/>
    </xf>
    <xf numFmtId="165" fontId="4" fillId="0" borderId="0" xfId="0" applyNumberFormat="1" applyFont="1" applyAlignment="1" applyProtection="1">
      <alignment horizontal="center"/>
      <protection locked="0"/>
    </xf>
    <xf numFmtId="0" fontId="0" fillId="0" borderId="24" xfId="0" applyBorder="1"/>
    <xf numFmtId="0" fontId="4" fillId="0" borderId="25" xfId="0" applyFont="1" applyBorder="1" applyAlignment="1" applyProtection="1">
      <alignment horizontal="center"/>
      <protection locked="0"/>
    </xf>
    <xf numFmtId="165" fontId="6" fillId="0" borderId="26" xfId="0" applyNumberFormat="1" applyFont="1" applyBorder="1" applyAlignment="1" applyProtection="1">
      <alignment horizontal="center"/>
      <protection locked="0"/>
    </xf>
    <xf numFmtId="0" fontId="4" fillId="0" borderId="26" xfId="0" applyFont="1" applyBorder="1" applyAlignment="1">
      <alignment horizontal="center"/>
    </xf>
    <xf numFmtId="165" fontId="4" fillId="0" borderId="26" xfId="0" applyNumberFormat="1" applyFont="1" applyBorder="1" applyAlignment="1" applyProtection="1">
      <alignment horizontal="center"/>
      <protection locked="0"/>
    </xf>
    <xf numFmtId="0" fontId="0" fillId="0" borderId="27" xfId="0" applyBorder="1"/>
    <xf numFmtId="0" fontId="0" fillId="0" borderId="1" xfId="0" applyBorder="1"/>
    <xf numFmtId="0" fontId="0" fillId="0" borderId="28" xfId="0" applyBorder="1"/>
    <xf numFmtId="0" fontId="1" fillId="0" borderId="28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2" fontId="0" fillId="6" borderId="14" xfId="0" applyNumberFormat="1" applyFill="1" applyBorder="1" applyAlignment="1">
      <alignment horizontal="center"/>
    </xf>
    <xf numFmtId="2" fontId="0" fillId="4" borderId="12" xfId="0" applyNumberForma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2" fontId="0" fillId="6" borderId="18" xfId="0" applyNumberFormat="1" applyFill="1" applyBorder="1" applyAlignment="1">
      <alignment horizontal="center"/>
    </xf>
    <xf numFmtId="2" fontId="0" fillId="6" borderId="29" xfId="0" applyNumberFormat="1" applyFill="1" applyBorder="1" applyAlignment="1">
      <alignment horizontal="center"/>
    </xf>
    <xf numFmtId="2" fontId="0" fillId="7" borderId="12" xfId="0" applyNumberForma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2" fontId="0" fillId="6" borderId="30" xfId="0" applyNumberForma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2" fontId="0" fillId="7" borderId="32" xfId="0" applyNumberFormat="1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2" fontId="0" fillId="0" borderId="0" xfId="0" applyNumberFormat="1"/>
    <xf numFmtId="0" fontId="0" fillId="0" borderId="11" xfId="0" applyBorder="1" applyAlignment="1">
      <alignment horizontal="left"/>
    </xf>
    <xf numFmtId="0" fontId="0" fillId="0" borderId="31" xfId="0" applyBorder="1"/>
    <xf numFmtId="0" fontId="0" fillId="0" borderId="33" xfId="0" applyBorder="1"/>
    <xf numFmtId="0" fontId="0" fillId="0" borderId="33" xfId="0" applyBorder="1" applyAlignment="1">
      <alignment horizontal="center"/>
    </xf>
    <xf numFmtId="0" fontId="0" fillId="0" borderId="32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32" xfId="0" applyBorder="1" applyAlignment="1">
      <alignment horizontal="center"/>
    </xf>
    <xf numFmtId="2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2" fontId="0" fillId="0" borderId="12" xfId="0" applyNumberFormat="1" applyBorder="1"/>
    <xf numFmtId="2" fontId="0" fillId="0" borderId="19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4" fillId="0" borderId="12" xfId="0" applyFont="1" applyBorder="1"/>
    <xf numFmtId="0" fontId="5" fillId="3" borderId="0" xfId="0" applyFont="1" applyFill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5" fillId="3" borderId="24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4" xfId="0" applyFont="1" applyFill="1" applyBorder="1" applyAlignment="1">
      <alignment horizontal="center" wrapText="1"/>
    </xf>
    <xf numFmtId="0" fontId="2" fillId="0" borderId="0" xfId="0" applyFont="1" applyAlignment="1" applyProtection="1">
      <alignment horizontal="center"/>
      <protection locked="0"/>
    </xf>
    <xf numFmtId="0" fontId="6" fillId="0" borderId="26" xfId="0" applyFont="1" applyBorder="1" applyAlignment="1">
      <alignment horizontal="center"/>
    </xf>
    <xf numFmtId="0" fontId="7" fillId="7" borderId="15" xfId="0" applyFont="1" applyFill="1" applyBorder="1" applyAlignment="1">
      <alignment horizontal="center"/>
    </xf>
    <xf numFmtId="0" fontId="7" fillId="7" borderId="12" xfId="0" applyFont="1" applyFill="1" applyBorder="1" applyAlignment="1">
      <alignment horizontal="center"/>
    </xf>
    <xf numFmtId="0" fontId="7" fillId="7" borderId="31" xfId="0" applyFont="1" applyFill="1" applyBorder="1" applyAlignment="1">
      <alignment horizontal="center"/>
    </xf>
    <xf numFmtId="0" fontId="7" fillId="7" borderId="32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3;bauche%20certificat/cedrtificat%20aqueduc%20vierge__re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"/>
      <sheetName val="Rapport Journalier"/>
      <sheetName val="AQUEDUC"/>
      <sheetName val="Certificat égout"/>
      <sheetName val="Certificat structure"/>
      <sheetName val="Refoulement"/>
      <sheetName val="Gabarit"/>
      <sheetName val="Bassins"/>
      <sheetName val="formule"/>
      <sheetName val="liste déroulante"/>
    </sheetNames>
    <sheetDataSet>
      <sheetData sheetId="0"/>
      <sheetData sheetId="1">
        <row r="41"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</row>
        <row r="42">
          <cell r="C42"/>
          <cell r="D42" t="str">
            <v/>
          </cell>
          <cell r="E42"/>
          <cell r="F42"/>
          <cell r="G42"/>
          <cell r="H42"/>
          <cell r="I42">
            <v>0</v>
          </cell>
          <cell r="J42"/>
          <cell r="K42"/>
          <cell r="L42"/>
          <cell r="M42"/>
          <cell r="N42"/>
        </row>
        <row r="43"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D9763-37A4-4522-9214-7C42D4B285D7}">
  <sheetPr>
    <pageSetUpPr fitToPage="1"/>
  </sheetPr>
  <dimension ref="A1:N33"/>
  <sheetViews>
    <sheetView showZeros="0" view="pageLayout" zoomScaleNormal="100" workbookViewId="0">
      <selection activeCell="L12" sqref="L12"/>
    </sheetView>
  </sheetViews>
  <sheetFormatPr baseColWidth="10" defaultRowHeight="15" x14ac:dyDescent="0.25"/>
  <cols>
    <col min="1" max="1" width="4.5703125" customWidth="1"/>
    <col min="2" max="2" width="5.140625" customWidth="1"/>
    <col min="3" max="3" width="4.85546875" customWidth="1"/>
    <col min="4" max="4" width="38" customWidth="1"/>
    <col min="5" max="5" width="8.7109375" customWidth="1"/>
    <col min="6" max="6" width="9.7109375" customWidth="1"/>
    <col min="7" max="7" width="9.5703125" customWidth="1"/>
    <col min="8" max="8" width="9.28515625" customWidth="1"/>
    <col min="9" max="9" width="7.42578125" customWidth="1"/>
    <col min="10" max="10" width="8.42578125" customWidth="1"/>
    <col min="11" max="11" width="7.5703125" customWidth="1"/>
    <col min="12" max="12" width="8.42578125" customWidth="1"/>
    <col min="13" max="13" width="7.5703125" customWidth="1"/>
    <col min="14" max="14" width="9" customWidth="1"/>
  </cols>
  <sheetData>
    <row r="1" spans="1:14" ht="15.75" thickBot="1" x14ac:dyDescent="0.3">
      <c r="A1" s="88" t="s">
        <v>0</v>
      </c>
      <c r="B1" s="89"/>
      <c r="C1" s="90" t="s">
        <v>1</v>
      </c>
      <c r="D1" s="90" t="s">
        <v>2</v>
      </c>
      <c r="E1" s="93" t="s">
        <v>3</v>
      </c>
      <c r="F1" s="93" t="s">
        <v>4</v>
      </c>
      <c r="G1" s="90" t="s">
        <v>5</v>
      </c>
      <c r="H1" s="93" t="s">
        <v>6</v>
      </c>
      <c r="I1" s="93" t="s">
        <v>7</v>
      </c>
      <c r="J1" s="93" t="s">
        <v>8</v>
      </c>
      <c r="K1" s="93" t="s">
        <v>9</v>
      </c>
      <c r="L1" s="93" t="s">
        <v>10</v>
      </c>
      <c r="M1" s="93" t="s">
        <v>11</v>
      </c>
      <c r="N1" s="93" t="s">
        <v>12</v>
      </c>
    </row>
    <row r="2" spans="1:14" ht="15.75" thickBot="1" x14ac:dyDescent="0.3">
      <c r="A2" s="1" t="s">
        <v>13</v>
      </c>
      <c r="B2" s="2" t="s">
        <v>14</v>
      </c>
      <c r="C2" s="91"/>
      <c r="D2" s="92"/>
      <c r="E2" s="94"/>
      <c r="F2" s="94"/>
      <c r="G2" s="91"/>
      <c r="H2" s="94"/>
      <c r="I2" s="95"/>
      <c r="J2" s="94"/>
      <c r="K2" s="94"/>
      <c r="L2" s="94"/>
      <c r="M2" s="95"/>
      <c r="N2" s="94"/>
    </row>
    <row r="3" spans="1:14" x14ac:dyDescent="0.25">
      <c r="A3" s="3"/>
      <c r="B3" s="4"/>
      <c r="C3" s="5"/>
      <c r="D3" s="73"/>
      <c r="E3" s="6"/>
      <c r="F3" s="7"/>
      <c r="G3" s="7"/>
      <c r="H3" s="7"/>
      <c r="I3" s="83">
        <f>H3*6.89476</f>
        <v>0</v>
      </c>
      <c r="J3" s="7"/>
      <c r="K3" s="9"/>
      <c r="L3" s="7"/>
      <c r="M3" s="7"/>
      <c r="N3" s="11"/>
    </row>
    <row r="4" spans="1:14" x14ac:dyDescent="0.25">
      <c r="A4" s="12"/>
      <c r="B4" s="13"/>
      <c r="C4" s="14"/>
      <c r="D4" s="15"/>
      <c r="E4" s="16"/>
      <c r="F4" s="8"/>
      <c r="G4" s="8"/>
      <c r="H4" s="8"/>
      <c r="I4" s="8">
        <f t="shared" ref="I4:I33" si="0">H4*6.89476</f>
        <v>0</v>
      </c>
      <c r="J4" s="8"/>
      <c r="K4" s="17"/>
      <c r="L4" s="8"/>
      <c r="M4" s="10"/>
      <c r="N4" s="18"/>
    </row>
    <row r="5" spans="1:14" x14ac:dyDescent="0.25">
      <c r="A5" s="12"/>
      <c r="B5" s="13"/>
      <c r="C5" s="14"/>
      <c r="D5" s="15"/>
      <c r="E5" s="16"/>
      <c r="F5" s="8"/>
      <c r="G5" s="8"/>
      <c r="H5" s="8"/>
      <c r="I5" s="8">
        <f t="shared" si="0"/>
        <v>0</v>
      </c>
      <c r="J5" s="8"/>
      <c r="K5" s="17"/>
      <c r="L5" s="8"/>
      <c r="M5" s="10"/>
      <c r="N5" s="18"/>
    </row>
    <row r="6" spans="1:14" x14ac:dyDescent="0.25">
      <c r="A6" s="12"/>
      <c r="B6" s="13"/>
      <c r="C6" s="14"/>
      <c r="D6" s="15"/>
      <c r="E6" s="16"/>
      <c r="F6" s="8"/>
      <c r="G6" s="8"/>
      <c r="H6" s="8"/>
      <c r="I6" s="8">
        <f t="shared" si="0"/>
        <v>0</v>
      </c>
      <c r="J6" s="14"/>
      <c r="K6" s="19"/>
      <c r="L6" s="24"/>
      <c r="M6" s="10"/>
      <c r="N6" s="18"/>
    </row>
    <row r="7" spans="1:14" x14ac:dyDescent="0.25">
      <c r="A7" s="12"/>
      <c r="B7" s="13"/>
      <c r="C7" s="14">
        <v>3.2</v>
      </c>
      <c r="D7" s="15" t="s">
        <v>55</v>
      </c>
      <c r="E7" s="8">
        <v>350</v>
      </c>
      <c r="F7" s="8">
        <v>375</v>
      </c>
      <c r="G7" s="8"/>
      <c r="H7" s="8">
        <v>200</v>
      </c>
      <c r="I7" s="8">
        <f t="shared" si="0"/>
        <v>1378.952</v>
      </c>
      <c r="J7" s="14"/>
      <c r="K7" s="19"/>
      <c r="L7" s="87"/>
      <c r="M7" s="10"/>
      <c r="N7" s="18"/>
    </row>
    <row r="8" spans="1:14" x14ac:dyDescent="0.25">
      <c r="A8" s="12"/>
      <c r="B8" s="13"/>
      <c r="C8" s="8"/>
      <c r="D8" s="20"/>
      <c r="E8" s="10"/>
      <c r="F8" s="8"/>
      <c r="G8" s="8"/>
      <c r="H8" s="8"/>
      <c r="I8" s="8">
        <f t="shared" si="0"/>
        <v>0</v>
      </c>
      <c r="J8" s="14"/>
      <c r="K8" s="19"/>
      <c r="L8" s="24"/>
      <c r="M8" s="10"/>
      <c r="N8" s="18"/>
    </row>
    <row r="9" spans="1:14" x14ac:dyDescent="0.25">
      <c r="A9" s="12"/>
      <c r="B9" s="13"/>
      <c r="C9" s="8"/>
      <c r="D9" s="20"/>
      <c r="E9" s="10"/>
      <c r="F9" s="8"/>
      <c r="G9" s="8"/>
      <c r="H9" s="8"/>
      <c r="I9" s="8">
        <f t="shared" si="0"/>
        <v>0</v>
      </c>
      <c r="J9" s="8"/>
      <c r="K9" s="17"/>
      <c r="L9" s="8"/>
      <c r="M9" s="10"/>
      <c r="N9" s="18"/>
    </row>
    <row r="10" spans="1:14" x14ac:dyDescent="0.25">
      <c r="A10" s="12"/>
      <c r="B10" s="13"/>
      <c r="C10" s="21"/>
      <c r="D10" s="15"/>
      <c r="E10" s="10"/>
      <c r="F10" s="8"/>
      <c r="G10" s="8"/>
      <c r="H10" s="8"/>
      <c r="I10" s="8">
        <f t="shared" si="0"/>
        <v>0</v>
      </c>
      <c r="J10" s="8"/>
      <c r="K10" s="17"/>
      <c r="L10" s="8"/>
      <c r="M10" s="10"/>
      <c r="N10" s="18"/>
    </row>
    <row r="11" spans="1:14" x14ac:dyDescent="0.25">
      <c r="A11" s="12"/>
      <c r="B11" s="13"/>
      <c r="C11" s="14">
        <v>1</v>
      </c>
      <c r="D11" s="15" t="s">
        <v>56</v>
      </c>
      <c r="E11" s="10">
        <v>200</v>
      </c>
      <c r="F11" s="8">
        <v>250</v>
      </c>
      <c r="G11" s="8"/>
      <c r="H11" s="8">
        <v>125</v>
      </c>
      <c r="I11" s="8">
        <f t="shared" si="0"/>
        <v>861.84500000000003</v>
      </c>
      <c r="J11" s="22"/>
      <c r="K11" s="17"/>
      <c r="L11" s="8"/>
      <c r="M11" s="10"/>
      <c r="N11" s="18"/>
    </row>
    <row r="12" spans="1:14" x14ac:dyDescent="0.25">
      <c r="A12" s="12"/>
      <c r="B12" s="13"/>
      <c r="C12" s="14"/>
      <c r="D12" s="15" t="str">
        <f>IF(C12=10,"route",IF(C12=2,"Chloration",""))</f>
        <v/>
      </c>
      <c r="E12" s="10"/>
      <c r="F12" s="8"/>
      <c r="G12" s="8"/>
      <c r="H12" s="8"/>
      <c r="I12" s="8">
        <f t="shared" si="0"/>
        <v>0</v>
      </c>
      <c r="J12" s="8"/>
      <c r="K12" s="17"/>
      <c r="L12" s="8"/>
      <c r="M12" s="10"/>
      <c r="N12" s="18"/>
    </row>
    <row r="13" spans="1:14" x14ac:dyDescent="0.25">
      <c r="A13" s="12"/>
      <c r="B13" s="13"/>
      <c r="C13" s="14"/>
      <c r="D13" s="15" t="str">
        <f>IF(C13=10,"route",IF(C13=2,"Chloration",""))</f>
        <v/>
      </c>
      <c r="E13" s="23"/>
      <c r="F13" s="8"/>
      <c r="G13" s="8"/>
      <c r="H13" s="8"/>
      <c r="I13" s="8">
        <f t="shared" si="0"/>
        <v>0</v>
      </c>
      <c r="J13" s="8"/>
      <c r="K13" s="17"/>
      <c r="L13" s="8"/>
      <c r="M13" s="10"/>
      <c r="N13" s="18"/>
    </row>
    <row r="14" spans="1:14" x14ac:dyDescent="0.25">
      <c r="A14" s="12"/>
      <c r="B14" s="13"/>
      <c r="C14" s="14"/>
      <c r="D14" s="15"/>
      <c r="E14" s="24"/>
      <c r="F14" s="8"/>
      <c r="G14" s="8"/>
      <c r="H14" s="8"/>
      <c r="I14" s="8">
        <f t="shared" si="0"/>
        <v>0</v>
      </c>
      <c r="J14" s="8"/>
      <c r="K14" s="17"/>
      <c r="L14" s="8"/>
      <c r="M14" s="10"/>
      <c r="N14" s="18"/>
    </row>
    <row r="15" spans="1:14" x14ac:dyDescent="0.25">
      <c r="A15" s="12"/>
      <c r="B15" s="13"/>
      <c r="C15" s="14"/>
      <c r="D15" s="15" t="str">
        <f>IF(C15=10,"route",IF(C15=2,"Chloration",""))</f>
        <v/>
      </c>
      <c r="E15" s="24"/>
      <c r="F15" s="8"/>
      <c r="G15" s="8"/>
      <c r="H15" s="8"/>
      <c r="I15" s="8">
        <f t="shared" si="0"/>
        <v>0</v>
      </c>
      <c r="J15" s="8"/>
      <c r="K15" s="17"/>
      <c r="L15" s="8"/>
      <c r="M15" s="10"/>
      <c r="N15" s="18"/>
    </row>
    <row r="16" spans="1:14" x14ac:dyDescent="0.25">
      <c r="A16" s="12"/>
      <c r="B16" s="13"/>
      <c r="C16" s="14"/>
      <c r="D16" s="15"/>
      <c r="E16" s="24"/>
      <c r="F16" s="8"/>
      <c r="G16" s="8"/>
      <c r="H16" s="8"/>
      <c r="I16" s="8">
        <f t="shared" si="0"/>
        <v>0</v>
      </c>
      <c r="J16" s="8"/>
      <c r="K16" s="17"/>
      <c r="L16" s="8"/>
      <c r="M16" s="10"/>
      <c r="N16" s="18"/>
    </row>
    <row r="17" spans="1:14" x14ac:dyDescent="0.25">
      <c r="A17" s="12"/>
      <c r="B17" s="13"/>
      <c r="C17" s="14"/>
      <c r="D17" s="15" t="str">
        <f>IF(C17=10,"route",IF(C17=2,"Chloration",""))</f>
        <v/>
      </c>
      <c r="E17" s="24"/>
      <c r="F17" s="8"/>
      <c r="G17" s="8"/>
      <c r="H17" s="8"/>
      <c r="I17" s="8">
        <f t="shared" si="0"/>
        <v>0</v>
      </c>
      <c r="J17" s="8"/>
      <c r="K17" s="17"/>
      <c r="L17" s="8"/>
      <c r="M17" s="10"/>
      <c r="N17" s="18"/>
    </row>
    <row r="18" spans="1:14" x14ac:dyDescent="0.25">
      <c r="A18" s="12"/>
      <c r="B18" s="13"/>
      <c r="C18" s="14"/>
      <c r="D18" s="15"/>
      <c r="E18" s="24"/>
      <c r="F18" s="8"/>
      <c r="G18" s="8"/>
      <c r="H18" s="8"/>
      <c r="I18" s="8">
        <f t="shared" si="0"/>
        <v>0</v>
      </c>
      <c r="J18" s="8"/>
      <c r="K18" s="17"/>
      <c r="L18" s="8"/>
      <c r="M18" s="10"/>
      <c r="N18" s="25"/>
    </row>
    <row r="19" spans="1:14" x14ac:dyDescent="0.25">
      <c r="A19" s="12"/>
      <c r="B19" s="13"/>
      <c r="C19" s="14"/>
      <c r="D19" s="15" t="str">
        <f>IF(C19=10,"route",IF(C19=2,"Chloration",""))</f>
        <v/>
      </c>
      <c r="E19" s="24"/>
      <c r="F19" s="8"/>
      <c r="G19" s="8"/>
      <c r="H19" s="8"/>
      <c r="I19" s="8">
        <f t="shared" si="0"/>
        <v>0</v>
      </c>
      <c r="J19" s="8"/>
      <c r="K19" s="17"/>
      <c r="L19" s="8"/>
      <c r="M19" s="10"/>
      <c r="N19" s="26"/>
    </row>
    <row r="20" spans="1:14" x14ac:dyDescent="0.25">
      <c r="A20" s="12"/>
      <c r="B20" s="13"/>
      <c r="C20" s="14">
        <v>2.2999999999999998</v>
      </c>
      <c r="D20" s="15" t="s">
        <v>57</v>
      </c>
      <c r="E20" s="24">
        <v>450</v>
      </c>
      <c r="F20" s="8">
        <v>750</v>
      </c>
      <c r="G20" s="8"/>
      <c r="H20" s="8">
        <v>50</v>
      </c>
      <c r="I20" s="8">
        <f t="shared" si="0"/>
        <v>344.738</v>
      </c>
      <c r="J20" s="8"/>
      <c r="K20" s="17"/>
      <c r="L20" s="8"/>
      <c r="M20" s="10"/>
      <c r="N20" s="18"/>
    </row>
    <row r="21" spans="1:14" x14ac:dyDescent="0.25">
      <c r="A21" s="12"/>
      <c r="B21" s="13"/>
      <c r="C21" s="14"/>
      <c r="D21" s="15"/>
      <c r="E21" s="24"/>
      <c r="F21" s="8"/>
      <c r="G21" s="8"/>
      <c r="H21" s="8"/>
      <c r="I21" s="8">
        <f t="shared" si="0"/>
        <v>0</v>
      </c>
      <c r="J21" s="8"/>
      <c r="K21" s="17"/>
      <c r="L21" s="8"/>
      <c r="M21" s="10"/>
      <c r="N21" s="18"/>
    </row>
    <row r="22" spans="1:14" x14ac:dyDescent="0.25">
      <c r="A22" s="12"/>
      <c r="B22" s="13"/>
      <c r="C22" s="14"/>
      <c r="D22" s="15" t="str">
        <f t="shared" ref="D22:D29" si="1">IF(C22=10,"route",IF(C22=2,"Chloration",""))</f>
        <v/>
      </c>
      <c r="E22" s="24"/>
      <c r="F22" s="8"/>
      <c r="G22" s="8"/>
      <c r="H22" s="8"/>
      <c r="I22" s="8">
        <f t="shared" si="0"/>
        <v>0</v>
      </c>
      <c r="J22" s="8"/>
      <c r="K22" s="17"/>
      <c r="L22" s="8"/>
      <c r="M22" s="10"/>
      <c r="N22" s="18"/>
    </row>
    <row r="23" spans="1:14" x14ac:dyDescent="0.25">
      <c r="A23" s="12"/>
      <c r="B23" s="13"/>
      <c r="C23" s="14"/>
      <c r="D23" s="15" t="str">
        <f t="shared" si="1"/>
        <v/>
      </c>
      <c r="E23" s="24"/>
      <c r="F23" s="8"/>
      <c r="G23" s="8"/>
      <c r="H23" s="8"/>
      <c r="I23" s="8">
        <f t="shared" si="0"/>
        <v>0</v>
      </c>
      <c r="J23" s="8"/>
      <c r="K23" s="17"/>
      <c r="L23" s="8"/>
      <c r="M23" s="10"/>
      <c r="N23" s="18"/>
    </row>
    <row r="24" spans="1:14" x14ac:dyDescent="0.25">
      <c r="A24" s="12"/>
      <c r="B24" s="13"/>
      <c r="C24" s="14"/>
      <c r="D24" s="15"/>
      <c r="E24" s="24"/>
      <c r="F24" s="8"/>
      <c r="G24" s="8"/>
      <c r="H24" s="8"/>
      <c r="I24" s="27">
        <f t="shared" si="0"/>
        <v>0</v>
      </c>
      <c r="J24" s="8"/>
      <c r="K24" s="17"/>
      <c r="L24" s="8"/>
      <c r="M24" s="10"/>
      <c r="N24" s="18"/>
    </row>
    <row r="25" spans="1:14" x14ac:dyDescent="0.25">
      <c r="A25" s="12"/>
      <c r="B25" s="13"/>
      <c r="C25" s="14"/>
      <c r="D25" s="15" t="str">
        <f t="shared" si="1"/>
        <v/>
      </c>
      <c r="E25" s="24"/>
      <c r="F25" s="8"/>
      <c r="G25" s="8"/>
      <c r="H25" s="8"/>
      <c r="I25" s="8">
        <f t="shared" si="0"/>
        <v>0</v>
      </c>
      <c r="J25" s="8"/>
      <c r="K25" s="17"/>
      <c r="L25" s="8"/>
      <c r="M25" s="10"/>
      <c r="N25" s="18"/>
    </row>
    <row r="26" spans="1:14" x14ac:dyDescent="0.25">
      <c r="A26" s="12"/>
      <c r="B26" s="13"/>
      <c r="C26" s="14"/>
      <c r="D26" s="15"/>
      <c r="E26" s="24"/>
      <c r="F26" s="8"/>
      <c r="G26" s="8"/>
      <c r="H26" s="8"/>
      <c r="I26" s="8">
        <f t="shared" si="0"/>
        <v>0</v>
      </c>
      <c r="J26" s="8"/>
      <c r="K26" s="17"/>
      <c r="L26" s="8"/>
      <c r="M26" s="10"/>
      <c r="N26" s="18"/>
    </row>
    <row r="27" spans="1:14" x14ac:dyDescent="0.25">
      <c r="A27" s="12"/>
      <c r="B27" s="13"/>
      <c r="C27" s="14"/>
      <c r="D27" s="15" t="str">
        <f t="shared" si="1"/>
        <v/>
      </c>
      <c r="E27" s="24"/>
      <c r="F27" s="8"/>
      <c r="G27" s="8"/>
      <c r="H27" s="8"/>
      <c r="I27" s="8">
        <f t="shared" si="0"/>
        <v>0</v>
      </c>
      <c r="J27" s="8"/>
      <c r="K27" s="17"/>
      <c r="L27" s="8"/>
      <c r="M27" s="10"/>
      <c r="N27" s="18"/>
    </row>
    <row r="28" spans="1:14" x14ac:dyDescent="0.25">
      <c r="A28" s="12"/>
      <c r="B28" s="13"/>
      <c r="C28" s="14"/>
      <c r="D28" s="15"/>
      <c r="E28" s="24"/>
      <c r="F28" s="8"/>
      <c r="G28" s="8"/>
      <c r="H28" s="8"/>
      <c r="I28" s="8">
        <f t="shared" si="0"/>
        <v>0</v>
      </c>
      <c r="J28" s="8"/>
      <c r="K28" s="17"/>
      <c r="L28" s="8"/>
      <c r="M28" s="10"/>
      <c r="N28" s="18"/>
    </row>
    <row r="29" spans="1:14" x14ac:dyDescent="0.25">
      <c r="A29" s="12"/>
      <c r="B29" s="13"/>
      <c r="C29" s="14"/>
      <c r="D29" s="15" t="str">
        <f t="shared" si="1"/>
        <v/>
      </c>
      <c r="E29" s="24"/>
      <c r="F29" s="8"/>
      <c r="G29" s="8"/>
      <c r="H29" s="8"/>
      <c r="I29" s="8">
        <f t="shared" si="0"/>
        <v>0</v>
      </c>
      <c r="J29" s="8"/>
      <c r="K29" s="17"/>
      <c r="L29" s="8"/>
      <c r="M29" s="10"/>
      <c r="N29" s="18"/>
    </row>
    <row r="30" spans="1:14" x14ac:dyDescent="0.25">
      <c r="A30" s="28"/>
      <c r="B30" s="29"/>
      <c r="C30" s="14"/>
      <c r="D30" s="15"/>
      <c r="E30" s="24"/>
      <c r="F30" s="8"/>
      <c r="G30" s="8"/>
      <c r="H30" s="8"/>
      <c r="I30" s="8">
        <f t="shared" si="0"/>
        <v>0</v>
      </c>
      <c r="J30" s="8"/>
      <c r="K30" s="17"/>
      <c r="L30" s="8"/>
      <c r="M30" s="10"/>
      <c r="N30" s="18"/>
    </row>
    <row r="31" spans="1:14" x14ac:dyDescent="0.25">
      <c r="A31" s="28"/>
      <c r="B31" s="29"/>
      <c r="C31" s="14"/>
      <c r="D31" s="15"/>
      <c r="E31" s="24"/>
      <c r="F31" s="8"/>
      <c r="G31" s="8"/>
      <c r="H31" s="8"/>
      <c r="I31" s="8">
        <f t="shared" si="0"/>
        <v>0</v>
      </c>
      <c r="J31" s="8"/>
      <c r="K31" s="17"/>
      <c r="L31" s="8"/>
      <c r="M31" s="10"/>
      <c r="N31" s="18"/>
    </row>
    <row r="32" spans="1:14" x14ac:dyDescent="0.25">
      <c r="A32" s="28"/>
      <c r="B32" s="29"/>
      <c r="C32" s="14"/>
      <c r="D32" s="15"/>
      <c r="E32" s="24"/>
      <c r="F32" s="8"/>
      <c r="G32" s="8"/>
      <c r="H32" s="8"/>
      <c r="I32" s="8">
        <f t="shared" si="0"/>
        <v>0</v>
      </c>
      <c r="J32" s="8"/>
      <c r="K32" s="17"/>
      <c r="L32" s="8"/>
      <c r="M32" s="10"/>
      <c r="N32" s="18"/>
    </row>
    <row r="33" spans="1:14" ht="15.75" thickBot="1" x14ac:dyDescent="0.3">
      <c r="A33" s="74"/>
      <c r="B33" s="75"/>
      <c r="C33" s="76"/>
      <c r="D33" s="77"/>
      <c r="E33" s="78"/>
      <c r="F33" s="79"/>
      <c r="G33" s="79"/>
      <c r="H33" s="79"/>
      <c r="I33" s="8">
        <f t="shared" si="0"/>
        <v>0</v>
      </c>
      <c r="J33" s="79"/>
      <c r="K33" s="80"/>
      <c r="L33" s="79"/>
      <c r="M33" s="81"/>
      <c r="N33" s="82"/>
    </row>
  </sheetData>
  <mergeCells count="13">
    <mergeCell ref="M1:M2"/>
    <mergeCell ref="N1:N2"/>
    <mergeCell ref="G1:G2"/>
    <mergeCell ref="H1:H2"/>
    <mergeCell ref="J1:J2"/>
    <mergeCell ref="K1:K2"/>
    <mergeCell ref="L1:L2"/>
    <mergeCell ref="I1:I2"/>
    <mergeCell ref="A1:B1"/>
    <mergeCell ref="C1:C2"/>
    <mergeCell ref="D1:D2"/>
    <mergeCell ref="E1:E2"/>
    <mergeCell ref="F1:F2"/>
  </mergeCells>
  <conditionalFormatting sqref="M3:M33">
    <cfRule type="containsText" dxfId="13" priority="1" operator="containsText" text="POSITIF">
      <formula>NOT(ISERROR(SEARCH("POSITIF",M3)))</formula>
    </cfRule>
    <cfRule type="containsText" dxfId="12" priority="2" operator="containsText" text="NÉGATIF">
      <formula>NOT(ISERROR(SEARCH("NÉGATIF",M3)))</formula>
    </cfRule>
  </conditionalFormatting>
  <pageMargins left="0" right="0" top="0.74803149606299213" bottom="0.74803149606299213" header="0.31496062992125984" footer="0.31496062992125984"/>
  <pageSetup scale="9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79D50-59D2-4168-AF35-041A83134C6A}">
  <sheetPr>
    <pageSetUpPr fitToPage="1"/>
  </sheetPr>
  <dimension ref="A1:M38"/>
  <sheetViews>
    <sheetView workbookViewId="0">
      <selection activeCell="M30" sqref="M30"/>
    </sheetView>
  </sheetViews>
  <sheetFormatPr baseColWidth="10" defaultRowHeight="15" x14ac:dyDescent="0.25"/>
  <sheetData>
    <row r="1" spans="1:13" ht="23.25" x14ac:dyDescent="0.25">
      <c r="A1" s="30" t="s">
        <v>15</v>
      </c>
      <c r="B1" s="31"/>
      <c r="C1" s="31"/>
      <c r="D1" s="31"/>
      <c r="E1" s="31"/>
      <c r="F1" s="31"/>
      <c r="G1" s="31"/>
      <c r="H1" s="31"/>
      <c r="I1" s="32" t="s">
        <v>16</v>
      </c>
      <c r="J1" s="32" t="s">
        <v>17</v>
      </c>
      <c r="K1" s="33" t="s">
        <v>18</v>
      </c>
      <c r="L1" s="34" t="s">
        <v>19</v>
      </c>
    </row>
    <row r="2" spans="1:13" x14ac:dyDescent="0.25">
      <c r="A2" s="102" t="str">
        <f>IFERROR(VLOOKUP(1,Feuil1!C3:N33,2,0),"")</f>
        <v>test 1</v>
      </c>
      <c r="B2" s="102"/>
      <c r="C2" s="102"/>
      <c r="D2" s="102"/>
      <c r="E2" s="102"/>
      <c r="F2" s="102"/>
      <c r="G2" s="102"/>
      <c r="H2" s="102"/>
      <c r="I2" s="85">
        <f>IFERROR(VLOOKUP(1,Feuil1!C3:N33,3,0),"")</f>
        <v>200</v>
      </c>
      <c r="J2" s="85">
        <f>IFERROR(VLOOKUP(1,Feuil1!C3:N33,4,0),"")</f>
        <v>250</v>
      </c>
      <c r="K2" s="84" t="str">
        <f>IFERROR(VLOOKUP(1,'[1]Rapport Journalier'!C41:N42,5,0),"")</f>
        <v/>
      </c>
      <c r="L2" s="19">
        <f>Feuil3!I2</f>
        <v>1.5308967621324852</v>
      </c>
      <c r="M2">
        <v>1</v>
      </c>
    </row>
    <row r="3" spans="1:13" x14ac:dyDescent="0.25">
      <c r="A3" s="102" t="str">
        <f>IFERROR(VLOOKUP(1.1,Feuil1!C3:N33,2,0),"")</f>
        <v/>
      </c>
      <c r="B3" s="102"/>
      <c r="C3" s="102"/>
      <c r="D3" s="102"/>
      <c r="E3" s="102"/>
      <c r="F3" s="102"/>
      <c r="G3" s="102"/>
      <c r="H3" s="102"/>
      <c r="I3" s="85" t="str">
        <f>IFERROR(VLOOKUP(1.1,Feuil1!C3:N33,3,0),"")</f>
        <v/>
      </c>
      <c r="J3" s="85" t="str">
        <f>IFERROR(VLOOKUP(1.2,Feuil1!C3:N33,4,0),"")</f>
        <v/>
      </c>
      <c r="K3" s="84" t="str">
        <f>IFERROR(VLOOKUP(1.1,'[1]Rapport Journalier'!C41:N42,5,0),"")</f>
        <v/>
      </c>
      <c r="L3" s="19" t="str">
        <f>Feuil3!I3</f>
        <v/>
      </c>
      <c r="M3">
        <v>1.1000000000000001</v>
      </c>
    </row>
    <row r="4" spans="1:13" x14ac:dyDescent="0.25">
      <c r="A4" s="102" t="str">
        <f>IFERROR(VLOOKUP(1.2,Feuil1!C3:N33,2,0),"")</f>
        <v/>
      </c>
      <c r="B4" s="102"/>
      <c r="C4" s="102"/>
      <c r="D4" s="102"/>
      <c r="E4" s="102"/>
      <c r="F4" s="102"/>
      <c r="G4" s="102"/>
      <c r="H4" s="102"/>
      <c r="I4" s="85" t="str">
        <f>IFERROR(VLOOKUP(1.2,Feuil1!C3:N33,3,0),"")</f>
        <v/>
      </c>
      <c r="J4" s="85" t="str">
        <f>IFERROR(VLOOKUP(1.2,Feuil1!C3:N33,4,0),"")</f>
        <v/>
      </c>
      <c r="K4" s="84" t="str">
        <f>IFERROR(VLOOKUP(1.2,'[1]Rapport Journalier'!C41:N42,5,0),"")</f>
        <v/>
      </c>
      <c r="L4" s="19" t="str">
        <f>Feuil3!I4</f>
        <v/>
      </c>
      <c r="M4">
        <v>1.2</v>
      </c>
    </row>
    <row r="5" spans="1:13" x14ac:dyDescent="0.25">
      <c r="A5" s="102" t="str">
        <f>IFERROR(VLOOKUP(1.3,Feuil1!C3:N33,2,0),"")</f>
        <v/>
      </c>
      <c r="B5" s="102"/>
      <c r="C5" s="102"/>
      <c r="D5" s="102"/>
      <c r="E5" s="102"/>
      <c r="F5" s="102"/>
      <c r="G5" s="102"/>
      <c r="H5" s="102"/>
      <c r="I5" s="84" t="str">
        <f>IFERROR(VLOOKUP(1.3,Feuil1!C3:N33,3,0),"")</f>
        <v/>
      </c>
      <c r="J5" s="84" t="str">
        <f>IFERROR(VLOOKUP(1.3,Feuil1!C3:N33,4,0),"")</f>
        <v/>
      </c>
      <c r="K5" s="84" t="str">
        <f>IFERROR(VLOOKUP(1.3,'[1]Rapport Journalier'!C41:N42,5,0),"")</f>
        <v/>
      </c>
      <c r="L5" s="19" t="str">
        <f>Feuil3!I5</f>
        <v/>
      </c>
      <c r="M5">
        <v>1.3</v>
      </c>
    </row>
    <row r="6" spans="1:13" x14ac:dyDescent="0.25">
      <c r="A6" s="104" t="s">
        <v>20</v>
      </c>
      <c r="B6" s="105"/>
      <c r="C6" s="105" t="s">
        <v>21</v>
      </c>
      <c r="D6" s="105"/>
      <c r="E6" s="101" t="s">
        <v>22</v>
      </c>
      <c r="F6" s="101"/>
      <c r="G6" s="101" t="s">
        <v>23</v>
      </c>
      <c r="H6" s="101"/>
      <c r="I6" s="101" t="s">
        <v>24</v>
      </c>
      <c r="J6" s="101"/>
      <c r="K6" s="101"/>
      <c r="L6" s="106"/>
    </row>
    <row r="7" spans="1:13" x14ac:dyDescent="0.25">
      <c r="A7" s="37" t="s">
        <v>25</v>
      </c>
      <c r="B7" s="38" t="str">
        <f>IFERROR(VLOOKUP(1,'[1]Rapport Journalier'!C41:N42,6,0),"")</f>
        <v/>
      </c>
      <c r="C7" s="103" t="s">
        <v>26</v>
      </c>
      <c r="D7" s="103"/>
      <c r="E7" s="107" t="str">
        <f>IF(E8="chloration","Test Tech Inc","")</f>
        <v/>
      </c>
      <c r="F7" s="107"/>
      <c r="G7" s="107" t="s">
        <v>27</v>
      </c>
      <c r="H7" s="107"/>
      <c r="I7" s="96" t="s">
        <v>28</v>
      </c>
      <c r="J7" s="96"/>
      <c r="K7" s="96"/>
      <c r="L7" s="40"/>
    </row>
    <row r="8" spans="1:13" x14ac:dyDescent="0.25">
      <c r="A8" s="37" t="s">
        <v>29</v>
      </c>
      <c r="B8" s="41" t="str">
        <f>IFERROR(B7*6.89476,"")</f>
        <v/>
      </c>
      <c r="C8" s="38"/>
      <c r="D8" s="38"/>
      <c r="E8" s="97" t="str">
        <f>IFERROR(VLOOKUP(4,'[1]Rapport Journalier'!C41:N43,2,0),"")</f>
        <v/>
      </c>
      <c r="F8" s="97"/>
      <c r="G8" s="42"/>
      <c r="H8" s="42"/>
      <c r="I8" s="97"/>
      <c r="J8" s="97"/>
      <c r="K8" s="97"/>
      <c r="L8" s="98"/>
    </row>
    <row r="9" spans="1:13" x14ac:dyDescent="0.25">
      <c r="A9" s="37" t="s">
        <v>30</v>
      </c>
      <c r="B9" s="41">
        <f>Feuil3!I6</f>
        <v>1.5308967621324852</v>
      </c>
      <c r="C9" s="35" t="s">
        <v>31</v>
      </c>
      <c r="D9" s="39"/>
      <c r="E9" s="39" t="str">
        <f>IF(E8="Chloration",50,"")</f>
        <v/>
      </c>
      <c r="F9" s="35" t="s">
        <v>32</v>
      </c>
      <c r="G9" s="42"/>
      <c r="H9" s="42"/>
      <c r="I9" s="97"/>
      <c r="J9" s="97"/>
      <c r="K9" s="97"/>
      <c r="L9" s="98"/>
    </row>
    <row r="10" spans="1:13" x14ac:dyDescent="0.25">
      <c r="A10" s="37" t="s">
        <v>33</v>
      </c>
      <c r="B10" s="43" t="str">
        <f>IFERROR(VLOOKUP(1,'[1]Rapport Journalier'!C41:N42,10,0),"")</f>
        <v/>
      </c>
      <c r="C10" s="38"/>
      <c r="D10" s="38"/>
      <c r="E10" s="38"/>
      <c r="F10" s="42"/>
      <c r="G10" s="42"/>
      <c r="H10" s="42"/>
      <c r="I10" s="97"/>
      <c r="J10" s="97"/>
      <c r="K10" s="97"/>
      <c r="L10" s="98"/>
    </row>
    <row r="11" spans="1:13" x14ac:dyDescent="0.25">
      <c r="A11" s="37" t="s">
        <v>34</v>
      </c>
      <c r="B11" s="44" t="str">
        <f>IF(B10="","",IF(B10&lt;=B9,"POSITIF","NÉGATIF"))</f>
        <v/>
      </c>
      <c r="C11" s="38"/>
      <c r="D11" s="38"/>
      <c r="E11" s="38"/>
      <c r="F11" s="42"/>
      <c r="G11" s="42"/>
      <c r="H11" s="42"/>
      <c r="I11" s="35" t="s">
        <v>31</v>
      </c>
      <c r="J11" s="35"/>
      <c r="K11" s="39"/>
      <c r="L11" s="36"/>
    </row>
    <row r="12" spans="1:13" x14ac:dyDescent="0.25">
      <c r="A12" s="37" t="s">
        <v>35</v>
      </c>
      <c r="B12" s="45"/>
      <c r="C12" s="35" t="s">
        <v>35</v>
      </c>
      <c r="D12" s="46"/>
      <c r="E12" s="35" t="s">
        <v>35</v>
      </c>
      <c r="F12" s="46"/>
      <c r="G12" s="35" t="s">
        <v>35</v>
      </c>
      <c r="H12" s="46"/>
      <c r="I12" s="99" t="s">
        <v>36</v>
      </c>
      <c r="J12" s="99"/>
      <c r="K12" s="99"/>
      <c r="L12" s="36"/>
    </row>
    <row r="13" spans="1:13" x14ac:dyDescent="0.25">
      <c r="A13" s="47"/>
      <c r="L13" s="36"/>
    </row>
    <row r="14" spans="1:13" ht="23.25" x14ac:dyDescent="0.25">
      <c r="A14" s="30" t="s">
        <v>15</v>
      </c>
      <c r="B14" s="31"/>
      <c r="C14" s="31"/>
      <c r="D14" s="31"/>
      <c r="E14" s="31"/>
      <c r="F14" s="31"/>
      <c r="G14" s="31"/>
      <c r="H14" s="31"/>
      <c r="I14" s="32" t="s">
        <v>16</v>
      </c>
      <c r="J14" s="32" t="s">
        <v>17</v>
      </c>
      <c r="K14" s="33" t="s">
        <v>18</v>
      </c>
      <c r="L14" s="34" t="s">
        <v>19</v>
      </c>
    </row>
    <row r="15" spans="1:13" x14ac:dyDescent="0.25">
      <c r="A15" s="102" t="str">
        <f>IFERROR(VLOOKUP(2,Feuil1!C3:N33,2,0),"")</f>
        <v/>
      </c>
      <c r="B15" s="102"/>
      <c r="C15" s="102"/>
      <c r="D15" s="102"/>
      <c r="E15" s="102"/>
      <c r="F15" s="102"/>
      <c r="G15" s="102"/>
      <c r="H15" s="102"/>
      <c r="I15" s="85" t="str">
        <f>IFERROR(VLOOKUP(2,Feuil1!C3:N33,3,0),"")</f>
        <v/>
      </c>
      <c r="J15" s="85" t="str">
        <f>IFERROR(VLOOKUP(2,Feuil1!C3:N33,4,0),"")</f>
        <v/>
      </c>
      <c r="K15" s="84" t="str">
        <f>IFERROR(VLOOKUP(2,'[1]Rapport Journalier'!C41:N42,5,0),"")</f>
        <v/>
      </c>
      <c r="L15" s="19" t="str">
        <f>Feuil3!I11</f>
        <v/>
      </c>
      <c r="M15">
        <v>2</v>
      </c>
    </row>
    <row r="16" spans="1:13" x14ac:dyDescent="0.25">
      <c r="A16" s="102" t="str">
        <f>IFERROR(VLOOKUP(2.1,Feuil1!C3:N33,2,0),"")</f>
        <v/>
      </c>
      <c r="B16" s="102"/>
      <c r="C16" s="102"/>
      <c r="D16" s="102"/>
      <c r="E16" s="102"/>
      <c r="F16" s="102"/>
      <c r="G16" s="102"/>
      <c r="H16" s="102"/>
      <c r="I16" s="85" t="str">
        <f>IFERROR(VLOOKUP(2.1,Feuil1!C3:N33,3,0),"")</f>
        <v/>
      </c>
      <c r="J16" s="85" t="str">
        <f>IFERROR(VLOOKUP(2.1,Feuil1!C3:N33,4,0),"")</f>
        <v/>
      </c>
      <c r="K16" s="84" t="str">
        <f>IFERROR(VLOOKUP(2.1,'[1]Rapport Journalier'!C41:N42,5,0),"")</f>
        <v/>
      </c>
      <c r="L16" s="19" t="str">
        <f>Feuil3!I12</f>
        <v/>
      </c>
      <c r="M16">
        <v>2.1</v>
      </c>
    </row>
    <row r="17" spans="1:13" x14ac:dyDescent="0.25">
      <c r="A17" s="102" t="str">
        <f>IFERROR(VLOOKUP(2.2,Feuil1!C3:N33,2,0),"")</f>
        <v/>
      </c>
      <c r="B17" s="102"/>
      <c r="C17" s="102"/>
      <c r="D17" s="102"/>
      <c r="E17" s="102"/>
      <c r="F17" s="102"/>
      <c r="G17" s="102"/>
      <c r="H17" s="102"/>
      <c r="I17" s="85" t="str">
        <f>IFERROR(VLOOKUP(2.2,Feuil1!C3:N33,3,0),"")</f>
        <v/>
      </c>
      <c r="J17" s="85" t="str">
        <f>IFERROR(VLOOKUP(2.2,Feuil1!C3:N33,4,0),"")</f>
        <v/>
      </c>
      <c r="K17" s="84" t="str">
        <f>IFERROR(VLOOKUP(2.2,'[1]Rapport Journalier'!C41:N42,5,0),"")</f>
        <v/>
      </c>
      <c r="L17" s="19" t="str">
        <f>Feuil3!I13</f>
        <v/>
      </c>
      <c r="M17">
        <v>2.2000000000000002</v>
      </c>
    </row>
    <row r="18" spans="1:13" x14ac:dyDescent="0.25">
      <c r="A18" s="102" t="str">
        <f>IFERROR(VLOOKUP(2.3,Feuil1!C3:N33,2,0),"")</f>
        <v xml:space="preserve">test 3 </v>
      </c>
      <c r="B18" s="102"/>
      <c r="C18" s="102"/>
      <c r="D18" s="102"/>
      <c r="E18" s="102"/>
      <c r="F18" s="102"/>
      <c r="G18" s="102"/>
      <c r="H18" s="102"/>
      <c r="I18" s="84">
        <f>IFERROR(VLOOKUP(2.3,Feuil1!C3:N33,3,0),"")</f>
        <v>450</v>
      </c>
      <c r="J18" s="84">
        <f>IFERROR(VLOOKUP(2.3,Feuil1!C3:N33,4,0),"")</f>
        <v>750</v>
      </c>
      <c r="K18" s="84" t="str">
        <f>IFERROR(VLOOKUP(2.3,'[1]Rapport Journalier'!C41:N42,5,0),"")</f>
        <v/>
      </c>
      <c r="L18" s="19">
        <f>Feuil3!I14</f>
        <v>8.0092069261472378</v>
      </c>
      <c r="M18">
        <v>2.2999999999999998</v>
      </c>
    </row>
    <row r="19" spans="1:13" ht="15" customHeight="1" x14ac:dyDescent="0.25">
      <c r="A19" s="104" t="s">
        <v>20</v>
      </c>
      <c r="B19" s="105"/>
      <c r="C19" s="105" t="s">
        <v>21</v>
      </c>
      <c r="D19" s="105"/>
      <c r="E19" s="101" t="s">
        <v>37</v>
      </c>
      <c r="F19" s="101"/>
      <c r="G19" s="101" t="s">
        <v>38</v>
      </c>
      <c r="H19" s="101"/>
      <c r="I19" s="101" t="s">
        <v>24</v>
      </c>
      <c r="J19" s="101"/>
      <c r="K19" s="101"/>
      <c r="L19" s="106"/>
    </row>
    <row r="20" spans="1:13" x14ac:dyDescent="0.25">
      <c r="A20" s="37" t="s">
        <v>25</v>
      </c>
      <c r="B20" s="38" t="str">
        <f>IFERROR(VLOOKUP(2,'[1]Rapport Journalier'!C41:N42,6,0),"")</f>
        <v/>
      </c>
      <c r="C20" s="103" t="s">
        <v>26</v>
      </c>
      <c r="D20" s="103"/>
      <c r="E20" s="107" t="str">
        <f>IF(E21="chloration","Test Tech Inc","")</f>
        <v/>
      </c>
      <c r="F20" s="107"/>
      <c r="G20" s="107" t="s">
        <v>27</v>
      </c>
      <c r="H20" s="107"/>
      <c r="I20" s="96" t="s">
        <v>28</v>
      </c>
      <c r="J20" s="96"/>
      <c r="K20" s="96"/>
      <c r="L20" s="36"/>
    </row>
    <row r="21" spans="1:13" x14ac:dyDescent="0.25">
      <c r="A21" s="37" t="s">
        <v>29</v>
      </c>
      <c r="B21" s="41" t="str">
        <f>IFERROR(B20*6.89476,"")</f>
        <v/>
      </c>
      <c r="C21" s="38"/>
      <c r="D21" s="38"/>
      <c r="E21" s="97" t="str">
        <f>IFERROR(VLOOKUP(4.1,'[1]Rapport Journalier'!C41:N43,2,0),"")</f>
        <v/>
      </c>
      <c r="F21" s="97"/>
      <c r="G21" s="42"/>
      <c r="H21" s="42"/>
      <c r="I21" s="97"/>
      <c r="J21" s="97"/>
      <c r="K21" s="97"/>
      <c r="L21" s="98"/>
    </row>
    <row r="22" spans="1:13" x14ac:dyDescent="0.25">
      <c r="A22" s="37" t="s">
        <v>30</v>
      </c>
      <c r="B22" s="41">
        <f>Feuil3!I15</f>
        <v>8.0092069261472378</v>
      </c>
      <c r="C22" s="35" t="s">
        <v>31</v>
      </c>
      <c r="D22" s="39"/>
      <c r="E22" s="39" t="str">
        <f>IF(E21="Chloration",50,"")</f>
        <v/>
      </c>
      <c r="F22" s="35" t="s">
        <v>32</v>
      </c>
      <c r="G22" s="42"/>
      <c r="H22" s="42"/>
      <c r="I22" s="97"/>
      <c r="J22" s="97"/>
      <c r="K22" s="97"/>
      <c r="L22" s="98"/>
    </row>
    <row r="23" spans="1:13" x14ac:dyDescent="0.25">
      <c r="A23" s="37" t="s">
        <v>33</v>
      </c>
      <c r="B23" s="43" t="str">
        <f>IFERROR(VLOOKUP(2,'[1]Rapport Journalier'!C41:N42,10,0),"")</f>
        <v/>
      </c>
      <c r="C23" s="38"/>
      <c r="D23" s="38"/>
      <c r="E23" s="38"/>
      <c r="F23" s="42"/>
      <c r="G23" s="42"/>
      <c r="H23" s="42"/>
      <c r="I23" s="97"/>
      <c r="J23" s="97"/>
      <c r="K23" s="97"/>
      <c r="L23" s="98"/>
    </row>
    <row r="24" spans="1:13" x14ac:dyDescent="0.25">
      <c r="A24" s="37" t="s">
        <v>34</v>
      </c>
      <c r="B24" s="44" t="str">
        <f>IF(B23="","",IF(B23&lt;=B22,"POSITIF","NÉGATIF"))</f>
        <v/>
      </c>
      <c r="C24" s="38"/>
      <c r="D24" s="38"/>
      <c r="E24" s="38"/>
      <c r="F24" s="42"/>
      <c r="G24" s="42"/>
      <c r="H24" s="42"/>
      <c r="I24" s="35" t="s">
        <v>31</v>
      </c>
      <c r="J24" s="35"/>
      <c r="K24" s="39"/>
      <c r="L24" s="36"/>
    </row>
    <row r="25" spans="1:13" x14ac:dyDescent="0.25">
      <c r="A25" s="37" t="s">
        <v>35</v>
      </c>
      <c r="B25" s="45"/>
      <c r="C25" s="35" t="s">
        <v>35</v>
      </c>
      <c r="D25" s="46"/>
      <c r="E25" s="35" t="s">
        <v>35</v>
      </c>
      <c r="F25" s="46"/>
      <c r="G25" s="35" t="s">
        <v>35</v>
      </c>
      <c r="H25" s="46"/>
      <c r="I25" s="99" t="s">
        <v>36</v>
      </c>
      <c r="J25" s="99"/>
      <c r="K25" s="99"/>
      <c r="L25" s="36"/>
    </row>
    <row r="26" spans="1:13" x14ac:dyDescent="0.25">
      <c r="A26" s="47"/>
      <c r="L26" s="36"/>
    </row>
    <row r="27" spans="1:13" ht="23.25" x14ac:dyDescent="0.25">
      <c r="A27" s="30" t="s">
        <v>15</v>
      </c>
      <c r="B27" s="31"/>
      <c r="C27" s="31"/>
      <c r="D27" s="31"/>
      <c r="E27" s="31"/>
      <c r="F27" s="31"/>
      <c r="G27" s="31"/>
      <c r="H27" s="31"/>
      <c r="I27" s="32" t="s">
        <v>16</v>
      </c>
      <c r="J27" s="32" t="s">
        <v>17</v>
      </c>
      <c r="K27" s="33" t="s">
        <v>18</v>
      </c>
      <c r="L27" s="34" t="s">
        <v>19</v>
      </c>
    </row>
    <row r="28" spans="1:13" x14ac:dyDescent="0.25">
      <c r="A28" s="100" t="str">
        <f>IFERROR(VLOOKUP(3,Feuil1!C3:N33,2,0),"")</f>
        <v/>
      </c>
      <c r="B28" s="100"/>
      <c r="C28" s="100"/>
      <c r="D28" s="100"/>
      <c r="E28" s="100"/>
      <c r="F28" s="100"/>
      <c r="G28" s="100"/>
      <c r="H28" s="100"/>
      <c r="I28" s="85" t="str">
        <f>IFERROR(VLOOKUP(3,Feuil1!C3:N33,3,0),"")</f>
        <v/>
      </c>
      <c r="J28" s="85" t="str">
        <f>IFERROR(VLOOKUP(3,Feuil1!C3:N33,4,0),"")</f>
        <v/>
      </c>
      <c r="K28" s="84" t="str">
        <f>IFERROR(VLOOKUP(3,'[1]Rapport Journalier'!C41:N42,5,0),"")</f>
        <v/>
      </c>
      <c r="L28" s="86" t="str">
        <f>Feuil3!I20</f>
        <v/>
      </c>
      <c r="M28">
        <v>3</v>
      </c>
    </row>
    <row r="29" spans="1:13" x14ac:dyDescent="0.25">
      <c r="A29" s="100" t="str">
        <f>IFERROR(VLOOKUP(3.1,Feuil1!C3:N33,2,0),"")</f>
        <v/>
      </c>
      <c r="B29" s="100"/>
      <c r="C29" s="100"/>
      <c r="D29" s="100"/>
      <c r="E29" s="100"/>
      <c r="F29" s="100"/>
      <c r="G29" s="100"/>
      <c r="H29" s="100"/>
      <c r="I29" s="85" t="str">
        <f>IFERROR(VLOOKUP(3.1,Feuil1!C3:N33,3,0),"")</f>
        <v/>
      </c>
      <c r="J29" s="85" t="str">
        <f>IFERROR(VLOOKUP(3.1,Feuil1!C3:N33,4,0),"")</f>
        <v/>
      </c>
      <c r="K29" s="84" t="str">
        <f>IFERROR(VLOOKUP(3.1,'[1]Rapport Journalier'!C41:N42,5,0),"")</f>
        <v/>
      </c>
      <c r="L29" s="86" t="str">
        <f>Feuil3!I21</f>
        <v/>
      </c>
      <c r="M29">
        <v>3.1</v>
      </c>
    </row>
    <row r="30" spans="1:13" x14ac:dyDescent="0.25">
      <c r="A30" s="100" t="str">
        <f>IFERROR(VLOOKUP(3.2,Feuil1!C3:N33,2,0),"")</f>
        <v>test 2</v>
      </c>
      <c r="B30" s="100"/>
      <c r="C30" s="100"/>
      <c r="D30" s="100"/>
      <c r="E30" s="100"/>
      <c r="F30" s="100"/>
      <c r="G30" s="100"/>
      <c r="H30" s="100"/>
      <c r="I30" s="85">
        <f>IFERROR(VLOOKUP(3.2,Feuil1!C3:N33,3,0),"")</f>
        <v>350</v>
      </c>
      <c r="J30" s="85">
        <f>IFERROR(VLOOKUP(3.2,Feuil1!C3:N33,4,0),"")</f>
        <v>375</v>
      </c>
      <c r="K30" s="84" t="str">
        <f>IFERROR(VLOOKUP(3.2,'[1]Rapport Journalier'!C41:N42,5,0),"")</f>
        <v/>
      </c>
      <c r="L30" s="86">
        <f>Feuil3!I22</f>
        <v>6.193786689553864</v>
      </c>
      <c r="M30">
        <v>3.2</v>
      </c>
    </row>
    <row r="31" spans="1:13" x14ac:dyDescent="0.25">
      <c r="A31" s="100" t="str">
        <f>IFERROR(VLOOKUP(3.3,Feuil1!C3:N33,2,0),"")</f>
        <v/>
      </c>
      <c r="B31" s="100"/>
      <c r="C31" s="100"/>
      <c r="D31" s="100"/>
      <c r="E31" s="100"/>
      <c r="F31" s="100"/>
      <c r="G31" s="100"/>
      <c r="H31" s="100"/>
      <c r="I31" s="84" t="str">
        <f>IFERROR(VLOOKUP(3.3,Feuil1!C3:N33,3,0),"")</f>
        <v/>
      </c>
      <c r="J31" s="84" t="str">
        <f>IFERROR(VLOOKUP(3.3,Feuil1!C3:N33,4,0),"")</f>
        <v/>
      </c>
      <c r="K31" s="84" t="str">
        <f>IFERROR(VLOOKUP(3.3,'[1]Rapport Journalier'!C41:N42,5,0),"")</f>
        <v/>
      </c>
      <c r="L31" s="86" t="str">
        <f>Feuil3!I23</f>
        <v/>
      </c>
      <c r="M31">
        <v>3.3</v>
      </c>
    </row>
    <row r="32" spans="1:13" x14ac:dyDescent="0.25">
      <c r="A32" s="104" t="s">
        <v>20</v>
      </c>
      <c r="B32" s="105"/>
      <c r="C32" s="105" t="s">
        <v>21</v>
      </c>
      <c r="D32" s="105"/>
      <c r="E32" s="101" t="s">
        <v>22</v>
      </c>
      <c r="F32" s="101"/>
      <c r="G32" s="101" t="s">
        <v>23</v>
      </c>
      <c r="H32" s="101"/>
      <c r="I32" s="101" t="s">
        <v>24</v>
      </c>
      <c r="J32" s="101"/>
      <c r="K32" s="101"/>
      <c r="L32" s="106"/>
    </row>
    <row r="33" spans="1:12" x14ac:dyDescent="0.25">
      <c r="A33" s="37" t="s">
        <v>25</v>
      </c>
      <c r="B33" s="38" t="str">
        <f>IFERROR(VLOOKUP(3,'[1]Rapport Journalier'!C41:N42,6,0),"")</f>
        <v/>
      </c>
      <c r="C33" s="103" t="s">
        <v>26</v>
      </c>
      <c r="D33" s="103"/>
      <c r="E33" s="107" t="str">
        <f>IF(E34="chloration","Test Tech Inc","")</f>
        <v/>
      </c>
      <c r="F33" s="107"/>
      <c r="G33" s="107" t="s">
        <v>27</v>
      </c>
      <c r="H33" s="107"/>
      <c r="I33" s="96" t="s">
        <v>28</v>
      </c>
      <c r="J33" s="96"/>
      <c r="K33" s="96"/>
      <c r="L33" s="36"/>
    </row>
    <row r="34" spans="1:12" x14ac:dyDescent="0.25">
      <c r="A34" s="37" t="s">
        <v>29</v>
      </c>
      <c r="B34" s="41" t="str">
        <f>IFERROR(B33*6.89476,"")</f>
        <v/>
      </c>
      <c r="C34" s="38"/>
      <c r="D34" s="38"/>
      <c r="E34" s="97" t="str">
        <f>IFERROR(VLOOKUP(4.2,'[1]Rapport Journalier'!C41:N43,2,0),"")</f>
        <v/>
      </c>
      <c r="F34" s="97"/>
      <c r="G34" s="42"/>
      <c r="H34" s="42"/>
      <c r="I34" s="97"/>
      <c r="J34" s="97"/>
      <c r="K34" s="97"/>
      <c r="L34" s="98"/>
    </row>
    <row r="35" spans="1:12" x14ac:dyDescent="0.25">
      <c r="A35" s="37" t="s">
        <v>30</v>
      </c>
      <c r="B35" s="41">
        <f>Feuil3!I24</f>
        <v>6.193786689553864</v>
      </c>
      <c r="C35" s="35" t="s">
        <v>31</v>
      </c>
      <c r="D35" s="39"/>
      <c r="E35" s="39" t="str">
        <f>IF(E34="Chloration",50,"")</f>
        <v/>
      </c>
      <c r="F35" s="35" t="s">
        <v>32</v>
      </c>
      <c r="G35" s="42"/>
      <c r="H35" s="42"/>
      <c r="I35" s="97"/>
      <c r="J35" s="97"/>
      <c r="K35" s="97"/>
      <c r="L35" s="98"/>
    </row>
    <row r="36" spans="1:12" x14ac:dyDescent="0.25">
      <c r="A36" s="37" t="s">
        <v>33</v>
      </c>
      <c r="B36" s="43" t="str">
        <f>IFERROR(VLOOKUP(3,'[1]Rapport Journalier'!C41:N42,10,0),"")</f>
        <v/>
      </c>
      <c r="C36" s="38"/>
      <c r="D36" s="38"/>
      <c r="E36" s="38"/>
      <c r="F36" s="42"/>
      <c r="G36" s="42"/>
      <c r="H36" s="42"/>
      <c r="I36" s="97"/>
      <c r="J36" s="97"/>
      <c r="K36" s="97"/>
      <c r="L36" s="98"/>
    </row>
    <row r="37" spans="1:12" x14ac:dyDescent="0.25">
      <c r="A37" s="37" t="s">
        <v>34</v>
      </c>
      <c r="B37" s="44" t="str">
        <f>IF(B36="","",IF(B36&lt;=B35,"POSITIF","NÉGATIF"))</f>
        <v/>
      </c>
      <c r="C37" s="38"/>
      <c r="D37" s="38"/>
      <c r="E37" s="38"/>
      <c r="F37" s="42"/>
      <c r="G37" s="42"/>
      <c r="H37" s="42"/>
      <c r="I37" s="35" t="s">
        <v>31</v>
      </c>
      <c r="J37" s="35"/>
      <c r="K37" s="39"/>
      <c r="L37" s="36"/>
    </row>
    <row r="38" spans="1:12" ht="15.75" thickBot="1" x14ac:dyDescent="0.3">
      <c r="A38" s="48" t="s">
        <v>35</v>
      </c>
      <c r="B38" s="49"/>
      <c r="C38" s="50" t="s">
        <v>35</v>
      </c>
      <c r="D38" s="51"/>
      <c r="E38" s="50" t="s">
        <v>35</v>
      </c>
      <c r="F38" s="51"/>
      <c r="G38" s="50" t="s">
        <v>35</v>
      </c>
      <c r="H38" s="51"/>
      <c r="I38" s="108" t="s">
        <v>36</v>
      </c>
      <c r="J38" s="108"/>
      <c r="K38" s="108"/>
      <c r="L38" s="52"/>
    </row>
  </sheetData>
  <mergeCells count="48">
    <mergeCell ref="A31:H31"/>
    <mergeCell ref="C20:D20"/>
    <mergeCell ref="E20:F20"/>
    <mergeCell ref="G20:H20"/>
    <mergeCell ref="I38:K38"/>
    <mergeCell ref="C33:D33"/>
    <mergeCell ref="E33:F33"/>
    <mergeCell ref="G33:H33"/>
    <mergeCell ref="I33:K33"/>
    <mergeCell ref="E34:F34"/>
    <mergeCell ref="I34:L36"/>
    <mergeCell ref="A32:B32"/>
    <mergeCell ref="C32:D32"/>
    <mergeCell ref="E32:F32"/>
    <mergeCell ref="G32:H32"/>
    <mergeCell ref="I32:L32"/>
    <mergeCell ref="C19:D19"/>
    <mergeCell ref="E19:F19"/>
    <mergeCell ref="G19:H19"/>
    <mergeCell ref="A16:H16"/>
    <mergeCell ref="I19:L19"/>
    <mergeCell ref="A2:H2"/>
    <mergeCell ref="A3:H3"/>
    <mergeCell ref="A4:H4"/>
    <mergeCell ref="A15:H15"/>
    <mergeCell ref="A5:H5"/>
    <mergeCell ref="C7:D7"/>
    <mergeCell ref="A6:B6"/>
    <mergeCell ref="C6:D6"/>
    <mergeCell ref="E7:F7"/>
    <mergeCell ref="G7:H7"/>
    <mergeCell ref="E8:F8"/>
    <mergeCell ref="I20:K20"/>
    <mergeCell ref="I21:L23"/>
    <mergeCell ref="I25:K25"/>
    <mergeCell ref="A30:H30"/>
    <mergeCell ref="E6:F6"/>
    <mergeCell ref="G6:H6"/>
    <mergeCell ref="E21:F21"/>
    <mergeCell ref="A17:H17"/>
    <mergeCell ref="A18:H18"/>
    <mergeCell ref="A28:H28"/>
    <mergeCell ref="A29:H29"/>
    <mergeCell ref="I8:L10"/>
    <mergeCell ref="I6:L6"/>
    <mergeCell ref="I7:K7"/>
    <mergeCell ref="I12:K12"/>
    <mergeCell ref="A19:B19"/>
  </mergeCells>
  <conditionalFormatting sqref="B11">
    <cfRule type="containsText" dxfId="11" priority="11" operator="containsText" text="NÉGATIF">
      <formula>NOT(ISERROR(SEARCH("NÉGATIF",B11)))</formula>
    </cfRule>
    <cfRule type="containsText" dxfId="10" priority="12" operator="containsText" text="POSITIF">
      <formula>NOT(ISERROR(SEARCH("POSITIF",B11)))</formula>
    </cfRule>
  </conditionalFormatting>
  <conditionalFormatting sqref="D9">
    <cfRule type="containsText" dxfId="9" priority="9" operator="containsText" text="POSITIF">
      <formula>NOT(ISERROR(SEARCH("POSITIF",D9)))</formula>
    </cfRule>
    <cfRule type="containsText" dxfId="8" priority="10" operator="containsText" text="NÉGATIF">
      <formula>NOT(ISERROR(SEARCH("NÉGATIF",D9)))</formula>
    </cfRule>
  </conditionalFormatting>
  <conditionalFormatting sqref="B24">
    <cfRule type="containsText" dxfId="7" priority="7" operator="containsText" text="NÉGATIF">
      <formula>NOT(ISERROR(SEARCH("NÉGATIF",B24)))</formula>
    </cfRule>
    <cfRule type="containsText" dxfId="6" priority="8" operator="containsText" text="POSITIF">
      <formula>NOT(ISERROR(SEARCH("POSITIF",B24)))</formula>
    </cfRule>
  </conditionalFormatting>
  <conditionalFormatting sqref="D22">
    <cfRule type="containsText" dxfId="5" priority="5" operator="containsText" text="POSITIF">
      <formula>NOT(ISERROR(SEARCH("POSITIF",D22)))</formula>
    </cfRule>
    <cfRule type="containsText" dxfId="4" priority="6" operator="containsText" text="NÉGATIF">
      <formula>NOT(ISERROR(SEARCH("NÉGATIF",D22)))</formula>
    </cfRule>
  </conditionalFormatting>
  <conditionalFormatting sqref="B37">
    <cfRule type="containsText" dxfId="3" priority="3" operator="containsText" text="NÉGATIF">
      <formula>NOT(ISERROR(SEARCH("NÉGATIF",B37)))</formula>
    </cfRule>
    <cfRule type="containsText" dxfId="2" priority="4" operator="containsText" text="POSITIF">
      <formula>NOT(ISERROR(SEARCH("POSITIF",B37)))</formula>
    </cfRule>
  </conditionalFormatting>
  <conditionalFormatting sqref="D35">
    <cfRule type="containsText" dxfId="1" priority="1" operator="containsText" text="POSITIF">
      <formula>NOT(ISERROR(SEARCH("POSITIF",D35)))</formula>
    </cfRule>
    <cfRule type="containsText" dxfId="0" priority="2" operator="containsText" text="NÉGATIF">
      <formula>NOT(ISERROR(SEARCH("NÉGATIF",D35)))</formula>
    </cfRule>
  </conditionalFormatting>
  <pageMargins left="0.7" right="0.7" top="0.75" bottom="0.75" header="0.3" footer="0.3"/>
  <pageSetup scale="67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5D56A-6BDC-49DF-A961-EFD2FAB600F6}">
  <dimension ref="B1:I27"/>
  <sheetViews>
    <sheetView tabSelected="1" workbookViewId="0">
      <selection activeCell="H24" sqref="H24"/>
    </sheetView>
  </sheetViews>
  <sheetFormatPr baseColWidth="10" defaultRowHeight="15" x14ac:dyDescent="0.25"/>
  <sheetData>
    <row r="1" spans="2:9" ht="15.75" thickBot="1" x14ac:dyDescent="0.3">
      <c r="B1" s="53"/>
      <c r="C1" s="54"/>
      <c r="D1" s="54"/>
      <c r="E1" s="54"/>
      <c r="F1" s="55" t="s">
        <v>39</v>
      </c>
      <c r="G1" s="55" t="s">
        <v>40</v>
      </c>
      <c r="H1" s="55" t="s">
        <v>41</v>
      </c>
      <c r="I1" s="56" t="s">
        <v>42</v>
      </c>
    </row>
    <row r="2" spans="2:9" ht="15.75" thickBot="1" x14ac:dyDescent="0.3">
      <c r="B2" s="113" t="s">
        <v>43</v>
      </c>
      <c r="C2" s="114"/>
      <c r="D2" s="57">
        <f>IFERROR(Feuil2!I2/6.1+1,"")</f>
        <v>33.786885245901644</v>
      </c>
      <c r="E2" s="57">
        <f>IFERROR(ROUNDUP(D2,0),"")</f>
        <v>34</v>
      </c>
      <c r="F2" s="58">
        <f>IFERROR(VLOOKUP(1,Feuil1!C3:N33,6,0),"")</f>
        <v>125</v>
      </c>
      <c r="G2" s="58">
        <f>IFERROR(F2*6.89476,"")</f>
        <v>861.84500000000003</v>
      </c>
      <c r="H2" s="58">
        <f>Feuil2!I2</f>
        <v>200</v>
      </c>
      <c r="I2" s="59">
        <f>IFERROR(Feuil3!E2*H2*D6/130400,"")</f>
        <v>1.5308967621324852</v>
      </c>
    </row>
    <row r="3" spans="2:9" ht="15.75" thickBot="1" x14ac:dyDescent="0.3">
      <c r="B3" s="115" t="s">
        <v>44</v>
      </c>
      <c r="C3" s="116"/>
      <c r="D3" s="60" t="str">
        <f>IFERROR(Feuil2!I3/6.1+1,"")</f>
        <v/>
      </c>
      <c r="E3" s="60" t="str">
        <f>IFERROR(ROUND(D3,0),"")</f>
        <v/>
      </c>
      <c r="F3" s="58" t="str">
        <f>IFERROR(VLOOKUP(1.1,Feuil1!C3:N33,6,0),"")</f>
        <v/>
      </c>
      <c r="G3" s="61" t="str">
        <f>IFERROR(F3*6.89476,"")</f>
        <v/>
      </c>
      <c r="H3" s="58" t="str">
        <f>Feuil2!I3</f>
        <v/>
      </c>
      <c r="I3" s="59" t="str">
        <f>IFERROR(Feuil3!E3*H3*D7/130400,"")</f>
        <v/>
      </c>
    </row>
    <row r="4" spans="2:9" ht="15.75" thickBot="1" x14ac:dyDescent="0.3">
      <c r="B4" s="115" t="s">
        <v>45</v>
      </c>
      <c r="C4" s="116"/>
      <c r="D4" s="60" t="str">
        <f>IFERROR(Feuil2!I4/6.1+1,"")</f>
        <v/>
      </c>
      <c r="E4" s="60" t="str">
        <f>IFERROR(ROUND(D4,0),"")</f>
        <v/>
      </c>
      <c r="F4" s="58" t="str">
        <f>IFERROR(VLOOKUP(1.1,Feuil1!C3:N33,6,0),"")</f>
        <v/>
      </c>
      <c r="G4" s="61" t="str">
        <f>IFERROR(F4*6.89476,"")</f>
        <v/>
      </c>
      <c r="H4" s="58" t="str">
        <f>Feuil2!I4</f>
        <v/>
      </c>
      <c r="I4" s="59" t="str">
        <f>IFERROR(Feuil3!E4*H4*D8/130400,"")</f>
        <v/>
      </c>
    </row>
    <row r="5" spans="2:9" x14ac:dyDescent="0.25">
      <c r="B5" s="115" t="s">
        <v>46</v>
      </c>
      <c r="C5" s="116"/>
      <c r="D5" s="60" t="str">
        <f>IFERROR(Feuil2!I5/6.1+1,"")</f>
        <v/>
      </c>
      <c r="E5" s="60" t="str">
        <f>IFERROR(ROUND(D5,0),"")</f>
        <v/>
      </c>
      <c r="F5" s="58" t="str">
        <f>IFERROR(VLOOKUP(1.1,Feuil1!C3:N33,6,0),"")</f>
        <v/>
      </c>
      <c r="G5" s="61" t="str">
        <f>IFERROR(F5*6.89476,"")</f>
        <v/>
      </c>
      <c r="H5" s="58" t="str">
        <f>Feuil2!I5</f>
        <v/>
      </c>
      <c r="I5" s="59" t="str">
        <f>IFERROR(Feuil3!E5*H5*D9/130400,"")</f>
        <v/>
      </c>
    </row>
    <row r="6" spans="2:9" x14ac:dyDescent="0.25">
      <c r="B6" s="109" t="s">
        <v>47</v>
      </c>
      <c r="C6" s="110"/>
      <c r="D6" s="64">
        <f>IFERROR(SQRT(G2),"")</f>
        <v>29.357196732658245</v>
      </c>
      <c r="E6" s="65"/>
      <c r="F6" s="61"/>
      <c r="G6" s="61"/>
      <c r="H6" s="61"/>
      <c r="I6" s="66">
        <f>SUM(I2:I5)</f>
        <v>1.5308967621324852</v>
      </c>
    </row>
    <row r="7" spans="2:9" x14ac:dyDescent="0.25">
      <c r="B7" s="109" t="s">
        <v>48</v>
      </c>
      <c r="C7" s="110"/>
      <c r="D7" s="64" t="str">
        <f>IFERROR(SQRT(G3),"")</f>
        <v/>
      </c>
      <c r="E7" s="65"/>
      <c r="F7" s="61"/>
      <c r="G7" s="61"/>
      <c r="H7" s="61"/>
      <c r="I7" s="67"/>
    </row>
    <row r="8" spans="2:9" x14ac:dyDescent="0.25">
      <c r="B8" s="109" t="s">
        <v>49</v>
      </c>
      <c r="C8" s="110"/>
      <c r="D8" s="64" t="str">
        <f>IFERROR(SQRT(G4),"")</f>
        <v/>
      </c>
      <c r="E8" s="65"/>
      <c r="F8" s="61"/>
      <c r="G8" s="61"/>
      <c r="H8" s="61"/>
      <c r="I8" s="67"/>
    </row>
    <row r="9" spans="2:9" ht="15.75" thickBot="1" x14ac:dyDescent="0.3">
      <c r="B9" s="111" t="s">
        <v>50</v>
      </c>
      <c r="C9" s="112"/>
      <c r="D9" s="68" t="str">
        <f>IFERROR(SQRT(G5),"")</f>
        <v/>
      </c>
      <c r="E9" s="69"/>
      <c r="F9" s="70"/>
      <c r="G9" s="70"/>
      <c r="H9" s="70"/>
      <c r="I9" s="71"/>
    </row>
    <row r="10" spans="2:9" ht="15.75" thickBot="1" x14ac:dyDescent="0.3">
      <c r="H10" s="72"/>
    </row>
    <row r="11" spans="2:9" x14ac:dyDescent="0.25">
      <c r="B11" s="113" t="s">
        <v>51</v>
      </c>
      <c r="C11" s="114"/>
      <c r="D11" s="57" t="str">
        <f>IFERROR(Feuil2!I15/6.1+1,"")</f>
        <v/>
      </c>
      <c r="E11" s="57" t="str">
        <f>IFERROR(ROUNDUP(D11,0),"")</f>
        <v/>
      </c>
      <c r="F11" s="58" t="str">
        <f>IFERROR(VLOOKUP(2,Feuil1!C3:N33,6,0),"")</f>
        <v/>
      </c>
      <c r="G11" s="58" t="str">
        <f>IFERROR(F11*6.89476,"")</f>
        <v/>
      </c>
      <c r="H11" s="58" t="str">
        <f>Feuil2!J15</f>
        <v/>
      </c>
      <c r="I11" s="59" t="str">
        <f>IFERROR(Feuil3!E11*H11*D15/130400,"")</f>
        <v/>
      </c>
    </row>
    <row r="12" spans="2:9" x14ac:dyDescent="0.25">
      <c r="B12" s="115" t="s">
        <v>52</v>
      </c>
      <c r="C12" s="116"/>
      <c r="D12" s="60" t="str">
        <f>IFERROR(Feuil2!I16/6.1+1,"")</f>
        <v/>
      </c>
      <c r="E12" s="60" t="str">
        <f>IFERROR(ROUND(D12,0),"")</f>
        <v/>
      </c>
      <c r="F12" s="61" t="str">
        <f>IFERROR(VLOOKUP(2.1,Feuil1!C3:N33,6,0),"")</f>
        <v/>
      </c>
      <c r="G12" s="61" t="str">
        <f>IFERROR(F12*6.89476,"")</f>
        <v/>
      </c>
      <c r="H12" s="61" t="str">
        <f>Feuil2!J16</f>
        <v/>
      </c>
      <c r="I12" s="62" t="str">
        <f>IFERROR(Feuil3!E12*H12*D16/130400,"")</f>
        <v/>
      </c>
    </row>
    <row r="13" spans="2:9" x14ac:dyDescent="0.25">
      <c r="B13" s="115" t="s">
        <v>53</v>
      </c>
      <c r="C13" s="116"/>
      <c r="D13" s="60" t="str">
        <f>IFERROR(Feuil2!I17/6.1+1,"")</f>
        <v/>
      </c>
      <c r="E13" s="60" t="str">
        <f>IFERROR(ROUND(D13,0),"")</f>
        <v/>
      </c>
      <c r="F13" s="61" t="str">
        <f>IFERROR(VLOOKUP(2.2,Feuil1!C3:N33,6,0),"")</f>
        <v/>
      </c>
      <c r="G13" s="61" t="str">
        <f>IFERROR(F13*6.89476,"")</f>
        <v/>
      </c>
      <c r="H13" s="61" t="str">
        <f>Feuil2!J17</f>
        <v/>
      </c>
      <c r="I13" s="62" t="str">
        <f>IFERROR(Feuil3!E13*H13*D17/130400,"")</f>
        <v/>
      </c>
    </row>
    <row r="14" spans="2:9" ht="15.75" thickBot="1" x14ac:dyDescent="0.3">
      <c r="B14" s="115" t="s">
        <v>54</v>
      </c>
      <c r="C14" s="116"/>
      <c r="D14" s="60">
        <f>IFERROR(Feuil2!I18/6.1+1,"")</f>
        <v>74.770491803278688</v>
      </c>
      <c r="E14" s="60">
        <f>IFERROR(ROUND(D14,0),"")</f>
        <v>75</v>
      </c>
      <c r="F14" s="61">
        <f>IFERROR(VLOOKUP(2.3,Feuil1!C3:N33,6,0),"")</f>
        <v>50</v>
      </c>
      <c r="G14" s="61">
        <f>IFERROR(F14*6.89476,"")</f>
        <v>344.738</v>
      </c>
      <c r="H14" s="61">
        <f>Feuil2!J18</f>
        <v>750</v>
      </c>
      <c r="I14" s="63">
        <f>IFERROR(Feuil3!E14*H14*D18/130400,"")</f>
        <v>8.0092069261472378</v>
      </c>
    </row>
    <row r="15" spans="2:9" x14ac:dyDescent="0.25">
      <c r="B15" s="109" t="s">
        <v>47</v>
      </c>
      <c r="C15" s="110"/>
      <c r="D15" s="64" t="str">
        <f>IFERROR(SQRT(G11),"")</f>
        <v/>
      </c>
      <c r="E15" s="65"/>
      <c r="F15" s="61"/>
      <c r="G15" s="61"/>
      <c r="H15" s="61"/>
      <c r="I15" s="66">
        <f>SUM(I11:I14)</f>
        <v>8.0092069261472378</v>
      </c>
    </row>
    <row r="16" spans="2:9" x14ac:dyDescent="0.25">
      <c r="B16" s="109" t="s">
        <v>48</v>
      </c>
      <c r="C16" s="110"/>
      <c r="D16" s="64" t="str">
        <f>IFERROR(SQRT(G12),"")</f>
        <v/>
      </c>
      <c r="E16" s="65"/>
      <c r="F16" s="61"/>
      <c r="G16" s="61"/>
      <c r="H16" s="61"/>
      <c r="I16" s="67"/>
    </row>
    <row r="17" spans="2:9" x14ac:dyDescent="0.25">
      <c r="B17" s="109" t="s">
        <v>49</v>
      </c>
      <c r="C17" s="110"/>
      <c r="D17" s="64" t="str">
        <f>IFERROR(SQRT(G13),"")</f>
        <v/>
      </c>
      <c r="E17" s="65"/>
      <c r="F17" s="61"/>
      <c r="G17" s="61"/>
      <c r="H17" s="61"/>
      <c r="I17" s="67"/>
    </row>
    <row r="18" spans="2:9" ht="15.75" thickBot="1" x14ac:dyDescent="0.3">
      <c r="B18" s="111" t="s">
        <v>50</v>
      </c>
      <c r="C18" s="112"/>
      <c r="D18" s="68">
        <f>IFERROR(SQRT(G14),"")</f>
        <v>18.567121478570662</v>
      </c>
      <c r="E18" s="69"/>
      <c r="F18" s="70"/>
      <c r="G18" s="70"/>
      <c r="H18" s="70"/>
      <c r="I18" s="71"/>
    </row>
    <row r="19" spans="2:9" ht="15.75" thickBot="1" x14ac:dyDescent="0.3"/>
    <row r="20" spans="2:9" x14ac:dyDescent="0.25">
      <c r="B20" s="113" t="s">
        <v>43</v>
      </c>
      <c r="C20" s="114"/>
      <c r="D20" s="57" t="str">
        <f>IFERROR(Feuil2!I28/6.1+1,"")</f>
        <v/>
      </c>
      <c r="E20" s="57" t="str">
        <f>IFERROR(ROUNDUP(D20,0),"")</f>
        <v/>
      </c>
      <c r="F20" s="58" t="str">
        <f>IFERROR(VLOOKUP(3,Feuil1!C3:N33,6,0),"")</f>
        <v/>
      </c>
      <c r="G20" s="58" t="str">
        <f>IFERROR(F20*6.89476,"")</f>
        <v/>
      </c>
      <c r="H20" s="58" t="str">
        <f>Feuil2!J28</f>
        <v/>
      </c>
      <c r="I20" s="59" t="str">
        <f>IFERROR(Feuil3!E20*H20*D24/130400,"")</f>
        <v/>
      </c>
    </row>
    <row r="21" spans="2:9" x14ac:dyDescent="0.25">
      <c r="B21" s="115" t="s">
        <v>44</v>
      </c>
      <c r="C21" s="116"/>
      <c r="D21" s="60" t="str">
        <f>IFERROR(Feuil2!I29/6.1+1,"")</f>
        <v/>
      </c>
      <c r="E21" s="60" t="str">
        <f>IFERROR(ROUND(D21,0),"")</f>
        <v/>
      </c>
      <c r="F21" s="61" t="str">
        <f>IFERROR(VLOOKUP(3.1,Feuil1!C3:N33,6,0),"")</f>
        <v/>
      </c>
      <c r="G21" s="61" t="str">
        <f>IFERROR(F21*6.89476,"")</f>
        <v/>
      </c>
      <c r="H21" s="61" t="str">
        <f>Feuil2!J29</f>
        <v/>
      </c>
      <c r="I21" s="62" t="str">
        <f>IFERROR(Feuil3!E21*H21*D25/130400,"")</f>
        <v/>
      </c>
    </row>
    <row r="22" spans="2:9" x14ac:dyDescent="0.25">
      <c r="B22" s="115" t="s">
        <v>45</v>
      </c>
      <c r="C22" s="116"/>
      <c r="D22" s="60">
        <f>IFERROR(Feuil2!I30/6.1+1,"")</f>
        <v>58.377049180327873</v>
      </c>
      <c r="E22" s="60">
        <f>IFERROR(ROUND(D22,0),"")</f>
        <v>58</v>
      </c>
      <c r="F22" s="61">
        <f>IFERROR(VLOOKUP(3.2,Feuil1!C3:N33,6,0),"")</f>
        <v>200</v>
      </c>
      <c r="G22" s="61">
        <f>IFERROR(F22*6.89476,"")</f>
        <v>1378.952</v>
      </c>
      <c r="H22" s="61">
        <f>Feuil2!J30</f>
        <v>375</v>
      </c>
      <c r="I22" s="62">
        <f>IFERROR(Feuil3!E22*H22*D26/130400,"")</f>
        <v>6.193786689553864</v>
      </c>
    </row>
    <row r="23" spans="2:9" ht="15.75" thickBot="1" x14ac:dyDescent="0.3">
      <c r="B23" s="115" t="s">
        <v>46</v>
      </c>
      <c r="C23" s="116"/>
      <c r="D23" s="60" t="str">
        <f>IFERROR(Feuil2!I31/6.1+1,"")</f>
        <v/>
      </c>
      <c r="E23" s="60" t="str">
        <f>IFERROR(ROUND(D23,0),"")</f>
        <v/>
      </c>
      <c r="F23" s="61" t="str">
        <f>IFERROR(VLOOKUP(3.3,Feuil1!C3:N33,6,0),"")</f>
        <v/>
      </c>
      <c r="G23" s="61" t="str">
        <f>IFERROR(F23*6.89476,"")</f>
        <v/>
      </c>
      <c r="H23" s="61" t="str">
        <f>Feuil2!J31</f>
        <v/>
      </c>
      <c r="I23" s="63" t="str">
        <f>IFERROR(Feuil3!E23*H23*D27/130400,"")</f>
        <v/>
      </c>
    </row>
    <row r="24" spans="2:9" x14ac:dyDescent="0.25">
      <c r="B24" s="109" t="s">
        <v>47</v>
      </c>
      <c r="C24" s="110"/>
      <c r="D24" s="64" t="str">
        <f>IFERROR(SQRT(G20),"")</f>
        <v/>
      </c>
      <c r="E24" s="65"/>
      <c r="F24" s="61"/>
      <c r="G24" s="61"/>
      <c r="H24" s="61"/>
      <c r="I24" s="66">
        <f>SUM(I20:I23)</f>
        <v>6.193786689553864</v>
      </c>
    </row>
    <row r="25" spans="2:9" x14ac:dyDescent="0.25">
      <c r="B25" s="109" t="s">
        <v>48</v>
      </c>
      <c r="C25" s="110"/>
      <c r="D25" s="64" t="str">
        <f>IFERROR(SQRT(G21),"")</f>
        <v/>
      </c>
      <c r="E25" s="65"/>
      <c r="F25" s="61"/>
      <c r="G25" s="61"/>
      <c r="H25" s="61"/>
      <c r="I25" s="67"/>
    </row>
    <row r="26" spans="2:9" x14ac:dyDescent="0.25">
      <c r="B26" s="109" t="s">
        <v>49</v>
      </c>
      <c r="C26" s="110"/>
      <c r="D26" s="64">
        <f>IFERROR(SQRT(G22),"")</f>
        <v>37.134242957141325</v>
      </c>
      <c r="E26" s="65"/>
      <c r="F26" s="61"/>
      <c r="G26" s="61"/>
      <c r="H26" s="61"/>
      <c r="I26" s="67"/>
    </row>
    <row r="27" spans="2:9" ht="15.75" thickBot="1" x14ac:dyDescent="0.3">
      <c r="B27" s="111" t="s">
        <v>50</v>
      </c>
      <c r="C27" s="112"/>
      <c r="D27" s="68" t="str">
        <f>IFERROR(SQRT(G23),"")</f>
        <v/>
      </c>
      <c r="E27" s="69"/>
      <c r="F27" s="70"/>
      <c r="G27" s="70"/>
      <c r="H27" s="70"/>
      <c r="I27" s="71"/>
    </row>
  </sheetData>
  <mergeCells count="24">
    <mergeCell ref="B16:C16"/>
    <mergeCell ref="B7:C7"/>
    <mergeCell ref="B8:C8"/>
    <mergeCell ref="B9:C9"/>
    <mergeCell ref="B2:C2"/>
    <mergeCell ref="B3:C3"/>
    <mergeCell ref="B4:C4"/>
    <mergeCell ref="B5:C5"/>
    <mergeCell ref="B6:C6"/>
    <mergeCell ref="B11:C11"/>
    <mergeCell ref="B12:C12"/>
    <mergeCell ref="B13:C13"/>
    <mergeCell ref="B14:C14"/>
    <mergeCell ref="B15:C15"/>
    <mergeCell ref="B17:C17"/>
    <mergeCell ref="B18:C18"/>
    <mergeCell ref="B20:C20"/>
    <mergeCell ref="B21:C21"/>
    <mergeCell ref="B27:C27"/>
    <mergeCell ref="B22:C22"/>
    <mergeCell ref="B23:C23"/>
    <mergeCell ref="B24:C24"/>
    <mergeCell ref="B25:C25"/>
    <mergeCell ref="B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Mongeon, Andre</dc:creator>
  <cp:lastModifiedBy>Mongeon, Andre</cp:lastModifiedBy>
  <cp:lastPrinted>2022-11-18T16:54:52Z</cp:lastPrinted>
  <dcterms:created xsi:type="dcterms:W3CDTF">2022-11-18T14:29:01Z</dcterms:created>
  <dcterms:modified xsi:type="dcterms:W3CDTF">2022-11-18T23:54:48Z</dcterms:modified>
</cp:coreProperties>
</file>