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/>
  </bookViews>
  <sheets>
    <sheet name="Interface" sheetId="1" r:id="rId1"/>
    <sheet name="Etapes de calcul" sheetId="2" r:id="rId2"/>
  </sheets>
  <definedNames>
    <definedName name="Attention">Interface!$J$8</definedName>
    <definedName name="Exterieur">'Etapes de calcul'!$N$1:$N$35</definedName>
    <definedName name="Interieur">'Etapes de calcul'!$M$1:$M$45</definedName>
  </definedNames>
  <calcPr calcId="125725"/>
  <fileRecoveryPr repairLoad="1"/>
</workbook>
</file>

<file path=xl/calcChain.xml><?xml version="1.0" encoding="utf-8"?>
<calcChain xmlns="http://schemas.openxmlformats.org/spreadsheetml/2006/main">
  <c r="D81" i="1"/>
  <c r="D80"/>
  <c r="D71"/>
  <c r="D70"/>
  <c r="B11" i="2"/>
  <c r="B4"/>
  <c r="B5"/>
  <c r="B6"/>
  <c r="B7"/>
  <c r="B8"/>
  <c r="B9"/>
  <c r="B10"/>
  <c r="A4"/>
  <c r="A5"/>
  <c r="A6"/>
  <c r="A7"/>
  <c r="A8"/>
  <c r="A9"/>
  <c r="A10"/>
  <c r="A11"/>
  <c r="B3"/>
  <c r="B2"/>
  <c r="A3"/>
  <c r="A2"/>
  <c r="B117" i="1"/>
  <c r="B116"/>
  <c r="B115"/>
  <c r="B114"/>
  <c r="D104"/>
  <c r="D101"/>
  <c r="F101" s="1"/>
  <c r="D99"/>
  <c r="D98"/>
  <c r="D97"/>
  <c r="D96"/>
  <c r="D93"/>
  <c r="D92"/>
  <c r="D89"/>
  <c r="D88"/>
  <c r="D87"/>
  <c r="D86"/>
  <c r="D85"/>
  <c r="D83"/>
  <c r="D82"/>
  <c r="D79"/>
  <c r="D78"/>
  <c r="D77"/>
  <c r="D76"/>
  <c r="D75"/>
  <c r="D73"/>
  <c r="D72"/>
  <c r="D69"/>
  <c r="D68"/>
  <c r="D67"/>
  <c r="D66"/>
  <c r="D65"/>
  <c r="D63"/>
  <c r="F63" s="1"/>
  <c r="D62"/>
  <c r="F62" s="1"/>
  <c r="D61"/>
  <c r="D60"/>
  <c r="D59"/>
  <c r="D58"/>
  <c r="F99"/>
  <c r="F98"/>
  <c r="F97"/>
  <c r="F96"/>
  <c r="D102"/>
  <c r="F89"/>
  <c r="F83"/>
  <c r="F73"/>
  <c r="F77"/>
  <c r="D106" l="1"/>
  <c r="D103"/>
  <c r="D105" s="1"/>
  <c r="F67"/>
  <c r="F93"/>
  <c r="G12" i="2" l="1"/>
  <c r="K17"/>
  <c r="K18"/>
  <c r="B4" i="1"/>
  <c r="I13" i="2" l="1"/>
  <c r="I15"/>
  <c r="B118" i="1"/>
  <c r="I16" i="2"/>
  <c r="I14"/>
  <c r="I12"/>
  <c r="G13" l="1"/>
  <c r="F82" i="1"/>
  <c r="F72"/>
  <c r="J14" i="2" l="1"/>
  <c r="K14" s="1"/>
  <c r="J13"/>
  <c r="K13" s="1"/>
  <c r="J12"/>
  <c r="K12" s="1"/>
  <c r="J15"/>
  <c r="K15" s="1"/>
  <c r="J16"/>
  <c r="K16" s="1"/>
  <c r="F92" i="1"/>
  <c r="K19" i="2" l="1"/>
  <c r="F88" i="1"/>
  <c r="F65"/>
  <c r="F66"/>
  <c r="F68"/>
  <c r="F69"/>
  <c r="F70"/>
  <c r="F71"/>
  <c r="F75"/>
  <c r="F76"/>
  <c r="F78"/>
  <c r="F79"/>
  <c r="F80"/>
  <c r="F81"/>
  <c r="F85"/>
  <c r="F86"/>
  <c r="F87"/>
  <c r="I9" l="1"/>
  <c r="D95"/>
  <c r="I14"/>
  <c r="I12"/>
  <c r="I15"/>
  <c r="I13"/>
  <c r="I11"/>
  <c r="C13" l="1"/>
  <c r="D13" s="1"/>
  <c r="D35"/>
  <c r="D33"/>
  <c r="D34"/>
  <c r="D52"/>
  <c r="D55"/>
  <c r="D53"/>
  <c r="D54"/>
  <c r="D48"/>
  <c r="D50"/>
  <c r="D51"/>
  <c r="D49"/>
  <c r="D47"/>
  <c r="D45"/>
  <c r="D46"/>
  <c r="D40"/>
  <c r="D41"/>
  <c r="D39"/>
  <c r="D21"/>
  <c r="I10"/>
  <c r="D19"/>
  <c r="D22"/>
  <c r="D107"/>
  <c r="F107" s="1"/>
  <c r="D20"/>
  <c r="D14"/>
  <c r="D23"/>
  <c r="D31"/>
  <c r="D32"/>
  <c r="D30"/>
  <c r="D43"/>
  <c r="D44"/>
  <c r="D42"/>
  <c r="D37"/>
  <c r="D38"/>
  <c r="D36"/>
  <c r="F55"/>
  <c r="F53"/>
  <c r="F54"/>
  <c r="F103"/>
  <c r="F52" l="1"/>
  <c r="D28"/>
  <c r="F28" s="1"/>
  <c r="D29"/>
  <c r="F29" s="1"/>
  <c r="D27"/>
  <c r="D26"/>
  <c r="D15"/>
  <c r="F15" s="1"/>
  <c r="D25"/>
  <c r="D24"/>
  <c r="C12"/>
  <c r="D12" s="1"/>
  <c r="D94" s="1"/>
  <c r="F36"/>
  <c r="D10"/>
  <c r="D11"/>
  <c r="F95"/>
  <c r="F106"/>
  <c r="F104"/>
  <c r="F105"/>
  <c r="F47"/>
  <c r="F42"/>
  <c r="F27"/>
  <c r="F24"/>
  <c r="F40"/>
  <c r="F49"/>
  <c r="F33"/>
  <c r="F14"/>
  <c r="F102"/>
  <c r="F45"/>
  <c r="F46"/>
  <c r="F41"/>
  <c r="F39"/>
  <c r="F50"/>
  <c r="F51"/>
  <c r="F34"/>
  <c r="F35"/>
  <c r="F19"/>
  <c r="F13"/>
  <c r="F37"/>
  <c r="F43"/>
  <c r="F31"/>
  <c r="F23"/>
  <c r="F22"/>
  <c r="F59"/>
  <c r="F60"/>
  <c r="F38"/>
  <c r="F44"/>
  <c r="F32"/>
  <c r="F21"/>
  <c r="F20"/>
  <c r="F61"/>
  <c r="F58"/>
  <c r="F30"/>
  <c r="F48"/>
  <c r="F25" l="1"/>
  <c r="F26"/>
  <c r="F12"/>
  <c r="F11"/>
  <c r="F10"/>
  <c r="D17"/>
  <c r="D16"/>
  <c r="F94" l="1"/>
  <c r="F16"/>
  <c r="F108" s="1"/>
  <c r="F17"/>
  <c r="F2" l="1"/>
  <c r="F5" l="1"/>
</calcChain>
</file>

<file path=xl/sharedStrings.xml><?xml version="1.0" encoding="utf-8"?>
<sst xmlns="http://schemas.openxmlformats.org/spreadsheetml/2006/main" count="124" uniqueCount="106">
  <si>
    <t>Largeur</t>
  </si>
  <si>
    <t>REFERENCE</t>
  </si>
  <si>
    <t>QUANTITE</t>
  </si>
  <si>
    <t>PX UNIT</t>
  </si>
  <si>
    <t>PX TOTAL</t>
  </si>
  <si>
    <t>Hauteur</t>
  </si>
  <si>
    <t>Coffre</t>
  </si>
  <si>
    <t>Prix Total</t>
  </si>
  <si>
    <t>Taille axe</t>
  </si>
  <si>
    <t>9200R</t>
  </si>
  <si>
    <t>9020N</t>
  </si>
  <si>
    <t>217/1</t>
  </si>
  <si>
    <t>Sans</t>
  </si>
  <si>
    <t>Guidage</t>
  </si>
  <si>
    <t>Câble</t>
  </si>
  <si>
    <t>Coulisses</t>
  </si>
  <si>
    <t>Taille de l'axe</t>
  </si>
  <si>
    <t>Nombre de m²</t>
  </si>
  <si>
    <t>Poids</t>
  </si>
  <si>
    <t>Type</t>
  </si>
  <si>
    <t>Soltis 86</t>
  </si>
  <si>
    <t>Soltis 92</t>
  </si>
  <si>
    <t>Soltis 93</t>
  </si>
  <si>
    <t>Soltis 99</t>
  </si>
  <si>
    <t>Intérieur</t>
  </si>
  <si>
    <t>Soltis B92</t>
  </si>
  <si>
    <t>Soltis BV99</t>
  </si>
  <si>
    <t>Soltis B702</t>
  </si>
  <si>
    <t>Prix</t>
  </si>
  <si>
    <t>axe</t>
  </si>
  <si>
    <t>50R</t>
  </si>
  <si>
    <t>L max</t>
  </si>
  <si>
    <t>P max</t>
  </si>
  <si>
    <t>L</t>
  </si>
  <si>
    <t>P</t>
  </si>
  <si>
    <t>M screen 8501</t>
  </si>
  <si>
    <t>M screen 8503</t>
  </si>
  <si>
    <t>M screen 8505</t>
  </si>
  <si>
    <t>T screen 9601</t>
  </si>
  <si>
    <t>K2 9803</t>
  </si>
  <si>
    <t>K2 9601</t>
  </si>
  <si>
    <t>Viso</t>
  </si>
  <si>
    <t>11201 flocké</t>
  </si>
  <si>
    <t>11301 et 11302 Karellis</t>
  </si>
  <si>
    <t>11203 Obion</t>
  </si>
  <si>
    <t>11600 Paradis</t>
  </si>
  <si>
    <t>8500 Kibo</t>
  </si>
  <si>
    <t>Acoustis 50</t>
  </si>
  <si>
    <t>Airscreen 2750</t>
  </si>
  <si>
    <t>Lyvermoon 11891 Po</t>
  </si>
  <si>
    <t>SV 1%</t>
  </si>
  <si>
    <t>SV 3%</t>
  </si>
  <si>
    <t>SV 5%</t>
  </si>
  <si>
    <t>SV 10%</t>
  </si>
  <si>
    <t>Screen 2-3%</t>
  </si>
  <si>
    <t>Screen 2-5%</t>
  </si>
  <si>
    <t>Screen Nature - 3%</t>
  </si>
  <si>
    <t>Screen Nature - 5%</t>
  </si>
  <si>
    <t>OT 1%</t>
  </si>
  <si>
    <t>OTM 1%</t>
  </si>
  <si>
    <t>SV 285</t>
  </si>
  <si>
    <t>Sunscreen color 4503</t>
  </si>
  <si>
    <t>SV 450</t>
  </si>
  <si>
    <t>Sunscreen opaque 21154</t>
  </si>
  <si>
    <t>Lyvermoon 13040</t>
  </si>
  <si>
    <t>Lyvermoon 13137</t>
  </si>
  <si>
    <t>Sunworker</t>
  </si>
  <si>
    <t>Sunworker opaque</t>
  </si>
  <si>
    <t>Sunworker cristal</t>
  </si>
  <si>
    <t>Sunvision</t>
  </si>
  <si>
    <t>Suncontrol Naizil</t>
  </si>
  <si>
    <t>Précontraint 501</t>
  </si>
  <si>
    <t>Précontraint 501 blanc</t>
  </si>
  <si>
    <t>Soltis 86 lowe</t>
  </si>
  <si>
    <t>Soltis 92 lowe</t>
  </si>
  <si>
    <t>Soltis SK 20</t>
  </si>
  <si>
    <t>Batyline HM classic</t>
  </si>
  <si>
    <t>Batyline HM tweed</t>
  </si>
  <si>
    <t>Total</t>
  </si>
  <si>
    <t>Prix unitaire</t>
  </si>
  <si>
    <t>Extérieur</t>
  </si>
  <si>
    <t>Store film</t>
  </si>
  <si>
    <t>Bordure BdC</t>
  </si>
  <si>
    <t>Bordure axe (50)</t>
  </si>
  <si>
    <t>Bordure axe (77)</t>
  </si>
  <si>
    <t>Bordure axe (92)</t>
  </si>
  <si>
    <t>Bordure axe (110)</t>
  </si>
  <si>
    <t>7010B</t>
  </si>
  <si>
    <t>Type de fixation</t>
  </si>
  <si>
    <t>Mur</t>
  </si>
  <si>
    <t>Plafond</t>
  </si>
  <si>
    <t>E screen 7505a</t>
  </si>
  <si>
    <t>E screen 7505b</t>
  </si>
  <si>
    <t>E screen 7510a</t>
  </si>
  <si>
    <t>E screen 7510b</t>
  </si>
  <si>
    <t>Frontales</t>
  </si>
  <si>
    <t>Latérales</t>
  </si>
  <si>
    <t>Côté de manœuvre</t>
  </si>
  <si>
    <t>Droite</t>
  </si>
  <si>
    <t>Gauche</t>
  </si>
  <si>
    <t>Nombre</t>
  </si>
  <si>
    <t>50 renforcé</t>
  </si>
  <si>
    <t>Coffre 50</t>
  </si>
  <si>
    <t>Coffre 77</t>
  </si>
  <si>
    <t>Coffre 92</t>
  </si>
  <si>
    <t>Coffre 110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</si>
</sst>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.5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CC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49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7" fillId="0" borderId="0" applyFont="0" applyFill="0" applyBorder="0" applyAlignment="0" applyProtection="0"/>
  </cellStyleXfs>
  <cellXfs count="138">
    <xf numFmtId="0" fontId="0" fillId="0" borderId="0" xfId="0"/>
    <xf numFmtId="0" fontId="0" fillId="0" borderId="0" xfId="0"/>
    <xf numFmtId="0" fontId="0" fillId="0" borderId="0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horizontal="left"/>
    </xf>
    <xf numFmtId="0" fontId="0" fillId="3" borderId="8" xfId="0" applyFill="1" applyBorder="1" applyAlignment="1">
      <alignment horizontal="left"/>
    </xf>
    <xf numFmtId="0" fontId="0" fillId="3" borderId="0" xfId="0" applyFont="1" applyFill="1" applyBorder="1"/>
    <xf numFmtId="0" fontId="0" fillId="3" borderId="4" xfId="0" applyFont="1" applyFill="1" applyBorder="1"/>
    <xf numFmtId="0" fontId="0" fillId="3" borderId="9" xfId="0" applyFont="1" applyFill="1" applyBorder="1"/>
    <xf numFmtId="0" fontId="0" fillId="2" borderId="1" xfId="0" applyFill="1" applyBorder="1"/>
    <xf numFmtId="0" fontId="0" fillId="3" borderId="6" xfId="0" applyFont="1" applyFill="1" applyBorder="1" applyAlignment="1">
      <alignment horizontal="left"/>
    </xf>
    <xf numFmtId="0" fontId="0" fillId="5" borderId="6" xfId="0" applyFont="1" applyFill="1" applyBorder="1" applyAlignment="1">
      <alignment horizontal="left"/>
    </xf>
    <xf numFmtId="0" fontId="0" fillId="5" borderId="0" xfId="0" applyFont="1" applyFill="1" applyBorder="1"/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3" borderId="4" xfId="0" applyFill="1" applyBorder="1"/>
    <xf numFmtId="0" fontId="0" fillId="0" borderId="10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8" fillId="0" borderId="0" xfId="0" applyFont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right"/>
    </xf>
    <xf numFmtId="0" fontId="0" fillId="0" borderId="3" xfId="0" applyFill="1" applyBorder="1"/>
    <xf numFmtId="0" fontId="0" fillId="0" borderId="5" xfId="0" applyFill="1" applyBorder="1"/>
    <xf numFmtId="0" fontId="5" fillId="0" borderId="6" xfId="0" applyFont="1" applyBorder="1"/>
    <xf numFmtId="164" fontId="3" fillId="3" borderId="0" xfId="1" applyNumberFormat="1" applyFont="1" applyFill="1" applyBorder="1"/>
    <xf numFmtId="164" fontId="0" fillId="3" borderId="7" xfId="0" applyNumberFormat="1" applyFont="1" applyFill="1" applyBorder="1"/>
    <xf numFmtId="164" fontId="0" fillId="3" borderId="0" xfId="0" applyNumberFormat="1" applyFont="1" applyFill="1" applyBorder="1"/>
    <xf numFmtId="164" fontId="3" fillId="5" borderId="0" xfId="0" applyNumberFormat="1" applyFont="1" applyFill="1" applyBorder="1"/>
    <xf numFmtId="164" fontId="0" fillId="5" borderId="7" xfId="0" applyNumberFormat="1" applyFont="1" applyFill="1" applyBorder="1"/>
    <xf numFmtId="164" fontId="0" fillId="3" borderId="5" xfId="0" applyNumberFormat="1" applyFont="1" applyFill="1" applyBorder="1"/>
    <xf numFmtId="164" fontId="3" fillId="3" borderId="0" xfId="0" applyNumberFormat="1" applyFont="1" applyFill="1" applyBorder="1"/>
    <xf numFmtId="164" fontId="0" fillId="3" borderId="10" xfId="0" applyNumberFormat="1" applyFont="1" applyFill="1" applyBorder="1"/>
    <xf numFmtId="164" fontId="3" fillId="3" borderId="0" xfId="36" applyNumberFormat="1" applyFont="1" applyFill="1" applyBorder="1"/>
    <xf numFmtId="164" fontId="3" fillId="3" borderId="4" xfId="36" applyNumberFormat="1" applyFont="1" applyFill="1" applyBorder="1"/>
    <xf numFmtId="164" fontId="0" fillId="2" borderId="2" xfId="0" applyNumberFormat="1" applyFill="1" applyBorder="1"/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0" fillId="5" borderId="0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left"/>
    </xf>
    <xf numFmtId="0" fontId="0" fillId="5" borderId="4" xfId="0" applyFill="1" applyBorder="1"/>
    <xf numFmtId="0" fontId="0" fillId="5" borderId="4" xfId="0" applyFont="1" applyFill="1" applyBorder="1"/>
    <xf numFmtId="0" fontId="0" fillId="5" borderId="6" xfId="0" applyFont="1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5" borderId="4" xfId="0" applyFill="1" applyBorder="1" applyAlignment="1">
      <alignment horizontal="left"/>
    </xf>
    <xf numFmtId="0" fontId="0" fillId="5" borderId="4" xfId="0" applyFont="1" applyFill="1" applyBorder="1" applyAlignment="1">
      <alignment horizontal="right"/>
    </xf>
    <xf numFmtId="0" fontId="0" fillId="5" borderId="0" xfId="0" applyFont="1" applyFill="1" applyBorder="1" applyAlignment="1">
      <alignment horizontal="right" vertical="center"/>
    </xf>
    <xf numFmtId="0" fontId="0" fillId="5" borderId="8" xfId="0" applyFill="1" applyBorder="1" applyAlignment="1">
      <alignment horizontal="left"/>
    </xf>
    <xf numFmtId="0" fontId="0" fillId="5" borderId="9" xfId="0" applyFill="1" applyBorder="1"/>
    <xf numFmtId="0" fontId="0" fillId="5" borderId="9" xfId="0" applyFont="1" applyFill="1" applyBorder="1"/>
    <xf numFmtId="164" fontId="3" fillId="5" borderId="4" xfId="24" applyNumberFormat="1" applyFont="1" applyFill="1" applyBorder="1"/>
    <xf numFmtId="164" fontId="0" fillId="5" borderId="5" xfId="0" applyNumberFormat="1" applyFont="1" applyFill="1" applyBorder="1"/>
    <xf numFmtId="164" fontId="3" fillId="5" borderId="0" xfId="26" applyNumberFormat="1" applyFont="1" applyFill="1" applyBorder="1"/>
    <xf numFmtId="164" fontId="3" fillId="5" borderId="0" xfId="28" applyNumberFormat="1" applyFont="1" applyFill="1" applyBorder="1"/>
    <xf numFmtId="164" fontId="0" fillId="5" borderId="10" xfId="0" applyNumberFormat="1" applyFont="1" applyFill="1" applyBorder="1"/>
    <xf numFmtId="164" fontId="3" fillId="5" borderId="4" xfId="1" applyNumberFormat="1" applyFont="1" applyFill="1" applyBorder="1"/>
    <xf numFmtId="164" fontId="0" fillId="5" borderId="0" xfId="0" applyNumberFormat="1" applyFont="1" applyFill="1" applyBorder="1" applyAlignment="1">
      <alignment horizontal="center" vertical="center"/>
    </xf>
    <xf numFmtId="164" fontId="3" fillId="5" borderId="4" xfId="36" applyNumberFormat="1" applyFont="1" applyFill="1" applyBorder="1"/>
    <xf numFmtId="164" fontId="3" fillId="5" borderId="0" xfId="36" applyNumberFormat="1" applyFont="1" applyFill="1" applyBorder="1"/>
    <xf numFmtId="164" fontId="3" fillId="3" borderId="0" xfId="37" applyNumberFormat="1" applyFont="1" applyFill="1" applyBorder="1"/>
    <xf numFmtId="164" fontId="3" fillId="3" borderId="0" xfId="38" applyNumberFormat="1" applyFont="1" applyFill="1" applyBorder="1"/>
    <xf numFmtId="164" fontId="3" fillId="3" borderId="0" xfId="39" applyNumberFormat="1" applyFont="1" applyFill="1" applyBorder="1"/>
    <xf numFmtId="164" fontId="3" fillId="3" borderId="0" xfId="40" applyNumberFormat="1" applyFont="1" applyFill="1" applyBorder="1"/>
    <xf numFmtId="164" fontId="3" fillId="3" borderId="9" xfId="41" applyNumberFormat="1" applyFont="1" applyFill="1" applyBorder="1"/>
    <xf numFmtId="0" fontId="0" fillId="7" borderId="1" xfId="0" applyFill="1" applyBorder="1"/>
    <xf numFmtId="164" fontId="0" fillId="7" borderId="2" xfId="0" applyNumberFormat="1" applyFill="1" applyBorder="1"/>
    <xf numFmtId="0" fontId="0" fillId="8" borderId="0" xfId="0" applyFill="1"/>
    <xf numFmtId="0" fontId="0" fillId="3" borderId="0" xfId="0" applyNumberFormat="1" applyFill="1"/>
    <xf numFmtId="0" fontId="0" fillId="8" borderId="0" xfId="0" applyFill="1" applyBorder="1"/>
    <xf numFmtId="0" fontId="0" fillId="8" borderId="8" xfId="0" applyFill="1" applyBorder="1"/>
    <xf numFmtId="0" fontId="0" fillId="8" borderId="9" xfId="0" applyFill="1" applyBorder="1"/>
    <xf numFmtId="0" fontId="0" fillId="8" borderId="1" xfId="0" applyFill="1" applyBorder="1"/>
    <xf numFmtId="0" fontId="0" fillId="8" borderId="2" xfId="0" applyFill="1" applyBorder="1"/>
    <xf numFmtId="0" fontId="6" fillId="8" borderId="0" xfId="0" applyFont="1" applyFill="1" applyAlignment="1">
      <alignment horizontal="center"/>
    </xf>
    <xf numFmtId="0" fontId="0" fillId="8" borderId="2" xfId="0" applyFill="1" applyBorder="1" applyAlignment="1">
      <alignment horizontal="center"/>
    </xf>
    <xf numFmtId="0" fontId="6" fillId="8" borderId="0" xfId="0" applyFont="1" applyFill="1"/>
    <xf numFmtId="0" fontId="0" fillId="8" borderId="0" xfId="0" applyFill="1" applyBorder="1" applyAlignment="1">
      <alignment horizontal="center"/>
    </xf>
    <xf numFmtId="0" fontId="0" fillId="8" borderId="0" xfId="0" applyFill="1" applyBorder="1" applyAlignment="1"/>
    <xf numFmtId="0" fontId="0" fillId="8" borderId="0" xfId="0" applyFill="1" applyBorder="1" applyAlignment="1">
      <alignment vertical="center"/>
    </xf>
    <xf numFmtId="2" fontId="0" fillId="8" borderId="0" xfId="0" applyNumberFormat="1" applyFill="1" applyBorder="1"/>
    <xf numFmtId="0" fontId="0" fillId="8" borderId="6" xfId="0" applyFill="1" applyBorder="1"/>
    <xf numFmtId="164" fontId="0" fillId="8" borderId="0" xfId="0" applyNumberFormat="1" applyFont="1" applyFill="1" applyBorder="1"/>
    <xf numFmtId="9" fontId="0" fillId="8" borderId="0" xfId="0" applyNumberFormat="1" applyFill="1" applyBorder="1"/>
    <xf numFmtId="0" fontId="0" fillId="10" borderId="1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left"/>
    </xf>
    <xf numFmtId="164" fontId="3" fillId="5" borderId="0" xfId="30" applyNumberFormat="1" applyFont="1" applyFill="1" applyBorder="1"/>
    <xf numFmtId="164" fontId="3" fillId="5" borderId="9" xfId="28" applyNumberFormat="1" applyFont="1" applyFill="1" applyBorder="1"/>
    <xf numFmtId="0" fontId="1" fillId="11" borderId="1" xfId="0" applyFont="1" applyFill="1" applyBorder="1"/>
    <xf numFmtId="0" fontId="1" fillId="11" borderId="11" xfId="0" applyFont="1" applyFill="1" applyBorder="1"/>
    <xf numFmtId="0" fontId="1" fillId="11" borderId="2" xfId="0" applyFont="1" applyFill="1" applyBorder="1"/>
    <xf numFmtId="0" fontId="0" fillId="6" borderId="8" xfId="0" applyFill="1" applyBorder="1"/>
    <xf numFmtId="164" fontId="3" fillId="3" borderId="0" xfId="41" applyNumberFormat="1" applyFont="1" applyFill="1" applyBorder="1"/>
    <xf numFmtId="0" fontId="0" fillId="8" borderId="10" xfId="0" applyFill="1" applyBorder="1" applyAlignment="1">
      <alignment horizontal="center"/>
    </xf>
    <xf numFmtId="0" fontId="0" fillId="8" borderId="11" xfId="0" applyFill="1" applyBorder="1"/>
    <xf numFmtId="0" fontId="0" fillId="6" borderId="12" xfId="0" applyFill="1" applyBorder="1"/>
    <xf numFmtId="0" fontId="0" fillId="8" borderId="15" xfId="0" applyFill="1" applyBorder="1" applyAlignment="1">
      <alignment horizontal="center"/>
    </xf>
    <xf numFmtId="0" fontId="0" fillId="9" borderId="6" xfId="0" applyFill="1" applyBorder="1" applyAlignment="1">
      <alignment horizontal="right" vertical="center"/>
    </xf>
    <xf numFmtId="0" fontId="0" fillId="9" borderId="13" xfId="0" applyFill="1" applyBorder="1" applyAlignment="1">
      <alignment horizontal="right" vertical="center"/>
    </xf>
    <xf numFmtId="0" fontId="0" fillId="8" borderId="7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3" xfId="0" applyFill="1" applyBorder="1" applyAlignment="1">
      <alignment horizontal="left"/>
    </xf>
    <xf numFmtId="0" fontId="0" fillId="8" borderId="2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Border="1" applyProtection="1">
      <protection hidden="1"/>
    </xf>
    <xf numFmtId="0" fontId="0" fillId="8" borderId="0" xfId="0" applyFill="1" applyBorder="1" applyAlignment="1" applyProtection="1">
      <alignment horizontal="left"/>
      <protection hidden="1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0" xfId="0" quotePrefix="1" applyFill="1" applyBorder="1" applyAlignment="1"/>
    <xf numFmtId="9" fontId="0" fillId="8" borderId="0" xfId="48" applyFont="1" applyFill="1" applyBorder="1"/>
    <xf numFmtId="164" fontId="0" fillId="8" borderId="0" xfId="0" applyNumberFormat="1" applyFill="1" applyBorder="1"/>
    <xf numFmtId="0" fontId="0" fillId="11" borderId="1" xfId="0" applyFill="1" applyBorder="1"/>
    <xf numFmtId="164" fontId="0" fillId="11" borderId="2" xfId="0" applyNumberFormat="1" applyFill="1" applyBorder="1"/>
    <xf numFmtId="0" fontId="9" fillId="8" borderId="0" xfId="0" applyFont="1" applyFill="1" applyBorder="1" applyAlignment="1"/>
    <xf numFmtId="0" fontId="1" fillId="8" borderId="0" xfId="0" applyFont="1" applyFill="1" applyBorder="1" applyAlignment="1"/>
    <xf numFmtId="0" fontId="1" fillId="8" borderId="0" xfId="0" applyFont="1" applyFill="1" applyBorder="1" applyAlignment="1">
      <alignment vertical="center" wrapText="1"/>
    </xf>
    <xf numFmtId="0" fontId="0" fillId="8" borderId="0" xfId="0" applyFill="1" applyBorder="1" applyAlignment="1">
      <alignment horizontal="left"/>
    </xf>
  </cellXfs>
  <cellStyles count="49">
    <cellStyle name="Euro" xfId="2"/>
    <cellStyle name="Euro 10" xfId="31"/>
    <cellStyle name="Euro 11" xfId="33"/>
    <cellStyle name="Euro 12" xfId="35"/>
    <cellStyle name="Euro 2" xfId="15"/>
    <cellStyle name="Euro 3" xfId="17"/>
    <cellStyle name="Euro 4" xfId="19"/>
    <cellStyle name="Euro 5" xfId="21"/>
    <cellStyle name="Euro 6" xfId="23"/>
    <cellStyle name="Euro 7" xfId="25"/>
    <cellStyle name="Euro 8" xfId="27"/>
    <cellStyle name="Euro 9" xfId="29"/>
    <cellStyle name="Normal" xfId="0" builtinId="0"/>
    <cellStyle name="Normal 11" xfId="7"/>
    <cellStyle name="Normal 12" xfId="8"/>
    <cellStyle name="Normal 13" xfId="9"/>
    <cellStyle name="Normal 14" xfId="10"/>
    <cellStyle name="Normal 15" xfId="11"/>
    <cellStyle name="Normal 16" xfId="12"/>
    <cellStyle name="Normal 17" xfId="13"/>
    <cellStyle name="Normal 18" xfId="14"/>
    <cellStyle name="Normal 19" xfId="16"/>
    <cellStyle name="Normal 2" xfId="1"/>
    <cellStyle name="Normal 20" xfId="18"/>
    <cellStyle name="Normal 21" xfId="20"/>
    <cellStyle name="Normal 22" xfId="22"/>
    <cellStyle name="Normal 23" xfId="24"/>
    <cellStyle name="Normal 24" xfId="26"/>
    <cellStyle name="Normal 25" xfId="28"/>
    <cellStyle name="Normal 26" xfId="30"/>
    <cellStyle name="Normal 27" xfId="32"/>
    <cellStyle name="Normal 28" xfId="34"/>
    <cellStyle name="Normal 29" xfId="36"/>
    <cellStyle name="Normal 3" xfId="3"/>
    <cellStyle name="Normal 30" xfId="37"/>
    <cellStyle name="Normal 31" xfId="38"/>
    <cellStyle name="Normal 32" xfId="39"/>
    <cellStyle name="Normal 33" xfId="40"/>
    <cellStyle name="Normal 34" xfId="41"/>
    <cellStyle name="Normal 35" xfId="42"/>
    <cellStyle name="Normal 36" xfId="43"/>
    <cellStyle name="Normal 37" xfId="44"/>
    <cellStyle name="Normal 38" xfId="45"/>
    <cellStyle name="Normal 39" xfId="46"/>
    <cellStyle name="Normal 40" xfId="47"/>
    <cellStyle name="Normal 7" xfId="4"/>
    <cellStyle name="Normal 8" xfId="5"/>
    <cellStyle name="Normal 9" xfId="6"/>
    <cellStyle name="Pourcentage" xfId="48" builtinId="5"/>
  </cellStyles>
  <dxfs count="0"/>
  <tableStyles count="0" defaultTableStyle="TableStyleMedium9" defaultPivotStyle="PivotStyleLight16"/>
  <colors>
    <mruColors>
      <color rgb="FFFF66FF"/>
      <color rgb="FF00CCFF"/>
      <color rgb="FFCC0066"/>
      <color rgb="FFFF00FF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37"/>
  <sheetViews>
    <sheetView tabSelected="1" workbookViewId="0">
      <selection activeCell="F109" sqref="F109"/>
    </sheetView>
  </sheetViews>
  <sheetFormatPr baseColWidth="10" defaultRowHeight="15"/>
  <cols>
    <col min="1" max="1" width="18.7109375" bestFit="1" customWidth="1"/>
    <col min="2" max="2" width="8.28515625" customWidth="1"/>
    <col min="3" max="3" width="6.42578125" customWidth="1"/>
    <col min="4" max="4" width="13" bestFit="1" customWidth="1"/>
    <col min="5" max="6" width="13.85546875" customWidth="1"/>
    <col min="8" max="8" width="22.140625" customWidth="1"/>
    <col min="9" max="9" width="13.140625" customWidth="1"/>
    <col min="11" max="12" width="19.28515625" bestFit="1" customWidth="1"/>
    <col min="13" max="13" width="25.140625" customWidth="1"/>
    <col min="14" max="14" width="20.85546875" customWidth="1"/>
    <col min="15" max="15" width="25" customWidth="1"/>
    <col min="16" max="17" width="11.42578125" hidden="1" customWidth="1"/>
  </cols>
  <sheetData>
    <row r="1" spans="1:17" ht="21.75" thickBot="1">
      <c r="A1" s="72"/>
      <c r="B1" s="134"/>
      <c r="C1" s="135"/>
      <c r="D1" s="135"/>
      <c r="E1" s="135"/>
      <c r="F1" s="74"/>
      <c r="G1" s="72"/>
      <c r="H1" s="72"/>
      <c r="I1" s="72"/>
      <c r="J1" s="72"/>
      <c r="K1" s="72"/>
      <c r="L1" s="72"/>
      <c r="M1" s="72"/>
      <c r="N1" s="72"/>
      <c r="O1" s="72"/>
    </row>
    <row r="2" spans="1:17" ht="15.75" thickBot="1">
      <c r="A2" s="89" t="s">
        <v>0</v>
      </c>
      <c r="B2" s="78">
        <v>600</v>
      </c>
      <c r="C2" s="72"/>
      <c r="D2" s="72"/>
      <c r="E2" s="10" t="s">
        <v>79</v>
      </c>
      <c r="F2" s="41">
        <f>F108</f>
        <v>8.2983999999999991</v>
      </c>
      <c r="G2" s="72"/>
      <c r="H2" s="117" t="s">
        <v>19</v>
      </c>
      <c r="I2" s="126"/>
      <c r="J2" s="72"/>
      <c r="K2" s="115" t="s">
        <v>13</v>
      </c>
      <c r="L2" s="116"/>
      <c r="M2" s="72"/>
      <c r="N2" s="72"/>
      <c r="O2" s="72"/>
      <c r="P2" s="72"/>
      <c r="Q2" s="72"/>
    </row>
    <row r="3" spans="1:17" ht="15.75" thickBot="1">
      <c r="A3" s="89" t="s">
        <v>5</v>
      </c>
      <c r="B3" s="78">
        <v>2200</v>
      </c>
      <c r="C3" s="136"/>
      <c r="D3" s="136"/>
      <c r="E3" s="90" t="s">
        <v>100</v>
      </c>
      <c r="F3" s="78">
        <v>1</v>
      </c>
      <c r="G3" s="72"/>
      <c r="H3" s="90" t="s">
        <v>24</v>
      </c>
      <c r="I3" s="80">
        <v>1</v>
      </c>
      <c r="J3" s="72"/>
      <c r="K3" s="90" t="s">
        <v>12</v>
      </c>
      <c r="L3" s="80">
        <v>1</v>
      </c>
      <c r="M3" s="74"/>
      <c r="N3" s="72"/>
      <c r="O3" s="72"/>
      <c r="P3" s="110" t="s">
        <v>20</v>
      </c>
      <c r="Q3" s="74" t="s">
        <v>61</v>
      </c>
    </row>
    <row r="4" spans="1:17" ht="15.75" thickBot="1">
      <c r="A4" s="77" t="s">
        <v>17</v>
      </c>
      <c r="B4" s="78">
        <f>(B3*B2)/1000000</f>
        <v>1.32</v>
      </c>
      <c r="C4" s="136"/>
      <c r="D4" s="136"/>
      <c r="E4" s="72"/>
      <c r="F4" s="72"/>
      <c r="G4" s="72"/>
      <c r="H4" s="97" t="s">
        <v>80</v>
      </c>
      <c r="I4" s="99"/>
      <c r="J4" s="72"/>
      <c r="K4" s="90" t="s">
        <v>14</v>
      </c>
      <c r="L4" s="80"/>
      <c r="M4" s="74"/>
      <c r="N4" s="72"/>
      <c r="O4" s="72"/>
      <c r="P4" s="110" t="s">
        <v>21</v>
      </c>
      <c r="Q4" s="74" t="s">
        <v>62</v>
      </c>
    </row>
    <row r="5" spans="1:17" ht="15.75" thickBot="1">
      <c r="A5" s="72"/>
      <c r="B5" s="136"/>
      <c r="C5" s="136"/>
      <c r="D5" s="136"/>
      <c r="E5" s="70" t="s">
        <v>7</v>
      </c>
      <c r="F5" s="71">
        <f>F2*F3</f>
        <v>8.2983999999999991</v>
      </c>
      <c r="G5" s="72"/>
      <c r="H5" s="74"/>
      <c r="I5" s="74"/>
      <c r="J5" s="79"/>
      <c r="K5" s="101" t="s">
        <v>15</v>
      </c>
      <c r="L5" s="102"/>
      <c r="M5" s="72"/>
      <c r="N5" s="72"/>
      <c r="O5" s="72"/>
      <c r="P5" s="110" t="s">
        <v>23</v>
      </c>
      <c r="Q5" s="74" t="s">
        <v>63</v>
      </c>
    </row>
    <row r="6" spans="1:17">
      <c r="A6" s="72"/>
      <c r="B6" s="136"/>
      <c r="C6" s="136"/>
      <c r="D6" s="136"/>
      <c r="E6" s="136"/>
      <c r="F6" s="136"/>
      <c r="G6" s="72"/>
      <c r="H6" s="74"/>
      <c r="I6" s="74"/>
      <c r="J6" s="74"/>
      <c r="K6" s="103" t="s">
        <v>95</v>
      </c>
      <c r="L6" s="105"/>
      <c r="N6" s="72"/>
      <c r="O6" s="72"/>
      <c r="P6" s="110" t="s">
        <v>25</v>
      </c>
      <c r="Q6" s="74" t="s">
        <v>64</v>
      </c>
    </row>
    <row r="7" spans="1:17" ht="15.75" thickBot="1">
      <c r="A7" s="72"/>
      <c r="B7" s="72"/>
      <c r="C7" s="72"/>
      <c r="D7" s="72"/>
      <c r="E7" s="72"/>
      <c r="F7" s="72"/>
      <c r="G7" s="72"/>
      <c r="H7" s="72"/>
      <c r="I7" s="72"/>
      <c r="J7" s="74"/>
      <c r="K7" s="104" t="s">
        <v>96</v>
      </c>
      <c r="L7" s="106"/>
      <c r="M7" s="72"/>
      <c r="N7" s="72"/>
      <c r="O7" s="72"/>
      <c r="P7" s="110" t="s">
        <v>26</v>
      </c>
      <c r="Q7" s="74" t="s">
        <v>65</v>
      </c>
    </row>
    <row r="8" spans="1:17" ht="15.75" thickBot="1">
      <c r="A8" s="72"/>
      <c r="B8" s="72"/>
      <c r="C8" s="72"/>
      <c r="D8" s="72"/>
      <c r="E8" s="72"/>
      <c r="F8" s="72"/>
      <c r="G8" s="72"/>
      <c r="H8" s="115" t="s">
        <v>16</v>
      </c>
      <c r="I8" s="116"/>
      <c r="J8" s="74"/>
      <c r="K8" s="72"/>
      <c r="L8" s="72"/>
      <c r="M8" s="72"/>
      <c r="N8" s="72"/>
      <c r="O8" s="72"/>
      <c r="P8" s="110" t="s">
        <v>27</v>
      </c>
      <c r="Q8" s="74" t="s">
        <v>66</v>
      </c>
    </row>
    <row r="9" spans="1:17" ht="15.75" thickBot="1">
      <c r="A9" s="94" t="s">
        <v>1</v>
      </c>
      <c r="B9" s="95"/>
      <c r="C9" s="95"/>
      <c r="D9" s="95" t="s">
        <v>2</v>
      </c>
      <c r="E9" s="95" t="s">
        <v>3</v>
      </c>
      <c r="F9" s="96" t="s">
        <v>4</v>
      </c>
      <c r="G9" s="72"/>
      <c r="H9" s="91">
        <v>25</v>
      </c>
      <c r="I9" s="80">
        <f>IF(I20=1,"",IF(I21=1,"",IF(I22=1,"",IF('Etapes de calcul'!K19=0,1,""))))</f>
        <v>1</v>
      </c>
      <c r="J9" s="72"/>
      <c r="K9" s="72"/>
      <c r="L9" s="72"/>
      <c r="M9" s="72"/>
      <c r="N9" s="72"/>
      <c r="O9" s="72"/>
      <c r="P9" s="110" t="s">
        <v>22</v>
      </c>
      <c r="Q9" s="74" t="s">
        <v>67</v>
      </c>
    </row>
    <row r="10" spans="1:17" ht="15.75" thickBot="1">
      <c r="A10" s="11">
        <v>7122</v>
      </c>
      <c r="B10" s="7"/>
      <c r="C10" s="7"/>
      <c r="D10" s="7">
        <f>IF(D13=0,$B$2-$B$118,0)</f>
        <v>0</v>
      </c>
      <c r="E10" s="31">
        <v>0.72399999999999998</v>
      </c>
      <c r="F10" s="32">
        <f>(D10/1000)*E10</f>
        <v>0</v>
      </c>
      <c r="G10" s="72"/>
      <c r="H10" s="91">
        <v>36</v>
      </c>
      <c r="I10" s="80" t="str">
        <f>IF(OR('Etapes de calcul'!$K$19=1,'Etapes de calcul'!$K$19=2),1,IF(I9="",AND(I11="",AND(I12="",AND(I13="",AND(I14="",AND(I15="")))))*1,""))</f>
        <v/>
      </c>
      <c r="J10" s="81"/>
      <c r="K10" s="72"/>
      <c r="L10" s="72"/>
      <c r="M10" s="72"/>
      <c r="N10" s="72"/>
      <c r="O10" s="72"/>
      <c r="P10" s="110" t="s">
        <v>91</v>
      </c>
      <c r="Q10" s="74" t="s">
        <v>68</v>
      </c>
    </row>
    <row r="11" spans="1:17" s="1" customFormat="1" ht="15.75" thickBot="1">
      <c r="A11" s="11">
        <v>9409</v>
      </c>
      <c r="B11" s="3"/>
      <c r="C11" s="7"/>
      <c r="D11" s="7">
        <f>IF(D13=0,0,$B$2-$B$118)</f>
        <v>600</v>
      </c>
      <c r="E11" s="31">
        <v>0.96799999999999997</v>
      </c>
      <c r="F11" s="32">
        <f>(D11/1000)*E11</f>
        <v>0.58079999999999998</v>
      </c>
      <c r="G11" s="72"/>
      <c r="H11" s="91">
        <v>40</v>
      </c>
      <c r="I11" s="80" t="str">
        <f>IF(OR('Etapes de calcul'!$K$19=3,'Etapes de calcul'!$K$19=4),1,"")</f>
        <v/>
      </c>
      <c r="J11" s="72"/>
      <c r="K11" s="72"/>
      <c r="L11" s="72"/>
      <c r="M11" s="72"/>
      <c r="N11" s="72"/>
      <c r="O11" s="72"/>
      <c r="P11" s="110" t="s">
        <v>92</v>
      </c>
      <c r="Q11" s="74" t="s">
        <v>69</v>
      </c>
    </row>
    <row r="12" spans="1:17" s="1" customFormat="1" ht="15.75" thickBot="1">
      <c r="A12" s="11">
        <v>9011</v>
      </c>
      <c r="B12" s="3"/>
      <c r="C12" s="7">
        <f>IF(OR(I10=1,I11=1,I12=1,I13=1,I14=1,I15=1),B2,0)</f>
        <v>0</v>
      </c>
      <c r="D12" s="73">
        <f>IF(C12=0,0,C12-$B$118)</f>
        <v>0</v>
      </c>
      <c r="E12" s="31">
        <v>4.7569999999999997</v>
      </c>
      <c r="F12" s="32">
        <f>(D12/1000)*E12</f>
        <v>0</v>
      </c>
      <c r="G12" s="72"/>
      <c r="H12" s="91">
        <v>50</v>
      </c>
      <c r="I12" s="80" t="str">
        <f>IF(OR('Etapes de calcul'!$K$19=5,'Etapes de calcul'!$K$19=6),1,"")</f>
        <v/>
      </c>
      <c r="J12" s="72"/>
      <c r="K12" s="117" t="s">
        <v>6</v>
      </c>
      <c r="L12" s="118"/>
      <c r="M12" s="72"/>
      <c r="N12" s="72"/>
      <c r="O12" s="72"/>
      <c r="P12" s="110" t="s">
        <v>93</v>
      </c>
      <c r="Q12" s="74" t="s">
        <v>70</v>
      </c>
    </row>
    <row r="13" spans="1:17" s="1" customFormat="1" ht="15.75" thickBot="1">
      <c r="A13" s="5" t="s">
        <v>87</v>
      </c>
      <c r="B13" s="3"/>
      <c r="C13" s="7">
        <f>IF(I9=1,AND(L5="")*B2-B120,IF(I9=1,AND(L14=1,L5="")*B2-B114,0))</f>
        <v>600</v>
      </c>
      <c r="D13" s="73">
        <f>IF(C13=0,0,C13-$B$118)</f>
        <v>600</v>
      </c>
      <c r="E13" s="31">
        <v>3.7890000000000001</v>
      </c>
      <c r="F13" s="32">
        <f>E13*(D13/1000)</f>
        <v>2.2734000000000001</v>
      </c>
      <c r="G13" s="72"/>
      <c r="H13" s="91" t="s">
        <v>101</v>
      </c>
      <c r="I13" s="80" t="str">
        <f>IF(OR('Etapes de calcul'!$K$19=7,'Etapes de calcul'!$K$19=8),1,"")</f>
        <v/>
      </c>
      <c r="J13" s="72"/>
      <c r="K13" s="91" t="s">
        <v>12</v>
      </c>
      <c r="L13" s="80">
        <v>1</v>
      </c>
      <c r="M13" s="72"/>
      <c r="N13" s="72"/>
      <c r="O13" s="72"/>
      <c r="P13" s="110" t="s">
        <v>94</v>
      </c>
      <c r="Q13" s="74" t="s">
        <v>71</v>
      </c>
    </row>
    <row r="14" spans="1:17" s="1" customFormat="1" ht="15.75" thickBot="1">
      <c r="A14" s="5">
        <v>7009</v>
      </c>
      <c r="B14" s="3"/>
      <c r="C14" s="7"/>
      <c r="D14" s="7">
        <f>IF(I9=1,AND($L$4="")*2,0)</f>
        <v>2</v>
      </c>
      <c r="E14" s="31">
        <v>0.111</v>
      </c>
      <c r="F14" s="32">
        <f>E14*D14</f>
        <v>0.222</v>
      </c>
      <c r="G14" s="72"/>
      <c r="H14" s="91">
        <v>70</v>
      </c>
      <c r="I14" s="80" t="str">
        <f>IF(OR('Etapes de calcul'!$K$19=9,'Etapes de calcul'!$K$19=10),1,"")</f>
        <v/>
      </c>
      <c r="J14" s="72"/>
      <c r="K14" s="91">
        <v>50</v>
      </c>
      <c r="L14" s="80"/>
      <c r="M14" s="72"/>
      <c r="N14" s="72"/>
      <c r="O14" s="72"/>
      <c r="P14" s="110" t="s">
        <v>35</v>
      </c>
      <c r="Q14" s="74" t="s">
        <v>72</v>
      </c>
    </row>
    <row r="15" spans="1:17" s="1" customFormat="1" ht="15.75" thickBot="1">
      <c r="A15" s="11">
        <v>9012</v>
      </c>
      <c r="B15" s="3"/>
      <c r="C15" s="7"/>
      <c r="D15" s="7">
        <f>IF(OR(I10=1,I11=1,I12=1,I13=1,I14=1,I15=1),AND($L$4="")*2,0)</f>
        <v>0</v>
      </c>
      <c r="E15" s="31">
        <v>7.6999999999999999E-2</v>
      </c>
      <c r="F15" s="32">
        <f>E15*D15</f>
        <v>0</v>
      </c>
      <c r="G15" s="72"/>
      <c r="H15" s="91">
        <v>80</v>
      </c>
      <c r="I15" s="80" t="str">
        <f>IF(OR('Etapes de calcul'!$K$19=11,'Etapes de calcul'!$K$19=12),1,"")</f>
        <v/>
      </c>
      <c r="J15" s="72"/>
      <c r="K15" s="91">
        <v>77</v>
      </c>
      <c r="L15" s="80"/>
      <c r="M15" s="72"/>
      <c r="N15" s="72"/>
      <c r="O15" s="72"/>
      <c r="P15" s="110" t="s">
        <v>36</v>
      </c>
      <c r="Q15" s="74" t="s">
        <v>20</v>
      </c>
    </row>
    <row r="16" spans="1:17" s="1" customFormat="1" ht="15.75" thickBot="1">
      <c r="A16" s="11">
        <v>9048</v>
      </c>
      <c r="B16" s="3"/>
      <c r="C16" s="7"/>
      <c r="D16" s="7">
        <f>IF(D12=0,0,$B$2-$B$118)</f>
        <v>0</v>
      </c>
      <c r="E16" s="31">
        <v>0.33700000000000002</v>
      </c>
      <c r="F16" s="32">
        <f>(D16/1000)*E16</f>
        <v>0</v>
      </c>
      <c r="G16" s="72"/>
      <c r="H16" s="72"/>
      <c r="I16" s="72"/>
      <c r="J16" s="72"/>
      <c r="K16" s="91">
        <v>92</v>
      </c>
      <c r="L16" s="80"/>
      <c r="M16" s="72"/>
      <c r="N16" s="72"/>
      <c r="O16" s="72"/>
      <c r="P16" s="110" t="s">
        <v>37</v>
      </c>
      <c r="Q16" s="74" t="s">
        <v>73</v>
      </c>
    </row>
    <row r="17" spans="1:17" s="1" customFormat="1" ht="15.75" thickBot="1">
      <c r="A17" s="5" t="s">
        <v>11</v>
      </c>
      <c r="B17" s="3"/>
      <c r="C17" s="7"/>
      <c r="D17" s="7">
        <f>IF(D12=0,0,$B$2-$B$118)</f>
        <v>0</v>
      </c>
      <c r="E17" s="33">
        <v>0.111</v>
      </c>
      <c r="F17" s="32">
        <f>(D17/1000)*E17</f>
        <v>0</v>
      </c>
      <c r="G17" s="72"/>
      <c r="H17" s="72"/>
      <c r="I17" s="72"/>
      <c r="J17" s="72"/>
      <c r="K17" s="91">
        <v>110</v>
      </c>
      <c r="L17" s="80"/>
      <c r="M17" s="72"/>
      <c r="N17" s="72"/>
      <c r="O17" s="72"/>
      <c r="P17" s="110" t="s">
        <v>37</v>
      </c>
      <c r="Q17" s="74" t="s">
        <v>21</v>
      </c>
    </row>
    <row r="18" spans="1:17" s="1" customFormat="1" ht="15.75" thickBot="1">
      <c r="A18" s="120" t="s">
        <v>8</v>
      </c>
      <c r="B18" s="121"/>
      <c r="C18" s="121"/>
      <c r="D18" s="121"/>
      <c r="E18" s="121"/>
      <c r="F18" s="122"/>
      <c r="G18" s="72"/>
      <c r="H18" s="127"/>
      <c r="I18" s="127"/>
      <c r="J18" s="72"/>
      <c r="K18" s="72"/>
      <c r="L18" s="72"/>
      <c r="M18" s="72"/>
      <c r="N18" s="72"/>
      <c r="O18" s="72"/>
      <c r="P18" s="110" t="s">
        <v>38</v>
      </c>
      <c r="Q18" s="74" t="s">
        <v>74</v>
      </c>
    </row>
    <row r="19" spans="1:17" s="1" customFormat="1">
      <c r="A19" s="45">
        <v>7001</v>
      </c>
      <c r="B19" s="50"/>
      <c r="C19" s="46"/>
      <c r="D19" s="51">
        <f>IF($I$9=1,$B$2-$B$118,0)</f>
        <v>600</v>
      </c>
      <c r="E19" s="61">
        <v>2.3170000000000002</v>
      </c>
      <c r="F19" s="35">
        <f>(E19/1000)*D19</f>
        <v>1.3902000000000001</v>
      </c>
      <c r="G19" s="72"/>
      <c r="H19" s="74"/>
      <c r="I19" s="82"/>
      <c r="J19" s="72"/>
      <c r="K19" s="72"/>
      <c r="L19" s="72"/>
      <c r="M19" s="72"/>
      <c r="N19" s="72"/>
      <c r="O19" s="72"/>
      <c r="P19" s="110" t="s">
        <v>39</v>
      </c>
      <c r="Q19" s="74" t="s">
        <v>22</v>
      </c>
    </row>
    <row r="20" spans="1:17" s="1" customFormat="1">
      <c r="A20" s="48">
        <v>7003</v>
      </c>
      <c r="B20" s="49"/>
      <c r="C20" s="44"/>
      <c r="D20" s="52">
        <f>IF($I$9=1,1,0)</f>
        <v>1</v>
      </c>
      <c r="E20" s="62">
        <v>1.02</v>
      </c>
      <c r="F20" s="35">
        <f>E20*D20</f>
        <v>1.02</v>
      </c>
      <c r="G20" s="72"/>
      <c r="H20" s="74"/>
      <c r="I20" s="82"/>
      <c r="J20" s="72"/>
      <c r="K20" s="72"/>
      <c r="L20" s="72"/>
      <c r="M20" s="72"/>
      <c r="N20" s="72"/>
      <c r="O20" s="72"/>
      <c r="P20" s="110" t="s">
        <v>40</v>
      </c>
      <c r="Q20" s="74" t="s">
        <v>75</v>
      </c>
    </row>
    <row r="21" spans="1:17" s="1" customFormat="1">
      <c r="A21" s="48">
        <v>7011</v>
      </c>
      <c r="B21" s="49"/>
      <c r="C21" s="44"/>
      <c r="D21" s="52">
        <f>IF($I$9=1,1,0)</f>
        <v>1</v>
      </c>
      <c r="E21" s="62">
        <v>0.88400000000000001</v>
      </c>
      <c r="F21" s="35">
        <f>E21*D21</f>
        <v>0.88400000000000001</v>
      </c>
      <c r="G21" s="72"/>
      <c r="H21" s="74"/>
      <c r="I21" s="82"/>
      <c r="J21" s="72"/>
      <c r="K21" s="72"/>
      <c r="L21" s="72"/>
      <c r="M21" s="72"/>
      <c r="N21" s="72"/>
      <c r="O21" s="72"/>
      <c r="P21" s="110" t="s">
        <v>41</v>
      </c>
      <c r="Q21" s="74" t="s">
        <v>76</v>
      </c>
    </row>
    <row r="22" spans="1:17" s="1" customFormat="1">
      <c r="A22" s="48">
        <v>9005</v>
      </c>
      <c r="B22" s="49"/>
      <c r="C22" s="44"/>
      <c r="D22" s="52">
        <f>IF($I$9=1,AND($L$13=1)*1,0)</f>
        <v>1</v>
      </c>
      <c r="E22" s="62">
        <v>1.6419999999999999</v>
      </c>
      <c r="F22" s="35">
        <f>E22*D22</f>
        <v>1.6419999999999999</v>
      </c>
      <c r="G22" s="72"/>
      <c r="H22" s="137"/>
      <c r="I22" s="82"/>
      <c r="J22" s="72"/>
      <c r="K22" s="72"/>
      <c r="L22" s="72"/>
      <c r="M22" s="72"/>
      <c r="N22" s="72"/>
      <c r="O22" s="72"/>
      <c r="P22" s="110" t="s">
        <v>42</v>
      </c>
      <c r="Q22" s="74" t="s">
        <v>77</v>
      </c>
    </row>
    <row r="23" spans="1:17" s="1" customFormat="1" ht="15.75" thickBot="1">
      <c r="A23" s="48">
        <v>9006</v>
      </c>
      <c r="B23" s="49"/>
      <c r="C23" s="44"/>
      <c r="D23" s="52">
        <f>IF($I$9=1,AND($L$13=1)*1,0)</f>
        <v>1</v>
      </c>
      <c r="E23" s="62">
        <v>0.28599999999999998</v>
      </c>
      <c r="F23" s="35">
        <f>E23*D23</f>
        <v>0.28599999999999998</v>
      </c>
      <c r="G23" s="72"/>
      <c r="H23" s="72"/>
      <c r="I23" s="72"/>
      <c r="J23" s="72"/>
      <c r="K23" s="72"/>
      <c r="L23" s="72"/>
      <c r="M23" s="72"/>
      <c r="N23" s="72"/>
      <c r="O23" s="72"/>
      <c r="P23" s="110" t="s">
        <v>43</v>
      </c>
      <c r="Q23" s="72"/>
    </row>
    <row r="24" spans="1:17" s="1" customFormat="1" ht="15.75" thickBot="1">
      <c r="A24" s="12">
        <v>9000</v>
      </c>
      <c r="B24" s="13"/>
      <c r="C24" s="13"/>
      <c r="D24" s="13">
        <f>IF($I$10=1,$B$2-$B$118,0)</f>
        <v>0</v>
      </c>
      <c r="E24" s="34">
        <v>3.4689999999999999</v>
      </c>
      <c r="F24" s="35">
        <f>(E24/1000)*D24</f>
        <v>0</v>
      </c>
      <c r="G24" s="72"/>
      <c r="H24" s="117" t="s">
        <v>88</v>
      </c>
      <c r="I24" s="126"/>
      <c r="J24" s="72"/>
      <c r="K24" s="72"/>
      <c r="L24" s="72"/>
      <c r="M24" s="72"/>
      <c r="N24" s="72"/>
      <c r="O24" s="72"/>
      <c r="P24" s="110" t="s">
        <v>44</v>
      </c>
      <c r="Q24" s="72"/>
    </row>
    <row r="25" spans="1:17" s="1" customFormat="1" ht="15.75" thickBot="1">
      <c r="A25" s="12">
        <v>9001</v>
      </c>
      <c r="B25" s="14"/>
      <c r="C25" s="13"/>
      <c r="D25" s="13">
        <f>IF($I$10=1,1,0)</f>
        <v>0</v>
      </c>
      <c r="E25" s="34">
        <v>1.476</v>
      </c>
      <c r="F25" s="35">
        <f>E25*D25</f>
        <v>0</v>
      </c>
      <c r="G25" s="72"/>
      <c r="H25" s="90" t="s">
        <v>89</v>
      </c>
      <c r="I25" s="80">
        <v>1</v>
      </c>
      <c r="J25" s="72"/>
      <c r="K25" s="72"/>
      <c r="L25" s="72"/>
      <c r="M25" s="72"/>
      <c r="N25" s="72"/>
      <c r="O25" s="72"/>
      <c r="P25" s="110" t="s">
        <v>45</v>
      </c>
      <c r="Q25" s="72"/>
    </row>
    <row r="26" spans="1:17" s="1" customFormat="1" ht="15.75" thickBot="1">
      <c r="A26" s="12">
        <v>9002</v>
      </c>
      <c r="B26" s="14"/>
      <c r="C26" s="13"/>
      <c r="D26" s="13">
        <f>IF($I$10=1,1,0)</f>
        <v>0</v>
      </c>
      <c r="E26" s="34">
        <v>1.028</v>
      </c>
      <c r="F26" s="35">
        <f>E26*D26</f>
        <v>0</v>
      </c>
      <c r="G26" s="72"/>
      <c r="H26" s="97" t="s">
        <v>90</v>
      </c>
      <c r="I26" s="99"/>
      <c r="J26" s="72"/>
      <c r="K26" s="72"/>
      <c r="L26" s="72"/>
      <c r="M26" s="72"/>
      <c r="N26" s="72"/>
      <c r="O26" s="72"/>
      <c r="P26" s="110" t="s">
        <v>46</v>
      </c>
      <c r="Q26" s="74"/>
    </row>
    <row r="27" spans="1:17" s="1" customFormat="1" ht="15.75" thickBot="1">
      <c r="A27" s="15" t="s">
        <v>10</v>
      </c>
      <c r="B27" s="14"/>
      <c r="C27" s="13"/>
      <c r="D27" s="13">
        <f>IF($L$13=1,AND($I$10=1)*1,0)</f>
        <v>0</v>
      </c>
      <c r="E27" s="34">
        <v>0.25600000000000001</v>
      </c>
      <c r="F27" s="35">
        <f>E27*D27</f>
        <v>0</v>
      </c>
      <c r="G27" s="72"/>
      <c r="H27" s="72"/>
      <c r="I27" s="72"/>
      <c r="J27" s="72"/>
      <c r="K27" s="127"/>
      <c r="L27" s="128"/>
      <c r="M27" s="72"/>
      <c r="N27" s="72"/>
      <c r="O27" s="72"/>
      <c r="P27" s="110" t="s">
        <v>47</v>
      </c>
      <c r="Q27" s="74"/>
    </row>
    <row r="28" spans="1:17" s="1" customFormat="1" ht="15.75" thickBot="1">
      <c r="A28" s="12">
        <v>9095</v>
      </c>
      <c r="B28" s="14"/>
      <c r="C28" s="13"/>
      <c r="D28" s="13">
        <f>IF($L$13=1,AND($I$10=1)*2,0)</f>
        <v>0</v>
      </c>
      <c r="E28" s="34">
        <v>1.202</v>
      </c>
      <c r="F28" s="35">
        <f>E28*D28</f>
        <v>0</v>
      </c>
      <c r="G28" s="72"/>
      <c r="H28" s="115" t="s">
        <v>97</v>
      </c>
      <c r="I28" s="116"/>
      <c r="J28" s="72"/>
      <c r="K28" s="83"/>
      <c r="L28" s="129"/>
      <c r="M28" s="72"/>
      <c r="N28" s="72"/>
      <c r="O28" s="72"/>
      <c r="P28" s="110" t="s">
        <v>48</v>
      </c>
      <c r="Q28" s="72"/>
    </row>
    <row r="29" spans="1:17" s="1" customFormat="1" ht="15.75" thickBot="1">
      <c r="A29" s="12">
        <v>9006</v>
      </c>
      <c r="B29" s="14"/>
      <c r="C29" s="13"/>
      <c r="D29" s="13">
        <f>IF($L$13=1,AND($I$10=1)*2,0)</f>
        <v>0</v>
      </c>
      <c r="E29" s="34">
        <v>0.28599999999999998</v>
      </c>
      <c r="F29" s="35">
        <f>E29*D29</f>
        <v>0</v>
      </c>
      <c r="G29" s="72"/>
      <c r="H29" s="90" t="s">
        <v>98</v>
      </c>
      <c r="I29" s="108">
        <v>1</v>
      </c>
      <c r="J29" s="72"/>
      <c r="K29" s="84"/>
      <c r="L29" s="84"/>
      <c r="M29" s="72"/>
      <c r="N29" s="72"/>
      <c r="O29" s="72"/>
      <c r="P29" s="111" t="s">
        <v>49</v>
      </c>
      <c r="Q29" s="72"/>
    </row>
    <row r="30" spans="1:17" ht="15.75" thickBot="1">
      <c r="A30" s="12">
        <v>9100</v>
      </c>
      <c r="B30" s="13"/>
      <c r="C30" s="13"/>
      <c r="D30" s="13">
        <f>IF($I$11=1,$B$2-$B$118,0)</f>
        <v>0</v>
      </c>
      <c r="E30" s="34">
        <v>4.6520000000000001</v>
      </c>
      <c r="F30" s="35">
        <f>(E30/1000)*D30</f>
        <v>0</v>
      </c>
      <c r="G30" s="72"/>
      <c r="H30" s="97" t="s">
        <v>99</v>
      </c>
      <c r="I30" s="109"/>
      <c r="J30" s="72"/>
      <c r="K30" s="74"/>
      <c r="L30" s="82"/>
      <c r="M30" s="72"/>
      <c r="N30" s="72"/>
      <c r="O30" s="72"/>
      <c r="P30" s="111" t="s">
        <v>50</v>
      </c>
      <c r="Q30" s="72"/>
    </row>
    <row r="31" spans="1:17" s="1" customFormat="1">
      <c r="A31" s="12">
        <v>9101</v>
      </c>
      <c r="B31" s="14"/>
      <c r="C31" s="13"/>
      <c r="D31" s="13">
        <f>IF($I$11=1,1,0)</f>
        <v>0</v>
      </c>
      <c r="E31" s="34">
        <v>1.51</v>
      </c>
      <c r="F31" s="35">
        <f>E31*D31</f>
        <v>0</v>
      </c>
      <c r="G31" s="72"/>
      <c r="H31" s="72"/>
      <c r="I31" s="72"/>
      <c r="J31" s="72"/>
      <c r="K31" s="72"/>
      <c r="L31" s="72"/>
      <c r="M31" s="72"/>
      <c r="N31" s="72"/>
      <c r="O31" s="72"/>
      <c r="P31" s="111" t="s">
        <v>51</v>
      </c>
      <c r="Q31" s="74"/>
    </row>
    <row r="32" spans="1:17" s="1" customFormat="1">
      <c r="A32" s="12">
        <v>9102</v>
      </c>
      <c r="B32" s="14"/>
      <c r="C32" s="13"/>
      <c r="D32" s="13">
        <f>IF($I$11=1,1,0)</f>
        <v>0</v>
      </c>
      <c r="E32" s="34">
        <v>1.0740000000000001</v>
      </c>
      <c r="F32" s="35">
        <f>E32*D32</f>
        <v>0</v>
      </c>
      <c r="G32" s="72"/>
      <c r="H32" s="72"/>
      <c r="I32" s="72"/>
      <c r="J32" s="72"/>
      <c r="K32" s="72"/>
      <c r="L32" s="72"/>
      <c r="M32" s="72"/>
      <c r="N32" s="72"/>
      <c r="O32" s="72"/>
      <c r="P32" s="111" t="s">
        <v>52</v>
      </c>
      <c r="Q32" s="74"/>
    </row>
    <row r="33" spans="1:17">
      <c r="A33" s="15" t="s">
        <v>10</v>
      </c>
      <c r="B33" s="14"/>
      <c r="C33" s="13"/>
      <c r="D33" s="13">
        <f>IF($L$13=1,AND($I$11=1)*1,0)</f>
        <v>0</v>
      </c>
      <c r="E33" s="34">
        <v>0.25600000000000001</v>
      </c>
      <c r="F33" s="35">
        <f>E33*D33</f>
        <v>0</v>
      </c>
      <c r="G33" s="72"/>
      <c r="H33" s="72"/>
      <c r="I33" s="72"/>
      <c r="J33" s="72"/>
      <c r="K33" s="72"/>
      <c r="L33" s="72"/>
      <c r="M33" s="72"/>
      <c r="N33" s="72"/>
      <c r="O33" s="72"/>
      <c r="P33" s="111" t="s">
        <v>53</v>
      </c>
      <c r="Q33" s="74"/>
    </row>
    <row r="34" spans="1:17" s="1" customFormat="1">
      <c r="A34" s="12">
        <v>9095</v>
      </c>
      <c r="B34" s="14"/>
      <c r="C34" s="13"/>
      <c r="D34" s="13">
        <f>IF($L$13=1,AND($I$11=1)*2,0)</f>
        <v>0</v>
      </c>
      <c r="E34" s="34">
        <v>1.202</v>
      </c>
      <c r="F34" s="35">
        <f>E34*D34</f>
        <v>0</v>
      </c>
      <c r="G34" s="72"/>
      <c r="H34" s="72"/>
      <c r="I34" s="72"/>
      <c r="J34" s="72"/>
      <c r="K34" s="72"/>
      <c r="L34" s="72"/>
      <c r="M34" s="72"/>
      <c r="N34" s="72"/>
      <c r="O34" s="72"/>
      <c r="P34" s="111" t="s">
        <v>54</v>
      </c>
      <c r="Q34" s="74"/>
    </row>
    <row r="35" spans="1:17" s="1" customFormat="1">
      <c r="A35" s="12">
        <v>9006</v>
      </c>
      <c r="B35" s="14"/>
      <c r="C35" s="13"/>
      <c r="D35" s="13">
        <f>IF($L$13=1,AND($I$11=1)*2,0)</f>
        <v>0</v>
      </c>
      <c r="E35" s="34">
        <v>0.28599999999999998</v>
      </c>
      <c r="F35" s="35">
        <f>E35*D35</f>
        <v>0</v>
      </c>
      <c r="G35" s="72"/>
      <c r="H35" s="72"/>
      <c r="I35" s="72"/>
      <c r="J35" s="72"/>
      <c r="K35" s="72"/>
      <c r="L35" s="72"/>
      <c r="M35" s="72"/>
      <c r="N35" s="72"/>
      <c r="O35" s="72"/>
      <c r="P35" s="111" t="s">
        <v>55</v>
      </c>
      <c r="Q35" s="74"/>
    </row>
    <row r="36" spans="1:17">
      <c r="A36" s="12">
        <v>9200</v>
      </c>
      <c r="B36" s="13"/>
      <c r="C36" s="13"/>
      <c r="D36" s="13">
        <f>IF($I$12=1,$B$2-$B$118,0)</f>
        <v>0</v>
      </c>
      <c r="E36" s="34">
        <v>5.548</v>
      </c>
      <c r="F36" s="35">
        <f>(E36/1000)*D36</f>
        <v>0</v>
      </c>
      <c r="G36" s="72"/>
      <c r="H36" s="72"/>
      <c r="I36" s="72"/>
      <c r="J36" s="83"/>
      <c r="K36" s="72"/>
      <c r="L36" s="72"/>
      <c r="M36" s="72"/>
      <c r="N36" s="72"/>
      <c r="O36" s="72"/>
      <c r="P36" s="111" t="s">
        <v>56</v>
      </c>
      <c r="Q36" s="74"/>
    </row>
    <row r="37" spans="1:17" s="1" customFormat="1">
      <c r="A37" s="12">
        <v>9201</v>
      </c>
      <c r="B37" s="14"/>
      <c r="C37" s="13"/>
      <c r="D37" s="13">
        <f>IF($I$12=1,1,0)</f>
        <v>0</v>
      </c>
      <c r="E37" s="34">
        <v>1.53</v>
      </c>
      <c r="F37" s="35">
        <f>E37*D37</f>
        <v>0</v>
      </c>
      <c r="G37" s="72"/>
      <c r="H37" s="72"/>
      <c r="I37" s="72"/>
      <c r="J37" s="83"/>
      <c r="K37" s="72"/>
      <c r="L37" s="72"/>
      <c r="M37" s="72"/>
      <c r="N37" s="72"/>
      <c r="O37" s="72"/>
      <c r="P37" s="111" t="s">
        <v>57</v>
      </c>
      <c r="Q37" s="72"/>
    </row>
    <row r="38" spans="1:17" s="1" customFormat="1">
      <c r="A38" s="12">
        <v>9202</v>
      </c>
      <c r="B38" s="14"/>
      <c r="C38" s="13"/>
      <c r="D38" s="13">
        <f>IF($I$12=1,1,0)</f>
        <v>0</v>
      </c>
      <c r="E38" s="34">
        <v>1.1160000000000001</v>
      </c>
      <c r="F38" s="35">
        <f>E38*D38</f>
        <v>0</v>
      </c>
      <c r="G38" s="72"/>
      <c r="H38" s="72"/>
      <c r="I38" s="72"/>
      <c r="J38" s="82"/>
      <c r="K38" s="72"/>
      <c r="L38" s="72"/>
      <c r="M38" s="72"/>
      <c r="N38" s="72"/>
      <c r="O38" s="72"/>
      <c r="P38" s="111" t="s">
        <v>58</v>
      </c>
      <c r="Q38" s="72"/>
    </row>
    <row r="39" spans="1:17" s="1" customFormat="1">
      <c r="A39" s="15" t="s">
        <v>10</v>
      </c>
      <c r="B39" s="14"/>
      <c r="C39" s="13"/>
      <c r="D39" s="13">
        <f>IF($L$13=1,AND($I$12=1)*1,0)</f>
        <v>0</v>
      </c>
      <c r="E39" s="34">
        <v>0.25600000000000001</v>
      </c>
      <c r="F39" s="35">
        <f>E39*D39</f>
        <v>0</v>
      </c>
      <c r="G39" s="72"/>
      <c r="H39" s="84"/>
      <c r="I39" s="84"/>
      <c r="J39" s="82"/>
      <c r="K39" s="72"/>
      <c r="L39" s="72"/>
      <c r="M39" s="72"/>
      <c r="N39" s="72"/>
      <c r="O39" s="72"/>
      <c r="P39" s="111" t="s">
        <v>59</v>
      </c>
      <c r="Q39" s="72"/>
    </row>
    <row r="40" spans="1:17" s="1" customFormat="1">
      <c r="A40" s="12">
        <v>9095</v>
      </c>
      <c r="B40" s="14"/>
      <c r="C40" s="13"/>
      <c r="D40" s="13">
        <f>IF($L$13=1,AND($I$12=1)*2,0)</f>
        <v>0</v>
      </c>
      <c r="E40" s="34">
        <v>1.202</v>
      </c>
      <c r="F40" s="35">
        <f>E40*D40</f>
        <v>0</v>
      </c>
      <c r="G40" s="72"/>
      <c r="H40" s="84"/>
      <c r="I40" s="84"/>
      <c r="J40" s="82"/>
      <c r="K40" s="72"/>
      <c r="L40" s="72"/>
      <c r="M40" s="72"/>
      <c r="N40" s="72"/>
      <c r="O40" s="72"/>
      <c r="P40" s="111">
        <v>1277</v>
      </c>
      <c r="Q40" s="72"/>
    </row>
    <row r="41" spans="1:17" s="1" customFormat="1">
      <c r="A41" s="12">
        <v>9006</v>
      </c>
      <c r="B41" s="14"/>
      <c r="C41" s="13"/>
      <c r="D41" s="13">
        <f>IF($L$13=1,AND($I$12=1)*2,0)</f>
        <v>0</v>
      </c>
      <c r="E41" s="34">
        <v>0.28599999999999998</v>
      </c>
      <c r="F41" s="35">
        <f>E41*D41</f>
        <v>0</v>
      </c>
      <c r="G41" s="72"/>
      <c r="H41" s="84"/>
      <c r="I41" s="84"/>
      <c r="J41" s="82"/>
      <c r="K41" s="72"/>
      <c r="L41" s="72"/>
      <c r="M41" s="72"/>
      <c r="N41" s="72"/>
      <c r="O41" s="72"/>
      <c r="P41" s="111">
        <v>1310</v>
      </c>
      <c r="Q41" s="72"/>
    </row>
    <row r="42" spans="1:17">
      <c r="A42" s="12" t="s">
        <v>9</v>
      </c>
      <c r="B42" s="13"/>
      <c r="C42" s="13"/>
      <c r="D42" s="13">
        <f>IF($I$13=1,$B$2-$B$118,0)</f>
        <v>0</v>
      </c>
      <c r="E42" s="34">
        <v>9.9860000000000007</v>
      </c>
      <c r="F42" s="35">
        <f>(E42/1000)*D42</f>
        <v>0</v>
      </c>
      <c r="G42" s="72"/>
      <c r="H42" s="74"/>
      <c r="I42" s="74"/>
      <c r="J42" s="82"/>
      <c r="K42" s="72"/>
      <c r="L42" s="72"/>
      <c r="M42" s="72"/>
      <c r="N42" s="72"/>
      <c r="O42" s="72"/>
      <c r="P42" s="111">
        <v>1260</v>
      </c>
      <c r="Q42" s="74"/>
    </row>
    <row r="43" spans="1:17" s="1" customFormat="1">
      <c r="A43" s="12">
        <v>9201</v>
      </c>
      <c r="B43" s="14"/>
      <c r="C43" s="13"/>
      <c r="D43" s="13">
        <f>IF($I$13=1,1,0)</f>
        <v>0</v>
      </c>
      <c r="E43" s="34">
        <v>1.53</v>
      </c>
      <c r="F43" s="35">
        <f t="shared" ref="F43:F89" si="0">E43*D43</f>
        <v>0</v>
      </c>
      <c r="G43" s="72"/>
      <c r="H43" s="74"/>
      <c r="I43" s="74"/>
      <c r="J43" s="82"/>
      <c r="K43" s="72"/>
      <c r="L43" s="72"/>
      <c r="M43" s="72"/>
      <c r="N43" s="72"/>
      <c r="O43" s="72"/>
      <c r="P43" s="111" t="s">
        <v>60</v>
      </c>
      <c r="Q43" s="72"/>
    </row>
    <row r="44" spans="1:17" s="1" customFormat="1">
      <c r="A44" s="12">
        <v>9202</v>
      </c>
      <c r="B44" s="14"/>
      <c r="C44" s="13"/>
      <c r="D44" s="13">
        <f>IF($I$13=1,1,0)</f>
        <v>0</v>
      </c>
      <c r="E44" s="34">
        <v>1.1160000000000001</v>
      </c>
      <c r="F44" s="35">
        <f t="shared" si="0"/>
        <v>0</v>
      </c>
      <c r="G44" s="72"/>
      <c r="H44" s="74"/>
      <c r="I44" s="74"/>
      <c r="J44" s="82"/>
      <c r="K44" s="72"/>
      <c r="L44" s="72"/>
      <c r="M44" s="72"/>
      <c r="N44" s="72"/>
      <c r="O44" s="72"/>
      <c r="P44" s="110" t="s">
        <v>81</v>
      </c>
      <c r="Q44" s="72"/>
    </row>
    <row r="45" spans="1:17" s="1" customFormat="1">
      <c r="A45" s="15" t="s">
        <v>10</v>
      </c>
      <c r="B45" s="14"/>
      <c r="C45" s="13"/>
      <c r="D45" s="13">
        <f>IF($L$13=1,AND($I$13=1)*1,0)</f>
        <v>0</v>
      </c>
      <c r="E45" s="34">
        <v>0.25600000000000001</v>
      </c>
      <c r="F45" s="35">
        <f>E45*D45</f>
        <v>0</v>
      </c>
      <c r="G45" s="72"/>
      <c r="H45" s="74"/>
      <c r="I45" s="74"/>
      <c r="J45" s="82"/>
      <c r="K45" s="72"/>
      <c r="L45" s="72"/>
      <c r="M45" s="72"/>
      <c r="N45" s="72"/>
      <c r="O45" s="72"/>
      <c r="P45" s="72"/>
      <c r="Q45" s="72"/>
    </row>
    <row r="46" spans="1:17" s="1" customFormat="1">
      <c r="A46" s="12">
        <v>9095</v>
      </c>
      <c r="B46" s="14"/>
      <c r="C46" s="13"/>
      <c r="D46" s="13">
        <f>IF($L$13=1,AND($I$13=1)*2,0)</f>
        <v>0</v>
      </c>
      <c r="E46" s="34">
        <v>1.202</v>
      </c>
      <c r="F46" s="35">
        <f>E46*D46</f>
        <v>0</v>
      </c>
      <c r="G46" s="72"/>
      <c r="H46" s="74"/>
      <c r="I46" s="74"/>
      <c r="J46" s="82"/>
      <c r="K46" s="72"/>
      <c r="L46" s="72"/>
      <c r="M46" s="72"/>
      <c r="N46" s="72"/>
      <c r="O46" s="72"/>
      <c r="P46" s="72"/>
      <c r="Q46" s="74"/>
    </row>
    <row r="47" spans="1:17" s="1" customFormat="1">
      <c r="A47" s="12">
        <v>9006</v>
      </c>
      <c r="B47" s="14"/>
      <c r="C47" s="13"/>
      <c r="D47" s="13">
        <f>IF($L$13=1,AND($I$13=1)*2,0)</f>
        <v>0</v>
      </c>
      <c r="E47" s="34">
        <v>0.28599999999999998</v>
      </c>
      <c r="F47" s="35">
        <f>E47*D47</f>
        <v>0</v>
      </c>
      <c r="G47" s="72"/>
      <c r="H47" s="74"/>
      <c r="I47" s="74"/>
      <c r="J47" s="82"/>
      <c r="K47" s="72"/>
      <c r="L47" s="72"/>
      <c r="M47" s="72"/>
      <c r="N47" s="72"/>
      <c r="O47" s="72"/>
      <c r="P47" s="72"/>
      <c r="Q47" s="72"/>
    </row>
    <row r="48" spans="1:17">
      <c r="A48" s="12">
        <v>9270</v>
      </c>
      <c r="B48" s="13"/>
      <c r="C48" s="13"/>
      <c r="D48" s="13">
        <f>IF($I$14=1,$B$2-$B$118,0)</f>
        <v>0</v>
      </c>
      <c r="E48" s="34">
        <v>15.086</v>
      </c>
      <c r="F48" s="35">
        <f>(E48/1000)*D48</f>
        <v>0</v>
      </c>
      <c r="G48" s="72"/>
      <c r="H48" s="74"/>
      <c r="I48" s="74"/>
      <c r="J48" s="82"/>
      <c r="K48" s="72"/>
      <c r="L48" s="72"/>
      <c r="M48" s="72"/>
      <c r="N48" s="72"/>
      <c r="O48" s="72"/>
      <c r="P48" s="72"/>
      <c r="Q48" s="72"/>
    </row>
    <row r="49" spans="1:17" s="1" customFormat="1">
      <c r="A49" s="15" t="s">
        <v>10</v>
      </c>
      <c r="B49" s="14"/>
      <c r="C49" s="13"/>
      <c r="D49" s="13">
        <f>IF($L$13=1,AND($I$14=1)*1,0)</f>
        <v>0</v>
      </c>
      <c r="E49" s="34">
        <v>0.25600000000000001</v>
      </c>
      <c r="F49" s="35">
        <f>E49*D49</f>
        <v>0</v>
      </c>
      <c r="G49" s="72"/>
      <c r="H49" s="74"/>
      <c r="I49" s="74"/>
      <c r="J49" s="82"/>
      <c r="K49" s="72"/>
      <c r="L49" s="72"/>
      <c r="M49" s="72"/>
      <c r="N49" s="72"/>
      <c r="O49" s="72"/>
      <c r="P49" s="111"/>
      <c r="Q49" s="74"/>
    </row>
    <row r="50" spans="1:17" s="1" customFormat="1">
      <c r="A50" s="12">
        <v>9095</v>
      </c>
      <c r="B50" s="14"/>
      <c r="C50" s="13"/>
      <c r="D50" s="13">
        <f>IF($L$13=1,AND($I$14=1)*2,0)</f>
        <v>0</v>
      </c>
      <c r="E50" s="34">
        <v>1.202</v>
      </c>
      <c r="F50" s="35">
        <f>E50*D50</f>
        <v>0</v>
      </c>
      <c r="G50" s="72"/>
      <c r="H50" s="74"/>
      <c r="I50" s="74"/>
      <c r="J50" s="82"/>
      <c r="K50" s="72"/>
      <c r="L50" s="72"/>
      <c r="M50" s="72"/>
      <c r="N50" s="72"/>
      <c r="O50" s="72"/>
      <c r="P50" s="111"/>
      <c r="Q50" s="74"/>
    </row>
    <row r="51" spans="1:17" s="1" customFormat="1">
      <c r="A51" s="12">
        <v>9006</v>
      </c>
      <c r="B51" s="14"/>
      <c r="C51" s="13"/>
      <c r="D51" s="13">
        <f>IF($L$13=1,AND($I$14=1)*2,0)</f>
        <v>0</v>
      </c>
      <c r="E51" s="34">
        <v>0.28599999999999998</v>
      </c>
      <c r="F51" s="35">
        <f>E51*D51</f>
        <v>0</v>
      </c>
      <c r="G51" s="72"/>
      <c r="H51" s="74"/>
      <c r="I51" s="74"/>
      <c r="J51" s="82"/>
      <c r="K51" s="72"/>
      <c r="L51" s="72"/>
      <c r="M51" s="72"/>
      <c r="N51" s="72"/>
      <c r="O51" s="72"/>
      <c r="P51" s="111"/>
      <c r="Q51" s="74"/>
    </row>
    <row r="52" spans="1:17">
      <c r="A52" s="12">
        <v>9280</v>
      </c>
      <c r="B52" s="13"/>
      <c r="C52" s="13"/>
      <c r="D52" s="13">
        <f>IF($I$15=1,$B$2-$B$118,0)</f>
        <v>0</v>
      </c>
      <c r="E52" s="34">
        <v>19.431999999999999</v>
      </c>
      <c r="F52" s="35">
        <f>(E52/1000)*D52</f>
        <v>0</v>
      </c>
      <c r="G52" s="72"/>
      <c r="H52" s="74"/>
      <c r="I52" s="74"/>
      <c r="J52" s="82"/>
      <c r="K52" s="72"/>
      <c r="L52" s="72"/>
      <c r="M52" s="72"/>
      <c r="N52" s="72"/>
      <c r="O52" s="72"/>
      <c r="P52" s="72"/>
      <c r="Q52" s="72"/>
    </row>
    <row r="53" spans="1:17" s="1" customFormat="1">
      <c r="A53" s="15" t="s">
        <v>10</v>
      </c>
      <c r="B53" s="14"/>
      <c r="C53" s="13"/>
      <c r="D53" s="13">
        <f>IF($L$13=1,AND($I$15=1)*1,0)</f>
        <v>0</v>
      </c>
      <c r="E53" s="34">
        <v>0.25600000000000001</v>
      </c>
      <c r="F53" s="35">
        <f>E53*D53</f>
        <v>0</v>
      </c>
      <c r="G53" s="72"/>
      <c r="H53" s="74"/>
      <c r="I53" s="74"/>
      <c r="J53" s="82"/>
      <c r="K53" s="72"/>
      <c r="L53" s="72"/>
      <c r="M53" s="72"/>
      <c r="N53" s="72"/>
      <c r="O53" s="72"/>
      <c r="P53" s="111"/>
      <c r="Q53" s="74"/>
    </row>
    <row r="54" spans="1:17" s="1" customFormat="1">
      <c r="A54" s="12">
        <v>9095</v>
      </c>
      <c r="B54" s="14"/>
      <c r="C54" s="13"/>
      <c r="D54" s="13">
        <f>IF($L$13=1,AND($I$15=1)*2,0)</f>
        <v>0</v>
      </c>
      <c r="E54" s="34">
        <v>1.202</v>
      </c>
      <c r="F54" s="35">
        <f>E54*D54</f>
        <v>0</v>
      </c>
      <c r="G54" s="72"/>
      <c r="H54" s="74"/>
      <c r="I54" s="74"/>
      <c r="J54" s="82"/>
      <c r="K54" s="72"/>
      <c r="L54" s="72"/>
      <c r="M54" s="72"/>
      <c r="N54" s="72"/>
      <c r="O54" s="72"/>
      <c r="P54" s="111"/>
      <c r="Q54" s="74"/>
    </row>
    <row r="55" spans="1:17" s="1" customFormat="1" ht="15.75" thickBot="1">
      <c r="A55" s="12">
        <v>9006</v>
      </c>
      <c r="B55" s="14"/>
      <c r="C55" s="13"/>
      <c r="D55" s="13">
        <f>IF($L$13=1,AND($I$15=1)*2,0)</f>
        <v>0</v>
      </c>
      <c r="E55" s="34">
        <v>0.28599999999999998</v>
      </c>
      <c r="F55" s="35">
        <f>E55*D55</f>
        <v>0</v>
      </c>
      <c r="G55" s="72"/>
      <c r="H55" s="74"/>
      <c r="I55" s="74"/>
      <c r="J55" s="82"/>
      <c r="K55" s="72"/>
      <c r="L55" s="72"/>
      <c r="M55" s="72"/>
      <c r="N55" s="72"/>
      <c r="O55" s="72"/>
      <c r="P55" s="111"/>
      <c r="Q55" s="74"/>
    </row>
    <row r="56" spans="1:17" ht="15.75" thickBot="1">
      <c r="A56" s="120" t="s">
        <v>6</v>
      </c>
      <c r="B56" s="121"/>
      <c r="C56" s="121"/>
      <c r="D56" s="121"/>
      <c r="E56" s="121"/>
      <c r="F56" s="12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</row>
    <row r="57" spans="1:17" s="1" customFormat="1" ht="15.75" thickBot="1">
      <c r="A57" s="112" t="s">
        <v>102</v>
      </c>
      <c r="B57" s="113"/>
      <c r="C57" s="113"/>
      <c r="D57" s="113"/>
      <c r="E57" s="113"/>
      <c r="F57" s="114"/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2"/>
    </row>
    <row r="58" spans="1:17" s="1" customFormat="1">
      <c r="A58" s="45">
        <v>7101</v>
      </c>
      <c r="B58" s="46"/>
      <c r="C58" s="46"/>
      <c r="D58" s="47">
        <f>IF($L$14=1,AND($I$9=1)*1,0)</f>
        <v>0</v>
      </c>
      <c r="E58" s="56">
        <v>8.5630000000000006</v>
      </c>
      <c r="F58" s="57">
        <f t="shared" ref="F58:F63" si="1">E58*D58</f>
        <v>0</v>
      </c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</row>
    <row r="59" spans="1:17">
      <c r="A59" s="15">
        <v>7103</v>
      </c>
      <c r="B59" s="14"/>
      <c r="C59" s="14"/>
      <c r="D59" s="13">
        <f>IF($L$14=1,AND($I$9=1)*1,0)</f>
        <v>0</v>
      </c>
      <c r="E59" s="58">
        <v>0.28100000000000003</v>
      </c>
      <c r="F59" s="35">
        <f t="shared" si="1"/>
        <v>0</v>
      </c>
      <c r="G59" s="72"/>
      <c r="H59" s="74"/>
      <c r="I59" s="74"/>
      <c r="J59" s="72"/>
      <c r="K59" s="72"/>
      <c r="L59" s="72"/>
      <c r="M59" s="72"/>
      <c r="N59" s="72"/>
      <c r="O59" s="72"/>
      <c r="P59" s="72"/>
      <c r="Q59" s="72"/>
    </row>
    <row r="60" spans="1:17">
      <c r="A60" s="15">
        <v>7104</v>
      </c>
      <c r="B60" s="14"/>
      <c r="C60" s="14"/>
      <c r="D60" s="13">
        <f>IF($L$14=1,AND($I$9=1)*1,0)</f>
        <v>0</v>
      </c>
      <c r="E60" s="59">
        <v>0.17599999999999999</v>
      </c>
      <c r="F60" s="35">
        <f t="shared" si="1"/>
        <v>0</v>
      </c>
      <c r="G60" s="72"/>
      <c r="H60" s="72"/>
      <c r="I60" s="72"/>
      <c r="J60" s="72"/>
      <c r="K60" s="72"/>
      <c r="L60" s="72"/>
      <c r="M60" s="72"/>
      <c r="N60" s="72"/>
      <c r="O60" s="72"/>
      <c r="P60" s="72"/>
      <c r="Q60" s="72"/>
    </row>
    <row r="61" spans="1:17" s="1" customFormat="1">
      <c r="A61" s="15">
        <v>7105</v>
      </c>
      <c r="B61" s="14"/>
      <c r="C61" s="14"/>
      <c r="D61" s="13">
        <f>IF($L$14=1,AND($I$9=1)*1,0)</f>
        <v>0</v>
      </c>
      <c r="E61" s="92">
        <v>0.13100000000000001</v>
      </c>
      <c r="F61" s="35">
        <f t="shared" si="1"/>
        <v>0</v>
      </c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</row>
    <row r="62" spans="1:17" s="1" customFormat="1">
      <c r="A62" s="15">
        <v>7112</v>
      </c>
      <c r="B62" s="14"/>
      <c r="C62" s="14"/>
      <c r="D62" s="13">
        <f>IF(L14=1,AND(I25=1)*2,0)</f>
        <v>0</v>
      </c>
      <c r="E62" s="59">
        <v>1.0940000000000001</v>
      </c>
      <c r="F62" s="35">
        <f t="shared" si="1"/>
        <v>0</v>
      </c>
      <c r="G62" s="72"/>
      <c r="H62" s="72"/>
      <c r="I62" s="72"/>
      <c r="J62" s="72"/>
      <c r="K62" s="72"/>
      <c r="L62" s="72"/>
      <c r="M62" s="72"/>
      <c r="N62" s="72"/>
      <c r="O62" s="72"/>
      <c r="P62" s="72"/>
      <c r="Q62" s="72"/>
    </row>
    <row r="63" spans="1:17" s="1" customFormat="1" ht="15.75" thickBot="1">
      <c r="A63" s="53">
        <v>7504</v>
      </c>
      <c r="B63" s="54"/>
      <c r="C63" s="54"/>
      <c r="D63" s="55">
        <f>IF(L14=1,AND(I26=1)*2,0)</f>
        <v>0</v>
      </c>
      <c r="E63" s="93">
        <v>0.16600000000000001</v>
      </c>
      <c r="F63" s="60">
        <f t="shared" si="1"/>
        <v>0</v>
      </c>
      <c r="G63" s="72"/>
      <c r="H63" s="72"/>
      <c r="I63" s="72"/>
      <c r="J63" s="72"/>
      <c r="K63" s="72"/>
      <c r="L63" s="72"/>
      <c r="M63" s="72"/>
      <c r="N63" s="72"/>
      <c r="O63" s="72"/>
      <c r="P63" s="72"/>
      <c r="Q63" s="72"/>
    </row>
    <row r="64" spans="1:17" ht="15.75" thickBot="1">
      <c r="A64" s="123" t="s">
        <v>103</v>
      </c>
      <c r="B64" s="124"/>
      <c r="C64" s="124"/>
      <c r="D64" s="124"/>
      <c r="E64" s="124"/>
      <c r="F64" s="125"/>
      <c r="G64" s="72"/>
      <c r="H64" s="72"/>
      <c r="I64" s="72"/>
      <c r="J64" s="72"/>
      <c r="K64" s="72"/>
      <c r="L64" s="72"/>
      <c r="M64" s="72"/>
      <c r="N64" s="72"/>
      <c r="O64" s="72"/>
      <c r="P64" s="72"/>
      <c r="Q64" s="72"/>
    </row>
    <row r="65" spans="1:17">
      <c r="A65" s="11">
        <v>9022</v>
      </c>
      <c r="B65" s="7"/>
      <c r="C65" s="7"/>
      <c r="D65" s="7">
        <f>IF($L$15=1,1,0)</f>
        <v>0</v>
      </c>
      <c r="E65" s="37">
        <v>14.359</v>
      </c>
      <c r="F65" s="32">
        <f t="shared" si="0"/>
        <v>0</v>
      </c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</row>
    <row r="66" spans="1:17" s="1" customFormat="1">
      <c r="A66" s="11">
        <v>9024</v>
      </c>
      <c r="B66" s="7"/>
      <c r="C66" s="7"/>
      <c r="D66" s="7">
        <f>IF($L$15=1,AND(OR(L4=1,L5=1))*2,0)</f>
        <v>0</v>
      </c>
      <c r="E66" s="37">
        <v>0.89100000000000001</v>
      </c>
      <c r="F66" s="32">
        <f t="shared" si="0"/>
        <v>0</v>
      </c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</row>
    <row r="67" spans="1:17" s="1" customFormat="1">
      <c r="A67" s="11">
        <v>9023</v>
      </c>
      <c r="B67" s="3"/>
      <c r="C67" s="7"/>
      <c r="D67" s="7">
        <f>IF(L15=1,AND(L3=1)*2,0)</f>
        <v>0</v>
      </c>
      <c r="E67" s="37">
        <v>0.879</v>
      </c>
      <c r="F67" s="32">
        <f t="shared" si="0"/>
        <v>0</v>
      </c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</row>
    <row r="68" spans="1:17" s="1" customFormat="1">
      <c r="A68" s="11">
        <v>9025</v>
      </c>
      <c r="B68" s="7"/>
      <c r="C68" s="7"/>
      <c r="D68" s="7">
        <f>IF($L$15=1,2,0)</f>
        <v>0</v>
      </c>
      <c r="E68" s="37">
        <v>0.45800000000000002</v>
      </c>
      <c r="F68" s="32">
        <f t="shared" si="0"/>
        <v>0</v>
      </c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</row>
    <row r="69" spans="1:17" s="1" customFormat="1">
      <c r="A69" s="11" t="s">
        <v>10</v>
      </c>
      <c r="B69" s="3"/>
      <c r="C69" s="7"/>
      <c r="D69" s="7">
        <f>IF($L$15=1,1,0)</f>
        <v>0</v>
      </c>
      <c r="E69" s="37">
        <v>0.25600000000000001</v>
      </c>
      <c r="F69" s="32">
        <f t="shared" si="0"/>
        <v>0</v>
      </c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</row>
    <row r="70" spans="1:17" s="1" customFormat="1">
      <c r="A70" s="11">
        <v>9028</v>
      </c>
      <c r="B70" s="7"/>
      <c r="C70" s="7"/>
      <c r="D70" s="7">
        <f>IF($L$15=1,AND(I29=1)*1,0)</f>
        <v>0</v>
      </c>
      <c r="E70" s="37">
        <v>0.11</v>
      </c>
      <c r="F70" s="32">
        <f t="shared" si="0"/>
        <v>0</v>
      </c>
      <c r="G70" s="72"/>
      <c r="H70" s="72"/>
      <c r="I70" s="72"/>
      <c r="J70" s="72"/>
      <c r="K70" s="72"/>
      <c r="L70" s="72"/>
      <c r="M70" s="72"/>
      <c r="N70" s="72"/>
      <c r="O70" s="72"/>
      <c r="P70" s="72"/>
      <c r="Q70" s="72"/>
    </row>
    <row r="71" spans="1:17" s="1" customFormat="1">
      <c r="A71" s="11">
        <v>9029</v>
      </c>
      <c r="B71" s="7"/>
      <c r="C71" s="7"/>
      <c r="D71" s="7">
        <f>IF($L$15=1,AND(I30=1)*1,0)</f>
        <v>0</v>
      </c>
      <c r="E71" s="37">
        <v>0.11</v>
      </c>
      <c r="F71" s="32">
        <f t="shared" si="0"/>
        <v>0</v>
      </c>
      <c r="G71" s="72"/>
      <c r="H71" s="72"/>
      <c r="I71" s="72"/>
      <c r="J71" s="72"/>
      <c r="K71" s="72"/>
      <c r="L71" s="72"/>
      <c r="M71" s="72"/>
      <c r="N71" s="72"/>
      <c r="O71" s="72"/>
      <c r="P71" s="72"/>
      <c r="Q71" s="72"/>
    </row>
    <row r="72" spans="1:17" s="1" customFormat="1">
      <c r="A72" s="11">
        <v>9026</v>
      </c>
      <c r="B72" s="3"/>
      <c r="C72" s="7"/>
      <c r="D72" s="7">
        <f>IF($L$15=1,AND(I25=1)*2,0)</f>
        <v>0</v>
      </c>
      <c r="E72" s="37">
        <v>1.0900000000000001</v>
      </c>
      <c r="F72" s="32">
        <f t="shared" si="0"/>
        <v>0</v>
      </c>
      <c r="G72" s="72"/>
      <c r="H72" s="72"/>
      <c r="I72" s="72"/>
      <c r="J72" s="72"/>
      <c r="K72" s="72"/>
      <c r="L72" s="72"/>
      <c r="M72" s="72"/>
      <c r="N72" s="72"/>
      <c r="O72" s="72"/>
      <c r="P72" s="72"/>
      <c r="Q72" s="72"/>
    </row>
    <row r="73" spans="1:17" s="1" customFormat="1" ht="15.75" thickBot="1">
      <c r="A73" s="11">
        <v>9027</v>
      </c>
      <c r="B73" s="3"/>
      <c r="C73" s="7"/>
      <c r="D73" s="7">
        <f>IF($L$15=1,AND(I26=1)*2,0)</f>
        <v>0</v>
      </c>
      <c r="E73" s="37">
        <v>0.41299999999999998</v>
      </c>
      <c r="F73" s="32">
        <f t="shared" si="0"/>
        <v>0</v>
      </c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</row>
    <row r="74" spans="1:17" s="1" customFormat="1" ht="15.75" thickBot="1">
      <c r="A74" s="115" t="s">
        <v>104</v>
      </c>
      <c r="B74" s="119"/>
      <c r="C74" s="119"/>
      <c r="D74" s="119"/>
      <c r="E74" s="119"/>
      <c r="F74" s="116"/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</row>
    <row r="75" spans="1:17" s="1" customFormat="1">
      <c r="A75" s="12">
        <v>9032</v>
      </c>
      <c r="B75" s="13"/>
      <c r="C75" s="13"/>
      <c r="D75" s="13">
        <f>IF($L$16=1,1,0)</f>
        <v>0</v>
      </c>
      <c r="E75" s="34">
        <v>16.372</v>
      </c>
      <c r="F75" s="35">
        <f t="shared" si="0"/>
        <v>0</v>
      </c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</row>
    <row r="76" spans="1:17" s="1" customFormat="1">
      <c r="A76" s="12">
        <v>9034</v>
      </c>
      <c r="B76" s="13"/>
      <c r="C76" s="13"/>
      <c r="D76" s="13">
        <f>IF($L$16=1,AND(OR(L4=1,L5=1))*2,0)</f>
        <v>0</v>
      </c>
      <c r="E76" s="34">
        <v>1.169</v>
      </c>
      <c r="F76" s="35">
        <f t="shared" si="0"/>
        <v>0</v>
      </c>
      <c r="G76" s="72"/>
      <c r="H76" s="72"/>
      <c r="I76" s="72"/>
      <c r="J76" s="72"/>
      <c r="K76" s="72"/>
      <c r="L76" s="72"/>
      <c r="M76" s="72"/>
      <c r="N76" s="72"/>
      <c r="O76" s="72"/>
      <c r="P76" s="72"/>
      <c r="Q76" s="72"/>
    </row>
    <row r="77" spans="1:17" s="1" customFormat="1">
      <c r="A77" s="12">
        <v>9033</v>
      </c>
      <c r="B77" s="14"/>
      <c r="C77" s="13"/>
      <c r="D77" s="13">
        <f>IF(L16=1,AND(L3=1)*2,0)</f>
        <v>0</v>
      </c>
      <c r="E77" s="34">
        <v>1.097</v>
      </c>
      <c r="F77" s="35">
        <f t="shared" si="0"/>
        <v>0</v>
      </c>
      <c r="G77" s="72"/>
      <c r="H77" s="72"/>
      <c r="I77" s="72"/>
      <c r="J77" s="72"/>
      <c r="K77" s="72"/>
      <c r="L77" s="72"/>
      <c r="M77" s="72"/>
      <c r="N77" s="72"/>
      <c r="O77" s="72"/>
      <c r="P77" s="72"/>
      <c r="Q77" s="72"/>
    </row>
    <row r="78" spans="1:17" s="1" customFormat="1">
      <c r="A78" s="12">
        <v>9035</v>
      </c>
      <c r="B78" s="13"/>
      <c r="C78" s="13"/>
      <c r="D78" s="13">
        <f>IF($L$16=1,2,0)</f>
        <v>0</v>
      </c>
      <c r="E78" s="34">
        <v>0.496</v>
      </c>
      <c r="F78" s="35">
        <f t="shared" si="0"/>
        <v>0</v>
      </c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</row>
    <row r="79" spans="1:17" s="1" customFormat="1">
      <c r="A79" s="12" t="s">
        <v>10</v>
      </c>
      <c r="B79" s="14"/>
      <c r="C79" s="13"/>
      <c r="D79" s="13">
        <f>IF($L$16=1,1,0)</f>
        <v>0</v>
      </c>
      <c r="E79" s="34">
        <v>0.25600000000000001</v>
      </c>
      <c r="F79" s="35">
        <f t="shared" si="0"/>
        <v>0</v>
      </c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</row>
    <row r="80" spans="1:17" s="1" customFormat="1">
      <c r="A80" s="12">
        <v>9037</v>
      </c>
      <c r="B80" s="13"/>
      <c r="C80" s="13"/>
      <c r="D80" s="13">
        <f>IF($L$16=1,AND(I29=1)*1,0)</f>
        <v>0</v>
      </c>
      <c r="E80" s="34">
        <v>0.11</v>
      </c>
      <c r="F80" s="35">
        <f t="shared" si="0"/>
        <v>0</v>
      </c>
      <c r="G80" s="72"/>
      <c r="H80" s="72"/>
      <c r="I80" s="72"/>
      <c r="J80" s="72"/>
      <c r="K80" s="72"/>
      <c r="L80" s="72"/>
      <c r="M80" s="72"/>
      <c r="N80" s="72"/>
      <c r="O80" s="72"/>
      <c r="P80" s="72"/>
      <c r="Q80" s="72"/>
    </row>
    <row r="81" spans="1:17" s="1" customFormat="1">
      <c r="A81" s="12">
        <v>9038</v>
      </c>
      <c r="B81" s="13"/>
      <c r="C81" s="13"/>
      <c r="D81" s="13">
        <f>IF($L$16=1,AND(I30=1)*1,0)</f>
        <v>0</v>
      </c>
      <c r="E81" s="34">
        <v>0.11</v>
      </c>
      <c r="F81" s="35">
        <f t="shared" si="0"/>
        <v>0</v>
      </c>
      <c r="G81" s="72"/>
      <c r="H81" s="72"/>
      <c r="I81" s="72"/>
      <c r="J81" s="72"/>
      <c r="K81" s="72"/>
      <c r="L81" s="72"/>
      <c r="M81" s="72"/>
      <c r="N81" s="72"/>
      <c r="O81" s="72"/>
      <c r="P81" s="72"/>
      <c r="Q81" s="72"/>
    </row>
    <row r="82" spans="1:17" s="1" customFormat="1">
      <c r="A82" s="12">
        <v>9036</v>
      </c>
      <c r="B82" s="14"/>
      <c r="C82" s="13"/>
      <c r="D82" s="13">
        <f>IF($L$16=1,AND(I25=1)*2,0)</f>
        <v>0</v>
      </c>
      <c r="E82" s="34">
        <v>1.1479999999999999</v>
      </c>
      <c r="F82" s="35">
        <f t="shared" si="0"/>
        <v>0</v>
      </c>
      <c r="G82" s="72"/>
      <c r="H82" s="74"/>
      <c r="I82" s="85"/>
      <c r="J82" s="74"/>
      <c r="K82" s="74"/>
      <c r="L82" s="72"/>
      <c r="M82" s="72"/>
      <c r="N82" s="72"/>
      <c r="O82" s="72"/>
      <c r="P82" s="72"/>
      <c r="Q82" s="72"/>
    </row>
    <row r="83" spans="1:17" s="1" customFormat="1" ht="15.75" thickBot="1">
      <c r="A83" s="12">
        <v>9027</v>
      </c>
      <c r="B83" s="14"/>
      <c r="C83" s="13"/>
      <c r="D83" s="13">
        <f>IF($L$16=1,AND(I26=1)*2,0)</f>
        <v>0</v>
      </c>
      <c r="E83" s="34">
        <v>0.41299999999999998</v>
      </c>
      <c r="F83" s="35">
        <f t="shared" si="0"/>
        <v>0</v>
      </c>
      <c r="G83" s="72"/>
      <c r="H83" s="74"/>
      <c r="I83" s="85"/>
      <c r="J83" s="74"/>
      <c r="K83" s="74"/>
      <c r="L83" s="72"/>
      <c r="M83" s="72"/>
      <c r="N83" s="72"/>
      <c r="O83" s="72"/>
    </row>
    <row r="84" spans="1:17" s="1" customFormat="1" ht="15.75" thickBot="1">
      <c r="A84" s="115" t="s">
        <v>105</v>
      </c>
      <c r="B84" s="119"/>
      <c r="C84" s="119"/>
      <c r="D84" s="119"/>
      <c r="E84" s="119"/>
      <c r="F84" s="116"/>
      <c r="G84" s="72"/>
      <c r="H84" s="72"/>
      <c r="I84" s="72"/>
      <c r="J84" s="72"/>
      <c r="K84" s="72"/>
      <c r="L84" s="72"/>
      <c r="M84" s="72"/>
      <c r="N84" s="72"/>
      <c r="O84" s="72"/>
    </row>
    <row r="85" spans="1:17" s="1" customFormat="1">
      <c r="A85" s="11">
        <v>9272</v>
      </c>
      <c r="B85" s="7"/>
      <c r="C85" s="7"/>
      <c r="D85" s="7">
        <f>IF($L$17=1,1,0)</f>
        <v>0</v>
      </c>
      <c r="E85" s="37">
        <v>22.677</v>
      </c>
      <c r="F85" s="32">
        <f t="shared" si="0"/>
        <v>0</v>
      </c>
      <c r="G85" s="72"/>
      <c r="H85" s="72"/>
      <c r="I85" s="72"/>
      <c r="J85" s="72"/>
      <c r="K85" s="72"/>
      <c r="L85" s="72"/>
      <c r="M85" s="72"/>
      <c r="N85" s="72"/>
      <c r="O85" s="72"/>
    </row>
    <row r="86" spans="1:17" s="1" customFormat="1">
      <c r="A86" s="11">
        <v>9273</v>
      </c>
      <c r="B86" s="7"/>
      <c r="C86" s="7"/>
      <c r="D86" s="7">
        <f>IF($L$17=1,2,0)</f>
        <v>0</v>
      </c>
      <c r="E86" s="37">
        <v>5.95</v>
      </c>
      <c r="F86" s="32">
        <f t="shared" si="0"/>
        <v>0</v>
      </c>
      <c r="G86" s="72"/>
      <c r="H86" s="72"/>
      <c r="I86" s="72"/>
      <c r="J86" s="72"/>
      <c r="K86" s="72"/>
      <c r="L86" s="72"/>
      <c r="M86" s="72"/>
      <c r="N86" s="72"/>
      <c r="O86" s="72"/>
    </row>
    <row r="87" spans="1:17" s="1" customFormat="1">
      <c r="A87" s="11">
        <v>9274</v>
      </c>
      <c r="B87" s="7"/>
      <c r="C87" s="7"/>
      <c r="D87" s="7">
        <f>IF($L$17=1,2,0)</f>
        <v>0</v>
      </c>
      <c r="E87" s="39"/>
      <c r="F87" s="32">
        <f t="shared" si="0"/>
        <v>0</v>
      </c>
      <c r="G87" s="72"/>
      <c r="H87" s="72"/>
      <c r="I87" s="72"/>
      <c r="J87" s="72"/>
      <c r="K87" s="72"/>
      <c r="L87" s="72"/>
      <c r="M87" s="72"/>
      <c r="N87" s="72"/>
      <c r="O87" s="72"/>
    </row>
    <row r="88" spans="1:17" s="1" customFormat="1">
      <c r="A88" s="5">
        <v>9277</v>
      </c>
      <c r="B88" s="3"/>
      <c r="C88" s="3"/>
      <c r="D88" s="7">
        <f>IF($L$17=1,AND(I25=1)*2,0)</f>
        <v>0</v>
      </c>
      <c r="E88" s="37">
        <v>3.1</v>
      </c>
      <c r="F88" s="32">
        <f t="shared" si="0"/>
        <v>0</v>
      </c>
      <c r="G88" s="72"/>
      <c r="H88" s="72"/>
      <c r="I88" s="72"/>
      <c r="J88" s="72"/>
      <c r="K88" s="72"/>
      <c r="L88" s="72"/>
      <c r="M88" s="72"/>
      <c r="N88" s="72"/>
      <c r="O88" s="72"/>
    </row>
    <row r="89" spans="1:17" s="1" customFormat="1" ht="15.75" thickBot="1">
      <c r="A89" s="5">
        <v>9278</v>
      </c>
      <c r="B89" s="3"/>
      <c r="C89" s="3"/>
      <c r="D89" s="7">
        <f>IF($L$17=1,AND(I26=1)*2,0)</f>
        <v>0</v>
      </c>
      <c r="E89" s="37">
        <v>0.85</v>
      </c>
      <c r="F89" s="32">
        <f t="shared" si="0"/>
        <v>0</v>
      </c>
      <c r="G89" s="72"/>
      <c r="H89" s="72"/>
      <c r="I89" s="72"/>
      <c r="J89" s="72"/>
      <c r="K89" s="72"/>
      <c r="L89" s="72"/>
      <c r="M89" s="72"/>
      <c r="N89" s="72"/>
      <c r="O89" s="72"/>
    </row>
    <row r="90" spans="1:17" s="1" customFormat="1" ht="15.75" thickBot="1">
      <c r="A90" s="120" t="s">
        <v>13</v>
      </c>
      <c r="B90" s="121"/>
      <c r="C90" s="121"/>
      <c r="D90" s="121"/>
      <c r="E90" s="121"/>
      <c r="F90" s="122"/>
      <c r="G90" s="72"/>
      <c r="H90" s="72"/>
      <c r="I90" s="72"/>
      <c r="J90" s="72"/>
      <c r="K90" s="72"/>
      <c r="L90" s="72"/>
      <c r="M90" s="72"/>
      <c r="N90" s="72"/>
      <c r="O90" s="72"/>
    </row>
    <row r="91" spans="1:17" ht="15.75" thickBot="1">
      <c r="A91" s="115" t="s">
        <v>14</v>
      </c>
      <c r="B91" s="119"/>
      <c r="C91" s="119"/>
      <c r="D91" s="119"/>
      <c r="E91" s="119"/>
      <c r="F91" s="116"/>
      <c r="G91" s="72"/>
      <c r="H91" s="72"/>
      <c r="I91" s="72"/>
      <c r="J91" s="72"/>
      <c r="K91" s="72"/>
      <c r="L91" s="72"/>
      <c r="M91" s="72"/>
      <c r="N91" s="72"/>
      <c r="O91" s="72"/>
    </row>
    <row r="92" spans="1:17" s="1" customFormat="1">
      <c r="A92" s="45">
        <v>7119</v>
      </c>
      <c r="B92" s="46"/>
      <c r="C92" s="46"/>
      <c r="D92" s="47">
        <f>IF($L$4=1,AND(I3=1)*2,0)</f>
        <v>0</v>
      </c>
      <c r="E92" s="63">
        <v>0.122</v>
      </c>
      <c r="F92" s="35">
        <f t="shared" ref="F92:F99" si="2">E92*D92</f>
        <v>0</v>
      </c>
      <c r="G92" s="72"/>
      <c r="H92" s="72"/>
      <c r="I92" s="72"/>
      <c r="J92" s="72"/>
      <c r="K92" s="72"/>
      <c r="L92" s="72"/>
      <c r="M92" s="72"/>
      <c r="N92" s="72"/>
      <c r="O92" s="72"/>
    </row>
    <row r="93" spans="1:17" s="1" customFormat="1">
      <c r="A93" s="15">
        <v>7120</v>
      </c>
      <c r="B93" s="14"/>
      <c r="C93" s="14"/>
      <c r="D93" s="13">
        <f>IF($L$4=1,2,0)</f>
        <v>0</v>
      </c>
      <c r="E93" s="64">
        <v>6.0999999999999999E-2</v>
      </c>
      <c r="F93" s="35">
        <f t="shared" si="2"/>
        <v>0</v>
      </c>
      <c r="G93" s="72"/>
      <c r="H93" s="72"/>
      <c r="I93" s="72"/>
      <c r="J93" s="72"/>
      <c r="K93" s="72"/>
      <c r="L93" s="72"/>
      <c r="M93" s="72"/>
      <c r="N93" s="72"/>
      <c r="O93" s="72"/>
    </row>
    <row r="94" spans="1:17" s="1" customFormat="1">
      <c r="A94" s="15">
        <v>9321</v>
      </c>
      <c r="B94" s="14"/>
      <c r="C94" s="14"/>
      <c r="D94" s="13">
        <f>IF($L$4=1,AND(D12=C12-B118)*2,0)</f>
        <v>0</v>
      </c>
      <c r="E94" s="64">
        <v>0.2</v>
      </c>
      <c r="F94" s="35">
        <f t="shared" si="2"/>
        <v>0</v>
      </c>
      <c r="G94" s="72"/>
      <c r="H94" s="72"/>
      <c r="I94" s="72"/>
      <c r="J94" s="72"/>
      <c r="K94" s="72"/>
      <c r="L94" s="72"/>
      <c r="M94" s="72"/>
      <c r="N94" s="72"/>
      <c r="O94" s="72"/>
    </row>
    <row r="95" spans="1:17" s="1" customFormat="1">
      <c r="A95" s="15">
        <v>9323</v>
      </c>
      <c r="B95" s="14"/>
      <c r="C95" s="14"/>
      <c r="D95" s="13">
        <f>IF(L4=1,AND(I9=1)*2,0)</f>
        <v>0</v>
      </c>
      <c r="E95" s="64">
        <v>0.22</v>
      </c>
      <c r="F95" s="35">
        <f t="shared" si="2"/>
        <v>0</v>
      </c>
      <c r="G95" s="72"/>
      <c r="H95" s="72"/>
      <c r="I95" s="72"/>
      <c r="J95" s="72"/>
      <c r="K95" s="72"/>
      <c r="L95" s="72"/>
      <c r="M95" s="72"/>
      <c r="N95" s="72"/>
      <c r="O95" s="72"/>
    </row>
    <row r="96" spans="1:17" s="1" customFormat="1">
      <c r="A96" s="15">
        <v>9301</v>
      </c>
      <c r="B96" s="14"/>
      <c r="C96" s="14"/>
      <c r="D96" s="13">
        <f>IF($L$4=1,AND($I$4=1)*1,0)</f>
        <v>0</v>
      </c>
      <c r="E96" s="64">
        <v>10.4</v>
      </c>
      <c r="F96" s="35">
        <f t="shared" si="2"/>
        <v>0</v>
      </c>
      <c r="G96" s="72"/>
      <c r="H96" s="72"/>
      <c r="I96" s="72"/>
      <c r="J96" s="72"/>
      <c r="K96" s="72"/>
      <c r="L96" s="72"/>
      <c r="M96" s="72"/>
      <c r="N96" s="72"/>
      <c r="O96" s="72"/>
    </row>
    <row r="97" spans="1:15" s="1" customFormat="1">
      <c r="A97" s="15">
        <v>9302</v>
      </c>
      <c r="B97" s="14"/>
      <c r="C97" s="14"/>
      <c r="D97" s="13">
        <f>IF($L$4=1,AND($I$4=1)*1,0)</f>
        <v>0</v>
      </c>
      <c r="E97" s="64">
        <v>4.16</v>
      </c>
      <c r="F97" s="35">
        <f t="shared" si="2"/>
        <v>0</v>
      </c>
      <c r="G97" s="72"/>
      <c r="H97" s="72"/>
      <c r="I97" s="72"/>
      <c r="J97" s="72"/>
      <c r="K97" s="72"/>
      <c r="L97" s="72"/>
      <c r="M97" s="72"/>
      <c r="N97" s="72"/>
      <c r="O97" s="72"/>
    </row>
    <row r="98" spans="1:15" s="1" customFormat="1">
      <c r="A98" s="15">
        <v>9303</v>
      </c>
      <c r="B98" s="14"/>
      <c r="C98" s="14"/>
      <c r="D98" s="13">
        <f>IF($L$4=1,AND($I$4=1)*2,0)</f>
        <v>0</v>
      </c>
      <c r="E98" s="64">
        <v>12.17</v>
      </c>
      <c r="F98" s="35">
        <f t="shared" si="2"/>
        <v>0</v>
      </c>
      <c r="G98" s="72"/>
      <c r="H98" s="72"/>
      <c r="I98" s="72"/>
      <c r="J98" s="72"/>
      <c r="K98" s="72"/>
      <c r="L98" s="72"/>
      <c r="M98" s="72"/>
      <c r="N98" s="72"/>
      <c r="O98" s="72"/>
    </row>
    <row r="99" spans="1:15" s="1" customFormat="1" ht="15.75" thickBot="1">
      <c r="A99" s="15">
        <v>9304</v>
      </c>
      <c r="B99" s="14"/>
      <c r="C99" s="14"/>
      <c r="D99" s="13">
        <f>IF($L$4=1,AND($I$4=1)*2,0)</f>
        <v>0</v>
      </c>
      <c r="E99" s="64">
        <v>8.02</v>
      </c>
      <c r="F99" s="35">
        <f t="shared" si="2"/>
        <v>0</v>
      </c>
      <c r="G99" s="72"/>
      <c r="H99" s="72"/>
      <c r="I99" s="72"/>
      <c r="J99" s="72"/>
      <c r="K99" s="72"/>
      <c r="L99" s="72"/>
      <c r="M99" s="72"/>
      <c r="N99" s="72"/>
      <c r="O99" s="72"/>
    </row>
    <row r="100" spans="1:15" s="1" customFormat="1" ht="15.75" thickBot="1">
      <c r="A100" s="112" t="s">
        <v>15</v>
      </c>
      <c r="B100" s="113"/>
      <c r="C100" s="113"/>
      <c r="D100" s="113"/>
      <c r="E100" s="113"/>
      <c r="F100" s="114"/>
      <c r="G100" s="72"/>
      <c r="H100" s="72"/>
      <c r="I100" s="72"/>
      <c r="J100" s="72"/>
      <c r="K100" s="72"/>
      <c r="L100" s="72"/>
      <c r="M100" s="72"/>
      <c r="N100" s="72"/>
      <c r="O100" s="72"/>
    </row>
    <row r="101" spans="1:15" s="1" customFormat="1">
      <c r="A101" s="107">
        <v>9054</v>
      </c>
      <c r="B101" s="16"/>
      <c r="C101" s="16"/>
      <c r="D101" s="8">
        <f>IF(L6=1,AND(OR(L30="Solaire",L30="Obscurcissant"))*$B$3,0)</f>
        <v>0</v>
      </c>
      <c r="E101" s="40">
        <v>7.2430000000000003</v>
      </c>
      <c r="F101" s="36">
        <f>E101*(D101/1000)</f>
        <v>0</v>
      </c>
      <c r="G101" s="72"/>
      <c r="H101" s="72"/>
      <c r="I101" s="72"/>
      <c r="J101" s="72"/>
      <c r="K101" s="72"/>
      <c r="L101" s="72"/>
      <c r="M101" s="72"/>
      <c r="N101" s="72"/>
      <c r="O101" s="72"/>
    </row>
    <row r="102" spans="1:15" s="1" customFormat="1">
      <c r="A102" s="5">
        <v>9056</v>
      </c>
      <c r="B102" s="3"/>
      <c r="C102" s="3"/>
      <c r="D102" s="7">
        <f>IF($L$7=1,AND(OR($L$30="Solaire",$L$30="Obscurcissant"))*$B$3,0)</f>
        <v>0</v>
      </c>
      <c r="E102" s="65">
        <v>6.3120000000000003</v>
      </c>
      <c r="F102" s="32">
        <f>(E102/1000)*D102</f>
        <v>0</v>
      </c>
      <c r="G102" s="72"/>
      <c r="H102" s="72"/>
      <c r="I102" s="72"/>
      <c r="J102" s="72"/>
      <c r="K102" s="72"/>
      <c r="L102" s="72"/>
      <c r="M102" s="72"/>
      <c r="N102" s="72"/>
      <c r="O102" s="72"/>
    </row>
    <row r="103" spans="1:15">
      <c r="A103" s="5">
        <v>9057</v>
      </c>
      <c r="B103" s="3"/>
      <c r="C103" s="3"/>
      <c r="D103" s="7">
        <f>IF($L$7=1,AND($L$30="Occultant")*$B$3,0)</f>
        <v>0</v>
      </c>
      <c r="E103" s="66">
        <v>7.984</v>
      </c>
      <c r="F103" s="32">
        <f>(E103/1000)*D103</f>
        <v>0</v>
      </c>
      <c r="G103" s="72"/>
      <c r="H103" s="72"/>
      <c r="I103" s="72"/>
      <c r="J103" s="72"/>
      <c r="K103" s="72"/>
      <c r="L103" s="72"/>
      <c r="M103" s="72"/>
      <c r="N103" s="72"/>
      <c r="O103" s="72"/>
    </row>
    <row r="104" spans="1:15">
      <c r="A104" s="5">
        <v>9058</v>
      </c>
      <c r="B104" s="3"/>
      <c r="C104" s="3"/>
      <c r="D104" s="7">
        <f>IF($L$6=1,AND($L$30="Occultant")*$B$3,0)</f>
        <v>0</v>
      </c>
      <c r="E104" s="67">
        <v>7.8689999999999998</v>
      </c>
      <c r="F104" s="32">
        <f t="shared" ref="F104:F107" si="3">E104*D104</f>
        <v>0</v>
      </c>
      <c r="G104" s="72"/>
      <c r="H104" s="72"/>
      <c r="I104" s="72"/>
      <c r="J104" s="72"/>
      <c r="K104" s="72"/>
      <c r="L104" s="72"/>
      <c r="M104" s="72"/>
      <c r="N104" s="72"/>
      <c r="O104" s="72"/>
    </row>
    <row r="105" spans="1:15">
      <c r="A105" s="5">
        <v>9059</v>
      </c>
      <c r="B105" s="3"/>
      <c r="C105" s="3"/>
      <c r="D105" s="7">
        <f>IF(OR(D104&gt;0,D103&gt;0),B3,0)</f>
        <v>0</v>
      </c>
      <c r="E105" s="68">
        <v>0.14000000000000001</v>
      </c>
      <c r="F105" s="32">
        <f t="shared" si="3"/>
        <v>0</v>
      </c>
      <c r="G105" s="72"/>
      <c r="H105" s="72"/>
      <c r="I105" s="72"/>
      <c r="J105" s="72"/>
      <c r="K105" s="72"/>
      <c r="L105" s="72"/>
      <c r="M105" s="72"/>
      <c r="N105" s="72"/>
      <c r="O105" s="72"/>
    </row>
    <row r="106" spans="1:15">
      <c r="A106" s="5">
        <v>9013</v>
      </c>
      <c r="B106" s="3"/>
      <c r="C106" s="3"/>
      <c r="D106" s="7">
        <f>IF(L5=1,AND(OR(D101&gt;0,D102&gt;0))*2,0)</f>
        <v>0</v>
      </c>
      <c r="E106" s="98">
        <v>0.17199999999999999</v>
      </c>
      <c r="F106" s="32">
        <f t="shared" si="3"/>
        <v>0</v>
      </c>
      <c r="G106" s="72"/>
      <c r="H106" s="72"/>
      <c r="I106" s="72"/>
      <c r="J106" s="72"/>
      <c r="K106" s="72"/>
      <c r="L106" s="72"/>
      <c r="M106" s="72"/>
      <c r="N106" s="72"/>
      <c r="O106" s="72"/>
    </row>
    <row r="107" spans="1:15" s="1" customFormat="1" ht="15.75" thickBot="1">
      <c r="A107" s="6">
        <v>9011</v>
      </c>
      <c r="B107" s="4"/>
      <c r="C107" s="4"/>
      <c r="D107" s="9">
        <f>IF(I9=1,AND(L5=1)*B2,0)</f>
        <v>0</v>
      </c>
      <c r="E107" s="69">
        <v>4.7569999999999997</v>
      </c>
      <c r="F107" s="38">
        <f t="shared" si="3"/>
        <v>0</v>
      </c>
      <c r="G107" s="72"/>
      <c r="H107" s="72"/>
      <c r="I107" s="72"/>
      <c r="J107" s="72"/>
      <c r="K107" s="72"/>
      <c r="L107" s="72"/>
      <c r="M107" s="72"/>
      <c r="N107" s="72"/>
      <c r="O107" s="72"/>
    </row>
    <row r="108" spans="1:15" ht="15.75" thickBot="1">
      <c r="A108" s="72"/>
      <c r="B108" s="72"/>
      <c r="C108" s="74"/>
      <c r="D108" s="74"/>
      <c r="E108" s="132" t="s">
        <v>78</v>
      </c>
      <c r="F108" s="133">
        <f>SUM(F10:F17,F19:F55,F58:F63,F65:F73,F75:F83,F85:F89,F92:F99,F101:F107)</f>
        <v>8.2983999999999991</v>
      </c>
      <c r="G108" s="72"/>
      <c r="H108" s="72"/>
      <c r="I108" s="72"/>
      <c r="J108" s="72"/>
      <c r="K108" s="72"/>
      <c r="L108" s="72"/>
      <c r="M108" s="72"/>
      <c r="N108" s="72"/>
      <c r="O108" s="72"/>
    </row>
    <row r="109" spans="1:15">
      <c r="A109" s="74"/>
      <c r="B109" s="130"/>
      <c r="C109" s="74"/>
      <c r="D109" s="74"/>
      <c r="E109" s="74"/>
      <c r="F109" s="131"/>
      <c r="G109" s="72"/>
      <c r="H109" s="72"/>
      <c r="I109" s="72"/>
      <c r="J109" s="72"/>
      <c r="K109" s="72"/>
      <c r="L109" s="72"/>
      <c r="M109" s="72"/>
      <c r="N109" s="72"/>
      <c r="O109" s="72"/>
    </row>
    <row r="110" spans="1:15" s="1" customFormat="1">
      <c r="A110" s="74"/>
      <c r="B110" s="130"/>
      <c r="C110" s="74"/>
      <c r="D110" s="74"/>
      <c r="E110" s="74"/>
      <c r="F110" s="74"/>
      <c r="G110" s="72"/>
      <c r="H110" s="72"/>
      <c r="I110" s="72"/>
      <c r="J110" s="72"/>
      <c r="K110" s="72"/>
      <c r="L110" s="72"/>
      <c r="M110" s="72"/>
      <c r="N110" s="72"/>
      <c r="O110" s="72"/>
    </row>
    <row r="111" spans="1:15">
      <c r="A111" s="74"/>
      <c r="B111" s="74"/>
      <c r="C111" s="74"/>
      <c r="D111" s="74"/>
      <c r="E111" s="74"/>
      <c r="F111" s="131"/>
      <c r="G111" s="72"/>
      <c r="H111" s="72"/>
      <c r="I111" s="72"/>
      <c r="J111" s="72"/>
      <c r="K111" s="72"/>
      <c r="L111" s="72"/>
      <c r="M111" s="72"/>
      <c r="N111" s="72"/>
      <c r="O111" s="72"/>
    </row>
    <row r="112" spans="1:15">
      <c r="A112" s="74"/>
      <c r="B112" s="74"/>
      <c r="C112" s="74"/>
      <c r="D112" s="74"/>
      <c r="E112" s="74"/>
      <c r="F112" s="74"/>
      <c r="G112" s="72"/>
      <c r="H112" s="72"/>
      <c r="I112" s="72"/>
      <c r="J112" s="72"/>
      <c r="K112" s="72"/>
      <c r="L112" s="72"/>
      <c r="M112" s="72"/>
      <c r="N112" s="72"/>
      <c r="O112" s="72"/>
    </row>
    <row r="113" spans="1:15">
      <c r="A113" s="74"/>
      <c r="B113" s="130"/>
      <c r="C113" s="74"/>
      <c r="D113" s="74"/>
      <c r="E113" s="87"/>
      <c r="F113" s="131"/>
      <c r="G113" s="72"/>
      <c r="H113" s="72"/>
      <c r="I113" s="72"/>
      <c r="J113" s="72"/>
      <c r="K113" s="72"/>
      <c r="L113" s="72"/>
      <c r="M113" s="72"/>
      <c r="N113" s="72"/>
      <c r="O113" s="72"/>
    </row>
    <row r="114" spans="1:15">
      <c r="A114" s="86" t="s">
        <v>83</v>
      </c>
      <c r="B114" s="74">
        <f>IF(L14=1,32,0)</f>
        <v>0</v>
      </c>
      <c r="C114" s="74"/>
      <c r="D114" s="74"/>
      <c r="E114" s="74"/>
      <c r="F114" s="74"/>
      <c r="G114" s="72"/>
      <c r="H114" s="72"/>
      <c r="I114" s="72"/>
      <c r="J114" s="72"/>
      <c r="K114" s="72"/>
      <c r="L114" s="72"/>
      <c r="M114" s="72"/>
      <c r="N114" s="72"/>
      <c r="O114" s="72"/>
    </row>
    <row r="115" spans="1:15">
      <c r="A115" s="86" t="s">
        <v>84</v>
      </c>
      <c r="B115" s="74">
        <f>IF(L15=1,34,0)</f>
        <v>0</v>
      </c>
      <c r="C115" s="74"/>
      <c r="D115" s="74"/>
      <c r="E115" s="74"/>
      <c r="F115" s="85"/>
      <c r="G115" s="72"/>
      <c r="H115" s="72"/>
      <c r="I115" s="72"/>
      <c r="J115" s="72"/>
      <c r="K115" s="72"/>
      <c r="L115" s="72"/>
      <c r="M115" s="72"/>
      <c r="N115" s="72"/>
      <c r="O115" s="72"/>
    </row>
    <row r="116" spans="1:15">
      <c r="A116" s="86" t="s">
        <v>85</v>
      </c>
      <c r="B116" s="74">
        <f>IF(L16=1,35,0)</f>
        <v>0</v>
      </c>
      <c r="C116" s="74"/>
      <c r="D116" s="74"/>
      <c r="E116" s="74"/>
      <c r="F116" s="131"/>
      <c r="G116" s="72"/>
      <c r="H116" s="72"/>
      <c r="I116" s="72"/>
      <c r="J116" s="72"/>
      <c r="K116" s="72"/>
      <c r="L116" s="72"/>
      <c r="M116" s="72"/>
      <c r="N116" s="72"/>
      <c r="O116" s="72"/>
    </row>
    <row r="117" spans="1:15" ht="15.75" thickBot="1">
      <c r="A117" s="75" t="s">
        <v>86</v>
      </c>
      <c r="B117" s="76">
        <f>IF(L17=1,20,0)</f>
        <v>0</v>
      </c>
      <c r="C117" s="74"/>
      <c r="D117" s="74"/>
      <c r="E117" s="74"/>
      <c r="F117" s="74"/>
      <c r="G117" s="72"/>
      <c r="H117" s="72"/>
      <c r="I117" s="72"/>
      <c r="J117" s="72"/>
      <c r="K117" s="72"/>
      <c r="L117" s="72"/>
      <c r="M117" s="72"/>
      <c r="N117" s="72"/>
      <c r="O117" s="72"/>
    </row>
    <row r="118" spans="1:15" ht="15.75" thickBot="1">
      <c r="A118" s="72"/>
      <c r="B118" s="72">
        <f>SUM(B114:B117)</f>
        <v>0</v>
      </c>
      <c r="C118" s="74"/>
      <c r="D118" s="88"/>
      <c r="E118" s="74"/>
      <c r="F118" s="131"/>
      <c r="G118" s="72"/>
      <c r="H118" s="72"/>
      <c r="I118" s="72"/>
      <c r="J118" s="72"/>
      <c r="K118" s="72"/>
      <c r="L118" s="72"/>
      <c r="M118" s="72"/>
      <c r="N118" s="72"/>
      <c r="O118" s="72"/>
    </row>
    <row r="119" spans="1:15" ht="15.75" thickBot="1">
      <c r="A119" s="77" t="s">
        <v>82</v>
      </c>
      <c r="B119" s="100">
        <v>16</v>
      </c>
      <c r="C119" s="74"/>
      <c r="D119" s="74"/>
      <c r="E119" s="74"/>
      <c r="F119" s="74"/>
      <c r="G119" s="72"/>
      <c r="H119" s="72"/>
      <c r="I119" s="72"/>
      <c r="J119" s="72"/>
      <c r="K119" s="72"/>
      <c r="L119" s="72"/>
      <c r="M119" s="72"/>
      <c r="N119" s="72"/>
      <c r="O119" s="72"/>
    </row>
    <row r="120" spans="1:15">
      <c r="A120" s="72"/>
      <c r="B120" s="72"/>
      <c r="C120" s="74"/>
      <c r="D120" s="74"/>
      <c r="E120" s="74"/>
      <c r="F120" s="131"/>
      <c r="G120" s="72"/>
      <c r="H120" s="72"/>
      <c r="I120" s="72"/>
      <c r="J120" s="72"/>
      <c r="K120" s="72"/>
      <c r="L120" s="72"/>
      <c r="M120" s="72"/>
      <c r="N120" s="72"/>
      <c r="O120" s="72"/>
    </row>
    <row r="121" spans="1:15">
      <c r="A121" s="72"/>
      <c r="B121" s="72"/>
      <c r="C121" s="74"/>
      <c r="D121" s="74"/>
      <c r="E121" s="74"/>
      <c r="F121" s="74"/>
      <c r="G121" s="72"/>
      <c r="H121" s="72"/>
      <c r="I121" s="72"/>
      <c r="J121" s="72"/>
      <c r="K121" s="72"/>
      <c r="L121" s="72"/>
      <c r="M121" s="72"/>
      <c r="N121" s="72"/>
      <c r="O121" s="72"/>
    </row>
    <row r="122" spans="1:15">
      <c r="A122" s="72"/>
      <c r="B122" s="72"/>
      <c r="C122" s="74"/>
      <c r="D122" s="74"/>
      <c r="E122" s="74"/>
      <c r="F122" s="131"/>
      <c r="G122" s="72"/>
      <c r="H122" s="72"/>
      <c r="I122" s="72"/>
      <c r="J122" s="72"/>
      <c r="K122" s="72"/>
      <c r="L122" s="72"/>
      <c r="M122" s="72"/>
      <c r="N122" s="72"/>
      <c r="O122" s="72"/>
    </row>
    <row r="123" spans="1:15">
      <c r="A123" s="72"/>
      <c r="B123" s="72"/>
      <c r="C123" s="74"/>
      <c r="D123" s="74"/>
      <c r="E123" s="74"/>
      <c r="F123" s="74"/>
      <c r="G123" s="72"/>
      <c r="H123" s="72"/>
      <c r="I123" s="72"/>
      <c r="J123" s="72"/>
      <c r="K123" s="72"/>
      <c r="L123" s="72"/>
      <c r="M123" s="72"/>
      <c r="N123" s="72"/>
      <c r="O123" s="72"/>
    </row>
    <row r="124" spans="1:15">
      <c r="A124" s="72"/>
      <c r="B124" s="72"/>
      <c r="C124" s="74"/>
      <c r="D124" s="74"/>
      <c r="E124" s="74"/>
      <c r="F124" s="131"/>
      <c r="G124" s="72"/>
      <c r="H124" s="72"/>
      <c r="I124" s="72"/>
      <c r="J124" s="72"/>
      <c r="K124" s="72"/>
      <c r="L124" s="72"/>
      <c r="M124" s="72"/>
      <c r="N124" s="72"/>
      <c r="O124" s="72"/>
    </row>
    <row r="125" spans="1:15">
      <c r="A125" s="72"/>
      <c r="B125" s="72"/>
      <c r="C125" s="74"/>
      <c r="D125" s="74"/>
      <c r="E125" s="74"/>
      <c r="F125" s="85"/>
      <c r="G125" s="72"/>
      <c r="H125" s="72"/>
      <c r="I125" s="72"/>
      <c r="J125" s="72"/>
      <c r="K125" s="72"/>
      <c r="L125" s="72"/>
      <c r="M125" s="72"/>
      <c r="N125" s="72"/>
      <c r="O125" s="72"/>
    </row>
    <row r="126" spans="1:15">
      <c r="A126" s="72"/>
      <c r="B126" s="72"/>
      <c r="C126" s="74"/>
      <c r="D126" s="74"/>
      <c r="E126" s="74"/>
      <c r="F126" s="74"/>
      <c r="G126" s="72"/>
      <c r="H126" s="72"/>
      <c r="I126" s="72"/>
      <c r="J126" s="72"/>
      <c r="K126" s="72"/>
      <c r="L126" s="72"/>
      <c r="M126" s="72"/>
      <c r="N126" s="72"/>
      <c r="O126" s="72"/>
    </row>
    <row r="127" spans="1:15">
      <c r="A127" s="72"/>
      <c r="B127" s="72"/>
      <c r="C127" s="74"/>
      <c r="D127" s="74"/>
      <c r="E127" s="74"/>
      <c r="F127" s="85"/>
      <c r="G127" s="72"/>
      <c r="H127" s="72"/>
      <c r="I127" s="72"/>
      <c r="J127" s="72"/>
      <c r="K127" s="72"/>
      <c r="L127" s="72"/>
      <c r="M127" s="72"/>
      <c r="N127" s="72"/>
      <c r="O127" s="72"/>
    </row>
    <row r="128" spans="1:15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  <c r="L128" s="72"/>
      <c r="M128" s="72"/>
      <c r="N128" s="72"/>
      <c r="O128" s="72"/>
    </row>
    <row r="129" spans="1:15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  <c r="L129" s="72"/>
      <c r="M129" s="72"/>
      <c r="N129" s="72"/>
      <c r="O129" s="72"/>
    </row>
    <row r="130" spans="1:15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  <c r="L130" s="72"/>
      <c r="M130" s="72"/>
      <c r="N130" s="72"/>
      <c r="O130" s="72"/>
    </row>
    <row r="131" spans="1:15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  <c r="L131" s="72"/>
      <c r="M131" s="72"/>
      <c r="N131" s="72"/>
      <c r="O131" s="72"/>
    </row>
    <row r="132" spans="1:15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  <c r="L132" s="72"/>
      <c r="M132" s="72"/>
      <c r="N132" s="72"/>
      <c r="O132" s="72"/>
    </row>
    <row r="133" spans="1:15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  <c r="L133" s="72"/>
      <c r="M133" s="72"/>
      <c r="N133" s="72"/>
      <c r="O133" s="72"/>
    </row>
    <row r="134" spans="1:15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  <c r="L134" s="72"/>
      <c r="M134" s="72"/>
      <c r="N134" s="72"/>
      <c r="O134" s="72"/>
    </row>
    <row r="135" spans="1:15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  <c r="L135" s="72"/>
      <c r="M135" s="72"/>
      <c r="N135" s="72"/>
      <c r="O135" s="72"/>
    </row>
    <row r="136" spans="1:15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  <c r="L136" s="72"/>
      <c r="M136" s="72"/>
      <c r="N136" s="72"/>
      <c r="O136" s="72"/>
    </row>
    <row r="137" spans="1:15">
      <c r="O137" s="72"/>
    </row>
  </sheetData>
  <mergeCells count="17">
    <mergeCell ref="H2:I2"/>
    <mergeCell ref="A18:F18"/>
    <mergeCell ref="H24:I24"/>
    <mergeCell ref="K27:L27"/>
    <mergeCell ref="A100:F100"/>
    <mergeCell ref="H8:I8"/>
    <mergeCell ref="H18:I18"/>
    <mergeCell ref="K12:L12"/>
    <mergeCell ref="K2:L2"/>
    <mergeCell ref="A56:F56"/>
    <mergeCell ref="A64:F64"/>
    <mergeCell ref="A74:F74"/>
    <mergeCell ref="A84:F84"/>
    <mergeCell ref="A90:F90"/>
    <mergeCell ref="A91:F91"/>
    <mergeCell ref="A57:F57"/>
    <mergeCell ref="H28:I28"/>
  </mergeCells>
  <dataValidations count="3">
    <dataValidation type="list" allowBlank="1" showInputMessage="1" showErrorMessage="1" sqref="L28">
      <formula1>$P$2:$P$44</formula1>
    </dataValidation>
    <dataValidation type="list" allowBlank="1" showInputMessage="1" showErrorMessage="1" sqref="L29">
      <formula1>$Q$2:$Q$22</formula1>
    </dataValidation>
    <dataValidation type="list" allowBlank="1" showInputMessage="1" showErrorMessage="1" sqref="I39:I41">
      <formula1>$Q$3:$Q$36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N45"/>
  <sheetViews>
    <sheetView workbookViewId="0">
      <selection activeCell="E9" sqref="E9"/>
    </sheetView>
  </sheetViews>
  <sheetFormatPr baseColWidth="10" defaultRowHeight="15"/>
  <cols>
    <col min="1" max="1" width="10.42578125" customWidth="1"/>
    <col min="2" max="2" width="19.7109375" customWidth="1"/>
    <col min="13" max="13" width="20.85546875" bestFit="1" customWidth="1"/>
    <col min="14" max="14" width="25" bestFit="1" customWidth="1"/>
  </cols>
  <sheetData>
    <row r="1" spans="1:14">
      <c r="A1" s="28" t="s">
        <v>28</v>
      </c>
      <c r="B1" s="29" t="s">
        <v>18</v>
      </c>
    </row>
    <row r="2" spans="1:14">
      <c r="A2" s="30" t="e">
        <f>IF(Interface!#REF!=1,Interface!#REF!,0)</f>
        <v>#REF!</v>
      </c>
      <c r="B2" s="22" t="e">
        <f>IF(Interface!#REF!=1,Interface!#REF!*Interface!$B$4,0)</f>
        <v>#REF!</v>
      </c>
      <c r="M2" s="42"/>
      <c r="N2" s="2"/>
    </row>
    <row r="3" spans="1:14">
      <c r="A3" s="30">
        <f>IF(Interface!J37=1,Interface!#REF!,0)</f>
        <v>0</v>
      </c>
      <c r="B3" s="22">
        <f>IF(Interface!J37=1,Interface!#REF!*Interface!$B$4,0)</f>
        <v>0</v>
      </c>
      <c r="D3" s="1"/>
      <c r="E3" s="1"/>
      <c r="F3" s="1"/>
      <c r="G3" s="1"/>
      <c r="M3" s="42"/>
      <c r="N3" s="2"/>
    </row>
    <row r="4" spans="1:14">
      <c r="A4" s="30">
        <f>IF(Interface!J38=1,Interface!#REF!,0)</f>
        <v>0</v>
      </c>
      <c r="B4" s="22">
        <f>IF(Interface!J38=1,Interface!#REF!*Interface!$B$4,0)</f>
        <v>0</v>
      </c>
      <c r="E4" s="1"/>
      <c r="F4" s="1"/>
      <c r="G4" s="1"/>
      <c r="M4" s="42"/>
      <c r="N4" s="2"/>
    </row>
    <row r="5" spans="1:14">
      <c r="A5" s="30">
        <f>IF(Interface!J39=1,Interface!#REF!,0)</f>
        <v>0</v>
      </c>
      <c r="B5" s="22">
        <f>IF(Interface!J39=1,Interface!#REF!*Interface!$B$4,0)</f>
        <v>0</v>
      </c>
      <c r="E5" s="1"/>
      <c r="F5" s="1"/>
      <c r="G5" s="1"/>
      <c r="M5" s="42"/>
      <c r="N5" s="2"/>
    </row>
    <row r="6" spans="1:14">
      <c r="A6" s="30">
        <f>IF(Interface!J40=1,Interface!#REF!,0)</f>
        <v>0</v>
      </c>
      <c r="B6" s="22">
        <f>IF(Interface!J40=1,Interface!#REF!*Interface!$B$4,0)</f>
        <v>0</v>
      </c>
      <c r="E6" s="1"/>
      <c r="F6" s="1"/>
      <c r="G6" s="1"/>
      <c r="M6" s="42"/>
      <c r="N6" s="2"/>
    </row>
    <row r="7" spans="1:14">
      <c r="A7" s="30">
        <f>IF(Interface!J41=1,Interface!#REF!,0)</f>
        <v>0</v>
      </c>
      <c r="B7" s="22">
        <f>IF(Interface!J41=1,Interface!#REF!*Interface!$B$4,0)</f>
        <v>0</v>
      </c>
      <c r="E7" s="1"/>
      <c r="F7" s="1"/>
      <c r="G7" s="1"/>
      <c r="M7" s="42"/>
      <c r="N7" s="2"/>
    </row>
    <row r="8" spans="1:14">
      <c r="A8" s="30">
        <f>IF(Interface!J42=1,Interface!#REF!,0)</f>
        <v>0</v>
      </c>
      <c r="B8" s="22">
        <f>IF(Interface!J42=1,Interface!#REF!*Interface!$B$4,0)</f>
        <v>0</v>
      </c>
      <c r="E8" s="1"/>
      <c r="H8" s="23"/>
      <c r="M8" s="42"/>
      <c r="N8" s="2"/>
    </row>
    <row r="9" spans="1:14">
      <c r="A9" s="30">
        <f>IF(Interface!J43=1,Interface!#REF!,0)</f>
        <v>0</v>
      </c>
      <c r="B9" s="22">
        <f>IF(Interface!J43=1,Interface!#REF!*Interface!$B$4,0)</f>
        <v>0</v>
      </c>
      <c r="E9" s="1"/>
      <c r="M9" s="42"/>
      <c r="N9" s="2"/>
    </row>
    <row r="10" spans="1:14" ht="15.75" thickBot="1">
      <c r="A10" s="30">
        <f>IF(Interface!J44=1,Interface!#REF!,0)</f>
        <v>0</v>
      </c>
      <c r="B10" s="22">
        <f>IF(Interface!J44=1,Interface!#REF!*Interface!$B$4,0)</f>
        <v>0</v>
      </c>
      <c r="E10" s="1"/>
      <c r="M10" s="42"/>
      <c r="N10" s="2"/>
    </row>
    <row r="11" spans="1:14">
      <c r="A11" s="30">
        <f>IF(Interface!J45=1,Interface!#REF!,0)</f>
        <v>0</v>
      </c>
      <c r="B11" s="22">
        <f>IF(Interface!J45=1,Interface!#REF!*Interface!$B$4,0)</f>
        <v>0</v>
      </c>
      <c r="F11" s="19"/>
      <c r="G11" s="20"/>
      <c r="H11" s="20"/>
      <c r="I11" s="20" t="s">
        <v>33</v>
      </c>
      <c r="J11" s="20" t="s">
        <v>34</v>
      </c>
      <c r="K11" s="24"/>
      <c r="M11" s="42"/>
      <c r="N11" s="2"/>
    </row>
    <row r="12" spans="1:14">
      <c r="F12" s="21" t="s">
        <v>0</v>
      </c>
      <c r="G12" s="18">
        <f>Interface!B2</f>
        <v>600</v>
      </c>
      <c r="H12" s="18"/>
      <c r="I12" s="18">
        <f>IF($G$12&gt;C15,1,0)</f>
        <v>0</v>
      </c>
      <c r="J12" s="18">
        <f>IF($G$13&gt;D15,1,0)</f>
        <v>0</v>
      </c>
      <c r="K12" s="22">
        <f>I12+J12</f>
        <v>0</v>
      </c>
      <c r="M12" s="42"/>
      <c r="N12" s="2"/>
    </row>
    <row r="13" spans="1:14" ht="15.75" thickBot="1">
      <c r="F13" s="21" t="s">
        <v>18</v>
      </c>
      <c r="G13" s="18">
        <f>Interface!I5</f>
        <v>0</v>
      </c>
      <c r="H13" s="18"/>
      <c r="I13" s="18">
        <f>IF($G$12&gt;C16,1,0)</f>
        <v>0</v>
      </c>
      <c r="J13" s="18">
        <f>IF($G$13&gt;D16,1,0)</f>
        <v>0</v>
      </c>
      <c r="K13" s="22">
        <f t="shared" ref="K13:K18" si="0">I13+J13</f>
        <v>0</v>
      </c>
      <c r="M13" s="42"/>
      <c r="N13" s="2"/>
    </row>
    <row r="14" spans="1:14">
      <c r="A14" s="19"/>
      <c r="B14" s="20"/>
      <c r="C14" s="20" t="s">
        <v>31</v>
      </c>
      <c r="D14" s="24" t="s">
        <v>32</v>
      </c>
      <c r="F14" s="21"/>
      <c r="G14" s="18"/>
      <c r="H14" s="18"/>
      <c r="I14" s="18">
        <f>IF($G$12&gt;C17,1,0)</f>
        <v>0</v>
      </c>
      <c r="J14" s="18">
        <f>IF($G$13&gt;D17,1,0)</f>
        <v>0</v>
      </c>
      <c r="K14" s="22">
        <f t="shared" si="0"/>
        <v>0</v>
      </c>
      <c r="M14" s="42"/>
      <c r="N14" s="2"/>
    </row>
    <row r="15" spans="1:14">
      <c r="A15" s="21" t="s">
        <v>29</v>
      </c>
      <c r="B15" s="18">
        <v>25</v>
      </c>
      <c r="C15" s="18">
        <v>1500</v>
      </c>
      <c r="D15" s="22">
        <v>1500</v>
      </c>
      <c r="F15" s="21"/>
      <c r="G15" s="18"/>
      <c r="H15" s="18"/>
      <c r="I15" s="18">
        <f>IF($G$12&gt;C18,1,0)</f>
        <v>0</v>
      </c>
      <c r="J15" s="18">
        <f>IF($G$13&gt;D18,1,0)</f>
        <v>0</v>
      </c>
      <c r="K15" s="22">
        <f t="shared" si="0"/>
        <v>0</v>
      </c>
      <c r="M15" s="42"/>
      <c r="N15" s="2"/>
    </row>
    <row r="16" spans="1:14">
      <c r="A16" s="21"/>
      <c r="B16" s="18">
        <v>36</v>
      </c>
      <c r="C16" s="18">
        <v>2000</v>
      </c>
      <c r="D16" s="22">
        <v>3000</v>
      </c>
      <c r="F16" s="21"/>
      <c r="G16" s="18"/>
      <c r="H16" s="18"/>
      <c r="I16" s="18">
        <f>IF($G$12&gt;C19,1,0)</f>
        <v>0</v>
      </c>
      <c r="J16" s="18">
        <f>IF($G$13&gt;D19,1,0)</f>
        <v>0</v>
      </c>
      <c r="K16" s="22">
        <f t="shared" si="0"/>
        <v>0</v>
      </c>
      <c r="M16" s="42"/>
      <c r="N16" s="2"/>
    </row>
    <row r="17" spans="1:14">
      <c r="A17" s="21"/>
      <c r="B17" s="18">
        <v>40</v>
      </c>
      <c r="C17" s="18">
        <v>2500</v>
      </c>
      <c r="D17" s="22">
        <v>4500</v>
      </c>
      <c r="F17" s="21"/>
      <c r="G17" s="18"/>
      <c r="H17" s="18"/>
      <c r="I17" s="18"/>
      <c r="J17" s="18"/>
      <c r="K17" s="22">
        <f t="shared" si="0"/>
        <v>0</v>
      </c>
      <c r="M17" s="42"/>
      <c r="N17" s="2"/>
    </row>
    <row r="18" spans="1:14">
      <c r="A18" s="21"/>
      <c r="B18" s="18">
        <v>50</v>
      </c>
      <c r="C18" s="18">
        <v>3400</v>
      </c>
      <c r="D18" s="22">
        <v>6000</v>
      </c>
      <c r="F18" s="21"/>
      <c r="G18" s="18"/>
      <c r="H18" s="18"/>
      <c r="I18" s="18"/>
      <c r="J18" s="18"/>
      <c r="K18" s="22">
        <f t="shared" si="0"/>
        <v>0</v>
      </c>
      <c r="M18" s="42"/>
      <c r="N18" s="2"/>
    </row>
    <row r="19" spans="1:14" ht="15.75" thickBot="1">
      <c r="A19" s="21"/>
      <c r="B19" s="27" t="s">
        <v>30</v>
      </c>
      <c r="C19" s="18">
        <v>3750</v>
      </c>
      <c r="D19" s="22">
        <v>6000</v>
      </c>
      <c r="F19" s="25"/>
      <c r="G19" s="26"/>
      <c r="H19" s="26"/>
      <c r="I19" s="26"/>
      <c r="J19" s="26"/>
      <c r="K19" s="17">
        <f>SUM(K12:K18)</f>
        <v>0</v>
      </c>
      <c r="M19" s="42"/>
      <c r="N19" s="2"/>
    </row>
    <row r="20" spans="1:14">
      <c r="A20" s="21"/>
      <c r="B20" s="18">
        <v>70</v>
      </c>
      <c r="C20" s="18"/>
      <c r="D20" s="22"/>
      <c r="M20" s="42"/>
      <c r="N20" s="2"/>
    </row>
    <row r="21" spans="1:14" ht="15.75" thickBot="1">
      <c r="A21" s="25"/>
      <c r="B21" s="26">
        <v>80</v>
      </c>
      <c r="C21" s="26"/>
      <c r="D21" s="17"/>
      <c r="M21" s="42"/>
      <c r="N21" s="2"/>
    </row>
    <row r="22" spans="1:14">
      <c r="M22" s="42"/>
      <c r="N22" s="2"/>
    </row>
    <row r="23" spans="1:14">
      <c r="M23" s="42"/>
      <c r="N23" s="2"/>
    </row>
    <row r="24" spans="1:14">
      <c r="M24" s="42"/>
      <c r="N24" s="2"/>
    </row>
    <row r="25" spans="1:14">
      <c r="M25" s="42"/>
      <c r="N25" s="2"/>
    </row>
    <row r="26" spans="1:14">
      <c r="M26" s="42"/>
      <c r="N26" s="2"/>
    </row>
    <row r="27" spans="1:14">
      <c r="M27" s="42"/>
      <c r="N27" s="2"/>
    </row>
    <row r="28" spans="1:14">
      <c r="M28" s="42"/>
      <c r="N28" s="2"/>
    </row>
    <row r="29" spans="1:14">
      <c r="M29" s="42"/>
      <c r="N29" s="2"/>
    </row>
    <row r="30" spans="1:14">
      <c r="M30" s="43"/>
      <c r="N30" s="2"/>
    </row>
    <row r="31" spans="1:14">
      <c r="M31" s="43"/>
      <c r="N31" s="2"/>
    </row>
    <row r="32" spans="1:14">
      <c r="M32" s="43"/>
      <c r="N32" s="2"/>
    </row>
    <row r="33" spans="13:14">
      <c r="M33" s="43"/>
      <c r="N33" s="2"/>
    </row>
    <row r="34" spans="13:14">
      <c r="M34" s="43"/>
      <c r="N34" s="2"/>
    </row>
    <row r="35" spans="13:14">
      <c r="M35" s="43"/>
      <c r="N35" s="2"/>
    </row>
    <row r="36" spans="13:14">
      <c r="M36" s="43"/>
    </row>
    <row r="37" spans="13:14">
      <c r="M37" s="43"/>
    </row>
    <row r="38" spans="13:14">
      <c r="M38" s="43"/>
    </row>
    <row r="39" spans="13:14">
      <c r="M39" s="43"/>
    </row>
    <row r="40" spans="13:14">
      <c r="M40" s="43"/>
    </row>
    <row r="41" spans="13:14">
      <c r="M41" s="43"/>
    </row>
    <row r="42" spans="13:14">
      <c r="M42" s="43"/>
    </row>
    <row r="43" spans="13:14">
      <c r="M43" s="43"/>
    </row>
    <row r="44" spans="13:14">
      <c r="M44" s="43"/>
    </row>
    <row r="45" spans="13:14">
      <c r="M45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Interface</vt:lpstr>
      <vt:lpstr>Etapes de calcul</vt:lpstr>
      <vt:lpstr>Attention</vt:lpstr>
      <vt:lpstr>Exterieur</vt:lpstr>
      <vt:lpstr>Interieur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2010-06-16T10:32:41Z</cp:lastPrinted>
  <dcterms:created xsi:type="dcterms:W3CDTF">2010-06-08T14:21:03Z</dcterms:created>
  <dcterms:modified xsi:type="dcterms:W3CDTF">2010-06-18T14:03:26Z</dcterms:modified>
</cp:coreProperties>
</file>