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eddyv\Documents\Wanaka Van\Organisation aménagements\Trafic III L2H1 2015\"/>
    </mc:Choice>
  </mc:AlternateContent>
  <xr:revisionPtr revIDLastSave="0" documentId="13_ncr:1_{66067AC1-BF20-4EB6-B69C-1BF8D51ABE90}" xr6:coauthVersionLast="47" xr6:coauthVersionMax="47" xr10:uidLastSave="{00000000-0000-0000-0000-000000000000}"/>
  <bookViews>
    <workbookView xWindow="-108" yWindow="-108" windowWidth="23256" windowHeight="12456" tabRatio="845" activeTab="3" xr2:uid="{00000000-000D-0000-FFFF-FFFF00000000}"/>
  </bookViews>
  <sheets>
    <sheet name="RESUME" sheetId="1" r:id="rId1"/>
    <sheet name="ADMINISTRATIF" sheetId="18" r:id="rId2"/>
    <sheet name="OUVERTURES" sheetId="5" r:id="rId3"/>
    <sheet name="ISOLATION" sheetId="2" r:id="rId4"/>
    <sheet name="ELECTRICITE" sheetId="6" r:id="rId5"/>
    <sheet name="BOIS" sheetId="3" r:id="rId6"/>
    <sheet name="CHAUFFAGE" sheetId="11" r:id="rId7"/>
    <sheet name="SANITAIRE" sheetId="12" r:id="rId8"/>
    <sheet name="ELECTROMENAGER - MOBILIER" sheetId="14" r:id="rId9"/>
    <sheet name="PRODUITS GAZ" sheetId="17" r:id="rId10"/>
    <sheet name="LITERIE - RIDEAUX" sheetId="15" r:id="rId11"/>
    <sheet name="QUINCAILLERIE - DIVERS" sheetId="16" r:id="rId12"/>
  </sheets>
  <definedNames>
    <definedName name="_xlnm._FilterDatabase" localSheetId="5" hidden="1">BOIS!$A$1:$M$1</definedName>
    <definedName name="_xlnm._FilterDatabase" localSheetId="4" hidden="1">ELECTRICITE!$A$1:$M$1</definedName>
    <definedName name="_xlnm._FilterDatabase" localSheetId="3" hidden="1">ISOLATION!$A$1:$M$10</definedName>
    <definedName name="_xlnm._FilterDatabase" localSheetId="10" hidden="1">'LITERIE - RIDEAUX'!$A$1:$M$1</definedName>
    <definedName name="_xlnm._FilterDatabase" localSheetId="11" hidden="1">'QUINCAILLERIE - DIVERS'!$A$1:$N$1</definedName>
    <definedName name="_xlnm._FilterDatabase" localSheetId="7" hidden="1">SANITAIRE!$A$1:$K$49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6" l="1"/>
  <c r="H3" i="6"/>
  <c r="H4" i="6"/>
  <c r="H5" i="6"/>
  <c r="H6" i="6"/>
  <c r="H7" i="6"/>
  <c r="H8" i="6"/>
  <c r="H9" i="6"/>
  <c r="H10" i="6"/>
  <c r="H11" i="6"/>
  <c r="H12" i="6"/>
  <c r="H14" i="6"/>
  <c r="H15" i="6"/>
  <c r="H16" i="6"/>
  <c r="H17" i="6"/>
  <c r="H18" i="6"/>
  <c r="H19" i="6"/>
  <c r="H20" i="6"/>
  <c r="H21" i="6"/>
  <c r="J21" i="6" s="1"/>
  <c r="H22" i="6"/>
  <c r="J22" i="6" s="1"/>
  <c r="H23" i="6"/>
  <c r="J23" i="6" s="1"/>
  <c r="H24" i="6"/>
  <c r="H25" i="6"/>
  <c r="J25" i="6" s="1"/>
  <c r="H26" i="6"/>
  <c r="H27" i="6"/>
  <c r="H28" i="6"/>
  <c r="H29" i="6"/>
  <c r="H30" i="6"/>
  <c r="H31" i="6"/>
  <c r="J31" i="6" s="1"/>
  <c r="H32" i="6"/>
  <c r="J32" i="6" s="1"/>
  <c r="H33" i="6"/>
  <c r="J33" i="6" s="1"/>
  <c r="H34" i="6"/>
  <c r="J34" i="6" s="1"/>
  <c r="H35" i="6"/>
  <c r="J35" i="6" s="1"/>
  <c r="H36" i="6"/>
  <c r="J36" i="6" s="1"/>
  <c r="H37" i="6"/>
  <c r="J37" i="6" s="1"/>
  <c r="H38" i="6"/>
  <c r="H39" i="6"/>
  <c r="H40" i="6"/>
  <c r="H41" i="6"/>
  <c r="H42" i="6"/>
  <c r="H43" i="6"/>
  <c r="H44" i="6"/>
  <c r="J44" i="6" s="1"/>
  <c r="H45" i="6"/>
  <c r="H46" i="6"/>
  <c r="J46" i="6" s="1"/>
  <c r="J2" i="6"/>
  <c r="J24" i="6"/>
  <c r="J30" i="6"/>
  <c r="J38" i="6"/>
  <c r="D12" i="1"/>
  <c r="B12" i="1"/>
  <c r="K35" i="16"/>
  <c r="J35" i="16"/>
  <c r="F35" i="16"/>
  <c r="K2" i="16"/>
  <c r="K3" i="16"/>
  <c r="K4" i="16"/>
  <c r="K5" i="16"/>
  <c r="K6" i="16"/>
  <c r="K7" i="16"/>
  <c r="K8" i="16"/>
  <c r="K9" i="16"/>
  <c r="K10" i="16"/>
  <c r="K11" i="16"/>
  <c r="K12" i="16"/>
  <c r="K13" i="16"/>
  <c r="K14" i="16"/>
  <c r="K15" i="16"/>
  <c r="K16" i="16"/>
  <c r="K17" i="16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I2" i="16"/>
  <c r="I3" i="16"/>
  <c r="I4" i="16"/>
  <c r="I5" i="16"/>
  <c r="I6" i="16"/>
  <c r="I7" i="16"/>
  <c r="I8" i="16"/>
  <c r="I9" i="16"/>
  <c r="I10" i="16"/>
  <c r="I11" i="16"/>
  <c r="I12" i="16"/>
  <c r="I13" i="16"/>
  <c r="I14" i="16"/>
  <c r="I15" i="16"/>
  <c r="I16" i="16"/>
  <c r="I17" i="16"/>
  <c r="I18" i="16"/>
  <c r="I19" i="16"/>
  <c r="I20" i="16"/>
  <c r="I21" i="16"/>
  <c r="I22" i="16"/>
  <c r="I23" i="16"/>
  <c r="I24" i="16"/>
  <c r="I25" i="16"/>
  <c r="I26" i="16"/>
  <c r="I27" i="16"/>
  <c r="I28" i="16"/>
  <c r="I29" i="16"/>
  <c r="I30" i="16"/>
  <c r="I31" i="16"/>
  <c r="I32" i="16"/>
  <c r="I33" i="16"/>
  <c r="I34" i="16"/>
  <c r="D11" i="1"/>
  <c r="B11" i="1"/>
  <c r="E7" i="15"/>
  <c r="I7" i="15"/>
  <c r="J3" i="15"/>
  <c r="J4" i="15"/>
  <c r="J5" i="15"/>
  <c r="J6" i="15"/>
  <c r="H2" i="15"/>
  <c r="J2" i="15" s="1"/>
  <c r="J7" i="15" s="1"/>
  <c r="H3" i="15"/>
  <c r="H4" i="15"/>
  <c r="H5" i="15"/>
  <c r="H6" i="15"/>
  <c r="D10" i="1"/>
  <c r="B10" i="1"/>
  <c r="J18" i="17"/>
  <c r="I18" i="17"/>
  <c r="E18" i="17"/>
  <c r="J5" i="17"/>
  <c r="J6" i="17"/>
  <c r="J12" i="17"/>
  <c r="J13" i="17"/>
  <c r="J2" i="17"/>
  <c r="H17" i="17"/>
  <c r="J17" i="17" s="1"/>
  <c r="H3" i="17"/>
  <c r="J3" i="17" s="1"/>
  <c r="H4" i="17"/>
  <c r="J4" i="17" s="1"/>
  <c r="H5" i="17"/>
  <c r="H6" i="17"/>
  <c r="H7" i="17"/>
  <c r="J7" i="17" s="1"/>
  <c r="H8" i="17"/>
  <c r="J8" i="17" s="1"/>
  <c r="H9" i="17"/>
  <c r="J9" i="17" s="1"/>
  <c r="H10" i="17"/>
  <c r="J10" i="17" s="1"/>
  <c r="H11" i="17"/>
  <c r="J11" i="17" s="1"/>
  <c r="H12" i="17"/>
  <c r="H13" i="17"/>
  <c r="H14" i="17"/>
  <c r="J14" i="17" s="1"/>
  <c r="H15" i="17"/>
  <c r="J15" i="17" s="1"/>
  <c r="H16" i="17"/>
  <c r="J16" i="17" s="1"/>
  <c r="H2" i="17"/>
  <c r="D9" i="1"/>
  <c r="B9" i="1"/>
  <c r="J10" i="14"/>
  <c r="I10" i="14"/>
  <c r="J9" i="14"/>
  <c r="J3" i="14"/>
  <c r="J4" i="14"/>
  <c r="J5" i="14"/>
  <c r="J6" i="14"/>
  <c r="J7" i="14"/>
  <c r="J8" i="14"/>
  <c r="J2" i="14"/>
  <c r="H3" i="14"/>
  <c r="H4" i="14"/>
  <c r="H5" i="14"/>
  <c r="H6" i="14"/>
  <c r="H7" i="14"/>
  <c r="H8" i="14"/>
  <c r="H9" i="14"/>
  <c r="H2" i="14"/>
  <c r="E10" i="14"/>
  <c r="D8" i="1"/>
  <c r="B8" i="1"/>
  <c r="J48" i="12"/>
  <c r="I48" i="12"/>
  <c r="J3" i="12"/>
  <c r="J4" i="12"/>
  <c r="J5" i="12"/>
  <c r="J6" i="12"/>
  <c r="J7" i="12"/>
  <c r="J8" i="12"/>
  <c r="J9" i="12"/>
  <c r="J10" i="12"/>
  <c r="J11" i="12"/>
  <c r="J12" i="12"/>
  <c r="J13" i="12"/>
  <c r="J14" i="12"/>
  <c r="J15" i="12"/>
  <c r="J16" i="12"/>
  <c r="J17" i="12"/>
  <c r="J18" i="12"/>
  <c r="J19" i="12"/>
  <c r="J20" i="12"/>
  <c r="J21" i="12"/>
  <c r="J22" i="12"/>
  <c r="J23" i="12"/>
  <c r="J24" i="12"/>
  <c r="J25" i="12"/>
  <c r="J26" i="12"/>
  <c r="J27" i="12"/>
  <c r="J28" i="12"/>
  <c r="J29" i="12"/>
  <c r="J30" i="12"/>
  <c r="J31" i="12"/>
  <c r="J32" i="12"/>
  <c r="J33" i="12"/>
  <c r="J34" i="12"/>
  <c r="J35" i="12"/>
  <c r="J36" i="12"/>
  <c r="J37" i="12"/>
  <c r="J38" i="12"/>
  <c r="J39" i="12"/>
  <c r="J40" i="12"/>
  <c r="J41" i="12"/>
  <c r="J42" i="12"/>
  <c r="J43" i="12"/>
  <c r="J44" i="12"/>
  <c r="J45" i="12"/>
  <c r="J46" i="12"/>
  <c r="J47" i="12"/>
  <c r="J2" i="12"/>
  <c r="H3" i="12"/>
  <c r="H4" i="12"/>
  <c r="H5" i="12"/>
  <c r="H6" i="12"/>
  <c r="H7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H35" i="12"/>
  <c r="H36" i="12"/>
  <c r="H37" i="12"/>
  <c r="H38" i="12"/>
  <c r="H39" i="12"/>
  <c r="H40" i="12"/>
  <c r="H41" i="12"/>
  <c r="H42" i="12"/>
  <c r="H43" i="12"/>
  <c r="H44" i="12"/>
  <c r="H45" i="12"/>
  <c r="H46" i="12"/>
  <c r="H47" i="12"/>
  <c r="H2" i="12"/>
  <c r="E48" i="12"/>
  <c r="D7" i="1"/>
  <c r="B7" i="1"/>
  <c r="J7" i="11"/>
  <c r="I7" i="11"/>
  <c r="E7" i="11"/>
  <c r="J3" i="3"/>
  <c r="J4" i="3"/>
  <c r="J5" i="3"/>
  <c r="J6" i="3"/>
  <c r="J7" i="3"/>
  <c r="J8" i="3"/>
  <c r="J9" i="3"/>
  <c r="J10" i="3"/>
  <c r="J11" i="3"/>
  <c r="J12" i="3"/>
  <c r="J13" i="3"/>
  <c r="J2" i="3"/>
  <c r="H3" i="3"/>
  <c r="H4" i="3"/>
  <c r="H5" i="3"/>
  <c r="H6" i="3"/>
  <c r="H7" i="3"/>
  <c r="H8" i="3"/>
  <c r="H9" i="3"/>
  <c r="H10" i="3"/>
  <c r="H11" i="3"/>
  <c r="H12" i="3"/>
  <c r="H13" i="3"/>
  <c r="H2" i="3"/>
  <c r="J5" i="11"/>
  <c r="H2" i="11"/>
  <c r="J2" i="11" s="1"/>
  <c r="H3" i="11"/>
  <c r="J3" i="11" s="1"/>
  <c r="H4" i="11"/>
  <c r="J4" i="11" s="1"/>
  <c r="H5" i="11"/>
  <c r="H6" i="11"/>
  <c r="J6" i="11" s="1"/>
  <c r="D6" i="1"/>
  <c r="I14" i="3"/>
  <c r="E14" i="3"/>
  <c r="D5" i="1"/>
  <c r="I47" i="6"/>
  <c r="E47" i="6"/>
  <c r="J20" i="6"/>
  <c r="J27" i="6"/>
  <c r="J28" i="6"/>
  <c r="J40" i="6"/>
  <c r="J45" i="6"/>
  <c r="J18" i="6"/>
  <c r="J19" i="6"/>
  <c r="J26" i="6"/>
  <c r="J29" i="6"/>
  <c r="J39" i="6"/>
  <c r="J41" i="6"/>
  <c r="J42" i="6"/>
  <c r="J43" i="6"/>
  <c r="J17" i="6"/>
  <c r="D4" i="1"/>
  <c r="I11" i="2"/>
  <c r="J3" i="2"/>
  <c r="J5" i="2"/>
  <c r="J6" i="2"/>
  <c r="J7" i="2"/>
  <c r="J10" i="2"/>
  <c r="J2" i="2"/>
  <c r="H3" i="2"/>
  <c r="H4" i="2"/>
  <c r="J4" i="2" s="1"/>
  <c r="H5" i="2"/>
  <c r="H6" i="2"/>
  <c r="H7" i="2"/>
  <c r="H8" i="2"/>
  <c r="J8" i="2" s="1"/>
  <c r="H9" i="2"/>
  <c r="J9" i="2" s="1"/>
  <c r="H10" i="2"/>
  <c r="H2" i="2"/>
  <c r="E11" i="2"/>
  <c r="D3" i="1"/>
  <c r="B3" i="1"/>
  <c r="J7" i="5"/>
  <c r="J3" i="5"/>
  <c r="J4" i="5"/>
  <c r="J5" i="5"/>
  <c r="J2" i="5"/>
  <c r="I7" i="5"/>
  <c r="H2" i="5"/>
  <c r="H3" i="5"/>
  <c r="H4" i="5"/>
  <c r="H5" i="5"/>
  <c r="H6" i="5"/>
  <c r="E7" i="5"/>
  <c r="J11" i="2" l="1"/>
  <c r="B4" i="1" s="1"/>
  <c r="J14" i="3"/>
  <c r="B6" i="1" s="1"/>
  <c r="B4" i="18"/>
  <c r="B2" i="1" s="1"/>
  <c r="D13" i="1" l="1"/>
  <c r="D28" i="1" s="1"/>
  <c r="J7" i="6"/>
  <c r="J11" i="6"/>
  <c r="J16" i="6"/>
  <c r="J15" i="6"/>
  <c r="J4" i="6"/>
  <c r="J6" i="6"/>
  <c r="J8" i="6"/>
  <c r="J9" i="6"/>
  <c r="J12" i="6"/>
  <c r="J14" i="6"/>
  <c r="J10" i="6"/>
  <c r="J5" i="6"/>
  <c r="J3" i="6"/>
  <c r="H13" i="6"/>
  <c r="J13" i="6" s="1"/>
  <c r="J47" i="6" s="1"/>
  <c r="B5" i="1" s="1"/>
  <c r="B13" i="1" l="1"/>
  <c r="B28" i="1"/>
  <c r="C5" i="1"/>
  <c r="C4" i="1" l="1"/>
  <c r="C10" i="1"/>
  <c r="C3" i="1"/>
  <c r="C12" i="1"/>
  <c r="C11" i="1"/>
  <c r="C2" i="1"/>
  <c r="C8" i="1"/>
  <c r="C13" i="1"/>
  <c r="C7" i="1"/>
  <c r="C9" i="1"/>
  <c r="C6" i="1"/>
</calcChain>
</file>

<file path=xl/sharedStrings.xml><?xml version="1.0" encoding="utf-8"?>
<sst xmlns="http://schemas.openxmlformats.org/spreadsheetml/2006/main" count="821" uniqueCount="391">
  <si>
    <t>ISOLATION</t>
  </si>
  <si>
    <t>CHAUFFAGE</t>
  </si>
  <si>
    <t>SANITAIRE</t>
  </si>
  <si>
    <t>ELECTROMENAGER</t>
  </si>
  <si>
    <t>ELECTRICITE</t>
  </si>
  <si>
    <t>OUVERTURES</t>
  </si>
  <si>
    <t>LITERIE / RIDEAUX</t>
  </si>
  <si>
    <t>Armaflex</t>
  </si>
  <si>
    <t>Biofib' Trio</t>
  </si>
  <si>
    <t>Chanvre/coton vrac</t>
  </si>
  <si>
    <t>Baie coulissante/projetable</t>
  </si>
  <si>
    <t>Lanterneau</t>
  </si>
  <si>
    <t>Aérateur de toit</t>
  </si>
  <si>
    <t>QUINCAILLERIE</t>
  </si>
  <si>
    <t>Ventouse (pour chauffage et/ou chauffe-eau)</t>
  </si>
  <si>
    <t>Charnières</t>
  </si>
  <si>
    <t>Charnières piano</t>
  </si>
  <si>
    <t>Pointes</t>
  </si>
  <si>
    <t>Agraphes</t>
  </si>
  <si>
    <t>Ecrous</t>
  </si>
  <si>
    <t>Petites roulettes</t>
  </si>
  <si>
    <t>Papier à poncer</t>
  </si>
  <si>
    <t>Mousse</t>
  </si>
  <si>
    <t>Câble 2,5mm²</t>
  </si>
  <si>
    <t>Bande LED</t>
  </si>
  <si>
    <t>Cosses</t>
  </si>
  <si>
    <t>Gaine thermo</t>
  </si>
  <si>
    <t>Prise allume-cigare</t>
  </si>
  <si>
    <t>Fiche mâle</t>
  </si>
  <si>
    <t>Dijsoncteur</t>
  </si>
  <si>
    <t>Boitier de dérivation</t>
  </si>
  <si>
    <t>Panneau solaire</t>
  </si>
  <si>
    <t>Coupleur / séparateur</t>
  </si>
  <si>
    <t>Tuyau ø32</t>
  </si>
  <si>
    <t>Coude ø32</t>
  </si>
  <si>
    <t>Coude ø40</t>
  </si>
  <si>
    <t>Réducteur ø32/40</t>
  </si>
  <si>
    <t>Collier ø32</t>
  </si>
  <si>
    <t>Collier ø40</t>
  </si>
  <si>
    <t>Tuyau PER rouge (ø12 ?)</t>
  </si>
  <si>
    <t>Coude ø12</t>
  </si>
  <si>
    <t>Raccord à visser ø12</t>
  </si>
  <si>
    <t>Evier</t>
  </si>
  <si>
    <t>Cartouche silicone</t>
  </si>
  <si>
    <t>Robinet</t>
  </si>
  <si>
    <t>Chauffe-eau</t>
  </si>
  <si>
    <t>Plaques induction</t>
  </si>
  <si>
    <t>Plaques gaz</t>
  </si>
  <si>
    <t>Four</t>
  </si>
  <si>
    <t>Fourreau</t>
  </si>
  <si>
    <t>Cuivre recuit</t>
  </si>
  <si>
    <t>Passe cloison</t>
  </si>
  <si>
    <t>Raccord bicône</t>
  </si>
  <si>
    <t>Raccord droit</t>
  </si>
  <si>
    <t>Joints</t>
  </si>
  <si>
    <t>Détecteur de gaz</t>
  </si>
  <si>
    <t>Vanne gaz</t>
  </si>
  <si>
    <t>Raccord 12/17</t>
  </si>
  <si>
    <t>Chaudière / chauffage</t>
  </si>
  <si>
    <t>Toilettes secs</t>
  </si>
  <si>
    <t xml:space="preserve">Bac à douche </t>
  </si>
  <si>
    <t>Douche solaire</t>
  </si>
  <si>
    <t>Douchette</t>
  </si>
  <si>
    <t>Flexible</t>
  </si>
  <si>
    <t>Tuyau multicouche (partir là-dessus)</t>
  </si>
  <si>
    <t>Chargeur booster DC/DC</t>
  </si>
  <si>
    <t>Fibre de bois</t>
  </si>
  <si>
    <t>ADMINISTRATIF</t>
  </si>
  <si>
    <t>PRODUITS GAZ</t>
  </si>
  <si>
    <t>DOMETIC HBG 2335 2 feux</t>
  </si>
  <si>
    <t>H2R ou Just4camper</t>
  </si>
  <si>
    <t>Glacière</t>
  </si>
  <si>
    <t>Réfrigérateur</t>
  </si>
  <si>
    <t>Bouteille gaz 6kg</t>
  </si>
  <si>
    <t>Réservoir eau propre</t>
  </si>
  <si>
    <t>Réservoir eaux grises</t>
  </si>
  <si>
    <t>Carflo</t>
  </si>
  <si>
    <t>Delbard ?</t>
  </si>
  <si>
    <t>Pompe 12v</t>
  </si>
  <si>
    <t>COMET Pompe immergée Elegant</t>
  </si>
  <si>
    <t>H2R</t>
  </si>
  <si>
    <t>Robinet Rabattable spécial camping-car ABS London COMET</t>
  </si>
  <si>
    <t>Just4camper</t>
  </si>
  <si>
    <t>Coupelle remplissage</t>
  </si>
  <si>
    <t>Observations</t>
  </si>
  <si>
    <t>Prise P17</t>
  </si>
  <si>
    <t>HABA Socle mâle P17 à encastrer blanc réf. 110004</t>
  </si>
  <si>
    <t>Just4camper ou H2R (plus cher)</t>
  </si>
  <si>
    <r>
      <t xml:space="preserve">Convertisseur 12/220V </t>
    </r>
    <r>
      <rPr>
        <b/>
        <sz val="11"/>
        <color theme="1"/>
        <rFont val="Calibri"/>
        <family val="2"/>
        <scheme val="minor"/>
      </rPr>
      <t>pure sinus (qualité courant pour smartphones...)</t>
    </r>
  </si>
  <si>
    <r>
      <t>Convertisseur 12/220V quasi-</t>
    </r>
    <r>
      <rPr>
        <b/>
        <sz val="11"/>
        <color theme="1"/>
        <rFont val="Calibri"/>
        <family val="2"/>
        <scheme val="minor"/>
      </rPr>
      <t>sinus (qualité courant réduite pour boulloire, four...)</t>
    </r>
  </si>
  <si>
    <t>VICTRON Phoenix VE.Direct 12/250 ref Victron : PIN121251200</t>
  </si>
  <si>
    <t>Chargeur batterie 220V</t>
  </si>
  <si>
    <t>Spots LED</t>
  </si>
  <si>
    <t>Spots encastrables LED B.K. Licht ultra-plats orientables</t>
  </si>
  <si>
    <t>Manomano</t>
  </si>
  <si>
    <t>5W 400 lumens blanc chaud 3000K - matière métal gris</t>
  </si>
  <si>
    <t>Prise USB + indicateur batterie</t>
  </si>
  <si>
    <t>2 prises USB + voltmètre - Modèle : encastrable</t>
  </si>
  <si>
    <t xml:space="preserve">Liseuse LED </t>
  </si>
  <si>
    <t xml:space="preserve">Pack 2 lampes liseuse led </t>
  </si>
  <si>
    <t>220V 3W 3000K gris antracite col de cygne métal cannelé</t>
  </si>
  <si>
    <t>Commandé</t>
  </si>
  <si>
    <t>Livré</t>
  </si>
  <si>
    <t>Dometic S4 projetable</t>
  </si>
  <si>
    <t>55L noir ref : R55PRHN</t>
  </si>
  <si>
    <t>A acheter en magasin</t>
  </si>
  <si>
    <t xml:space="preserve">A acheter en magasin </t>
  </si>
  <si>
    <t>Pot colle néoprène</t>
  </si>
  <si>
    <t>Quintessence</t>
  </si>
  <si>
    <t xml:space="preserve">Paquet Isonat flex 55 plus semi-rigide </t>
  </si>
  <si>
    <t>1 plaque = 1220x580x40mm
1 paquet = 15 plaques = 10,614m²</t>
  </si>
  <si>
    <t>Fibre bois vrac</t>
  </si>
  <si>
    <t>Frein vapeur</t>
  </si>
  <si>
    <t>Anti-rouille</t>
  </si>
  <si>
    <t>Sika Pro-11 FC Purform</t>
  </si>
  <si>
    <t>Sika mastic-colle</t>
  </si>
  <si>
    <t>Dégraissant</t>
  </si>
  <si>
    <t>Agraphes 10mm pour RAPID R606</t>
  </si>
  <si>
    <t>Clou 20mm pour RAPID R606</t>
  </si>
  <si>
    <t>Barré rouge</t>
  </si>
  <si>
    <t>Carte grise à mon nom</t>
  </si>
  <si>
    <t>Pour cadre baie Dometic S4</t>
  </si>
  <si>
    <t>42L noir ref : R42HN</t>
  </si>
  <si>
    <t>108x30x20cm</t>
  </si>
  <si>
    <t>70x30x22cm</t>
  </si>
  <si>
    <t>Feuillard</t>
  </si>
  <si>
    <t>KFEUILLG600 rouleau 10m</t>
  </si>
  <si>
    <t>ep. 10/15mm larg. 30mm 200kg facteur charge x3 suspension sous chassis (600kg)</t>
  </si>
  <si>
    <t>Tendeur à vis fixation réservoir</t>
  </si>
  <si>
    <t>M6 charge utile 300kg</t>
  </si>
  <si>
    <t>Coupelle blanche à clé COUREMB</t>
  </si>
  <si>
    <t>Remplissage D40 évent D10mm
D. encastrement D80 et hors tout 120mm</t>
  </si>
  <si>
    <t>Tuyau annelé souple ø40 pour remplissage réservoir</t>
  </si>
  <si>
    <t>TUYANN40 au mètre</t>
  </si>
  <si>
    <t xml:space="preserve">Collier à fil ø40 </t>
  </si>
  <si>
    <t>en acier galvanisé ref : KCOLFILD40 lot de 2</t>
  </si>
  <si>
    <t>Raccord perce-coque coudé pour remplissage réservoir</t>
  </si>
  <si>
    <t>Coudé D40 1"1/4</t>
  </si>
  <si>
    <t>Raccord perce-coque droit pour évent réservoir</t>
  </si>
  <si>
    <t>Droit D10 3/8"</t>
  </si>
  <si>
    <t>Tuyau cristal ø10 pour évent réservoir</t>
  </si>
  <si>
    <t>Vendu au mètre</t>
  </si>
  <si>
    <t>Collier inox à vis ø8-16mm</t>
  </si>
  <si>
    <t>Voir le prix en magasin en magasin</t>
  </si>
  <si>
    <t>Tuyau PER bleu ø10 pour EF</t>
  </si>
  <si>
    <t>ø10/12 couronne 5m</t>
  </si>
  <si>
    <t>Leroy Merlin</t>
  </si>
  <si>
    <t>Raccord PER à compression</t>
  </si>
  <si>
    <t>Tuyau cristal armé bleu ø12 pour EF</t>
  </si>
  <si>
    <t>Raccord perce-coque droit coudé M1/2" cannelé pour pompage EF</t>
  </si>
  <si>
    <t>Droit coudé D12/12 M1/2"</t>
  </si>
  <si>
    <t>Indicateur niveau réservoir</t>
  </si>
  <si>
    <t>Coudé D25 3/4"</t>
  </si>
  <si>
    <t xml:space="preserve">Collier à fil ø25-28 </t>
  </si>
  <si>
    <t>Voir le prix en magasin</t>
  </si>
  <si>
    <t>Tuyau annelé rigide ø25 évacuation évier et vidange réservoir eaux grises</t>
  </si>
  <si>
    <t>Tuyau annelé Spirabel ø25 (au mètre)</t>
  </si>
  <si>
    <t>Collier inox à vis ø20-32mm</t>
  </si>
  <si>
    <t>ø20-32mm (par sachet 10)</t>
  </si>
  <si>
    <t>ø8-16mm (par sachet 10)</t>
  </si>
  <si>
    <t>en inox ref : ME6108013 (lot de 2)</t>
  </si>
  <si>
    <t>Raccord laiton mâle cannelé</t>
  </si>
  <si>
    <t>Droit D25 3/4"</t>
  </si>
  <si>
    <t>Vanne vidange réservoir</t>
  </si>
  <si>
    <t>vanne laiton diamètre 25 FF 3/4"</t>
  </si>
  <si>
    <t>Scierie Michelard Chabeuil</t>
  </si>
  <si>
    <t xml:space="preserve">Parquet </t>
  </si>
  <si>
    <t>besoin de 4,88m²</t>
  </si>
  <si>
    <t>Matériaux naturels</t>
  </si>
  <si>
    <t>Liège expansé</t>
  </si>
  <si>
    <t>?</t>
  </si>
  <si>
    <t>Ruban adhésif Tescon</t>
  </si>
  <si>
    <t>Tescon Vana pour frein vapeur 30mx6cm</t>
  </si>
  <si>
    <t>Scotch peintre</t>
  </si>
  <si>
    <t>Coulisses pour compartiment électrique</t>
  </si>
  <si>
    <t>longueur 420mm</t>
  </si>
  <si>
    <t>VICTRON Cyrix-CT 12-120A</t>
  </si>
  <si>
    <t>Câble 25mm²</t>
  </si>
  <si>
    <t>EZA 26L compression 522349</t>
  </si>
  <si>
    <t>BOIS</t>
  </si>
  <si>
    <t>Câble 10mm²</t>
  </si>
  <si>
    <t>Câble 6mm²</t>
  </si>
  <si>
    <t>Fusibles</t>
  </si>
  <si>
    <r>
      <t>de batterie pour 25mm²</t>
    </r>
    <r>
      <rPr>
        <b/>
        <sz val="11"/>
        <color theme="1"/>
        <rFont val="Calibri"/>
        <family val="2"/>
        <scheme val="minor"/>
      </rPr>
      <t xml:space="preserve"> (avec possiblité de se repiquer dessus)</t>
    </r>
  </si>
  <si>
    <t>Disjoncteur différentiel 30mA</t>
  </si>
  <si>
    <t xml:space="preserve">à encastrer </t>
  </si>
  <si>
    <t>pour glacière</t>
  </si>
  <si>
    <t xml:space="preserve">Dijsoncteur </t>
  </si>
  <si>
    <t>4A</t>
  </si>
  <si>
    <t>Tresse de masse</t>
  </si>
  <si>
    <t>Bornier de neutre</t>
  </si>
  <si>
    <t>Coffret électrique</t>
  </si>
  <si>
    <t xml:space="preserve">Câble 1,5mm² </t>
  </si>
  <si>
    <t>Coffret étanche IP65 4 modules livré avec accessoires - Zenitech</t>
  </si>
  <si>
    <t>Cosses rondes</t>
  </si>
  <si>
    <t>Coffret 60 pcs cuivre étamé 6 à 25mm²</t>
  </si>
  <si>
    <t>Coffret assortiment cosses 480 pcs 1,5 à 6mm² Marque Almi</t>
  </si>
  <si>
    <t>Cosse de batterie laiton type lourd négatif (vendu à l'unité)</t>
  </si>
  <si>
    <t>Schneider Resi9 10A</t>
  </si>
  <si>
    <t>Schneider Resi9 16A</t>
  </si>
  <si>
    <t>Schneider Rési9 30mA 40A type AC</t>
  </si>
  <si>
    <t>Peigne alimentation  disjoncteurs</t>
  </si>
  <si>
    <t>universelle phase et neutre pour 13 modules</t>
  </si>
  <si>
    <t>Fiche mâle 2P+T Legrand</t>
  </si>
  <si>
    <t>Porte fusibles à lames pour 6 - LEDS - ref : 100131</t>
  </si>
  <si>
    <t>autoelectricsupplies</t>
  </si>
  <si>
    <t>85x63mm</t>
  </si>
  <si>
    <t>Fusibles plat standard ATO</t>
  </si>
  <si>
    <t>Une boite 140 pcs 2-40A</t>
  </si>
  <si>
    <t>Interrupteur pour voltmètre</t>
  </si>
  <si>
    <t xml:space="preserve">Commutateur marche/arrêt à bascule - diamètre 20 mm ref: 081204 </t>
  </si>
  <si>
    <t>Porte fusibles AGU</t>
  </si>
  <si>
    <t>Porte fusibles à lames</t>
  </si>
  <si>
    <t>Cdiscount</t>
  </si>
  <si>
    <t>FH-569 - Porte-fusible pour fusible AGU - 10-25mm2</t>
  </si>
  <si>
    <t>fusible AGU 80A x4</t>
  </si>
  <si>
    <t>fusible AGU 40A x4</t>
  </si>
  <si>
    <t>9€85</t>
  </si>
  <si>
    <t>Gaine électrique</t>
  </si>
  <si>
    <t>Retrait en magasin</t>
  </si>
  <si>
    <t>Interrupteur poussoir + PC</t>
  </si>
  <si>
    <t>2P+T 16A + PC 230V Ovalis - va et vient + prise de courant 2P+T (S260269)</t>
  </si>
  <si>
    <t>Prise 220V en saillie</t>
  </si>
  <si>
    <t>Prise 220V à encastrer</t>
  </si>
  <si>
    <t>Prise 2P+T 16A Gris Clair IP54 - Akya</t>
  </si>
  <si>
    <t>Barre de distribution masse</t>
  </si>
  <si>
    <t>Voir dans magasin spécialisé, trouver moins cher si possible !!</t>
  </si>
  <si>
    <t>BR-Vie– Barre de distribution 100 A avec 2 goujons, 5 vis et couvercle, 12 V 24 V 48 V CC ref manomano : ME58371957</t>
  </si>
  <si>
    <t>Rouleau Intello Proclima 1,5x20m soit 30m²</t>
  </si>
  <si>
    <t>Lot panneaux 1000x500x10mm soit 15m²</t>
  </si>
  <si>
    <t>Interrupteur poussoir ou bascule levier pour convertisseur/P17</t>
  </si>
  <si>
    <t>L500xh350
Hors tout 544x380</t>
  </si>
  <si>
    <t>Vis 3,9x50mm</t>
  </si>
  <si>
    <t>3,9x50mm</t>
  </si>
  <si>
    <t>Câles lanterneau</t>
  </si>
  <si>
    <t>IMPORTANT</t>
  </si>
  <si>
    <t>Liteaux 20x40 pour structure isolation</t>
  </si>
  <si>
    <t>Liteaux 40x40 structure banquette/lit</t>
  </si>
  <si>
    <t>20x40 sapin classe II</t>
  </si>
  <si>
    <t>Velcro pour matelas</t>
  </si>
  <si>
    <t xml:space="preserve">Tissu ou housse pour matelas </t>
  </si>
  <si>
    <t>Retirable et lavable</t>
  </si>
  <si>
    <t>Rideau baie S4</t>
  </si>
  <si>
    <t>Rideau passage vers l'AV</t>
  </si>
  <si>
    <t>590x335x352</t>
  </si>
  <si>
    <t>mini 8mm d'épaisseur</t>
  </si>
  <si>
    <t>ø30 max</t>
  </si>
  <si>
    <t>Crédence alu</t>
  </si>
  <si>
    <t>Pour protéger le lambris</t>
  </si>
  <si>
    <t>H2R ou Just4Camper</t>
  </si>
  <si>
    <t>Vérifie mais H2R semble moins cher</t>
  </si>
  <si>
    <t>Vitrificateur</t>
  </si>
  <si>
    <t>Equerres étagères</t>
  </si>
  <si>
    <t xml:space="preserve">Petit téton comme cuisine pro </t>
  </si>
  <si>
    <t>Loquet aimanté</t>
  </si>
  <si>
    <t xml:space="preserve">Equerres </t>
  </si>
  <si>
    <t xml:space="preserve">A trouver </t>
  </si>
  <si>
    <t>Pour fixer structure lit par ex.</t>
  </si>
  <si>
    <t>Table camping pliante</t>
  </si>
  <si>
    <t>Tectake 70x70x70 alu</t>
  </si>
  <si>
    <t>Coupelle pied de table</t>
  </si>
  <si>
    <t>Pied de table</t>
  </si>
  <si>
    <t>Euro-accessoires - en saillie - noir - ø60  ref : 110480</t>
  </si>
  <si>
    <t>Euro-accessoires - noir - 700mm - ø60 ref : 110160</t>
  </si>
  <si>
    <t xml:space="preserve">Indicateur niveau réservoir </t>
  </si>
  <si>
    <t>Le prendre ?</t>
  </si>
  <si>
    <t>à flotteur avec indicateur led ref : KJAUGE</t>
  </si>
  <si>
    <t>via tuyau bille plastique couleur ref : KINDIC</t>
  </si>
  <si>
    <t>Gaine ICTA Diam.25 mm L.50 m ref : 62900215</t>
  </si>
  <si>
    <t>VICTRON Blue Smart IP65 12/7 ref. Victron : BPC120731064R</t>
  </si>
  <si>
    <t>Voir dans magasin spécialisé et acheter les rails si besoin. MAX 24cm largeur et 25cm hauteur</t>
  </si>
  <si>
    <t>Chargeur batterie 220V - socle</t>
  </si>
  <si>
    <t>Socle pour VICTRON blue smart IP65 12/7</t>
  </si>
  <si>
    <t>Conso de 80+116 g/h soit 196 g/h</t>
  </si>
  <si>
    <t>En choisir un de 200g/h</t>
  </si>
  <si>
    <t>L400xl400
Hors tout 520x520</t>
  </si>
  <si>
    <t>Dometic Mini Heki S ep. Toit 43-60mm
ref: 9104100290</t>
  </si>
  <si>
    <t>40x40 sapin classe II</t>
  </si>
  <si>
    <t>Prendre x10 en 2ml</t>
  </si>
  <si>
    <t>ø40</t>
  </si>
  <si>
    <t xml:space="preserve">Bonde + syphon évier </t>
  </si>
  <si>
    <t>A voir</t>
  </si>
  <si>
    <t>PVC colle</t>
  </si>
  <si>
    <t xml:space="preserve"> </t>
  </si>
  <si>
    <t>PVC tube 40</t>
  </si>
  <si>
    <t>PVC coude 90°</t>
  </si>
  <si>
    <t>PVC passe cloison 40</t>
  </si>
  <si>
    <t>PVC passe cloison M1"1/4 F.ø40</t>
  </si>
  <si>
    <t>Gaz joint caisson</t>
  </si>
  <si>
    <t>Visserie</t>
  </si>
  <si>
    <t>Peinture</t>
  </si>
  <si>
    <t>Quincaillerie</t>
  </si>
  <si>
    <t>Cuisine</t>
  </si>
  <si>
    <t xml:space="preserve">Collier serrage </t>
  </si>
  <si>
    <t xml:space="preserve">Gaz collier serrage </t>
  </si>
  <si>
    <t>Gaz</t>
  </si>
  <si>
    <t xml:space="preserve">Gaz couronne cuivre recuit </t>
  </si>
  <si>
    <t>Bague serrage pour raccord</t>
  </si>
  <si>
    <t>Raccord laiton pour bague</t>
  </si>
  <si>
    <t xml:space="preserve">   </t>
  </si>
  <si>
    <t>Mousse/caoutchouc/joint autocollant</t>
  </si>
  <si>
    <t xml:space="preserve">Gaz raccord laiton pour bague </t>
  </si>
  <si>
    <t>Gaz bague serrage pour raccord</t>
  </si>
  <si>
    <t>Gaz passe cloison</t>
  </si>
  <si>
    <t>Détendeur gaz</t>
  </si>
  <si>
    <t xml:space="preserve">30mbars </t>
  </si>
  <si>
    <t xml:space="preserve">Lyre souple </t>
  </si>
  <si>
    <t>Max 45cm long. Et soit : 
-Lyre souple 
-Lyre inox HP
-Lyre anti-arrachement</t>
  </si>
  <si>
    <t>Max 45cm long.</t>
  </si>
  <si>
    <t>couronne 5m ø8x1mm</t>
  </si>
  <si>
    <t>laiton - ø8</t>
  </si>
  <si>
    <t>pour raccord ø8</t>
  </si>
  <si>
    <t>Lot de 4 - laiton - ø8</t>
  </si>
  <si>
    <t>simple isolé ø8</t>
  </si>
  <si>
    <t xml:space="preserve">L'acheter en 1er pour savoir quel détendeur etc.
</t>
  </si>
  <si>
    <t>Si possible 31x31cm</t>
  </si>
  <si>
    <t xml:space="preserve">Soupape </t>
  </si>
  <si>
    <t xml:space="preserve">150mbars </t>
  </si>
  <si>
    <t>Soupape gaz</t>
  </si>
  <si>
    <t>150mb</t>
  </si>
  <si>
    <t>aération 20cm²</t>
  </si>
  <si>
    <t>Grille d'aération</t>
  </si>
  <si>
    <t>Scotch double face</t>
  </si>
  <si>
    <t>Moquette ou idem pour passage roue, montants…</t>
  </si>
  <si>
    <t>Dispano</t>
  </si>
  <si>
    <t>Lambris mur/plafond/AV</t>
  </si>
  <si>
    <t xml:space="preserve">8+5+1,5=14,5 m² </t>
  </si>
  <si>
    <t>7,5m</t>
  </si>
  <si>
    <t>Contre-plinthe/moulure</t>
  </si>
  <si>
    <t>Baguette d'angle pour entrée latérale + encadrement baie + lanterneau + montants AR</t>
  </si>
  <si>
    <t>1+2+4+3=10m</t>
  </si>
  <si>
    <t>Seuil de porte latérale + portes AR + finition lambris plafond AR</t>
  </si>
  <si>
    <t>1+1,4+1,4=3,8m</t>
  </si>
  <si>
    <t>Corniche, cornière pour angles montants AR + plafond/murs + angles AV</t>
  </si>
  <si>
    <t>Pâte à bois</t>
  </si>
  <si>
    <t>Leroy Merlin / Dispano</t>
  </si>
  <si>
    <t>5,5+4,5+2,5=12,5m</t>
  </si>
  <si>
    <t>Contreplaqué bouleau ep.15</t>
  </si>
  <si>
    <t xml:space="preserve">2,5x1,22m ep. 5mm </t>
  </si>
  <si>
    <t>7m</t>
  </si>
  <si>
    <t>Lambourdes</t>
  </si>
  <si>
    <t>40x80 sapin classe II</t>
  </si>
  <si>
    <t>Leroy Merlin / Rexel</t>
  </si>
  <si>
    <t>Oui</t>
  </si>
  <si>
    <t>Non</t>
  </si>
  <si>
    <t>DENOMINATION</t>
  </si>
  <si>
    <t>OUI/NON</t>
  </si>
  <si>
    <t>MODELE</t>
  </si>
  <si>
    <t>QUANTITE</t>
  </si>
  <si>
    <t>FOURNISSEUR</t>
  </si>
  <si>
    <t>POIDS (KG)</t>
  </si>
  <si>
    <t>PRIX TTC</t>
  </si>
  <si>
    <t>FDP</t>
  </si>
  <si>
    <t>PRIX TOTAL</t>
  </si>
  <si>
    <t>OBSERVATIONS</t>
  </si>
  <si>
    <t>COMMANDE</t>
  </si>
  <si>
    <t>LIVRE</t>
  </si>
  <si>
    <t>RAYON</t>
  </si>
  <si>
    <t xml:space="preserve">Grille d'aération </t>
  </si>
  <si>
    <t>Mini 20cm²</t>
  </si>
  <si>
    <t xml:space="preserve">Raccord perce-coque coudé pour vidange eaux grises réservoir  </t>
  </si>
  <si>
    <t>TOTAL TTC</t>
  </si>
  <si>
    <t>% PRIX / AMENAGEMENT</t>
  </si>
  <si>
    <t>Contreplaqué bouleau ep.9</t>
  </si>
  <si>
    <t>Contreplaqué ep.5</t>
  </si>
  <si>
    <t>Pour fonds meubles,tiroirs ; habillage portes lat. et AR
/ noté ordinaire dan descriptif Leroy Merlin --&gt; Made in China</t>
  </si>
  <si>
    <t>3,050x1,525m ep.10mm</t>
  </si>
  <si>
    <t>3,050x1,525m ep.15mm</t>
  </si>
  <si>
    <t>TOTAL HT</t>
  </si>
  <si>
    <t>PRIX /U HT</t>
  </si>
  <si>
    <t>2G1,5mm²  H07VK ou VVF 20 mètres</t>
  </si>
  <si>
    <t>2G10mm²  H07VK ou VVF 5 mètres</t>
  </si>
  <si>
    <t>3G2,5mm² H07VK ou VVF 50 mètres</t>
  </si>
  <si>
    <t>2G25mm² H07VK ou VVF 10 mètres</t>
  </si>
  <si>
    <t>3G6mm² H07VK ou VVF 5 mètres</t>
  </si>
  <si>
    <t>Prendre x24 en 2ml + x1 en 3ml = 51ml</t>
  </si>
  <si>
    <t>27,82€ /m²</t>
  </si>
  <si>
    <t>41,34€ /m²</t>
  </si>
  <si>
    <t>En fonction si vanne principale sur bouteille (donc x1 ou 2)</t>
  </si>
  <si>
    <t>x8 ou 10</t>
  </si>
  <si>
    <t>En prendre x8 ou 10</t>
  </si>
  <si>
    <t>200€ TTC just4camper 100A</t>
  </si>
  <si>
    <t>STEICO Zell - Sac de 15kg</t>
  </si>
  <si>
    <r>
      <rPr>
        <b/>
        <sz val="11"/>
        <color theme="1"/>
        <rFont val="Calibri"/>
        <family val="2"/>
        <scheme val="minor"/>
      </rPr>
      <t>Voir dans magasin spécialisé</t>
    </r>
    <r>
      <rPr>
        <sz val="11"/>
        <color theme="1"/>
        <rFont val="Calibri"/>
        <family val="2"/>
        <scheme val="minor"/>
      </rPr>
      <t xml:space="preserve"> 
Leroy Merlin 50m =60€ 
Besoin de 20m + 10m pour local soit 30m</t>
    </r>
  </si>
  <si>
    <t>Besoin de 5m</t>
  </si>
  <si>
    <t>Besoin de 50m</t>
  </si>
  <si>
    <t>Besoin de 10m</t>
  </si>
  <si>
    <t>Besoin de 10m 
Leroy Merlin 5m = 28,25€</t>
  </si>
  <si>
    <t xml:space="preserve">Batterie auxiliaire AGM </t>
  </si>
  <si>
    <t>Power Manutention</t>
  </si>
  <si>
    <t xml:space="preserve">Batterie décharge lente AGM - Power
Battery PM88-12 12V 88Ah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</si>
</sst>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General&quot; kg&quot;"/>
    <numFmt numFmtId="166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9311"/>
        <bgColor indexed="64"/>
      </patternFill>
    </fill>
    <fill>
      <patternFill patternType="solid">
        <fgColor rgb="FFEBE600"/>
        <bgColor indexed="64"/>
      </patternFill>
    </fill>
    <fill>
      <patternFill patternType="solid">
        <fgColor rgb="FFF32C1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893BC3"/>
        <bgColor indexed="64"/>
      </patternFill>
    </fill>
    <fill>
      <patternFill patternType="solid">
        <fgColor rgb="FFF6548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8C8C8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2F75B5"/>
        <bgColor indexed="64"/>
      </patternFill>
    </fill>
    <fill>
      <patternFill patternType="solid">
        <fgColor rgb="FFF68E04"/>
        <bgColor indexed="64"/>
      </patternFill>
    </fill>
    <fill>
      <patternFill patternType="solid">
        <fgColor rgb="FFAEAE0E"/>
        <bgColor indexed="64"/>
      </patternFill>
    </fill>
    <fill>
      <patternFill patternType="solid">
        <fgColor rgb="FFB5520F"/>
        <bgColor indexed="64"/>
      </patternFill>
    </fill>
    <fill>
      <patternFill patternType="darkDown"/>
    </fill>
    <fill>
      <patternFill patternType="solid">
        <fgColor rgb="FFF60000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theme="5" tint="0.39997558519241921"/>
      </left>
      <right/>
      <top/>
      <bottom/>
      <diagonal/>
    </border>
    <border>
      <left/>
      <right style="thin">
        <color theme="5" tint="0.39997558519241921"/>
      </right>
      <top/>
      <bottom/>
      <diagonal/>
    </border>
    <border>
      <left style="thick">
        <color rgb="FFFF9311"/>
      </left>
      <right style="thick">
        <color rgb="FFFF9311"/>
      </right>
      <top style="thin">
        <color theme="1"/>
      </top>
      <bottom style="thin">
        <color theme="1"/>
      </bottom>
      <diagonal/>
    </border>
    <border>
      <left style="thick">
        <color rgb="FFD9810B"/>
      </left>
      <right style="thick">
        <color rgb="FFD9810B"/>
      </right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medium">
        <color indexed="64"/>
      </bottom>
      <diagonal/>
    </border>
    <border>
      <left/>
      <right/>
      <top style="thin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9" fillId="0" borderId="0" applyFont="0" applyFill="0" applyBorder="0" applyAlignment="0" applyProtection="0"/>
  </cellStyleXfs>
  <cellXfs count="19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/>
    <xf numFmtId="10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164" fontId="0" fillId="0" borderId="0" xfId="0" applyNumberFormat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164" fontId="6" fillId="2" borderId="0" xfId="0" applyNumberFormat="1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 wrapText="1"/>
    </xf>
    <xf numFmtId="164" fontId="6" fillId="4" borderId="0" xfId="0" applyNumberFormat="1" applyFont="1" applyFill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164" fontId="6" fillId="5" borderId="2" xfId="0" applyNumberFormat="1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wrapText="1"/>
    </xf>
    <xf numFmtId="49" fontId="0" fillId="0" borderId="4" xfId="0" applyNumberFormat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0" fontId="6" fillId="6" borderId="0" xfId="0" applyFont="1" applyFill="1" applyAlignment="1">
      <alignment horizontal="center" vertical="center"/>
    </xf>
    <xf numFmtId="0" fontId="6" fillId="6" borderId="6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164" fontId="6" fillId="3" borderId="0" xfId="0" applyNumberFormat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6" fillId="3" borderId="6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4" fillId="0" borderId="1" xfId="0" applyFont="1" applyBorder="1" applyAlignment="1">
      <alignment horizontal="left" vertical="center" wrapText="1"/>
    </xf>
    <xf numFmtId="49" fontId="0" fillId="0" borderId="1" xfId="0" applyNumberFormat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0" fontId="6" fillId="7" borderId="0" xfId="0" applyFont="1" applyFill="1" applyAlignment="1">
      <alignment horizontal="center" vertical="center" wrapText="1"/>
    </xf>
    <xf numFmtId="164" fontId="6" fillId="7" borderId="0" xfId="0" applyNumberFormat="1" applyFont="1" applyFill="1" applyAlignment="1">
      <alignment horizontal="center" vertical="center" wrapText="1"/>
    </xf>
    <xf numFmtId="0" fontId="6" fillId="7" borderId="0" xfId="0" applyFont="1" applyFill="1" applyAlignment="1">
      <alignment horizontal="center" vertical="center"/>
    </xf>
    <xf numFmtId="0" fontId="6" fillId="7" borderId="6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 wrapText="1"/>
    </xf>
    <xf numFmtId="164" fontId="6" fillId="5" borderId="0" xfId="0" applyNumberFormat="1" applyFont="1" applyFill="1" applyAlignment="1">
      <alignment horizontal="center" vertical="center" wrapText="1"/>
    </xf>
    <xf numFmtId="0" fontId="6" fillId="5" borderId="0" xfId="0" applyFont="1" applyFill="1" applyAlignment="1">
      <alignment horizontal="center" vertical="center"/>
    </xf>
    <xf numFmtId="0" fontId="6" fillId="5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1" fillId="8" borderId="0" xfId="0" applyFont="1" applyFill="1" applyAlignment="1">
      <alignment horizontal="center" vertical="center" wrapText="1"/>
    </xf>
    <xf numFmtId="164" fontId="1" fillId="8" borderId="0" xfId="0" applyNumberFormat="1" applyFont="1" applyFill="1" applyAlignment="1">
      <alignment horizontal="center" vertical="center" wrapText="1"/>
    </xf>
    <xf numFmtId="10" fontId="0" fillId="0" borderId="1" xfId="0" applyNumberFormat="1" applyBorder="1" applyAlignment="1">
      <alignment vertical="center"/>
    </xf>
    <xf numFmtId="164" fontId="0" fillId="0" borderId="9" xfId="0" applyNumberFormat="1" applyBorder="1" applyAlignment="1">
      <alignment horizontal="center" vertical="center" wrapText="1"/>
    </xf>
    <xf numFmtId="10" fontId="0" fillId="0" borderId="9" xfId="0" applyNumberFormat="1" applyBorder="1" applyAlignment="1">
      <alignment vertical="center"/>
    </xf>
    <xf numFmtId="0" fontId="1" fillId="8" borderId="0" xfId="0" applyFont="1" applyFill="1" applyAlignment="1">
      <alignment horizontal="center" vertical="center"/>
    </xf>
    <xf numFmtId="164" fontId="1" fillId="8" borderId="0" xfId="0" applyNumberFormat="1" applyFont="1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1" fillId="9" borderId="0" xfId="0" applyNumberFormat="1" applyFont="1" applyFill="1" applyAlignment="1">
      <alignment horizontal="center" vertical="center" wrapText="1"/>
    </xf>
    <xf numFmtId="10" fontId="1" fillId="9" borderId="0" xfId="0" applyNumberFormat="1" applyFont="1" applyFill="1" applyAlignment="1">
      <alignment vertical="center"/>
    </xf>
    <xf numFmtId="0" fontId="1" fillId="9" borderId="0" xfId="0" applyFont="1" applyFill="1" applyAlignment="1">
      <alignment horizontal="center" vertical="center" wrapText="1"/>
    </xf>
    <xf numFmtId="10" fontId="1" fillId="9" borderId="0" xfId="0" applyNumberFormat="1" applyFont="1" applyFill="1" applyAlignment="1">
      <alignment horizontal="center" vertical="center" wrapText="1"/>
    </xf>
    <xf numFmtId="165" fontId="1" fillId="9" borderId="0" xfId="0" applyNumberFormat="1" applyFont="1" applyFill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66" fontId="0" fillId="0" borderId="1" xfId="1" applyNumberFormat="1" applyFont="1" applyBorder="1" applyAlignment="1">
      <alignment horizontal="center" vertical="center" wrapText="1"/>
    </xf>
    <xf numFmtId="166" fontId="0" fillId="0" borderId="0" xfId="1" applyNumberFormat="1" applyFont="1" applyAlignment="1">
      <alignment horizontal="center" vertical="center" wrapText="1"/>
    </xf>
    <xf numFmtId="0" fontId="0" fillId="0" borderId="10" xfId="0" applyBorder="1" applyAlignment="1">
      <alignment horizontal="left" vertical="center" wrapText="1"/>
    </xf>
    <xf numFmtId="0" fontId="0" fillId="0" borderId="10" xfId="0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 vertical="center" wrapText="1"/>
    </xf>
    <xf numFmtId="166" fontId="0" fillId="0" borderId="10" xfId="0" applyNumberFormat="1" applyBorder="1" applyAlignment="1">
      <alignment horizontal="center" vertical="center" wrapText="1"/>
    </xf>
    <xf numFmtId="165" fontId="1" fillId="10" borderId="0" xfId="1" applyNumberFormat="1" applyFont="1" applyFill="1" applyBorder="1" applyAlignment="1">
      <alignment horizontal="center" vertical="center" wrapText="1"/>
    </xf>
    <xf numFmtId="166" fontId="1" fillId="10" borderId="0" xfId="1" applyNumberFormat="1" applyFont="1" applyFill="1" applyBorder="1" applyAlignment="1">
      <alignment horizontal="center" vertical="center" wrapText="1"/>
    </xf>
    <xf numFmtId="166" fontId="0" fillId="10" borderId="0" xfId="0" applyNumberFormat="1" applyFill="1" applyAlignment="1">
      <alignment horizontal="center" vertical="center" wrapText="1"/>
    </xf>
    <xf numFmtId="166" fontId="0" fillId="10" borderId="0" xfId="1" applyNumberFormat="1" applyFont="1" applyFill="1" applyAlignment="1">
      <alignment horizontal="center" vertical="center" wrapText="1"/>
    </xf>
    <xf numFmtId="165" fontId="1" fillId="10" borderId="0" xfId="0" applyNumberFormat="1" applyFont="1" applyFill="1" applyAlignment="1">
      <alignment horizontal="center" vertical="center" wrapText="1"/>
    </xf>
    <xf numFmtId="164" fontId="1" fillId="10" borderId="0" xfId="0" applyNumberFormat="1" applyFont="1" applyFill="1" applyAlignment="1">
      <alignment horizontal="center" vertical="center" wrapText="1"/>
    </xf>
    <xf numFmtId="165" fontId="1" fillId="5" borderId="11" xfId="0" applyNumberFormat="1" applyFont="1" applyFill="1" applyBorder="1" applyAlignment="1">
      <alignment horizontal="center" vertical="center" wrapText="1"/>
    </xf>
    <xf numFmtId="166" fontId="1" fillId="11" borderId="11" xfId="0" applyNumberFormat="1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0" borderId="10" xfId="0" applyBorder="1" applyAlignment="1">
      <alignment horizontal="left" vertical="center"/>
    </xf>
    <xf numFmtId="166" fontId="0" fillId="0" borderId="1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165" fontId="1" fillId="12" borderId="11" xfId="0" applyNumberFormat="1" applyFont="1" applyFill="1" applyBorder="1" applyAlignment="1">
      <alignment horizontal="center" vertical="center"/>
    </xf>
    <xf numFmtId="166" fontId="0" fillId="12" borderId="11" xfId="0" applyNumberFormat="1" applyFill="1" applyBorder="1" applyAlignment="1">
      <alignment horizontal="center" vertical="center"/>
    </xf>
    <xf numFmtId="166" fontId="0" fillId="0" borderId="1" xfId="0" applyNumberFormat="1" applyBorder="1" applyAlignment="1">
      <alignment wrapText="1"/>
    </xf>
    <xf numFmtId="166" fontId="0" fillId="0" borderId="0" xfId="0" applyNumberFormat="1" applyAlignment="1">
      <alignment wrapText="1"/>
    </xf>
    <xf numFmtId="0" fontId="6" fillId="13" borderId="5" xfId="0" applyFont="1" applyFill="1" applyBorder="1" applyAlignment="1">
      <alignment horizontal="center" vertical="center" wrapText="1"/>
    </xf>
    <xf numFmtId="0" fontId="6" fillId="13" borderId="0" xfId="0" applyFont="1" applyFill="1" applyAlignment="1">
      <alignment horizontal="center" vertical="center" wrapText="1"/>
    </xf>
    <xf numFmtId="166" fontId="6" fillId="13" borderId="0" xfId="0" applyNumberFormat="1" applyFont="1" applyFill="1" applyAlignment="1">
      <alignment horizontal="center" vertical="center" wrapText="1"/>
    </xf>
    <xf numFmtId="0" fontId="6" fillId="13" borderId="0" xfId="0" applyFont="1" applyFill="1" applyAlignment="1">
      <alignment horizontal="center" vertical="center"/>
    </xf>
    <xf numFmtId="0" fontId="6" fillId="13" borderId="6" xfId="0" applyFont="1" applyFill="1" applyBorder="1" applyAlignment="1">
      <alignment horizontal="center" vertical="center" wrapText="1"/>
    </xf>
    <xf numFmtId="166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10" xfId="0" applyBorder="1" applyAlignment="1">
      <alignment horizontal="left" wrapText="1"/>
    </xf>
    <xf numFmtId="166" fontId="2" fillId="0" borderId="10" xfId="0" applyNumberFormat="1" applyFont="1" applyBorder="1" applyAlignment="1">
      <alignment horizontal="center" vertical="center" wrapText="1"/>
    </xf>
    <xf numFmtId="0" fontId="0" fillId="0" borderId="10" xfId="0" applyBorder="1" applyAlignment="1">
      <alignment wrapText="1"/>
    </xf>
    <xf numFmtId="165" fontId="0" fillId="0" borderId="10" xfId="0" applyNumberFormat="1" applyBorder="1" applyAlignment="1">
      <alignment horizontal="center" vertical="center" wrapText="1"/>
    </xf>
    <xf numFmtId="165" fontId="1" fillId="13" borderId="11" xfId="0" applyNumberFormat="1" applyFont="1" applyFill="1" applyBorder="1" applyAlignment="1">
      <alignment horizontal="center" vertical="center" wrapText="1"/>
    </xf>
    <xf numFmtId="166" fontId="1" fillId="13" borderId="11" xfId="0" applyNumberFormat="1" applyFont="1" applyFill="1" applyBorder="1" applyAlignment="1">
      <alignment horizontal="center" vertical="center" wrapText="1"/>
    </xf>
    <xf numFmtId="0" fontId="6" fillId="14" borderId="0" xfId="0" applyFont="1" applyFill="1" applyAlignment="1">
      <alignment horizontal="center" vertical="center" wrapText="1"/>
    </xf>
    <xf numFmtId="0" fontId="6" fillId="14" borderId="5" xfId="0" applyFont="1" applyFill="1" applyBorder="1" applyAlignment="1">
      <alignment horizontal="center" vertical="center" wrapText="1"/>
    </xf>
    <xf numFmtId="164" fontId="6" fillId="14" borderId="0" xfId="0" applyNumberFormat="1" applyFont="1" applyFill="1" applyAlignment="1">
      <alignment horizontal="center" vertical="center" wrapText="1"/>
    </xf>
    <xf numFmtId="0" fontId="6" fillId="14" borderId="0" xfId="0" applyFont="1" applyFill="1" applyAlignment="1">
      <alignment horizontal="center" vertical="center"/>
    </xf>
    <xf numFmtId="0" fontId="6" fillId="14" borderId="6" xfId="0" applyFont="1" applyFill="1" applyBorder="1" applyAlignment="1">
      <alignment horizontal="center" vertical="center" wrapText="1"/>
    </xf>
    <xf numFmtId="165" fontId="1" fillId="14" borderId="11" xfId="0" applyNumberFormat="1" applyFont="1" applyFill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166" fontId="6" fillId="14" borderId="0" xfId="0" applyNumberFormat="1" applyFont="1" applyFill="1" applyAlignment="1">
      <alignment horizontal="center" vertical="center" wrapText="1"/>
    </xf>
    <xf numFmtId="166" fontId="0" fillId="0" borderId="0" xfId="0" applyNumberFormat="1"/>
    <xf numFmtId="165" fontId="0" fillId="0" borderId="9" xfId="0" applyNumberFormat="1" applyBorder="1" applyAlignment="1">
      <alignment horizontal="center" vertical="center" wrapText="1"/>
    </xf>
    <xf numFmtId="165" fontId="1" fillId="15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wrapText="1"/>
    </xf>
    <xf numFmtId="0" fontId="6" fillId="16" borderId="5" xfId="0" applyFont="1" applyFill="1" applyBorder="1" applyAlignment="1">
      <alignment horizontal="center" vertical="center" wrapText="1"/>
    </xf>
    <xf numFmtId="0" fontId="6" fillId="16" borderId="0" xfId="0" applyFont="1" applyFill="1" applyAlignment="1">
      <alignment horizontal="center" vertical="center" wrapText="1"/>
    </xf>
    <xf numFmtId="166" fontId="6" fillId="16" borderId="0" xfId="0" applyNumberFormat="1" applyFont="1" applyFill="1" applyAlignment="1">
      <alignment horizontal="center" vertical="center" wrapText="1"/>
    </xf>
    <xf numFmtId="0" fontId="6" fillId="16" borderId="0" xfId="0" applyFont="1" applyFill="1" applyAlignment="1">
      <alignment horizontal="center" vertical="center"/>
    </xf>
    <xf numFmtId="0" fontId="6" fillId="16" borderId="6" xfId="0" applyFont="1" applyFill="1" applyBorder="1" applyAlignment="1">
      <alignment horizontal="center" vertical="center" wrapText="1"/>
    </xf>
    <xf numFmtId="165" fontId="1" fillId="16" borderId="11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16" borderId="12" xfId="0" applyNumberFormat="1" applyFont="1" applyFill="1" applyBorder="1" applyAlignment="1">
      <alignment horizontal="center" vertical="center" wrapText="1"/>
    </xf>
    <xf numFmtId="0" fontId="0" fillId="0" borderId="10" xfId="0" applyBorder="1"/>
    <xf numFmtId="165" fontId="0" fillId="11" borderId="11" xfId="0" applyNumberFormat="1" applyFill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166" fontId="6" fillId="7" borderId="0" xfId="0" applyNumberFormat="1" applyFont="1" applyFill="1" applyAlignment="1">
      <alignment horizontal="center" vertical="center" wrapText="1"/>
    </xf>
    <xf numFmtId="165" fontId="6" fillId="7" borderId="0" xfId="0" applyNumberFormat="1" applyFont="1" applyFill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6" fontId="1" fillId="7" borderId="11" xfId="0" applyNumberFormat="1" applyFont="1" applyFill="1" applyBorder="1" applyAlignment="1">
      <alignment horizontal="center" vertical="center" wrapText="1"/>
    </xf>
    <xf numFmtId="165" fontId="1" fillId="7" borderId="11" xfId="0" applyNumberFormat="1" applyFont="1" applyFill="1" applyBorder="1" applyAlignment="1">
      <alignment horizontal="center" vertical="center" wrapText="1"/>
    </xf>
    <xf numFmtId="165" fontId="6" fillId="5" borderId="0" xfId="0" applyNumberFormat="1" applyFont="1" applyFill="1" applyAlignment="1">
      <alignment horizontal="center" vertical="center" wrapText="1"/>
    </xf>
    <xf numFmtId="166" fontId="6" fillId="5" borderId="0" xfId="0" applyNumberFormat="1" applyFont="1" applyFill="1" applyAlignment="1">
      <alignment horizontal="center" vertical="center" wrapText="1"/>
    </xf>
    <xf numFmtId="166" fontId="0" fillId="11" borderId="11" xfId="0" applyNumberFormat="1" applyFill="1" applyBorder="1" applyAlignment="1">
      <alignment horizontal="center" vertical="center" wrapText="1"/>
    </xf>
    <xf numFmtId="166" fontId="1" fillId="16" borderId="13" xfId="0" applyNumberFormat="1" applyFont="1" applyFill="1" applyBorder="1" applyAlignment="1">
      <alignment horizontal="center" vertical="center" wrapText="1"/>
    </xf>
    <xf numFmtId="165" fontId="6" fillId="16" borderId="0" xfId="0" applyNumberFormat="1" applyFont="1" applyFill="1" applyAlignment="1">
      <alignment horizontal="center" vertical="center" wrapText="1"/>
    </xf>
    <xf numFmtId="166" fontId="0" fillId="14" borderId="13" xfId="0" applyNumberFormat="1" applyFill="1" applyBorder="1" applyAlignment="1">
      <alignment horizontal="center" vertical="center"/>
    </xf>
    <xf numFmtId="166" fontId="0" fillId="14" borderId="11" xfId="0" applyNumberFormat="1" applyFill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166" fontId="6" fillId="2" borderId="0" xfId="0" applyNumberFormat="1" applyFont="1" applyFill="1" applyAlignment="1">
      <alignment horizontal="center" vertical="center" wrapText="1"/>
    </xf>
    <xf numFmtId="166" fontId="0" fillId="12" borderId="13" xfId="0" applyNumberFormat="1" applyFill="1" applyBorder="1" applyAlignment="1">
      <alignment horizontal="center" vertical="center"/>
    </xf>
    <xf numFmtId="166" fontId="6" fillId="5" borderId="2" xfId="0" applyNumberFormat="1" applyFont="1" applyFill="1" applyBorder="1" applyAlignment="1">
      <alignment horizontal="center" vertical="center" wrapText="1"/>
    </xf>
    <xf numFmtId="166" fontId="1" fillId="10" borderId="0" xfId="0" applyNumberFormat="1" applyFont="1" applyFill="1" applyAlignment="1">
      <alignment horizontal="center" vertical="center" wrapText="1"/>
    </xf>
    <xf numFmtId="164" fontId="0" fillId="0" borderId="10" xfId="0" applyNumberFormat="1" applyBorder="1" applyAlignment="1">
      <alignment horizontal="left" vertical="center" wrapText="1"/>
    </xf>
    <xf numFmtId="165" fontId="6" fillId="3" borderId="0" xfId="0" applyNumberFormat="1" applyFont="1" applyFill="1" applyAlignment="1">
      <alignment horizontal="center" vertical="center" wrapText="1"/>
    </xf>
    <xf numFmtId="165" fontId="1" fillId="3" borderId="11" xfId="0" applyNumberFormat="1" applyFont="1" applyFill="1" applyBorder="1" applyAlignment="1">
      <alignment horizontal="center" vertical="center" wrapText="1"/>
    </xf>
    <xf numFmtId="164" fontId="0" fillId="3" borderId="11" xfId="0" applyNumberFormat="1" applyFill="1" applyBorder="1" applyAlignment="1">
      <alignment horizontal="center" vertical="center" wrapText="1"/>
    </xf>
    <xf numFmtId="166" fontId="6" fillId="6" borderId="0" xfId="0" applyNumberFormat="1" applyFont="1" applyFill="1" applyAlignment="1">
      <alignment horizontal="center" vertical="center" wrapText="1"/>
    </xf>
    <xf numFmtId="166" fontId="0" fillId="0" borderId="0" xfId="0" applyNumberFormat="1" applyAlignment="1">
      <alignment horizontal="center"/>
    </xf>
    <xf numFmtId="165" fontId="6" fillId="6" borderId="0" xfId="0" applyNumberFormat="1" applyFont="1" applyFill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1" fillId="0" borderId="0" xfId="0" applyFont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1" fillId="6" borderId="11" xfId="0" applyNumberFormat="1" applyFont="1" applyFill="1" applyBorder="1" applyAlignment="1">
      <alignment horizontal="center" vertical="center"/>
    </xf>
    <xf numFmtId="166" fontId="1" fillId="6" borderId="11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 wrapText="1"/>
    </xf>
    <xf numFmtId="0" fontId="0" fillId="0" borderId="14" xfId="0" applyBorder="1" applyAlignment="1">
      <alignment horizontal="left" vertical="center" wrapText="1"/>
    </xf>
    <xf numFmtId="0" fontId="0" fillId="0" borderId="14" xfId="0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 wrapText="1"/>
    </xf>
    <xf numFmtId="166" fontId="6" fillId="4" borderId="0" xfId="0" applyNumberFormat="1" applyFont="1" applyFill="1" applyAlignment="1">
      <alignment horizontal="center" vertical="center" wrapText="1"/>
    </xf>
    <xf numFmtId="166" fontId="0" fillId="0" borderId="4" xfId="0" applyNumberFormat="1" applyBorder="1" applyAlignment="1">
      <alignment horizontal="center" vertical="center" wrapText="1"/>
    </xf>
    <xf numFmtId="166" fontId="1" fillId="4" borderId="3" xfId="0" applyNumberFormat="1" applyFont="1" applyFill="1" applyBorder="1" applyAlignment="1">
      <alignment horizontal="center" vertical="center" wrapText="1"/>
    </xf>
    <xf numFmtId="166" fontId="0" fillId="0" borderId="14" xfId="0" applyNumberFormat="1" applyBorder="1" applyAlignment="1">
      <alignment horizontal="center" vertical="center" wrapText="1"/>
    </xf>
    <xf numFmtId="165" fontId="1" fillId="4" borderId="11" xfId="0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320"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6" formatCode="_-* #,##0.00\ [$€-40C]_-;\-* #,##0.00\ [$€-40C]_-;_-* &quot;-&quot;??\ [$€-40C]_-;_-@_-"/>
      <fill>
        <patternFill patternType="solid">
          <fgColor indexed="64"/>
          <bgColor rgb="FFF68E04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6" formatCode="_-* #,##0.00\ [$€-40C]_-;\-* #,##0.00\ [$€-40C]_-;_-* &quot;-&quot;??\ [$€-40C]_-;_-@_-"/>
      <fill>
        <patternFill patternType="solid">
          <fgColor indexed="64"/>
          <bgColor rgb="FFF68E04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General&quot; kg&quot;"/>
      <fill>
        <patternFill patternType="solid">
          <fgColor indexed="64"/>
          <bgColor rgb="FFF68E04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.00\ [$€-40C]_-;\-* #,##0.00\ [$€-40C]_-;_-* &quot;-&quot;??\ [$€-40C]_-;_-@_-"/>
      <fill>
        <patternFill patternType="solid">
          <fgColor indexed="64"/>
          <bgColor rgb="FFF32C1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.00\ [$€-40C]_-;\-* #,##0.00\ [$€-40C]_-;_-* &quot;-&quot;??\ [$€-40C]_-;_-@_-"/>
      <fill>
        <patternFill patternType="solid">
          <fgColor indexed="64"/>
          <bgColor rgb="FFF32C1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General&quot; kg&quot;"/>
      <fill>
        <patternFill patternType="solid">
          <fgColor indexed="64"/>
          <bgColor rgb="FFF32C1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left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family val="2"/>
        <scheme val="minor"/>
      </font>
      <fill>
        <patternFill patternType="solid">
          <fgColor indexed="64"/>
          <bgColor rgb="FFF32C11"/>
        </patternFill>
      </fill>
      <alignment horizontal="center" vertical="center" textRotation="0" wrapText="1" indent="0" justifyLastLine="0" shrinkToFit="0" readingOrder="0"/>
    </dxf>
    <dxf>
      <fill>
        <patternFill>
          <bgColor rgb="FFF68E04"/>
        </patternFill>
      </fill>
    </dxf>
    <dxf>
      <fill>
        <patternFill>
          <bgColor rgb="FF92D050"/>
        </patternFill>
      </fill>
    </dxf>
    <dxf>
      <fill>
        <patternFill>
          <bgColor rgb="FFF7715F"/>
        </patternFill>
      </fill>
    </dxf>
    <dxf>
      <border diagonalUp="0" diagonalDown="0" outline="0">
        <left/>
        <right/>
        <top style="thin">
          <color theme="1"/>
        </top>
        <bottom/>
      </border>
    </dxf>
    <dxf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.00\ [$€-40C]_-;\-* #,##0.00\ [$€-40C]_-;_-* &quot;-&quot;??\ [$€-40C]_-;_-@_-"/>
      <fill>
        <patternFill patternType="solid">
          <fgColor indexed="64"/>
          <bgColor rgb="FF893BC3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.00\ [$€-40C]_-;\-* #,##0.00\ [$€-40C]_-;_-* &quot;-&quot;??\ [$€-40C]_-;_-@_-"/>
      <fill>
        <patternFill patternType="solid">
          <fgColor indexed="64"/>
          <bgColor rgb="FF893BC3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General&quot; kg&quot;"/>
      <fill>
        <patternFill patternType="solid">
          <fgColor indexed="64"/>
          <bgColor rgb="FF893BC3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numFmt numFmtId="165" formatCode="General&quot; kg&quot;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border diagonalUp="0" diagonalDown="0" outline="0">
        <left/>
        <right/>
        <top style="thin">
          <color theme="1"/>
        </top>
        <bottom/>
      </border>
    </dxf>
    <dxf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893BC3"/>
        </patternFill>
      </fill>
      <alignment horizontal="center" vertical="center" textRotation="0" wrapText="1" indent="0" justifyLastLine="0" shrinkToFit="0" readingOrder="0"/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DBADC2"/>
        </patternFill>
      </fill>
    </dxf>
    <dxf>
      <alignment horizontal="general" vertical="bottom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general" vertical="bottom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general" vertical="bottom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general" vertical="bottom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fill>
        <patternFill patternType="solid">
          <fgColor indexed="64"/>
          <bgColor rgb="FFEBE6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fill>
        <patternFill patternType="solid">
          <fgColor indexed="64"/>
          <bgColor rgb="FFEBE6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General&quot; kg&quot;"/>
      <fill>
        <patternFill patternType="solid">
          <fgColor indexed="64"/>
          <bgColor rgb="FFEBE60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General&quot; kg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left" vertical="bottom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left" vertical="bottom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EBE600"/>
        </patternFill>
      </fill>
      <alignment horizontal="center" vertical="center" textRotation="0" wrapText="1" indent="0" justifyLastLine="0" shrinkToFit="0" readingOrder="0"/>
    </dxf>
    <dxf>
      <fill>
        <patternFill>
          <bgColor rgb="FF92D050"/>
        </patternFill>
      </fill>
    </dxf>
    <dxf>
      <fill>
        <patternFill>
          <bgColor rgb="FFFF4343"/>
        </patternFill>
      </fill>
    </dxf>
    <dxf>
      <fill>
        <patternFill>
          <bgColor rgb="FFFFFB61"/>
        </patternFill>
      </fill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.00\ [$€-40C]_-;\-* #,##0.00\ [$€-40C]_-;_-* &quot;-&quot;??\ [$€-40C]_-;_-@_-"/>
      <fill>
        <patternFill patternType="solid">
          <fgColor indexed="64"/>
          <bgColor rgb="FFF6548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.00\ [$€-40C]_-;\-* #,##0.00\ [$€-40C]_-;_-* &quot;-&quot;??\ [$€-40C]_-;_-@_-"/>
      <fill>
        <patternFill patternType="solid">
          <fgColor indexed="64"/>
          <bgColor rgb="FFF6548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General&quot; kg&quot;"/>
      <fill>
        <patternFill patternType="solid">
          <fgColor indexed="64"/>
          <bgColor rgb="FFF6548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General&quot; kg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left" vertical="bottom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left" vertical="bottom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65482"/>
        </patternFill>
      </fill>
      <alignment horizontal="center" vertical="center" textRotation="0" wrapText="1" indent="0" justifyLastLine="0" shrinkToFit="0" readingOrder="0"/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BAFC5"/>
        </patternFill>
      </fill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top style="thin">
          <color theme="1"/>
        </top>
        <bottom style="thin">
          <color theme="1"/>
        </bottom>
        <horizontal style="thin">
          <color theme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top style="thin">
          <color theme="1"/>
        </top>
        <bottom style="thin">
          <color theme="1"/>
        </bottom>
        <horizontal style="thin">
          <color theme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top style="thin">
          <color theme="1"/>
        </top>
        <bottom style="thin">
          <color theme="1"/>
        </bottom>
        <horizontal style="thin">
          <color theme="1"/>
        </horizontal>
      </border>
    </dxf>
    <dxf>
      <numFmt numFmtId="166" formatCode="_-* #,##0.00\ [$€-40C]_-;\-* #,##0.00\ [$€-40C]_-;_-* &quot;-&quot;??\ [$€-40C]_-;_-@_-"/>
      <fill>
        <patternFill patternType="solid">
          <fgColor indexed="64"/>
          <bgColor rgb="FF2F75B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top style="thin">
          <color theme="1"/>
        </top>
        <bottom style="thin">
          <color theme="1"/>
        </bottom>
      </border>
    </dxf>
    <dxf>
      <numFmt numFmtId="166" formatCode="_-* #,##0.00\ [$€-40C]_-;\-* #,##0.00\ [$€-40C]_-;_-* &quot;-&quot;??\ [$€-40C]_-;_-@_-"/>
      <fill>
        <patternFill patternType="solid">
          <fgColor indexed="64"/>
          <bgColor rgb="FF2F75B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top style="thin">
          <color theme="1"/>
        </top>
        <bottom style="thin">
          <color theme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top style="thin">
          <color theme="1"/>
        </top>
        <bottom style="thin">
          <color theme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165" formatCode="General&quot; kg&quot;"/>
      <fill>
        <patternFill patternType="solid">
          <fgColor indexed="64"/>
          <bgColor rgb="FF2F75B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General&quot; kg&quot;"/>
      <alignment horizontal="center" vertical="center" textRotation="0" wrapText="1" indent="0" justifyLastLine="0" shrinkToFit="0" readingOrder="0"/>
      <border diagonalUp="0" diagonalDown="0">
        <top style="thin">
          <color theme="1"/>
        </top>
        <bottom style="thin">
          <color theme="1"/>
        </bottom>
        <horizontal style="thin">
          <color theme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top style="thin">
          <color theme="1"/>
        </top>
        <bottom style="thin">
          <color theme="1"/>
        </bottom>
        <horizontal style="thin">
          <color theme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>
        <top style="thin">
          <color theme="1"/>
        </top>
        <bottom style="thin">
          <color theme="1"/>
        </bottom>
        <horizontal style="thin">
          <color theme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top style="thin">
          <color theme="1"/>
        </top>
        <bottom style="thin">
          <color theme="1"/>
        </bottom>
        <horizontal style="thin">
          <color theme="1"/>
        </horizontal>
      </border>
    </dxf>
    <dxf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left" vertical="center" textRotation="0" wrapText="1" indent="0" justifyLastLine="0" shrinkToFit="0" readingOrder="0"/>
      <border diagonalUp="0" diagonalDown="0">
        <top style="thin">
          <color theme="1"/>
        </top>
        <bottom style="thin">
          <color theme="1"/>
        </bottom>
        <horizontal style="thin">
          <color theme="1"/>
        </horizontal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67A2D7"/>
        </patternFill>
      </fill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font>
        <b/>
      </font>
      <numFmt numFmtId="166" formatCode="_-* #,##0.00\ [$€-40C]_-;\-* #,##0.00\ [$€-40C]_-;_-* &quot;-&quot;??\ [$€-40C]_-;_-@_-"/>
      <fill>
        <patternFill patternType="solid">
          <fgColor indexed="64"/>
          <bgColor rgb="FFF6000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/>
      </font>
      <numFmt numFmtId="164" formatCode="#,##0.00\ &quot;€&quot;"/>
      <fill>
        <patternFill patternType="solid">
          <fgColor indexed="64"/>
          <bgColor rgb="FFF6000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General&quot; kg&quot;"/>
      <fill>
        <patternFill patternType="solid">
          <fgColor indexed="64"/>
          <bgColor rgb="FFF600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General&quot; kg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general" vertical="bottom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general" vertical="bottom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left" vertical="bottom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left" vertical="bottom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general" vertical="bottom" textRotation="0" wrapText="1" indent="0" justifyLastLine="0" shrinkToFit="0" readingOrder="0"/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60000"/>
        </patternFill>
      </fill>
      <alignment horizontal="center" vertical="center" textRotation="0" wrapText="1" indent="0" justifyLastLine="0" shrinkToFit="0" readingOrder="0"/>
    </dxf>
    <dxf>
      <fill>
        <patternFill>
          <bgColor rgb="FFF68E04"/>
        </patternFill>
      </fill>
    </dxf>
    <dxf>
      <fill>
        <patternFill>
          <bgColor rgb="FF92D050"/>
        </patternFill>
      </fill>
    </dxf>
    <dxf>
      <fill>
        <patternFill>
          <bgColor rgb="FFF7715F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theme="5" tint="0.39997558519241921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B5520F"/>
        </patternFill>
      </fill>
      <alignment horizontal="center" vertical="center" textRotation="0" wrapText="1" indent="0" justifyLastLine="0" shrinkToFit="0" readingOrder="0"/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EF863F"/>
        </patternFill>
      </fill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.00\ [$€-40C]_-;\-* #,##0.00\ [$€-40C]_-;_-* &quot;-&quot;??\ [$€-40C]_-;_-@_-"/>
      <fill>
        <patternFill patternType="solid">
          <fgColor indexed="64"/>
          <bgColor rgb="FFAEAE0E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.00\ [$€-40C]_-;\-* #,##0.00\ [$€-40C]_-;_-* &quot;-&quot;??\ [$€-40C]_-;_-@_-"/>
      <fill>
        <patternFill patternType="solid">
          <fgColor indexed="64"/>
          <bgColor rgb="FFAEAE0E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General&quot; kg&quot;"/>
      <fill>
        <patternFill patternType="solid">
          <fgColor indexed="64"/>
          <bgColor rgb="FFAEAE0E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left" vertical="bottom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left" vertical="bottom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border outline="0">
        <top style="thin">
          <color theme="5" tint="0.39997558519241921"/>
        </top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AEAE0E"/>
        </patternFill>
      </fill>
      <alignment horizontal="center" vertical="center" textRotation="0" wrapText="1" indent="0" justifyLastLine="0" shrinkToFit="0" readingOrder="0"/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FFB5D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FC681"/>
        </patternFill>
      </fill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font>
        <b/>
      </font>
      <numFmt numFmtId="166" formatCode="_-* #,##0.00\ [$€-40C]_-;\-* #,##0.00\ [$€-40C]_-;_-* &quot;-&quot;??\ [$€-40C]_-;_-@_-"/>
      <fill>
        <patternFill patternType="solid">
          <fgColor indexed="64"/>
          <bgColor rgb="FF2F75B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.00\ [$€-40C]_-;\-* #,##0.00\ [$€-40C]_-;_-* &quot;-&quot;??\ [$€-40C]_-;_-@_-"/>
      <fill>
        <patternFill patternType="solid">
          <fgColor indexed="64"/>
          <bgColor rgb="FF2F75B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General&quot; kg&quot;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border outline="0">
        <top style="thin">
          <color theme="1"/>
        </top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theme="4" tint="0.39994506668294322"/>
        </patternFill>
      </fill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9" tint="-0.249977111117893"/>
        </patternFill>
      </fill>
    </dxf>
    <dxf>
      <numFmt numFmtId="165" formatCode="General&quot; kg&quot;"/>
      <alignment horizontal="center" vertical="center" textRotation="0" wrapText="1" indent="0" justifyLastLine="0" shrinkToFit="0" readingOrder="0"/>
    </dxf>
    <dxf>
      <numFmt numFmtId="14" formatCode="0.00%"/>
      <alignment horizontal="general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8C8C8C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thin">
          <color theme="1"/>
        </top>
      </border>
    </dxf>
    <dxf>
      <font>
        <b/>
        <color theme="1"/>
      </font>
      <border>
        <bottom style="thin">
          <color theme="1"/>
        </bottom>
      </border>
    </dxf>
    <dxf>
      <font>
        <color theme="1"/>
      </font>
      <border>
        <top style="thin">
          <color theme="1"/>
        </top>
        <bottom style="thin">
          <color theme="1"/>
        </bottom>
      </border>
    </dxf>
  </dxfs>
  <tableStyles count="1" defaultPivotStyle="PivotStyleLight16">
    <tableStyle name="TableStyleLight1 2" pivot="0" count="7" xr9:uid="{7676F748-253F-4BDB-A794-150485356F53}">
      <tableStyleElement type="wholeTable" dxfId="319"/>
      <tableStyleElement type="headerRow" dxfId="318"/>
      <tableStyleElement type="totalRow" dxfId="317"/>
      <tableStyleElement type="firstColumn" dxfId="316"/>
      <tableStyleElement type="lastColumn" dxfId="315"/>
      <tableStyleElement type="firstRowStripe" dxfId="314"/>
      <tableStyleElement type="firstColumnStripe" dxfId="313"/>
    </tableStyle>
  </tableStyles>
  <colors>
    <mruColors>
      <color rgb="FFEBE600"/>
      <color rgb="FF2F75B5"/>
      <color rgb="FFF7715F"/>
      <color rgb="FFF60000"/>
      <color rgb="FFB5520F"/>
      <color rgb="FFAEAE0E"/>
      <color rgb="FFF68E04"/>
      <color rgb="FFFFC681"/>
      <color rgb="FFFF4343"/>
      <color rgb="FFFF33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982AA4D-AE4C-4FA4-A3E8-B3E1D53EA587}" name="Tableau13" displayName="Tableau13" ref="A1:D12" totalsRowShown="0" headerRowDxfId="312">
  <autoFilter ref="A1:D12" xr:uid="{3982AA4D-AE4C-4FA4-A3E8-B3E1D53EA587}"/>
  <tableColumns count="4">
    <tableColumn id="1" xr3:uid="{77860715-5A54-4B4C-95EB-64446EEBFDBF}" name="DENOMINATION" dataDxfId="311"/>
    <tableColumn id="2" xr3:uid="{E724B639-4BE3-47EB-8029-9A220FA0B1C4}" name="PRIX TTC" dataDxfId="310"/>
    <tableColumn id="3" xr3:uid="{3D234123-AD2A-48E1-A778-02627A3CCEF0}" name="% PRIX / AMENAGEMENT" dataDxfId="309">
      <calculatedColumnFormula>B2/$B$13</calculatedColumnFormula>
    </tableColumn>
    <tableColumn id="4" xr3:uid="{0443A310-2BC3-4542-A395-8617576FC170}" name="POIDS (KG)" dataDxfId="30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D27E3A53-4E36-4027-A77A-0661384FD078}" name="Administratif" displayName="Administratif" ref="A1:B4" totalsRowShown="0" headerRowDxfId="307">
  <autoFilter ref="A1:B4" xr:uid="{D27E3A53-4E36-4027-A77A-0661384FD078}"/>
  <tableColumns count="2">
    <tableColumn id="1" xr3:uid="{7DCD8DE6-6CC7-4BB3-B115-3721B9744FBC}" name="DENOMINATION" dataDxfId="306"/>
    <tableColumn id="2" xr3:uid="{74383FC8-6F99-4266-ADAD-21E83531E8FB}" name="PRIX TTC" dataDxfId="305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B97E909-AC5C-4CCE-9758-3BDB21C734D6}" name="Ouvertures" displayName="Ouvertures" ref="A1:M7" totalsRowCount="1" headerRowDxfId="301" dataDxfId="299" headerRowBorderDxfId="300" tableBorderDxfId="298">
  <autoFilter ref="A1:M6" xr:uid="{1B97E909-AC5C-4CCE-9758-3BDB21C734D6}"/>
  <sortState xmlns:xlrd2="http://schemas.microsoft.com/office/spreadsheetml/2017/richdata2" ref="A2:M6">
    <sortCondition ref="A1:A6"/>
  </sortState>
  <tableColumns count="13">
    <tableColumn id="1" xr3:uid="{D667EC70-A551-49F8-B848-6F7814CB8B09}" name="DENOMINATION" dataDxfId="297" totalsRowDxfId="296"/>
    <tableColumn id="2" xr3:uid="{18FAAFE2-2DC7-4F26-92F8-B37A8A014230}" name="OUI/NON" dataDxfId="295" totalsRowDxfId="294"/>
    <tableColumn id="3" xr3:uid="{2C3B8254-26CF-46F3-A76D-C3DC53DE53C7}" name="MODELE" dataDxfId="293" totalsRowDxfId="292"/>
    <tableColumn id="5" xr3:uid="{0F15FD4A-F4B0-4CFE-BA42-6CA1D8D25DE7}" name="FOURNISSEUR" dataDxfId="291" totalsRowDxfId="290"/>
    <tableColumn id="6" xr3:uid="{C4B80DDF-190A-48B2-B527-FC23051E5EBA}" name="POIDS (KG)" totalsRowFunction="custom" dataDxfId="289" totalsRowDxfId="288">
      <totalsRowFormula>SUM(E1:E5)</totalsRowFormula>
    </tableColumn>
    <tableColumn id="13" xr3:uid="{3B442832-74F0-43B7-B096-55600F2F3D47}" name="PRIX /U HT" dataDxfId="287" totalsRowDxfId="286"/>
    <tableColumn id="4" xr3:uid="{27E14377-9ED3-448C-9ADB-DB19446D103A}" name="QUANTITE" dataDxfId="285" totalsRowDxfId="284"/>
    <tableColumn id="14" xr3:uid="{39E56AAA-07C2-4679-B58B-FBDB25FA3E03}" name="TOTAL HT" dataDxfId="283" totalsRowDxfId="282" dataCellStyle="Monétaire">
      <calculatedColumnFormula>Ouvertures[[#This Row],[PRIX /U HT]]*Ouvertures[[#This Row],[QUANTITE]]</calculatedColumnFormula>
    </tableColumn>
    <tableColumn id="8" xr3:uid="{123370EA-C3AD-49B9-8267-D01B39E47EE5}" name="FDP" totalsRowFunction="custom" dataDxfId="281" totalsRowDxfId="280" dataCellStyle="Monétaire">
      <totalsRowFormula>SUM(Ouvertures[FDP])</totalsRowFormula>
    </tableColumn>
    <tableColumn id="7" xr3:uid="{3FEA3531-276D-4D3E-9F63-CEACF7D503BA}" name="TOTAL TTC" totalsRowFunction="sum" dataDxfId="279" totalsRowDxfId="278">
      <calculatedColumnFormula>(Ouvertures[[#This Row],[TOTAL HT]]*1.2)+Ouvertures[[#This Row],[FDP]]</calculatedColumnFormula>
    </tableColumn>
    <tableColumn id="10" xr3:uid="{AB912F64-4C6A-4756-A14E-9FD76B329EA9}" name="OBSERVATIONS" dataDxfId="277" totalsRowDxfId="276"/>
    <tableColumn id="11" xr3:uid="{BE68B967-004F-4144-9F9C-5386AD1AEB0E}" name="COMMANDE" dataDxfId="275" totalsRowDxfId="274"/>
    <tableColumn id="12" xr3:uid="{95914073-C271-4E22-872E-E8851537756F}" name="LIVRE" dataDxfId="273" totalsRowDxfId="272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6A48BFD-D478-4EC1-A998-CA90ED5839A0}" name="Isolation" displayName="Isolation" ref="A1:M11" totalsRowCount="1" headerRowDxfId="268" dataDxfId="267">
  <autoFilter ref="A1:M10" xr:uid="{D35C3E34-A3A4-4E8F-A0BD-03927FE56077}"/>
  <tableColumns count="13">
    <tableColumn id="1" xr3:uid="{DBD3B48D-2AFC-4E55-92DC-44EA85237E1F}" name="DENOMINATION" dataDxfId="266" totalsRowDxfId="12"/>
    <tableColumn id="2" xr3:uid="{9D11A527-2A82-4325-8B67-9D33C0AF6CBF}" name="OUI/NON" dataDxfId="265" totalsRowDxfId="11"/>
    <tableColumn id="3" xr3:uid="{BF0A8C39-2A8E-409E-90B2-3A1B814FFA51}" name="MODELE" dataDxfId="264" totalsRowDxfId="10"/>
    <tableColumn id="5" xr3:uid="{9588F143-6105-4C6C-81B0-1F6AB34CF1CE}" name="FOURNISSEUR" dataDxfId="263" totalsRowDxfId="9"/>
    <tableColumn id="6" xr3:uid="{827669C5-CC9C-42C7-8438-7C838E6893E4}" name="POIDS (KG)" totalsRowFunction="custom" totalsRowDxfId="8">
      <totalsRowFormula>SUM(Isolation[POIDS (KG)])</totalsRowFormula>
    </tableColumn>
    <tableColumn id="13" xr3:uid="{FB787A14-044B-42C6-86EC-B6D9421B1A1F}" name="PRIX /U HT" dataDxfId="262" totalsRowDxfId="7">
      <calculatedColumnFormula>Isolation[[#This Row],[TOTAL HT]]/1.2</calculatedColumnFormula>
    </tableColumn>
    <tableColumn id="4" xr3:uid="{9CD56841-99E3-4612-882D-7FA99F687FA2}" name="QUANTITE" dataDxfId="261" totalsRowDxfId="6"/>
    <tableColumn id="7" xr3:uid="{EAE99F10-5630-4215-881C-5C5CFDAD2A0D}" name="TOTAL HT" dataDxfId="260" totalsRowDxfId="5">
      <calculatedColumnFormula>Isolation[[#This Row],[PRIX /U HT]]*G2</calculatedColumnFormula>
    </tableColumn>
    <tableColumn id="8" xr3:uid="{9C38C73F-881F-4718-A28F-E1D82A0F6793}" name="FDP" totalsRowFunction="custom" dataDxfId="259" totalsRowDxfId="4">
      <totalsRowFormula>SUM(Isolation[FDP])</totalsRowFormula>
    </tableColumn>
    <tableColumn id="9" xr3:uid="{D51627D7-9DB5-4314-B4DA-6133A74B7C22}" name="TOTAL TTC" totalsRowFunction="custom" dataDxfId="258" totalsRowDxfId="3">
      <calculatedColumnFormula>(Isolation[[#This Row],[TOTAL HT]]*1.2)+I2</calculatedColumnFormula>
      <totalsRowFormula>SUM(Isolation[TOTAL TTC])</totalsRowFormula>
    </tableColumn>
    <tableColumn id="10" xr3:uid="{D764CDFE-0ED3-49BF-9D48-D30219713465}" name="OBSERVATIONS" dataDxfId="257" totalsRowDxfId="2"/>
    <tableColumn id="11" xr3:uid="{342154F0-8013-456E-81DE-07A22F27F784}" name="COMMANDE" dataDxfId="256" totalsRowDxfId="1"/>
    <tableColumn id="12" xr3:uid="{EB4FA117-2671-47BD-B8EE-E9587BF7D8FD}" name="LIVRE" dataDxfId="255" totalsRowDxfId="0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3E543A-4D55-4965-B32C-702036AF09D6}" name="Electricité" displayName="Electricité" ref="A1:M47" totalsRowCount="1" headerRowDxfId="251" headerRowBorderDxfId="250" tableBorderDxfId="249">
  <autoFilter ref="A1:M46" xr:uid="{D43E543A-4D55-4965-B32C-702036AF09D6}"/>
  <tableColumns count="13">
    <tableColumn id="1" xr3:uid="{BD77A7BD-6DE0-481F-AE9F-C9BD08E9E24B}" name="DENOMINATION" dataDxfId="248" totalsRowDxfId="247"/>
    <tableColumn id="2" xr3:uid="{26A7FBC3-3FEB-4F99-949E-3FC8DC7273AF}" name="OUI/NON" dataDxfId="246" totalsRowDxfId="245"/>
    <tableColumn id="3" xr3:uid="{493B0BD1-7824-4764-9DC2-54B3B977CC91}" name="MODELE" dataDxfId="244" totalsRowDxfId="243"/>
    <tableColumn id="5" xr3:uid="{1EC8E8C9-5C5E-4F3C-B105-971243FADDEA}" name="FOURNISSEUR" dataDxfId="242" totalsRowDxfId="241"/>
    <tableColumn id="6" xr3:uid="{E2A0DACA-1285-4E55-9633-0C2DC2967693}" name="POIDS (KG)" totalsRowFunction="custom" dataDxfId="240" totalsRowDxfId="239">
      <totalsRowFormula>SUM(E2:E46)</totalsRowFormula>
    </tableColumn>
    <tableColumn id="13" xr3:uid="{3C95654A-2860-42C2-A87D-78EB80F59B0F}" name="PRIX /U HT" dataDxfId="238" totalsRowDxfId="237" dataCellStyle="Monétaire">
      <calculatedColumnFormula>(Electricité[[#This Row],[TOTAL HT]]/1.2)</calculatedColumnFormula>
    </tableColumn>
    <tableColumn id="4" xr3:uid="{FFF811FE-7D91-41E1-ABA8-31271180B5A8}" name="QUANTITE" dataDxfId="236" totalsRowDxfId="235"/>
    <tableColumn id="7" xr3:uid="{ADC92367-1001-478E-BBFA-43F4BAC71A37}" name="TOTAL HT" dataDxfId="234" totalsRowDxfId="233">
      <calculatedColumnFormula>Electricité[[#This Row],[PRIX /U HT]]*Electricité[[#This Row],[QUANTITE]]</calculatedColumnFormula>
    </tableColumn>
    <tableColumn id="8" xr3:uid="{4527C6EF-B011-4B52-9782-3B1E11FC5E7E}" name="FDP" totalsRowFunction="custom" dataDxfId="232" totalsRowDxfId="231">
      <totalsRowFormula>SUM(I2:I46)</totalsRowFormula>
    </tableColumn>
    <tableColumn id="9" xr3:uid="{3D83DA99-4B7F-4FF1-BDB7-D35809AB6C9D}" name="PRIX TOTAL" totalsRowFunction="custom" dataDxfId="230" totalsRowDxfId="229">
      <calculatedColumnFormula>(Electricité[[#This Row],[TOTAL HT]]*1.2)+Electricité[[#This Row],[FDP]]</calculatedColumnFormula>
      <totalsRowFormula>SUM(J2:J46)</totalsRowFormula>
    </tableColumn>
    <tableColumn id="10" xr3:uid="{C442DC8E-68C3-4F99-831F-1F3FFB3A68B1}" name="OBSERVATIONS" dataDxfId="228" totalsRowDxfId="227"/>
    <tableColumn id="11" xr3:uid="{5A3CC42B-3880-4B4B-91E1-7E3EBB9B7E19}" name="COMMANDE" dataDxfId="226" totalsRowDxfId="225"/>
    <tableColumn id="12" xr3:uid="{FF3E8AC0-97DE-4E6D-9970-9AB1B1C1C24C}" name="LIVRE" dataDxfId="224" totalsRowDxfId="223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BC2620-C8A0-4A93-9E8A-5602C98F09F0}" name="Bois" displayName="Bois" ref="A1:M14" totalsRowShown="0" headerRowDxfId="219" dataDxfId="217" headerRowBorderDxfId="218" tableBorderDxfId="216">
  <autoFilter ref="A1:M14" xr:uid="{1BBC2620-C8A0-4A93-9E8A-5602C98F09F0}"/>
  <tableColumns count="13">
    <tableColumn id="1" xr3:uid="{57D21610-64EA-48E3-923F-E46130082EB4}" name="DENOMINATION"/>
    <tableColumn id="2" xr3:uid="{32301E21-F961-46C1-8A0F-163DAE758462}" name="OUI/NON" dataDxfId="215"/>
    <tableColumn id="3" xr3:uid="{4E56CCFC-E330-4353-9F87-F7DDAAE4E3A5}" name="MODELE" dataDxfId="214"/>
    <tableColumn id="5" xr3:uid="{83125EFB-8CA5-4FCB-A5C2-791ED71C75F1}" name="FOURNISSEUR" dataDxfId="213"/>
    <tableColumn id="6" xr3:uid="{31E50BB4-B55A-4263-9EAE-43405F899E66}" name="POIDS (KG)" dataDxfId="212"/>
    <tableColumn id="13" xr3:uid="{07A379B6-2262-4C8E-BAD9-3B0F7AF27004}" name="PRIX /U HT" dataDxfId="211">
      <calculatedColumnFormula>Bois[[#This Row],[TOTAL HT]]/1.2</calculatedColumnFormula>
    </tableColumn>
    <tableColumn id="4" xr3:uid="{8008EE04-38AA-4BC2-B046-7FF2699569CE}" name="QUANTITE" dataDxfId="210"/>
    <tableColumn id="7" xr3:uid="{7F4E2CFE-14EF-401D-9DAA-24F9D9DB0FD6}" name="TOTAL HT" dataDxfId="209"/>
    <tableColumn id="8" xr3:uid="{B458F7F8-6670-4A9C-ACAF-BE3A31B5FEF3}" name="FDP" dataDxfId="208"/>
    <tableColumn id="9" xr3:uid="{D571C5CD-520F-4732-A26F-2E6CE58AC356}" name="TOTAL TTC" dataDxfId="207">
      <calculatedColumnFormula>SUM(H2+I2)</calculatedColumnFormula>
    </tableColumn>
    <tableColumn id="10" xr3:uid="{CC21D25F-5488-42E8-AB0F-DC96BA8F2746}" name="OBSERVATIONS" dataDxfId="206"/>
    <tableColumn id="11" xr3:uid="{F0C2FE19-DEFD-477D-9A14-1B4AFB05AEEE}" name="COMMANDE" dataDxfId="205"/>
    <tableColumn id="12" xr3:uid="{3F73AE2B-ED91-4ADB-9C7A-FD20E36192F4}" name="LIVRE" dataDxfId="204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12EA30D-02F7-4C5E-98B1-63BEA94738FA}" name="Chauffage" displayName="Chauffage" ref="A1:M7" totalsRowCount="1" headerRowDxfId="200" dataDxfId="198" headerRowBorderDxfId="199">
  <autoFilter ref="A1:M6" xr:uid="{012EA30D-02F7-4C5E-98B1-63BEA94738FA}"/>
  <tableColumns count="13">
    <tableColumn id="1" xr3:uid="{69DC17FF-1341-4DDD-930C-E3ACDFC95FC7}" name="DENOMINATION" dataDxfId="197" totalsRowDxfId="196"/>
    <tableColumn id="2" xr3:uid="{DE178EE5-FB01-4E51-A5BE-B1DFB8B2D214}" name="OUI/NON" dataDxfId="195" totalsRowDxfId="194"/>
    <tableColumn id="3" xr3:uid="{C6CC9C38-A229-4646-A664-EB392E536AFC}" name="MODELE" dataDxfId="193" totalsRowDxfId="192"/>
    <tableColumn id="5" xr3:uid="{E28E28DF-131A-4F83-BB58-FEE4B89BEB47}" name="FOURNISSEUR" dataDxfId="191" totalsRowDxfId="190"/>
    <tableColumn id="6" xr3:uid="{797802C0-8F66-4374-9F4C-F9A86BDBCCFA}" name="POIDS (KG)" totalsRowFunction="custom" dataDxfId="189" totalsRowDxfId="188">
      <totalsRowFormula>SUM(Chauffage[POIDS (KG)])</totalsRowFormula>
    </tableColumn>
    <tableColumn id="13" xr3:uid="{C1424AFA-863A-405C-AED2-7F79AFA8EC28}" name="PRIX /U HT" dataDxfId="187" totalsRowDxfId="186"/>
    <tableColumn id="4" xr3:uid="{8B95300A-2DB4-4495-9ADC-048F987339BA}" name="QUANTITE" dataDxfId="185" totalsRowDxfId="184"/>
    <tableColumn id="7" xr3:uid="{651A027A-43DC-4DB0-AF23-6EFE5C4CB8E8}" name="TOTAL HT" dataDxfId="183" totalsRowDxfId="182">
      <calculatedColumnFormula>Chauffage[[#This Row],[PRIX /U HT]]*Chauffage[[#This Row],[QUANTITE]]</calculatedColumnFormula>
    </tableColumn>
    <tableColumn id="8" xr3:uid="{54E8B0C2-C0B6-4B31-8193-91790396AC70}" name="FDP" totalsRowFunction="custom" dataDxfId="181" totalsRowDxfId="180">
      <totalsRowFormula>SUM(Chauffage[FDP])</totalsRowFormula>
    </tableColumn>
    <tableColumn id="9" xr3:uid="{7B73724A-6AE7-46DC-8554-266AEF70178E}" name="TOTAL TTC" totalsRowFunction="custom" dataDxfId="179" totalsRowDxfId="178">
      <calculatedColumnFormula>(Chauffage[[#This Row],[TOTAL HT]]*1.2)+Chauffage[[#This Row],[FDP]]</calculatedColumnFormula>
      <totalsRowFormula>SUM(Chauffage[TOTAL TTC])</totalsRowFormula>
    </tableColumn>
    <tableColumn id="10" xr3:uid="{5B0847B8-C1AC-4DE8-A4EC-BEAD0B0024D1}" name="OBSERVATIONS" dataDxfId="177" totalsRowDxfId="176"/>
    <tableColumn id="11" xr3:uid="{ED35C9E9-4D73-400C-B246-3CBCECC3BD8E}" name="COMMANDE" dataDxfId="175" totalsRowDxfId="174"/>
    <tableColumn id="12" xr3:uid="{7A948996-9E6E-4E03-A750-F8BED42DE0AD}" name="LIVRE" dataDxfId="173" totalsRowDxfId="172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6C8546C-48F5-4B18-AEA7-84090E32CAE3}" name="Sanitaire" displayName="Sanitaire" ref="A1:M48" totalsRowCount="1" headerRowDxfId="168" dataDxfId="166" headerRowBorderDxfId="167">
  <autoFilter ref="A1:M47" xr:uid="{C6C8546C-48F5-4B18-AEA7-84090E32CAE3}"/>
  <tableColumns count="13">
    <tableColumn id="1" xr3:uid="{DAF12EF2-05A2-4C6F-8B17-459084941AD8}" name="DENOMINATION" dataDxfId="165" totalsRowDxfId="164"/>
    <tableColumn id="2" xr3:uid="{6F0B21D0-C0AC-45F9-947C-86A1D97CE4B2}" name="OUI/NON" dataDxfId="163" totalsRowDxfId="162"/>
    <tableColumn id="3" xr3:uid="{C3AC4F79-0E8F-4AC3-843E-590D88008F44}" name="MODELE" dataDxfId="161" totalsRowDxfId="160"/>
    <tableColumn id="5" xr3:uid="{AD3C3E75-0B50-4F98-906D-ED546E142922}" name="FOURNISSEUR" dataDxfId="159" totalsRowDxfId="158"/>
    <tableColumn id="6" xr3:uid="{B96B896B-3DEA-48B7-88F3-42B7C54DD535}" name="POIDS (KG)" totalsRowFunction="custom" dataDxfId="157" totalsRowDxfId="156">
      <totalsRowFormula>SUM(E2:E47)</totalsRowFormula>
    </tableColumn>
    <tableColumn id="13" xr3:uid="{9070DCC3-F013-45DF-851C-0798F122C1AD}" name="PRIX /U HT" dataDxfId="155" totalsRowDxfId="154">
      <calculatedColumnFormula>Sanitaire[[#This Row],[TOTAL HT]]/1.2</calculatedColumnFormula>
    </tableColumn>
    <tableColumn id="4" xr3:uid="{424DE595-ECD4-4541-B8CE-F021034C108C}" name="QUANTITE" dataDxfId="153" totalsRowDxfId="152"/>
    <tableColumn id="7" xr3:uid="{4C9A6A43-81F6-4202-8833-DB91788D9F60}" name="TOTAL HT" dataDxfId="151" totalsRowDxfId="150">
      <calculatedColumnFormula>Sanitaire[[#This Row],[PRIX /U HT]]*Sanitaire[[#This Row],[QUANTITE]]</calculatedColumnFormula>
    </tableColumn>
    <tableColumn id="8" xr3:uid="{634BD8D9-1375-4E44-BF2B-2DB04C6637B0}" name="FDP" totalsRowFunction="custom" dataDxfId="149" totalsRowDxfId="148">
      <totalsRowFormula>SUM(I2:I47)</totalsRowFormula>
    </tableColumn>
    <tableColumn id="9" xr3:uid="{4CAC4B48-53BA-4F9A-979A-0ECD53CE001C}" name="TOTAL TTC" totalsRowFunction="custom" dataDxfId="147" totalsRowDxfId="146">
      <calculatedColumnFormula>(Sanitaire[[#This Row],[TOTAL HT]]*1.2)+Sanitaire[[#This Row],[FDP]]</calculatedColumnFormula>
      <totalsRowFormula>SUM(J2:J47)</totalsRowFormula>
    </tableColumn>
    <tableColumn id="10" xr3:uid="{D8BC1477-A5C0-44E7-9373-35C9120243BD}" name="OBSERVATIONS" dataDxfId="145" totalsRowDxfId="144"/>
    <tableColumn id="11" xr3:uid="{B8B616BC-BCFC-4481-B1AB-CE5365980BBF}" name="COMMANDE" dataDxfId="143" totalsRowDxfId="142"/>
    <tableColumn id="12" xr3:uid="{3D7DA887-CA42-47E3-85E6-EA8B4FF0FD72}" name="LIVRE" dataDxfId="141" totalsRowDxfId="140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E194E1B-958F-480C-9561-D5FC2F7D1FE0}" name="Electroménager_mobilier" displayName="Electroménager_mobilier" ref="A1:M10" totalsRowCount="1" headerRowDxfId="136" dataDxfId="134" headerRowBorderDxfId="135">
  <autoFilter ref="A1:M9" xr:uid="{3E194E1B-958F-480C-9561-D5FC2F7D1FE0}"/>
  <tableColumns count="13">
    <tableColumn id="1" xr3:uid="{57828221-AE2F-4447-9830-D1D8F525CF11}" name="DENOMINATION" dataDxfId="133" totalsRowDxfId="132"/>
    <tableColumn id="2" xr3:uid="{5D5FB104-0915-4582-AAE1-A8D126BA36C5}" name="OUI/NON" dataDxfId="131" totalsRowDxfId="130"/>
    <tableColumn id="3" xr3:uid="{A1C84AA8-D760-4A6D-AB4F-1501A6C5F3DF}" name="MODELE" dataDxfId="129" totalsRowDxfId="128"/>
    <tableColumn id="5" xr3:uid="{EC03E94F-B747-4219-8E79-75E7A4FF7AD2}" name="FOURNISSEUR" dataDxfId="127" totalsRowDxfId="126"/>
    <tableColumn id="6" xr3:uid="{24C3621D-92BB-4CD7-A4DC-9E5A534FBDEA}" name="POIDS (KG)" totalsRowFunction="custom" dataDxfId="125" totalsRowDxfId="124">
      <totalsRowFormula>SUM(E2:E9)</totalsRowFormula>
    </tableColumn>
    <tableColumn id="13" xr3:uid="{42BD2E8F-192E-467D-83E7-D24353DCD9FC}" name="PRIX /U HT" dataDxfId="123" totalsRowDxfId="122">
      <calculatedColumnFormula>Electroménager_mobilier[[#This Row],[TOTAL HT]]/1.2</calculatedColumnFormula>
    </tableColumn>
    <tableColumn id="4" xr3:uid="{58CB7923-7458-41AE-946C-E69BCCF81B58}" name="QUANTITE" dataDxfId="121" totalsRowDxfId="120"/>
    <tableColumn id="7" xr3:uid="{B42E9B2F-B174-479F-927A-89CBF5AD4AC0}" name="TOTAL HT" dataDxfId="119" totalsRowDxfId="118">
      <calculatedColumnFormula>Electroménager_mobilier[[#This Row],[PRIX /U HT]]*Electroménager_mobilier[[#This Row],[QUANTITE]]</calculatedColumnFormula>
    </tableColumn>
    <tableColumn id="8" xr3:uid="{B9B12F33-D111-4990-9D3B-9A2A953A7972}" name="FDP" totalsRowFunction="custom" dataDxfId="117" totalsRowDxfId="116">
      <totalsRowFormula>SUM(I2:I9)</totalsRowFormula>
    </tableColumn>
    <tableColumn id="9" xr3:uid="{224021B8-1F8F-4400-ACBD-53AC8AE6BF7A}" name="TOTAL TTC" totalsRowFunction="custom" dataDxfId="115" totalsRowDxfId="114">
      <calculatedColumnFormula>(Electroménager_mobilier[[#This Row],[TOTAL HT]]*1.2)+Electroménager_mobilier[[#This Row],[FDP]]</calculatedColumnFormula>
      <totalsRowFormula>SUM(J2:J9)</totalsRowFormula>
    </tableColumn>
    <tableColumn id="10" xr3:uid="{BD931F4A-2FD5-45B5-B134-A2ADE5BB0966}" name="OBSERVATIONS" dataDxfId="113" totalsRowDxfId="112"/>
    <tableColumn id="11" xr3:uid="{43626F3B-AEFB-4DA8-B622-8166CA16290F}" name="COMMANDE" dataDxfId="111" totalsRowDxfId="110"/>
    <tableColumn id="12" xr3:uid="{14D15372-0120-4F58-8D92-066B6BCB67A3}" name="LIVRE" dataDxfId="109" totalsRowDxfId="108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ED02466-3140-4881-BB69-D331C56B0721}" name="Gaz" displayName="Gaz" ref="A1:M18" totalsRowCount="1" headerRowDxfId="104" headerRowBorderDxfId="103">
  <autoFilter ref="A1:M17" xr:uid="{1ED02466-3140-4881-BB69-D331C56B0721}"/>
  <tableColumns count="13">
    <tableColumn id="1" xr3:uid="{78CE2A0D-926D-4C9D-9A3E-6C978D92026E}" name="DENOMINATION" dataDxfId="102" totalsRowDxfId="101"/>
    <tableColumn id="2" xr3:uid="{C363E087-A55F-4805-A395-B663FD89B7CE}" name="OUI/NON" dataDxfId="100" totalsRowDxfId="99"/>
    <tableColumn id="3" xr3:uid="{656F3701-DA6D-4692-8435-DD547E1A758D}" name="MODELE" dataDxfId="98" totalsRowDxfId="97"/>
    <tableColumn id="5" xr3:uid="{2502715F-EF9E-4514-B285-567771DA6412}" name="FOURNISSEUR" dataDxfId="96" totalsRowDxfId="95"/>
    <tableColumn id="6" xr3:uid="{B2ED5FFB-1C8B-438E-AEB9-C2178A7C8821}" name="POIDS (KG)" totalsRowFunction="custom" dataDxfId="94" totalsRowDxfId="93">
      <totalsRowFormula>SUM(E2:E17)</totalsRowFormula>
    </tableColumn>
    <tableColumn id="13" xr3:uid="{D1A87C4E-EEFA-425C-8C1B-3C6E64074599}" name="PRIX /U HT" dataDxfId="92" totalsRowDxfId="91">
      <calculatedColumnFormula>Gaz[[#This Row],[TOTAL HT]]/1.2</calculatedColumnFormula>
    </tableColumn>
    <tableColumn id="4" xr3:uid="{5F6D5353-E369-4856-AED8-C9B9328C0989}" name="QUANTITE" dataDxfId="90" totalsRowDxfId="89"/>
    <tableColumn id="7" xr3:uid="{43AEDC38-E7C9-4753-8F3A-39717D0A6348}" name="TOTAL HT" dataDxfId="88" totalsRowDxfId="87"/>
    <tableColumn id="8" xr3:uid="{B60B2BBB-8840-42F2-B858-4DC6BB6A4A2D}" name="FDP" totalsRowFunction="custom" dataDxfId="86" totalsRowDxfId="85">
      <totalsRowFormula>SUM(I2:I17)</totalsRowFormula>
    </tableColumn>
    <tableColumn id="9" xr3:uid="{B1245AFA-FDBC-4E7D-A4DB-370BFF76A3E9}" name="TOTAL TTC" totalsRowFunction="custom" dataDxfId="84" totalsRowDxfId="83">
      <calculatedColumnFormula>(Gaz[[#This Row],[TOTAL HT]]*1.2)+Gaz[[#This Row],[FDP]]</calculatedColumnFormula>
      <totalsRowFormula>SUM(J2:J17)</totalsRowFormula>
    </tableColumn>
    <tableColumn id="10" xr3:uid="{8AB0AC95-162E-4EFA-A262-25FB4FF1F603}" name="OBSERVATIONS" dataDxfId="82" totalsRowDxfId="81"/>
    <tableColumn id="11" xr3:uid="{D5E8C1E6-ACF9-45AA-BA27-E6764C2CC448}" name="COMMANDE" dataDxfId="80" totalsRowDxfId="79"/>
    <tableColumn id="12" xr3:uid="{DDC6BF0F-AFA1-43A7-A17A-691368C91E2D}" name="LIVRE" dataDxfId="78" totalsRowDxfId="77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38B1158-C24C-4F76-9DCD-A1EE7B79484B}" name="Literie_rideaux" displayName="Literie_rideaux" ref="A1:M7" totalsRowCount="1" headerRowDxfId="73" headerRowBorderDxfId="72">
  <autoFilter ref="A1:M6" xr:uid="{638B1158-C24C-4F76-9DCD-A1EE7B79484B}"/>
  <tableColumns count="13">
    <tableColumn id="1" xr3:uid="{567E3443-9260-4B49-9F57-AF03881E44E3}" name="DENOMINATION" dataDxfId="71" totalsRowDxfId="70"/>
    <tableColumn id="2" xr3:uid="{1DF8FBB8-DD92-41B8-AD71-A59CBDC07A00}" name="OUI/NON" dataDxfId="69" totalsRowDxfId="68"/>
    <tableColumn id="3" xr3:uid="{96B6A7A7-6FA5-4DC5-BE7D-D35986D09D04}" name="MODELE" dataDxfId="67" totalsRowDxfId="66"/>
    <tableColumn id="5" xr3:uid="{196D88B8-8A51-4B06-BA2C-DF7252196B68}" name="FOURNISSEUR" dataDxfId="65" totalsRowDxfId="64"/>
    <tableColumn id="6" xr3:uid="{272373C0-2462-4EAC-BC4D-FAB68B8033D7}" name="POIDS (KG)" totalsRowFunction="custom" dataDxfId="63" totalsRowDxfId="62">
      <totalsRowFormula>SUM(E2:E6)</totalsRowFormula>
    </tableColumn>
    <tableColumn id="13" xr3:uid="{7A9F5E0C-7475-4867-AADD-B50FCE73145A}" name="PRIX /U HT" dataDxfId="61" totalsRowDxfId="60"/>
    <tableColumn id="4" xr3:uid="{3CF7AC55-EC64-4C54-AC59-6D75F831CDC1}" name="QUANTITE" dataDxfId="59" totalsRowDxfId="58"/>
    <tableColumn id="7" xr3:uid="{0551F8C8-FBAD-4498-974F-AFA98482FE07}" name="TOTAL HT" dataDxfId="57" totalsRowDxfId="56">
      <calculatedColumnFormula>Literie_rideaux[[#This Row],[PRIX /U HT]]*G2</calculatedColumnFormula>
    </tableColumn>
    <tableColumn id="8" xr3:uid="{107FD123-6482-454E-BCF9-4EBC24C59B8E}" name="FDP" totalsRowFunction="custom" dataDxfId="55" totalsRowDxfId="54">
      <totalsRowFormula>SUM(I2:I6)</totalsRowFormula>
    </tableColumn>
    <tableColumn id="9" xr3:uid="{8A72F1F1-21DF-4DA4-B249-95E83100DEEA}" name="TOTAL TTC" totalsRowFunction="custom" dataDxfId="53" totalsRowDxfId="52">
      <calculatedColumnFormula>(Literie_rideaux[[#This Row],[TOTAL HT]]*1.2)+Literie_rideaux[[#This Row],[FDP]]</calculatedColumnFormula>
      <totalsRowFormula>SUM(J2:J6)</totalsRowFormula>
    </tableColumn>
    <tableColumn id="10" xr3:uid="{D9281761-493B-4F51-87F7-EA96D7DBA346}" name="OBSERVATIONS" dataDxfId="51" totalsRowDxfId="50"/>
    <tableColumn id="11" xr3:uid="{AF4859D2-7571-4117-BF66-ADF7FBD4269C}" name="COMMANDE" dataDxfId="49" totalsRowDxfId="48"/>
    <tableColumn id="12" xr3:uid="{99AD3CF2-332C-492C-8469-DF169AFEA555}" name="LIVRE" dataDxfId="47" totalsRowDxfId="46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91E5A23-CD05-4442-A53B-792F4F49B949}" name="Quincaillerie_divers" displayName="Quincaillerie_divers" ref="A1:N35" totalsRowCount="1" headerRowDxfId="42" dataDxfId="41">
  <autoFilter ref="A1:N34" xr:uid="{A91E5A23-CD05-4442-A53B-792F4F49B949}"/>
  <tableColumns count="14">
    <tableColumn id="1" xr3:uid="{93598A75-B347-4A3A-BDDB-6051BF571CAD}" name="RAYON" dataDxfId="40" totalsRowDxfId="39"/>
    <tableColumn id="2" xr3:uid="{6088A83D-2E8F-4662-9F2E-D0DFFE32A095}" name="DENOMINATION" dataDxfId="38" totalsRowDxfId="37"/>
    <tableColumn id="3" xr3:uid="{44E5CB59-936D-4272-88E4-639D7A6B61F7}" name="OUI/NON" dataDxfId="36" totalsRowDxfId="35"/>
    <tableColumn id="4" xr3:uid="{2BCEFB3F-F588-4BA7-A676-806004F843E8}" name="MODELE" dataDxfId="34" totalsRowDxfId="33"/>
    <tableColumn id="6" xr3:uid="{6C11AD29-E341-40C9-AAFF-7BD3DA100584}" name="FOURNISSEUR" dataDxfId="32" totalsRowDxfId="31"/>
    <tableColumn id="7" xr3:uid="{21D125C3-0B84-4C28-8171-72DFA1F38979}" name="POIDS (KG)" totalsRowFunction="custom" dataDxfId="30" totalsRowDxfId="29">
      <totalsRowFormula>SUM(F2:F34)</totalsRowFormula>
    </tableColumn>
    <tableColumn id="14" xr3:uid="{1D144CD7-5186-47F7-A721-68373B8E4682}" name="PRIX /U HT" dataDxfId="28" totalsRowDxfId="27"/>
    <tableColumn id="5" xr3:uid="{41A1D17E-8628-46FC-992A-810D84E35EEA}" name="QUANTITE" dataDxfId="26" totalsRowDxfId="25"/>
    <tableColumn id="8" xr3:uid="{B54E6DC1-EFEE-4691-846C-DA819B454FAA}" name="TOTAL HT" dataDxfId="24" totalsRowDxfId="23">
      <calculatedColumnFormula>Quincaillerie_divers[[#This Row],[PRIX /U HT]]*Quincaillerie_divers[[#This Row],[QUANTITE]]</calculatedColumnFormula>
    </tableColumn>
    <tableColumn id="9" xr3:uid="{06929DCF-C1BB-4CD4-A4AA-14B022A7D9B7}" name="FDP" totalsRowFunction="custom" dataDxfId="22" totalsRowDxfId="21">
      <totalsRowFormula>SUM(J2:J34)</totalsRowFormula>
    </tableColumn>
    <tableColumn id="10" xr3:uid="{F9E792C9-3BB4-47F3-A7EB-8E4276E4CB5A}" name="TOTAL TTC" totalsRowFunction="custom" dataDxfId="20" totalsRowDxfId="19">
      <calculatedColumnFormula>(Quincaillerie_divers[[#This Row],[TOTAL HT]]*1.2)+Quincaillerie_divers[[#This Row],[FDP]]</calculatedColumnFormula>
      <totalsRowFormula>SUM(K2:K34)</totalsRowFormula>
    </tableColumn>
    <tableColumn id="11" xr3:uid="{9E0ED520-77AD-455E-B3D7-1BEAC5799735}" name="OBSERVATIONS" dataDxfId="18" totalsRowDxfId="17"/>
    <tableColumn id="12" xr3:uid="{2EC18C86-1876-4AAB-A614-1382067686BD}" name="COMMANDE" dataDxfId="16" totalsRowDxfId="15"/>
    <tableColumn id="13" xr3:uid="{BFD95E44-29FF-4FBB-9424-ADBA8916A140}" name="LIVRE" dataDxfId="14" totalsRowDxfId="1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8C8C8C"/>
  </sheetPr>
  <dimension ref="A1:K28"/>
  <sheetViews>
    <sheetView workbookViewId="0">
      <selection activeCell="E12" sqref="E12"/>
    </sheetView>
  </sheetViews>
  <sheetFormatPr baseColWidth="10" defaultColWidth="8.88671875" defaultRowHeight="20.399999999999999" customHeight="1" x14ac:dyDescent="0.3"/>
  <cols>
    <col min="1" max="1" width="18.6640625" style="2" customWidth="1"/>
    <col min="2" max="2" width="10.109375" style="3" customWidth="1"/>
    <col min="3" max="3" width="12.33203125" style="5" customWidth="1"/>
    <col min="4" max="4" width="11.33203125" style="2" customWidth="1"/>
    <col min="5" max="16384" width="8.88671875" style="2"/>
  </cols>
  <sheetData>
    <row r="1" spans="1:11" ht="43.2" x14ac:dyDescent="0.3">
      <c r="A1" s="82" t="s">
        <v>345</v>
      </c>
      <c r="B1" s="80" t="s">
        <v>351</v>
      </c>
      <c r="C1" s="83" t="s">
        <v>362</v>
      </c>
      <c r="D1" s="82" t="s">
        <v>350</v>
      </c>
      <c r="I1" s="13"/>
      <c r="J1" s="13"/>
      <c r="K1" s="13"/>
    </row>
    <row r="2" spans="1:11" ht="21" customHeight="1" x14ac:dyDescent="0.3">
      <c r="A2" s="48" t="s">
        <v>67</v>
      </c>
      <c r="B2" s="49">
        <f>ADMINISTRATIF!B4</f>
        <v>437.76</v>
      </c>
      <c r="C2" s="73">
        <f t="shared" ref="C2:C13" si="0">B2/$B$13</f>
        <v>0.10574102049167064</v>
      </c>
      <c r="D2" s="139"/>
    </row>
    <row r="3" spans="1:11" ht="20.399999999999999" customHeight="1" x14ac:dyDescent="0.3">
      <c r="A3" s="48" t="s">
        <v>5</v>
      </c>
      <c r="B3" s="49">
        <f>Ouvertures[[#Totals],[TOTAL TTC]]</f>
        <v>524.30400000000009</v>
      </c>
      <c r="C3" s="73">
        <f t="shared" si="0"/>
        <v>0.12664574197703055</v>
      </c>
      <c r="D3" s="102">
        <f>Ouvertures[[#Totals],[POIDS (KG)]]</f>
        <v>7.1</v>
      </c>
    </row>
    <row r="4" spans="1:11" ht="20.399999999999999" customHeight="1" x14ac:dyDescent="0.3">
      <c r="A4" s="48" t="s">
        <v>0</v>
      </c>
      <c r="B4" s="49">
        <f>Isolation[[#Totals],[TOTAL TTC]]</f>
        <v>335.31599999999997</v>
      </c>
      <c r="C4" s="73">
        <f t="shared" si="0"/>
        <v>8.0995650646895623E-2</v>
      </c>
      <c r="D4" s="102">
        <f>Isolation[[#Totals],[POIDS (KG)]]</f>
        <v>25.35</v>
      </c>
    </row>
    <row r="5" spans="1:11" ht="20.399999999999999" customHeight="1" x14ac:dyDescent="0.3">
      <c r="A5" s="48" t="s">
        <v>4</v>
      </c>
      <c r="B5" s="49">
        <f>Electricité[[#Totals],[PRIX TOTAL]]</f>
        <v>891.18799999999976</v>
      </c>
      <c r="C5" s="73">
        <f t="shared" si="0"/>
        <v>0.21526664969373846</v>
      </c>
      <c r="D5" s="102">
        <f>Electricité[[#Totals],[POIDS (KG)]]</f>
        <v>3.7899999999999996</v>
      </c>
    </row>
    <row r="6" spans="1:11" ht="20.399999999999999" customHeight="1" x14ac:dyDescent="0.3">
      <c r="A6" s="48" t="s">
        <v>179</v>
      </c>
      <c r="B6" s="49">
        <f>BOIS!J14</f>
        <v>739.8599999999999</v>
      </c>
      <c r="C6" s="73">
        <f t="shared" si="0"/>
        <v>0.17871333932055791</v>
      </c>
      <c r="D6" s="102">
        <f>BOIS!E14</f>
        <v>0</v>
      </c>
    </row>
    <row r="7" spans="1:11" ht="20.399999999999999" customHeight="1" x14ac:dyDescent="0.3">
      <c r="A7" s="48" t="s">
        <v>1</v>
      </c>
      <c r="B7" s="49">
        <f>Chauffage[[#Totals],[TOTAL TTC]]</f>
        <v>0</v>
      </c>
      <c r="C7" s="73">
        <f t="shared" si="0"/>
        <v>0</v>
      </c>
      <c r="D7" s="102">
        <f>Chauffage[[#Totals],[POIDS (KG)]]</f>
        <v>0</v>
      </c>
    </row>
    <row r="8" spans="1:11" ht="20.399999999999999" customHeight="1" x14ac:dyDescent="0.3">
      <c r="A8" s="48" t="s">
        <v>2</v>
      </c>
      <c r="B8" s="49">
        <f>Sanitaire[[#Totals],[TOTAL TTC]]</f>
        <v>497.70199999999994</v>
      </c>
      <c r="C8" s="73">
        <f t="shared" si="0"/>
        <v>0.12022002325645434</v>
      </c>
      <c r="D8" s="102">
        <f>Sanitaire[[#Totals],[POIDS (KG)]]</f>
        <v>1.1000000000000001</v>
      </c>
    </row>
    <row r="9" spans="1:11" ht="20.399999999999999" customHeight="1" x14ac:dyDescent="0.3">
      <c r="A9" s="48" t="s">
        <v>3</v>
      </c>
      <c r="B9" s="49">
        <f>Electroménager_mobilier[[#Totals],[TOTAL TTC]]</f>
        <v>638.904</v>
      </c>
      <c r="C9" s="73">
        <f t="shared" si="0"/>
        <v>0.15432739619017347</v>
      </c>
      <c r="D9" s="102">
        <f>Electroménager_mobilier[[#Totals],[POIDS (KG)]]</f>
        <v>16.600000000000001</v>
      </c>
    </row>
    <row r="10" spans="1:11" ht="20.399999999999999" customHeight="1" x14ac:dyDescent="0.3">
      <c r="A10" s="48" t="s">
        <v>68</v>
      </c>
      <c r="B10" s="49">
        <f>Gaz[[#Totals],[TOTAL TTC]]</f>
        <v>68.891999999999996</v>
      </c>
      <c r="C10" s="73">
        <f t="shared" si="0"/>
        <v>1.6640877155775249E-2</v>
      </c>
      <c r="D10" s="102">
        <f>Gaz[[#Totals],[POIDS (KG)]]</f>
        <v>0</v>
      </c>
    </row>
    <row r="11" spans="1:11" ht="20.399999999999999" customHeight="1" x14ac:dyDescent="0.3">
      <c r="A11" s="48" t="s">
        <v>6</v>
      </c>
      <c r="B11" s="49">
        <f>Literie_rideaux[[#Totals],[TOTAL TTC]]</f>
        <v>0</v>
      </c>
      <c r="C11" s="73">
        <f t="shared" si="0"/>
        <v>0</v>
      </c>
      <c r="D11" s="102">
        <f>Literie_rideaux[[#Totals],[POIDS (KG)]]</f>
        <v>0</v>
      </c>
    </row>
    <row r="12" spans="1:11" ht="20.399999999999999" customHeight="1" thickBot="1" x14ac:dyDescent="0.35">
      <c r="A12" s="48" t="s">
        <v>13</v>
      </c>
      <c r="B12" s="74">
        <f>Quincaillerie_divers[[#Totals],[TOTAL TTC]]</f>
        <v>6</v>
      </c>
      <c r="C12" s="75">
        <f t="shared" si="0"/>
        <v>1.449301267703819E-3</v>
      </c>
      <c r="D12" s="138">
        <f>Quincaillerie_divers[[#Totals],[POIDS (KG)]]</f>
        <v>0</v>
      </c>
    </row>
    <row r="13" spans="1:11" ht="20.399999999999999" customHeight="1" x14ac:dyDescent="0.3">
      <c r="B13" s="80">
        <f>SUM(B2:B12)</f>
        <v>4139.9259999999995</v>
      </c>
      <c r="C13" s="81">
        <f t="shared" si="0"/>
        <v>1</v>
      </c>
      <c r="D13" s="84">
        <f>SUM(D2:D12)</f>
        <v>53.940000000000005</v>
      </c>
    </row>
    <row r="28" spans="2:4" ht="20.399999999999999" customHeight="1" x14ac:dyDescent="0.3">
      <c r="B28" s="3">
        <f>SUM(B3:B27)</f>
        <v>7842.0919999999987</v>
      </c>
      <c r="D28" s="2">
        <f>SUM(D3:D27)</f>
        <v>107.88000000000001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1438B-7E80-4235-BC29-C8B7E1FD0C3D}">
  <sheetPr>
    <tabColor theme="9" tint="-0.249977111117893"/>
  </sheetPr>
  <dimension ref="A1:L4"/>
  <sheetViews>
    <sheetView workbookViewId="0">
      <pane ySplit="1" topLeftCell="A2" activePane="bottomLeft" state="frozen"/>
      <selection activeCell="F2" sqref="F2"/>
      <selection pane="bottomLeft" activeCell="A4" sqref="A4:B4"/>
    </sheetView>
  </sheetViews>
  <sheetFormatPr baseColWidth="10" defaultColWidth="25.77734375" defaultRowHeight="25.05" customHeight="1" x14ac:dyDescent="0.3"/>
  <cols>
    <col min="1" max="1" width="25.77734375" style="1"/>
    <col min="2" max="2" width="11.44140625" style="6" customWidth="1"/>
    <col min="3" max="16384" width="25.77734375" style="1"/>
  </cols>
  <sheetData>
    <row r="1" spans="1:12" ht="31.8" customHeight="1" x14ac:dyDescent="0.3">
      <c r="A1" s="71" t="s">
        <v>345</v>
      </c>
      <c r="B1" s="72" t="s">
        <v>351</v>
      </c>
      <c r="J1" s="14" t="s">
        <v>84</v>
      </c>
      <c r="K1" s="13" t="s">
        <v>101</v>
      </c>
      <c r="L1" s="13" t="s">
        <v>102</v>
      </c>
    </row>
    <row r="2" spans="1:12" ht="25.05" customHeight="1" x14ac:dyDescent="0.3">
      <c r="A2" s="40" t="s">
        <v>120</v>
      </c>
      <c r="B2" s="41">
        <v>262.76</v>
      </c>
    </row>
    <row r="3" spans="1:12" ht="25.05" customHeight="1" thickBot="1" x14ac:dyDescent="0.35">
      <c r="A3" s="78" t="s">
        <v>119</v>
      </c>
      <c r="B3" s="79">
        <v>175</v>
      </c>
    </row>
    <row r="4" spans="1:12" ht="25.05" customHeight="1" x14ac:dyDescent="0.3">
      <c r="A4" s="76" t="s">
        <v>361</v>
      </c>
      <c r="B4" s="77">
        <f>SUM(B2:B3)</f>
        <v>437.76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AF62E-CCFC-4DB9-97FF-B0E84537757E}">
  <sheetPr>
    <tabColor theme="4" tint="-0.249977111117893"/>
  </sheetPr>
  <dimension ref="A1:M9"/>
  <sheetViews>
    <sheetView zoomScale="80" zoomScaleNormal="80" workbookViewId="0">
      <pane ySplit="1" topLeftCell="A2" activePane="bottomLeft" state="frozen"/>
      <selection activeCell="J1" sqref="J1"/>
      <selection pane="bottomLeft" activeCell="J7" sqref="J7"/>
    </sheetView>
  </sheetViews>
  <sheetFormatPr baseColWidth="10" defaultRowHeight="30" customHeight="1" x14ac:dyDescent="0.3"/>
  <cols>
    <col min="1" max="1" width="23.77734375" style="9" customWidth="1"/>
    <col min="2" max="2" width="11.88671875" style="2" customWidth="1"/>
    <col min="3" max="3" width="31.88671875" style="3" customWidth="1"/>
    <col min="4" max="4" width="14.21875" customWidth="1"/>
    <col min="5" max="5" width="8.6640625" style="2" customWidth="1"/>
    <col min="6" max="6" width="14.5546875" style="87" customWidth="1"/>
    <col min="7" max="7" width="10.5546875" style="2" customWidth="1"/>
    <col min="8" max="8" width="13.88671875" style="89" customWidth="1"/>
    <col min="9" max="9" width="11.5546875" style="87"/>
    <col min="10" max="10" width="17.5546875" style="87" customWidth="1"/>
    <col min="11" max="11" width="27.6640625" style="3" customWidth="1"/>
    <col min="12" max="12" width="13.6640625" style="2" customWidth="1"/>
    <col min="13" max="13" width="9.44140625" style="2" customWidth="1"/>
    <col min="14" max="14" width="19.5546875" style="2" customWidth="1"/>
    <col min="15" max="15" width="15.33203125" style="2" customWidth="1"/>
    <col min="16" max="16384" width="11.5546875" style="2"/>
  </cols>
  <sheetData>
    <row r="1" spans="1:13" ht="55.8" customHeight="1" x14ac:dyDescent="0.3">
      <c r="A1" s="23" t="s">
        <v>345</v>
      </c>
      <c r="B1" s="23" t="s">
        <v>346</v>
      </c>
      <c r="C1" s="23" t="s">
        <v>347</v>
      </c>
      <c r="D1" s="23" t="s">
        <v>349</v>
      </c>
      <c r="E1" s="23" t="s">
        <v>350</v>
      </c>
      <c r="F1" s="167" t="s">
        <v>369</v>
      </c>
      <c r="G1" s="24" t="s">
        <v>348</v>
      </c>
      <c r="H1" s="167" t="s">
        <v>368</v>
      </c>
      <c r="I1" s="167" t="s">
        <v>352</v>
      </c>
      <c r="J1" s="167" t="s">
        <v>361</v>
      </c>
      <c r="K1" s="25" t="s">
        <v>354</v>
      </c>
      <c r="L1" s="23" t="s">
        <v>355</v>
      </c>
      <c r="M1" s="23" t="s">
        <v>356</v>
      </c>
    </row>
    <row r="2" spans="1:13" ht="33" customHeight="1" x14ac:dyDescent="0.3">
      <c r="A2" s="50" t="s">
        <v>12</v>
      </c>
      <c r="B2" s="48" t="s">
        <v>344</v>
      </c>
      <c r="C2" s="49"/>
      <c r="D2" s="48"/>
      <c r="E2" s="48"/>
      <c r="F2" s="86"/>
      <c r="G2" s="48"/>
      <c r="H2" s="88">
        <f>Ouvertures[[#This Row],[PRIX /U HT]]*Ouvertures[[#This Row],[QUANTITE]]</f>
        <v>0</v>
      </c>
      <c r="I2" s="86"/>
      <c r="J2" s="86">
        <f>(Ouvertures[[#This Row],[TOTAL HT]]*1.2)+Ouvertures[[#This Row],[FDP]]</f>
        <v>0</v>
      </c>
      <c r="K2" s="48"/>
      <c r="L2" s="48"/>
      <c r="M2" s="48"/>
    </row>
    <row r="3" spans="1:13" ht="50.4" customHeight="1" x14ac:dyDescent="0.3">
      <c r="A3" s="50" t="s">
        <v>10</v>
      </c>
      <c r="B3" s="48" t="s">
        <v>343</v>
      </c>
      <c r="C3" s="49" t="s">
        <v>103</v>
      </c>
      <c r="D3" s="48" t="s">
        <v>80</v>
      </c>
      <c r="E3" s="48">
        <v>4.2</v>
      </c>
      <c r="F3" s="86">
        <v>354.42</v>
      </c>
      <c r="G3" s="48">
        <v>1</v>
      </c>
      <c r="H3" s="88">
        <f>Ouvertures[[#This Row],[PRIX /U HT]]*Ouvertures[[#This Row],[QUANTITE]]</f>
        <v>354.42</v>
      </c>
      <c r="I3" s="86"/>
      <c r="J3" s="86">
        <f>(Ouvertures[[#This Row],[TOTAL HT]]*1.2)+Ouvertures[[#This Row],[FDP]]</f>
        <v>425.30400000000003</v>
      </c>
      <c r="K3" s="48" t="s">
        <v>231</v>
      </c>
      <c r="L3" s="48"/>
      <c r="M3" s="48"/>
    </row>
    <row r="4" spans="1:13" ht="30" customHeight="1" x14ac:dyDescent="0.3">
      <c r="A4" s="50" t="s">
        <v>358</v>
      </c>
      <c r="B4" s="48" t="s">
        <v>343</v>
      </c>
      <c r="C4" s="49" t="s">
        <v>359</v>
      </c>
      <c r="D4" s="48"/>
      <c r="E4" s="48"/>
      <c r="F4" s="86"/>
      <c r="G4" s="48">
        <v>1</v>
      </c>
      <c r="H4" s="88">
        <f>Ouvertures[[#This Row],[PRIX /U HT]]*Ouvertures[[#This Row],[QUANTITE]]</f>
        <v>0</v>
      </c>
      <c r="I4" s="86"/>
      <c r="J4" s="86">
        <f>(Ouvertures[[#This Row],[TOTAL HT]]*1.2)+Ouvertures[[#This Row],[FDP]]</f>
        <v>0</v>
      </c>
      <c r="K4" s="48" t="s">
        <v>106</v>
      </c>
      <c r="L4" s="48"/>
      <c r="M4" s="48"/>
    </row>
    <row r="5" spans="1:13" ht="47.4" customHeight="1" x14ac:dyDescent="0.3">
      <c r="A5" s="50" t="s">
        <v>11</v>
      </c>
      <c r="B5" s="48" t="s">
        <v>343</v>
      </c>
      <c r="C5" s="49" t="s">
        <v>276</v>
      </c>
      <c r="D5" s="48" t="s">
        <v>87</v>
      </c>
      <c r="E5" s="48">
        <v>2.9</v>
      </c>
      <c r="F5" s="86">
        <v>82.5</v>
      </c>
      <c r="G5" s="48">
        <v>1</v>
      </c>
      <c r="H5" s="88">
        <f>Ouvertures[[#This Row],[PRIX /U HT]]*Ouvertures[[#This Row],[QUANTITE]]</f>
        <v>82.5</v>
      </c>
      <c r="I5" s="86"/>
      <c r="J5" s="86">
        <f>(Ouvertures[[#This Row],[TOTAL HT]]*1.2)+Ouvertures[[#This Row],[FDP]]</f>
        <v>99</v>
      </c>
      <c r="K5" s="48" t="s">
        <v>275</v>
      </c>
      <c r="L5" s="48"/>
      <c r="M5" s="48"/>
    </row>
    <row r="6" spans="1:13" ht="40.200000000000003" customHeight="1" thickBot="1" x14ac:dyDescent="0.35">
      <c r="A6" s="50" t="s">
        <v>14</v>
      </c>
      <c r="B6" s="48" t="s">
        <v>344</v>
      </c>
      <c r="C6" s="49"/>
      <c r="D6" s="48"/>
      <c r="E6" s="91"/>
      <c r="F6" s="86"/>
      <c r="G6" s="48"/>
      <c r="H6" s="88">
        <f>Ouvertures[[#This Row],[PRIX /U HT]]*Ouvertures[[#This Row],[QUANTITE]]</f>
        <v>0</v>
      </c>
      <c r="I6" s="93"/>
      <c r="J6" s="93"/>
      <c r="K6" s="48"/>
      <c r="L6" s="48"/>
      <c r="M6" s="48"/>
    </row>
    <row r="7" spans="1:13" ht="30" customHeight="1" thickBot="1" x14ac:dyDescent="0.35">
      <c r="A7" s="90"/>
      <c r="B7" s="91"/>
      <c r="C7" s="92"/>
      <c r="D7" s="91"/>
      <c r="E7" s="100">
        <f>SUM(E1:E5)</f>
        <v>7.1</v>
      </c>
      <c r="F7" s="93"/>
      <c r="G7" s="91"/>
      <c r="H7" s="93"/>
      <c r="I7" s="101">
        <f>SUM(Ouvertures[FDP])</f>
        <v>0</v>
      </c>
      <c r="J7" s="101">
        <f>SUBTOTAL(109,Ouvertures[TOTAL TTC])</f>
        <v>524.30400000000009</v>
      </c>
      <c r="K7" s="92"/>
      <c r="L7" s="91"/>
      <c r="M7" s="91"/>
    </row>
    <row r="8" spans="1:13" ht="30" customHeight="1" x14ac:dyDescent="0.3">
      <c r="E8" s="94"/>
      <c r="F8" s="95"/>
      <c r="G8" s="98"/>
      <c r="H8" s="95"/>
      <c r="I8" s="168"/>
      <c r="K8" s="99"/>
      <c r="L8" s="99"/>
    </row>
    <row r="9" spans="1:13" ht="30" customHeight="1" x14ac:dyDescent="0.3">
      <c r="F9" s="96"/>
      <c r="G9" s="95"/>
      <c r="H9" s="97"/>
    </row>
  </sheetData>
  <conditionalFormatting sqref="A2:C7 F7:H7 J7:N7 D2:M6">
    <cfRule type="expression" dxfId="304" priority="4">
      <formula>$B2="Oui"</formula>
    </cfRule>
  </conditionalFormatting>
  <conditionalFormatting sqref="L1:M6 N8:O1048576 M7:N7">
    <cfRule type="containsText" dxfId="303" priority="1" operator="containsText" text="Non">
      <formula>NOT(ISERROR(SEARCH("Non",L1)))</formula>
    </cfRule>
    <cfRule type="containsText" dxfId="302" priority="2" operator="containsText" text="Oui">
      <formula>NOT(ISERROR(SEARCH("Oui",L1)))</formula>
    </cfRule>
  </conditionalFormatting>
  <dataValidations disablePrompts="1" count="1">
    <dataValidation type="list" allowBlank="1" showInputMessage="1" showErrorMessage="1" sqref="L2:M6 B2:B6" xr:uid="{331238B5-CDF5-4B12-9FF5-DA037DE63A90}">
      <formula1>"Oui,Non"</formula1>
    </dataValidation>
  </dataValidations>
  <pageMargins left="0.7" right="0.7" top="0.75" bottom="0.75" header="0.3" footer="0.3"/>
  <pageSetup paperSize="9" scale="38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C3E34-A3A4-4E8F-A0BD-03927FE56077}">
  <sheetPr>
    <tabColor rgb="FFD9810B"/>
  </sheetPr>
  <dimension ref="A1:M12"/>
  <sheetViews>
    <sheetView tabSelected="1" zoomScale="70" zoomScaleNormal="70" zoomScaleSheetLayoutView="70" workbookViewId="0">
      <pane ySplit="1" topLeftCell="A2" activePane="bottomLeft" state="frozen"/>
      <selection activeCell="F2" sqref="F2"/>
      <selection pane="bottomLeft" activeCell="I15" sqref="I15"/>
    </sheetView>
  </sheetViews>
  <sheetFormatPr baseColWidth="10" defaultRowHeight="20.399999999999999" customHeight="1" x14ac:dyDescent="0.3"/>
  <cols>
    <col min="1" max="1" width="47" style="10" customWidth="1"/>
    <col min="2" max="2" width="11.5546875" style="1" customWidth="1"/>
    <col min="3" max="3" width="43.33203125" style="6" customWidth="1"/>
    <col min="4" max="4" width="26.5546875" customWidth="1"/>
    <col min="5" max="5" width="14.33203125" style="1" customWidth="1"/>
    <col min="6" max="6" width="15.88671875" style="110" customWidth="1"/>
    <col min="7" max="7" width="11.5546875" style="1"/>
    <col min="8" max="8" width="10.77734375" style="110" customWidth="1"/>
    <col min="9" max="10" width="11.5546875" style="110"/>
    <col min="11" max="11" width="34.6640625" style="1" customWidth="1"/>
    <col min="12" max="12" width="16.21875" style="1" customWidth="1"/>
    <col min="13" max="13" width="11" style="1" customWidth="1"/>
    <col min="14" max="14" width="19.44140625" style="1" customWidth="1"/>
    <col min="15" max="16384" width="11.5546875" style="1"/>
  </cols>
  <sheetData>
    <row r="1" spans="1:13" ht="57.6" customHeight="1" x14ac:dyDescent="0.3">
      <c r="A1" s="16" t="s">
        <v>345</v>
      </c>
      <c r="B1" s="16" t="s">
        <v>346</v>
      </c>
      <c r="C1" s="16" t="s">
        <v>347</v>
      </c>
      <c r="D1" s="16" t="s">
        <v>349</v>
      </c>
      <c r="E1" s="16" t="s">
        <v>350</v>
      </c>
      <c r="F1" s="165" t="s">
        <v>369</v>
      </c>
      <c r="G1" s="17" t="s">
        <v>348</v>
      </c>
      <c r="H1" s="165" t="s">
        <v>368</v>
      </c>
      <c r="I1" s="165" t="s">
        <v>352</v>
      </c>
      <c r="J1" s="165" t="s">
        <v>361</v>
      </c>
      <c r="K1" s="18" t="s">
        <v>354</v>
      </c>
      <c r="L1" s="16" t="s">
        <v>355</v>
      </c>
      <c r="M1" s="16" t="s">
        <v>356</v>
      </c>
    </row>
    <row r="2" spans="1:13" ht="20.399999999999999" customHeight="1" x14ac:dyDescent="0.3">
      <c r="A2" s="70" t="s">
        <v>7</v>
      </c>
      <c r="B2" s="40" t="s">
        <v>344</v>
      </c>
      <c r="C2" s="41"/>
      <c r="D2" s="40"/>
      <c r="E2" s="40"/>
      <c r="F2" s="108"/>
      <c r="G2" s="40"/>
      <c r="H2" s="108">
        <f>Isolation[[#This Row],[PRIX /U HT]]*G2</f>
        <v>0</v>
      </c>
      <c r="I2" s="108"/>
      <c r="J2" s="108">
        <f>(Isolation[[#This Row],[TOTAL HT]]*1.2)+I2</f>
        <v>0</v>
      </c>
      <c r="K2" s="40"/>
      <c r="L2" s="85"/>
      <c r="M2" s="40"/>
    </row>
    <row r="3" spans="1:13" ht="20.399999999999999" customHeight="1" x14ac:dyDescent="0.3">
      <c r="A3" s="70" t="s">
        <v>8</v>
      </c>
      <c r="B3" s="40" t="s">
        <v>344</v>
      </c>
      <c r="C3" s="41"/>
      <c r="D3" s="40"/>
      <c r="E3" s="40"/>
      <c r="F3" s="108"/>
      <c r="G3" s="40"/>
      <c r="H3" s="108">
        <f>Isolation[[#This Row],[PRIX /U HT]]*G3</f>
        <v>0</v>
      </c>
      <c r="I3" s="108"/>
      <c r="J3" s="108">
        <f>(Isolation[[#This Row],[TOTAL HT]]*1.2)+I3</f>
        <v>0</v>
      </c>
      <c r="K3" s="40"/>
      <c r="L3" s="40"/>
      <c r="M3" s="40"/>
    </row>
    <row r="4" spans="1:13" ht="40.200000000000003" customHeight="1" x14ac:dyDescent="0.3">
      <c r="A4" s="70" t="s">
        <v>66</v>
      </c>
      <c r="B4" s="40" t="s">
        <v>343</v>
      </c>
      <c r="C4" s="40" t="s">
        <v>109</v>
      </c>
      <c r="D4" s="40" t="s">
        <v>108</v>
      </c>
      <c r="E4" s="40">
        <v>23.35</v>
      </c>
      <c r="F4" s="108">
        <v>47.02</v>
      </c>
      <c r="G4" s="40">
        <v>1</v>
      </c>
      <c r="H4" s="108">
        <f>Isolation[[#This Row],[PRIX /U HT]]*G4</f>
        <v>47.02</v>
      </c>
      <c r="I4" s="108"/>
      <c r="J4" s="108">
        <f>(Isolation[[#This Row],[TOTAL HT]]*1.2)+I4</f>
        <v>56.423999999999999</v>
      </c>
      <c r="K4" s="48" t="s">
        <v>110</v>
      </c>
      <c r="L4" s="40" t="s">
        <v>343</v>
      </c>
      <c r="M4" s="40"/>
    </row>
    <row r="5" spans="1:13" ht="19.8" customHeight="1" x14ac:dyDescent="0.3">
      <c r="A5" s="70" t="s">
        <v>111</v>
      </c>
      <c r="B5" s="40" t="s">
        <v>343</v>
      </c>
      <c r="C5" s="40" t="s">
        <v>382</v>
      </c>
      <c r="D5" s="40" t="s">
        <v>168</v>
      </c>
      <c r="E5" s="40"/>
      <c r="F5" s="108">
        <v>20.54</v>
      </c>
      <c r="G5" s="40">
        <v>1</v>
      </c>
      <c r="H5" s="108">
        <f>Isolation[[#This Row],[PRIX /U HT]]*G5</f>
        <v>20.54</v>
      </c>
      <c r="I5" s="108"/>
      <c r="J5" s="108">
        <f>(Isolation[[#This Row],[TOTAL HT]]*1.2)+I5</f>
        <v>24.648</v>
      </c>
      <c r="K5" s="48"/>
      <c r="L5" s="40" t="s">
        <v>343</v>
      </c>
      <c r="M5" s="40"/>
    </row>
    <row r="6" spans="1:13" ht="20.399999999999999" customHeight="1" x14ac:dyDescent="0.3">
      <c r="A6" s="70" t="s">
        <v>9</v>
      </c>
      <c r="B6" s="40" t="s">
        <v>344</v>
      </c>
      <c r="C6" s="41"/>
      <c r="D6" s="40"/>
      <c r="E6" s="40"/>
      <c r="F6" s="108"/>
      <c r="G6" s="40"/>
      <c r="H6" s="108">
        <f>Isolation[[#This Row],[PRIX /U HT]]*G6</f>
        <v>0</v>
      </c>
      <c r="I6" s="108"/>
      <c r="J6" s="108">
        <f>(Isolation[[#This Row],[TOTAL HT]]*1.2)+I6</f>
        <v>0</v>
      </c>
      <c r="K6" s="40"/>
      <c r="L6" s="40"/>
      <c r="M6" s="40"/>
    </row>
    <row r="7" spans="1:13" ht="20.399999999999999" customHeight="1" x14ac:dyDescent="0.3">
      <c r="A7" s="70" t="s">
        <v>169</v>
      </c>
      <c r="B7" s="40" t="s">
        <v>343</v>
      </c>
      <c r="C7" s="40" t="s">
        <v>229</v>
      </c>
      <c r="D7" s="40" t="s">
        <v>168</v>
      </c>
      <c r="E7" s="40"/>
      <c r="F7" s="108">
        <v>102</v>
      </c>
      <c r="G7" s="40">
        <v>1</v>
      </c>
      <c r="H7" s="108">
        <f>Isolation[[#This Row],[PRIX /U HT]]*G7</f>
        <v>102</v>
      </c>
      <c r="I7" s="108"/>
      <c r="J7" s="108">
        <f>(Isolation[[#This Row],[TOTAL HT]]*1.2)+I7</f>
        <v>122.39999999999999</v>
      </c>
      <c r="K7" s="40"/>
      <c r="L7" s="40" t="s">
        <v>343</v>
      </c>
      <c r="M7" s="40"/>
    </row>
    <row r="8" spans="1:13" ht="20.399999999999999" customHeight="1" x14ac:dyDescent="0.3">
      <c r="A8" s="70" t="s">
        <v>171</v>
      </c>
      <c r="B8" s="40" t="s">
        <v>343</v>
      </c>
      <c r="C8" s="41" t="s">
        <v>172</v>
      </c>
      <c r="D8" s="40" t="s">
        <v>108</v>
      </c>
      <c r="E8" s="40"/>
      <c r="F8" s="108">
        <v>20.45</v>
      </c>
      <c r="G8" s="40">
        <v>1</v>
      </c>
      <c r="H8" s="108">
        <f>Isolation[[#This Row],[PRIX /U HT]]*G8</f>
        <v>20.45</v>
      </c>
      <c r="I8" s="108"/>
      <c r="J8" s="108">
        <f>(Isolation[[#This Row],[TOTAL HT]]*1.2)+I8</f>
        <v>24.54</v>
      </c>
      <c r="K8" s="40"/>
      <c r="L8" s="40" t="s">
        <v>343</v>
      </c>
      <c r="M8" s="40"/>
    </row>
    <row r="9" spans="1:13" ht="37.799999999999997" customHeight="1" x14ac:dyDescent="0.3">
      <c r="A9" s="70" t="s">
        <v>112</v>
      </c>
      <c r="B9" s="40" t="s">
        <v>343</v>
      </c>
      <c r="C9" s="41" t="s">
        <v>228</v>
      </c>
      <c r="D9" s="40" t="s">
        <v>108</v>
      </c>
      <c r="E9" s="40">
        <v>2</v>
      </c>
      <c r="F9" s="108">
        <v>89.42</v>
      </c>
      <c r="G9" s="40">
        <v>1</v>
      </c>
      <c r="H9" s="108">
        <f>Isolation[[#This Row],[PRIX /U HT]]*G9</f>
        <v>89.42</v>
      </c>
      <c r="I9" s="108"/>
      <c r="J9" s="108">
        <f>(Isolation[[#This Row],[TOTAL HT]]*1.2)+I9</f>
        <v>107.304</v>
      </c>
      <c r="K9" s="66"/>
      <c r="L9" s="40" t="s">
        <v>343</v>
      </c>
      <c r="M9" s="40"/>
    </row>
    <row r="10" spans="1:13" ht="20.399999999999999" customHeight="1" thickBot="1" x14ac:dyDescent="0.35">
      <c r="A10" s="70" t="s">
        <v>323</v>
      </c>
      <c r="B10" s="40" t="s">
        <v>343</v>
      </c>
      <c r="C10" s="41"/>
      <c r="D10" s="40"/>
      <c r="E10" s="103"/>
      <c r="F10" s="108"/>
      <c r="G10" s="40"/>
      <c r="H10" s="108">
        <f>Isolation[[#This Row],[PRIX /U HT]]*G10</f>
        <v>0</v>
      </c>
      <c r="I10" s="109"/>
      <c r="J10" s="109">
        <f>(Isolation[[#This Row],[TOTAL HT]]*1.2)+I10</f>
        <v>0</v>
      </c>
      <c r="K10" s="40"/>
      <c r="L10" s="40"/>
      <c r="M10" s="40"/>
    </row>
    <row r="11" spans="1:13" ht="20.399999999999999" customHeight="1" thickBot="1" x14ac:dyDescent="0.35">
      <c r="A11" s="107"/>
      <c r="B11" s="103"/>
      <c r="C11" s="104"/>
      <c r="D11" s="103"/>
      <c r="E11" s="112">
        <f>SUM(Isolation[POIDS (KG)])</f>
        <v>25.35</v>
      </c>
      <c r="F11" s="109"/>
      <c r="G11" s="103"/>
      <c r="H11" s="109"/>
      <c r="I11" s="113">
        <f>SUM(Isolation[FDP])</f>
        <v>0</v>
      </c>
      <c r="J11" s="166">
        <f>SUM(Isolation[TOTAL TTC])</f>
        <v>335.31599999999997</v>
      </c>
      <c r="K11" s="104"/>
      <c r="L11" s="103"/>
      <c r="M11" s="103"/>
    </row>
    <row r="12" spans="1:13" ht="20.399999999999999" customHeight="1" x14ac:dyDescent="0.3">
      <c r="G12" s="105"/>
      <c r="I12" s="111"/>
      <c r="J12" s="111"/>
      <c r="K12" s="106"/>
    </row>
  </sheetData>
  <conditionalFormatting sqref="M2 A2:C11 D2:K2 E11:N11 D3:M10">
    <cfRule type="expression" dxfId="271" priority="4">
      <formula>$B2="Oui"</formula>
    </cfRule>
  </conditionalFormatting>
  <conditionalFormatting sqref="M11:N1048576 L1:M10">
    <cfRule type="containsText" dxfId="270" priority="2" operator="containsText" text="Oui">
      <formula>NOT(ISERROR(SEARCH("Oui",L1)))</formula>
    </cfRule>
  </conditionalFormatting>
  <conditionalFormatting sqref="M11:N1048576 L1:M10">
    <cfRule type="containsText" dxfId="269" priority="1" operator="containsText" text="Non">
      <formula>NOT(ISERROR(SEARCH("Non",L1)))</formula>
    </cfRule>
  </conditionalFormatting>
  <dataValidations count="1">
    <dataValidation type="list" allowBlank="1" showInputMessage="1" showErrorMessage="1" sqref="L2:M10 B2:B10" xr:uid="{C5433B07-E0D8-4299-BF18-A29B96C5A495}">
      <formula1>"Oui,Non"</formula1>
    </dataValidation>
  </dataValidations>
  <pageMargins left="0.7" right="0.7" top="0.75" bottom="0.75" header="0.3" footer="0.3"/>
  <pageSetup paperSize="9" scale="31" orientation="portrait" r:id="rId1"/>
  <ignoredErrors>
    <ignoredError sqref="F4:F9" calculatedColumn="1"/>
  </ignoredErrors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2027A4-2493-44A3-A38B-B317AABEB261}">
  <sheetPr>
    <tabColor rgb="FFFFFF00"/>
  </sheetPr>
  <dimension ref="A1:M48"/>
  <sheetViews>
    <sheetView zoomScale="70" zoomScaleNormal="70" zoomScaleSheetLayoutView="40" workbookViewId="0">
      <pane ySplit="1" topLeftCell="A2" activePane="bottomLeft" state="frozen"/>
      <selection activeCell="F2" sqref="F2"/>
      <selection pane="bottomLeft" activeCell="K9" sqref="K9"/>
    </sheetView>
  </sheetViews>
  <sheetFormatPr baseColWidth="10" defaultRowHeight="20.399999999999999" customHeight="1" x14ac:dyDescent="0.3"/>
  <cols>
    <col min="1" max="1" width="28.5546875" style="11" customWidth="1"/>
    <col min="2" max="2" width="11.88671875" style="7" customWidth="1"/>
    <col min="3" max="3" width="45.6640625" style="8" customWidth="1"/>
    <col min="4" max="4" width="27.44140625" customWidth="1"/>
    <col min="5" max="5" width="12.5546875" style="7" customWidth="1"/>
    <col min="6" max="6" width="15.44140625" style="89" customWidth="1"/>
    <col min="7" max="7" width="15.21875" style="7" customWidth="1"/>
    <col min="8" max="8" width="13.6640625" style="115" customWidth="1"/>
    <col min="9" max="10" width="11.5546875" style="115"/>
    <col min="11" max="11" width="31" style="2" customWidth="1"/>
    <col min="12" max="12" width="19.44140625" style="2" customWidth="1"/>
    <col min="13" max="13" width="17.44140625" style="2" customWidth="1"/>
    <col min="14" max="16384" width="11.5546875" style="7"/>
  </cols>
  <sheetData>
    <row r="1" spans="1:13" ht="54" customHeight="1" x14ac:dyDescent="0.3">
      <c r="A1" s="116" t="s">
        <v>345</v>
      </c>
      <c r="B1" s="117" t="s">
        <v>346</v>
      </c>
      <c r="C1" s="117" t="s">
        <v>347</v>
      </c>
      <c r="D1" s="117" t="s">
        <v>349</v>
      </c>
      <c r="E1" s="117" t="s">
        <v>350</v>
      </c>
      <c r="F1" s="118" t="s">
        <v>369</v>
      </c>
      <c r="G1" s="117" t="s">
        <v>348</v>
      </c>
      <c r="H1" s="118" t="s">
        <v>368</v>
      </c>
      <c r="I1" s="118" t="s">
        <v>352</v>
      </c>
      <c r="J1" s="118" t="s">
        <v>353</v>
      </c>
      <c r="K1" s="119" t="s">
        <v>354</v>
      </c>
      <c r="L1" s="117" t="s">
        <v>355</v>
      </c>
      <c r="M1" s="120" t="s">
        <v>356</v>
      </c>
    </row>
    <row r="2" spans="1:13" ht="20.399999999999999" customHeight="1" x14ac:dyDescent="0.3">
      <c r="A2" s="47" t="s">
        <v>24</v>
      </c>
      <c r="B2" s="48" t="s">
        <v>344</v>
      </c>
      <c r="C2" s="68"/>
      <c r="D2" s="51"/>
      <c r="E2" s="51"/>
      <c r="F2" s="88"/>
      <c r="G2" s="51"/>
      <c r="H2" s="114">
        <f>Electricité[[#This Row],[PRIX /U HT]]*Electricité[[#This Row],[QUANTITE]]</f>
        <v>0</v>
      </c>
      <c r="I2" s="114"/>
      <c r="J2" s="86">
        <f>(Electricité[[#This Row],[TOTAL HT]]*1.2)+Electricité[[#This Row],[FDP]]</f>
        <v>0</v>
      </c>
      <c r="K2" s="48"/>
      <c r="L2" s="48"/>
      <c r="M2" s="48"/>
    </row>
    <row r="3" spans="1:13" ht="56.4" customHeight="1" x14ac:dyDescent="0.3">
      <c r="A3" s="47" t="s">
        <v>225</v>
      </c>
      <c r="B3" s="48" t="s">
        <v>343</v>
      </c>
      <c r="C3" s="49" t="s">
        <v>227</v>
      </c>
      <c r="D3" s="48" t="s">
        <v>94</v>
      </c>
      <c r="E3" s="48"/>
      <c r="F3" s="88">
        <v>14.33</v>
      </c>
      <c r="G3" s="48">
        <v>1</v>
      </c>
      <c r="H3" s="86">
        <f>Electricité[[#This Row],[PRIX /U HT]]*Electricité[[#This Row],[QUANTITE]]</f>
        <v>14.33</v>
      </c>
      <c r="I3" s="86"/>
      <c r="J3" s="86">
        <f>(Electricité[[#This Row],[TOTAL HT]]*1.2)+Electricité[[#This Row],[FDP]]</f>
        <v>17.195999999999998</v>
      </c>
      <c r="K3" s="69" t="s">
        <v>226</v>
      </c>
      <c r="L3" s="48"/>
      <c r="M3" s="48"/>
    </row>
    <row r="4" spans="1:13" ht="31.8" customHeight="1" x14ac:dyDescent="0.3">
      <c r="A4" s="47" t="s">
        <v>190</v>
      </c>
      <c r="B4" s="48" t="s">
        <v>344</v>
      </c>
      <c r="C4" s="49"/>
      <c r="D4" s="48"/>
      <c r="E4" s="48"/>
      <c r="F4" s="88"/>
      <c r="G4" s="48">
        <v>1</v>
      </c>
      <c r="H4" s="86">
        <f>Electricité[[#This Row],[PRIX /U HT]]*Electricité[[#This Row],[QUANTITE]]</f>
        <v>0</v>
      </c>
      <c r="I4" s="86"/>
      <c r="J4" s="86">
        <f>(Electricité[[#This Row],[TOTAL HT]]*1.2)+Electricité[[#This Row],[FDP]]</f>
        <v>0</v>
      </c>
      <c r="K4" s="48"/>
      <c r="L4" s="48"/>
      <c r="M4" s="48"/>
    </row>
    <row r="5" spans="1:13" ht="28.2" customHeight="1" x14ac:dyDescent="0.3">
      <c r="A5" s="47" t="s">
        <v>388</v>
      </c>
      <c r="B5" s="48" t="s">
        <v>343</v>
      </c>
      <c r="C5" s="49" t="s">
        <v>390</v>
      </c>
      <c r="D5" s="48" t="s">
        <v>389</v>
      </c>
      <c r="E5" s="48" t="s">
        <v>170</v>
      </c>
      <c r="F5" s="88">
        <v>146.47999999999999</v>
      </c>
      <c r="G5" s="48">
        <v>1</v>
      </c>
      <c r="H5" s="86">
        <f>Electricité[[#This Row],[PRIX /U HT]]*Electricité[[#This Row],[QUANTITE]]</f>
        <v>146.47999999999999</v>
      </c>
      <c r="I5" s="86"/>
      <c r="J5" s="86">
        <f>(Electricité[[#This Row],[TOTAL HT]]*1.2)+Electricité[[#This Row],[FDP]]</f>
        <v>175.77599999999998</v>
      </c>
      <c r="K5" s="48" t="s">
        <v>381</v>
      </c>
      <c r="L5" s="48" t="s">
        <v>343</v>
      </c>
      <c r="M5" s="48"/>
    </row>
    <row r="6" spans="1:13" ht="20.399999999999999" customHeight="1" x14ac:dyDescent="0.3">
      <c r="A6" s="47" t="s">
        <v>30</v>
      </c>
      <c r="B6" s="48" t="s">
        <v>344</v>
      </c>
      <c r="C6" s="49"/>
      <c r="D6" s="48"/>
      <c r="E6" s="48"/>
      <c r="F6" s="88"/>
      <c r="G6" s="48"/>
      <c r="H6" s="86">
        <f>Electricité[[#This Row],[PRIX /U HT]]*Electricité[[#This Row],[QUANTITE]]</f>
        <v>0</v>
      </c>
      <c r="I6" s="86"/>
      <c r="J6" s="86">
        <f>(Electricité[[#This Row],[TOTAL HT]]*1.2)+Electricité[[#This Row],[FDP]]</f>
        <v>0</v>
      </c>
      <c r="K6" s="48"/>
      <c r="L6" s="48"/>
      <c r="M6" s="48"/>
    </row>
    <row r="7" spans="1:13" ht="61.2" customHeight="1" x14ac:dyDescent="0.3">
      <c r="A7" s="47" t="s">
        <v>192</v>
      </c>
      <c r="B7" s="48" t="s">
        <v>343</v>
      </c>
      <c r="C7" s="49" t="s">
        <v>370</v>
      </c>
      <c r="D7" s="48" t="s">
        <v>342</v>
      </c>
      <c r="E7" s="48"/>
      <c r="F7" s="88">
        <v>19.829999999999998</v>
      </c>
      <c r="G7" s="48"/>
      <c r="H7" s="86">
        <f>Electricité[[#This Row],[PRIX /U HT]]*Electricité[[#This Row],[QUANTITE]]</f>
        <v>0</v>
      </c>
      <c r="I7" s="114"/>
      <c r="J7" s="86">
        <f>(Electricité[[#This Row],[TOTAL HT]]*1.2)+Electricité[[#This Row],[FDP]]</f>
        <v>0</v>
      </c>
      <c r="K7" s="48" t="s">
        <v>383</v>
      </c>
      <c r="L7" s="48"/>
      <c r="M7" s="48"/>
    </row>
    <row r="8" spans="1:13" ht="43.2" customHeight="1" x14ac:dyDescent="0.3">
      <c r="A8" s="47" t="s">
        <v>180</v>
      </c>
      <c r="B8" s="48" t="s">
        <v>343</v>
      </c>
      <c r="C8" s="49" t="s">
        <v>371</v>
      </c>
      <c r="D8" s="48" t="s">
        <v>342</v>
      </c>
      <c r="E8" s="48"/>
      <c r="F8" s="88">
        <v>16.670000000000002</v>
      </c>
      <c r="G8" s="48"/>
      <c r="H8" s="86">
        <f>Electricité[[#This Row],[PRIX /U HT]]*Electricité[[#This Row],[QUANTITE]]</f>
        <v>0</v>
      </c>
      <c r="I8" s="86"/>
      <c r="J8" s="86">
        <f>(Electricité[[#This Row],[TOTAL HT]]*1.2)+Electricité[[#This Row],[FDP]]</f>
        <v>0</v>
      </c>
      <c r="K8" s="48" t="s">
        <v>384</v>
      </c>
      <c r="L8" s="48"/>
      <c r="M8" s="48"/>
    </row>
    <row r="9" spans="1:13" ht="43.2" customHeight="1" x14ac:dyDescent="0.3">
      <c r="A9" s="47" t="s">
        <v>23</v>
      </c>
      <c r="B9" s="48" t="s">
        <v>343</v>
      </c>
      <c r="C9" s="49" t="s">
        <v>372</v>
      </c>
      <c r="D9" s="48" t="s">
        <v>342</v>
      </c>
      <c r="E9" s="48"/>
      <c r="F9" s="88">
        <v>54.08</v>
      </c>
      <c r="G9" s="48"/>
      <c r="H9" s="86">
        <f>Electricité[[#This Row],[PRIX /U HT]]*Electricité[[#This Row],[QUANTITE]]</f>
        <v>0</v>
      </c>
      <c r="I9" s="86"/>
      <c r="J9" s="86">
        <f>(Electricité[[#This Row],[TOTAL HT]]*1.2)+Electricité[[#This Row],[FDP]]</f>
        <v>0</v>
      </c>
      <c r="K9" s="48" t="s">
        <v>385</v>
      </c>
      <c r="L9" s="48"/>
      <c r="M9" s="48"/>
    </row>
    <row r="10" spans="1:13" ht="41.4" customHeight="1" x14ac:dyDescent="0.3">
      <c r="A10" s="47" t="s">
        <v>177</v>
      </c>
      <c r="B10" s="48" t="s">
        <v>343</v>
      </c>
      <c r="C10" s="49" t="s">
        <v>373</v>
      </c>
      <c r="D10" s="48" t="s">
        <v>342</v>
      </c>
      <c r="E10" s="48"/>
      <c r="F10" s="88">
        <v>99.17</v>
      </c>
      <c r="G10" s="48"/>
      <c r="H10" s="86">
        <f>Electricité[[#This Row],[PRIX /U HT]]*Electricité[[#This Row],[QUANTITE]]</f>
        <v>0</v>
      </c>
      <c r="I10" s="86"/>
      <c r="J10" s="86">
        <f>(Electricité[[#This Row],[TOTAL HT]]*1.2)+Electricité[[#This Row],[FDP]]</f>
        <v>0</v>
      </c>
      <c r="K10" s="48" t="s">
        <v>386</v>
      </c>
      <c r="L10" s="48"/>
      <c r="M10" s="48"/>
    </row>
    <row r="11" spans="1:13" ht="43.2" customHeight="1" x14ac:dyDescent="0.3">
      <c r="A11" s="47" t="s">
        <v>181</v>
      </c>
      <c r="B11" s="48" t="s">
        <v>343</v>
      </c>
      <c r="C11" s="49" t="s">
        <v>374</v>
      </c>
      <c r="D11" s="48" t="s">
        <v>342</v>
      </c>
      <c r="E11" s="48"/>
      <c r="F11" s="88">
        <v>28.25</v>
      </c>
      <c r="G11" s="48"/>
      <c r="H11" s="86">
        <f>Electricité[[#This Row],[PRIX /U HT]]*Electricité[[#This Row],[QUANTITE]]</f>
        <v>0</v>
      </c>
      <c r="I11" s="86"/>
      <c r="J11" s="86">
        <f>(Electricité[[#This Row],[TOTAL HT]]*1.2)+Electricité[[#This Row],[FDP]]</f>
        <v>0</v>
      </c>
      <c r="K11" s="48" t="s">
        <v>387</v>
      </c>
      <c r="L11" s="48"/>
      <c r="M11" s="48"/>
    </row>
    <row r="12" spans="1:13" ht="28.2" customHeight="1" x14ac:dyDescent="0.3">
      <c r="A12" s="47" t="s">
        <v>271</v>
      </c>
      <c r="B12" s="48" t="s">
        <v>343</v>
      </c>
      <c r="C12" s="49" t="s">
        <v>272</v>
      </c>
      <c r="D12" s="48"/>
      <c r="E12" s="48"/>
      <c r="F12" s="88"/>
      <c r="G12" s="48">
        <v>1</v>
      </c>
      <c r="H12" s="86">
        <f>Electricité[[#This Row],[PRIX /U HT]]*Electricité[[#This Row],[QUANTITE]]</f>
        <v>0</v>
      </c>
      <c r="I12" s="86"/>
      <c r="J12" s="86">
        <f>(Electricité[[#This Row],[TOTAL HT]]*1.2)+Electricité[[#This Row],[FDP]]</f>
        <v>0</v>
      </c>
      <c r="K12" s="69"/>
      <c r="L12" s="48"/>
      <c r="M12" s="48"/>
    </row>
    <row r="13" spans="1:13" ht="28.2" customHeight="1" x14ac:dyDescent="0.3">
      <c r="A13" s="47" t="s">
        <v>91</v>
      </c>
      <c r="B13" s="48" t="s">
        <v>343</v>
      </c>
      <c r="C13" s="49" t="s">
        <v>269</v>
      </c>
      <c r="D13" s="48" t="s">
        <v>389</v>
      </c>
      <c r="E13" s="48">
        <v>0.4</v>
      </c>
      <c r="F13" s="88">
        <v>101.15</v>
      </c>
      <c r="G13" s="48">
        <v>1</v>
      </c>
      <c r="H13" s="86">
        <f>Electricité[[#This Row],[PRIX /U HT]]*Electricité[[#This Row],[QUANTITE]]</f>
        <v>101.15</v>
      </c>
      <c r="I13" s="86"/>
      <c r="J13" s="86">
        <f>(Electricité[[#This Row],[TOTAL HT]]*1.2)+Electricité[[#This Row],[FDP]]</f>
        <v>121.38</v>
      </c>
      <c r="K13" s="69"/>
      <c r="L13" s="48" t="s">
        <v>343</v>
      </c>
      <c r="M13" s="48"/>
    </row>
    <row r="14" spans="1:13" ht="43.2" customHeight="1" x14ac:dyDescent="0.3">
      <c r="A14" s="47" t="s">
        <v>191</v>
      </c>
      <c r="B14" s="48" t="s">
        <v>343</v>
      </c>
      <c r="C14" s="49" t="s">
        <v>193</v>
      </c>
      <c r="D14" s="48" t="s">
        <v>94</v>
      </c>
      <c r="E14" s="48"/>
      <c r="F14" s="88">
        <v>13.33</v>
      </c>
      <c r="G14" s="48">
        <v>1</v>
      </c>
      <c r="H14" s="86">
        <f>Electricité[[#This Row],[PRIX /U HT]]*Electricité[[#This Row],[QUANTITE]]</f>
        <v>13.33</v>
      </c>
      <c r="I14" s="86"/>
      <c r="J14" s="86">
        <f>(Electricité[[#This Row],[TOTAL HT]]*1.2)+Electricité[[#This Row],[FDP]]</f>
        <v>15.995999999999999</v>
      </c>
      <c r="K14" s="69" t="s">
        <v>270</v>
      </c>
      <c r="L14" s="48"/>
      <c r="M14" s="48"/>
    </row>
    <row r="15" spans="1:13" ht="28.2" customHeight="1" x14ac:dyDescent="0.3">
      <c r="A15" s="47" t="s">
        <v>65</v>
      </c>
      <c r="B15" s="48" t="s">
        <v>344</v>
      </c>
      <c r="C15" s="49"/>
      <c r="D15" s="48"/>
      <c r="E15" s="48"/>
      <c r="F15" s="88"/>
      <c r="G15" s="48"/>
      <c r="H15" s="86">
        <f>Electricité[[#This Row],[PRIX /U HT]]*Electricité[[#This Row],[QUANTITE]]</f>
        <v>0</v>
      </c>
      <c r="I15" s="86"/>
      <c r="J15" s="86">
        <f>(Electricité[[#This Row],[TOTAL HT]]*1.2)+Electricité[[#This Row],[FDP]]</f>
        <v>0</v>
      </c>
      <c r="K15" s="48"/>
      <c r="L15" s="48"/>
      <c r="M15" s="48"/>
    </row>
    <row r="16" spans="1:13" ht="43.2" customHeight="1" x14ac:dyDescent="0.3">
      <c r="A16" s="47" t="s">
        <v>88</v>
      </c>
      <c r="B16" s="48" t="s">
        <v>343</v>
      </c>
      <c r="C16" s="49" t="s">
        <v>90</v>
      </c>
      <c r="D16" s="48" t="s">
        <v>80</v>
      </c>
      <c r="E16" s="48">
        <v>2.4</v>
      </c>
      <c r="F16" s="88">
        <v>95.54</v>
      </c>
      <c r="G16" s="48">
        <v>1</v>
      </c>
      <c r="H16" s="86">
        <f>Electricité[[#This Row],[PRIX /U HT]]*Electricité[[#This Row],[QUANTITE]]</f>
        <v>95.54</v>
      </c>
      <c r="I16" s="86">
        <v>7.8</v>
      </c>
      <c r="J16" s="86">
        <f>(Electricité[[#This Row],[TOTAL HT]]*1.2)+Electricité[[#This Row],[FDP]]</f>
        <v>122.44800000000001</v>
      </c>
      <c r="K16" s="48"/>
      <c r="L16" s="48"/>
      <c r="M16" s="48"/>
    </row>
    <row r="17" spans="1:13" ht="53.4" customHeight="1" x14ac:dyDescent="0.3">
      <c r="A17" s="47" t="s">
        <v>89</v>
      </c>
      <c r="B17" s="48" t="s">
        <v>344</v>
      </c>
      <c r="C17" s="49"/>
      <c r="D17" s="48"/>
      <c r="E17" s="48"/>
      <c r="F17" s="88"/>
      <c r="G17" s="48"/>
      <c r="H17" s="86">
        <f>Electricité[[#This Row],[PRIX /U HT]]*Electricité[[#This Row],[QUANTITE]]</f>
        <v>0</v>
      </c>
      <c r="I17" s="86"/>
      <c r="J17" s="86">
        <f>(Electricité[[#This Row],[TOTAL HT]]*1.2)+Electricité[[#This Row],[FDP]]</f>
        <v>0</v>
      </c>
      <c r="K17" s="48"/>
      <c r="L17" s="48"/>
      <c r="M17" s="48"/>
    </row>
    <row r="18" spans="1:13" ht="34.200000000000003" customHeight="1" x14ac:dyDescent="0.3">
      <c r="A18" s="47" t="s">
        <v>25</v>
      </c>
      <c r="B18" s="49" t="s">
        <v>343</v>
      </c>
      <c r="C18" s="48" t="s">
        <v>196</v>
      </c>
      <c r="D18" s="48" t="s">
        <v>94</v>
      </c>
      <c r="E18" s="48"/>
      <c r="F18" s="88">
        <v>20.5</v>
      </c>
      <c r="G18" s="48">
        <v>1</v>
      </c>
      <c r="H18" s="86">
        <f>Electricité[[#This Row],[PRIX /U HT]]*Electricité[[#This Row],[QUANTITE]]</f>
        <v>20.5</v>
      </c>
      <c r="I18" s="86"/>
      <c r="J18" s="86">
        <f>(Electricité[[#This Row],[TOTAL HT]]*1.2)+Electricité[[#This Row],[FDP]]</f>
        <v>24.599999999999998</v>
      </c>
      <c r="K18" s="48"/>
      <c r="L18" s="48"/>
      <c r="M18" s="48"/>
    </row>
    <row r="19" spans="1:13" ht="28.2" customHeight="1" x14ac:dyDescent="0.3">
      <c r="A19" s="50" t="s">
        <v>194</v>
      </c>
      <c r="B19" s="48" t="s">
        <v>343</v>
      </c>
      <c r="C19" s="49" t="s">
        <v>195</v>
      </c>
      <c r="D19" s="48" t="s">
        <v>94</v>
      </c>
      <c r="E19" s="48"/>
      <c r="F19" s="88">
        <v>12.5</v>
      </c>
      <c r="G19" s="48">
        <v>1</v>
      </c>
      <c r="H19" s="86">
        <f>Electricité[[#This Row],[PRIX /U HT]]*Electricité[[#This Row],[QUANTITE]]</f>
        <v>12.5</v>
      </c>
      <c r="I19" s="86"/>
      <c r="J19" s="86">
        <f>(Electricité[[#This Row],[TOTAL HT]]*1.2)+Electricité[[#This Row],[FDP]]</f>
        <v>15</v>
      </c>
      <c r="K19" s="48"/>
      <c r="L19" s="48"/>
      <c r="M19" s="48"/>
    </row>
    <row r="20" spans="1:13" ht="28.2" customHeight="1" x14ac:dyDescent="0.3">
      <c r="A20" s="50" t="s">
        <v>25</v>
      </c>
      <c r="B20" s="48" t="s">
        <v>343</v>
      </c>
      <c r="C20" s="49" t="s">
        <v>183</v>
      </c>
      <c r="D20" s="48" t="s">
        <v>94</v>
      </c>
      <c r="E20" s="48"/>
      <c r="F20" s="88">
        <v>6.93</v>
      </c>
      <c r="G20" s="48">
        <v>2</v>
      </c>
      <c r="H20" s="86">
        <f>Electricité[[#This Row],[PRIX /U HT]]*Electricité[[#This Row],[QUANTITE]]</f>
        <v>13.86</v>
      </c>
      <c r="I20" s="86"/>
      <c r="J20" s="86">
        <f>(Electricité[[#This Row],[TOTAL HT]]*1.2)+Electricité[[#This Row],[FDP]]</f>
        <v>16.631999999999998</v>
      </c>
      <c r="K20" s="48" t="s">
        <v>197</v>
      </c>
      <c r="L20" s="48"/>
      <c r="M20" s="48"/>
    </row>
    <row r="21" spans="1:13" ht="20.399999999999999" customHeight="1" x14ac:dyDescent="0.3">
      <c r="A21" s="47" t="s">
        <v>32</v>
      </c>
      <c r="B21" s="48" t="s">
        <v>343</v>
      </c>
      <c r="C21" s="49" t="s">
        <v>176</v>
      </c>
      <c r="D21" s="48" t="s">
        <v>82</v>
      </c>
      <c r="E21" s="48">
        <v>0.01</v>
      </c>
      <c r="F21" s="88">
        <v>40.74</v>
      </c>
      <c r="G21" s="48">
        <v>1</v>
      </c>
      <c r="H21" s="86">
        <f>Electricité[[#This Row],[PRIX /U HT]]*Electricité[[#This Row],[QUANTITE]]</f>
        <v>40.74</v>
      </c>
      <c r="I21" s="86">
        <v>5.99</v>
      </c>
      <c r="J21" s="86">
        <f>(Electricité[[#This Row],[TOTAL HT]]*1.2)+Electricité[[#This Row],[FDP]]</f>
        <v>54.878</v>
      </c>
      <c r="K21" s="48"/>
      <c r="L21" s="48"/>
      <c r="M21" s="48"/>
    </row>
    <row r="22" spans="1:13" ht="21" customHeight="1" x14ac:dyDescent="0.3">
      <c r="A22" s="47" t="s">
        <v>187</v>
      </c>
      <c r="B22" s="48" t="s">
        <v>344</v>
      </c>
      <c r="C22" s="49" t="s">
        <v>188</v>
      </c>
      <c r="D22" s="48"/>
      <c r="E22" s="48"/>
      <c r="F22" s="88"/>
      <c r="G22" s="48">
        <v>1</v>
      </c>
      <c r="H22" s="86">
        <f>Electricité[[#This Row],[PRIX /U HT]]*Electricité[[#This Row],[QUANTITE]]</f>
        <v>0</v>
      </c>
      <c r="I22" s="86"/>
      <c r="J22" s="86">
        <f>(Electricité[[#This Row],[TOTAL HT]]*1.2)+Electricité[[#This Row],[FDP]]</f>
        <v>0</v>
      </c>
      <c r="K22" s="48"/>
      <c r="L22" s="48"/>
      <c r="M22" s="48"/>
    </row>
    <row r="23" spans="1:13" ht="21" customHeight="1" x14ac:dyDescent="0.3">
      <c r="A23" s="47" t="s">
        <v>29</v>
      </c>
      <c r="B23" s="48" t="s">
        <v>343</v>
      </c>
      <c r="C23" s="49" t="s">
        <v>198</v>
      </c>
      <c r="D23" s="48" t="s">
        <v>94</v>
      </c>
      <c r="E23" s="48"/>
      <c r="F23" s="88">
        <v>15.83</v>
      </c>
      <c r="G23" s="48">
        <v>2</v>
      </c>
      <c r="H23" s="86">
        <f>Electricité[[#This Row],[PRIX /U HT]]*Electricité[[#This Row],[QUANTITE]]</f>
        <v>31.66</v>
      </c>
      <c r="I23" s="86"/>
      <c r="J23" s="86">
        <f>(Electricité[[#This Row],[TOTAL HT]]*1.2)+Electricité[[#This Row],[FDP]]</f>
        <v>37.991999999999997</v>
      </c>
      <c r="K23" s="48"/>
      <c r="L23" s="48"/>
      <c r="M23" s="48"/>
    </row>
    <row r="24" spans="1:13" ht="28.2" customHeight="1" x14ac:dyDescent="0.3">
      <c r="A24" s="47" t="s">
        <v>29</v>
      </c>
      <c r="B24" s="48" t="s">
        <v>344</v>
      </c>
      <c r="C24" s="49" t="s">
        <v>199</v>
      </c>
      <c r="D24" s="48" t="s">
        <v>94</v>
      </c>
      <c r="E24" s="48"/>
      <c r="F24" s="88"/>
      <c r="G24" s="48"/>
      <c r="H24" s="86">
        <f>Electricité[[#This Row],[PRIX /U HT]]*Electricité[[#This Row],[QUANTITE]]</f>
        <v>0</v>
      </c>
      <c r="I24" s="86"/>
      <c r="J24" s="86">
        <f>(Electricité[[#This Row],[TOTAL HT]]*1.2)+Electricité[[#This Row],[FDP]]</f>
        <v>0</v>
      </c>
      <c r="K24" s="48" t="s">
        <v>217</v>
      </c>
      <c r="L24" s="48"/>
      <c r="M24" s="48"/>
    </row>
    <row r="25" spans="1:13" ht="28.2" customHeight="1" x14ac:dyDescent="0.3">
      <c r="A25" s="47" t="s">
        <v>184</v>
      </c>
      <c r="B25" s="48" t="s">
        <v>343</v>
      </c>
      <c r="C25" s="49" t="s">
        <v>200</v>
      </c>
      <c r="D25" s="48" t="s">
        <v>94</v>
      </c>
      <c r="E25" s="48"/>
      <c r="F25" s="88">
        <v>39.07</v>
      </c>
      <c r="G25" s="48">
        <v>1</v>
      </c>
      <c r="H25" s="86">
        <f>Electricité[[#This Row],[PRIX /U HT]]*Electricité[[#This Row],[QUANTITE]]</f>
        <v>39.07</v>
      </c>
      <c r="I25" s="86"/>
      <c r="J25" s="86">
        <f>(Electricité[[#This Row],[TOTAL HT]]*1.2)+Electricité[[#This Row],[FDP]]</f>
        <v>46.884</v>
      </c>
      <c r="K25" s="69"/>
      <c r="L25" s="48"/>
      <c r="M25" s="48"/>
    </row>
    <row r="26" spans="1:13" ht="20.399999999999999" customHeight="1" x14ac:dyDescent="0.3">
      <c r="A26" s="47" t="s">
        <v>28</v>
      </c>
      <c r="B26" s="48" t="s">
        <v>343</v>
      </c>
      <c r="C26" s="49" t="s">
        <v>203</v>
      </c>
      <c r="D26" s="48" t="s">
        <v>94</v>
      </c>
      <c r="E26" s="48"/>
      <c r="F26" s="88">
        <v>3.61</v>
      </c>
      <c r="G26" s="48">
        <v>1</v>
      </c>
      <c r="H26" s="86">
        <f>Electricité[[#This Row],[PRIX /U HT]]*Electricité[[#This Row],[QUANTITE]]</f>
        <v>3.61</v>
      </c>
      <c r="I26" s="86"/>
      <c r="J26" s="86">
        <f>(Electricité[[#This Row],[TOTAL HT]]*1.2)+Electricité[[#This Row],[FDP]]</f>
        <v>4.3319999999999999</v>
      </c>
      <c r="K26" s="48"/>
      <c r="L26" s="48"/>
      <c r="M26" s="48"/>
    </row>
    <row r="27" spans="1:13" ht="20.399999999999999" customHeight="1" x14ac:dyDescent="0.3">
      <c r="A27" s="47" t="s">
        <v>207</v>
      </c>
      <c r="B27" s="48" t="s">
        <v>343</v>
      </c>
      <c r="C27" s="49" t="s">
        <v>208</v>
      </c>
      <c r="D27" s="48" t="s">
        <v>94</v>
      </c>
      <c r="E27" s="48"/>
      <c r="F27" s="88">
        <v>13.33</v>
      </c>
      <c r="G27" s="48">
        <v>1</v>
      </c>
      <c r="H27" s="86">
        <f>Electricité[[#This Row],[PRIX /U HT]]*Electricité[[#This Row],[QUANTITE]]</f>
        <v>13.33</v>
      </c>
      <c r="I27" s="86"/>
      <c r="J27" s="86">
        <f>(Electricité[[#This Row],[TOTAL HT]]*1.2)+Electricité[[#This Row],[FDP]]</f>
        <v>15.995999999999999</v>
      </c>
      <c r="K27" s="48"/>
      <c r="L27" s="48"/>
      <c r="M27" s="48"/>
    </row>
    <row r="28" spans="1:13" ht="20.399999999999999" customHeight="1" x14ac:dyDescent="0.3">
      <c r="A28" s="47" t="s">
        <v>182</v>
      </c>
      <c r="B28" s="48" t="s">
        <v>343</v>
      </c>
      <c r="C28" s="49" t="s">
        <v>215</v>
      </c>
      <c r="D28" s="48" t="s">
        <v>94</v>
      </c>
      <c r="E28" s="48"/>
      <c r="F28" s="88">
        <v>6.41</v>
      </c>
      <c r="G28" s="48">
        <v>1</v>
      </c>
      <c r="H28" s="86">
        <f>Electricité[[#This Row],[PRIX /U HT]]*Electricité[[#This Row],[QUANTITE]]</f>
        <v>6.41</v>
      </c>
      <c r="I28" s="86"/>
      <c r="J28" s="86">
        <f>(Electricité[[#This Row],[TOTAL HT]]*1.2)+Electricité[[#This Row],[FDP]]</f>
        <v>7.6920000000000002</v>
      </c>
      <c r="K28" s="48"/>
      <c r="L28" s="48"/>
      <c r="M28" s="48"/>
    </row>
    <row r="29" spans="1:13" ht="20.399999999999999" customHeight="1" x14ac:dyDescent="0.3">
      <c r="A29" s="47" t="s">
        <v>182</v>
      </c>
      <c r="B29" s="48" t="s">
        <v>343</v>
      </c>
      <c r="C29" s="49" t="s">
        <v>216</v>
      </c>
      <c r="D29" s="48" t="s">
        <v>94</v>
      </c>
      <c r="E29" s="48"/>
      <c r="F29" s="88">
        <v>6.41</v>
      </c>
      <c r="G29" s="48">
        <v>1</v>
      </c>
      <c r="H29" s="86">
        <f>Electricité[[#This Row],[PRIX /U HT]]*Electricité[[#This Row],[QUANTITE]]</f>
        <v>6.41</v>
      </c>
      <c r="I29" s="86"/>
      <c r="J29" s="86">
        <f>(Electricité[[#This Row],[TOTAL HT]]*1.2)+Electricité[[#This Row],[FDP]]</f>
        <v>7.6920000000000002</v>
      </c>
      <c r="K29" s="48"/>
      <c r="L29" s="48"/>
      <c r="M29" s="48"/>
    </row>
    <row r="30" spans="1:13" ht="20.399999999999999" customHeight="1" x14ac:dyDescent="0.3">
      <c r="A30" s="47" t="s">
        <v>26</v>
      </c>
      <c r="B30" s="48" t="s">
        <v>344</v>
      </c>
      <c r="C30" s="49"/>
      <c r="D30" s="48"/>
      <c r="E30" s="48"/>
      <c r="F30" s="88"/>
      <c r="G30" s="48"/>
      <c r="H30" s="86">
        <f>Electricité[[#This Row],[PRIX /U HT]]*Electricité[[#This Row],[QUANTITE]]</f>
        <v>0</v>
      </c>
      <c r="I30" s="86"/>
      <c r="J30" s="86">
        <f>(Electricité[[#This Row],[TOTAL HT]]*1.2)+Electricité[[#This Row],[FDP]]</f>
        <v>0</v>
      </c>
      <c r="K30" s="48"/>
      <c r="L30" s="48"/>
      <c r="M30" s="48"/>
    </row>
    <row r="31" spans="1:13" ht="28.2" customHeight="1" x14ac:dyDescent="0.3">
      <c r="A31" s="47" t="s">
        <v>218</v>
      </c>
      <c r="B31" s="48" t="s">
        <v>343</v>
      </c>
      <c r="C31" s="49" t="s">
        <v>268</v>
      </c>
      <c r="D31" s="48" t="s">
        <v>342</v>
      </c>
      <c r="E31" s="48"/>
      <c r="F31" s="88">
        <v>21.58</v>
      </c>
      <c r="G31" s="48">
        <v>1</v>
      </c>
      <c r="H31" s="86">
        <f>Electricité[[#This Row],[PRIX /U HT]]*Electricité[[#This Row],[QUANTITE]]</f>
        <v>21.58</v>
      </c>
      <c r="I31" s="86">
        <v>0</v>
      </c>
      <c r="J31" s="86">
        <f>(Electricité[[#This Row],[TOTAL HT]]*1.2)+Electricité[[#This Row],[FDP]]</f>
        <v>25.895999999999997</v>
      </c>
      <c r="K31" s="66" t="s">
        <v>219</v>
      </c>
      <c r="L31" s="48"/>
      <c r="M31" s="48"/>
    </row>
    <row r="32" spans="1:13" ht="28.2" customHeight="1" x14ac:dyDescent="0.3">
      <c r="A32" s="47" t="s">
        <v>230</v>
      </c>
      <c r="B32" s="49" t="s">
        <v>343</v>
      </c>
      <c r="C32" s="51"/>
      <c r="D32" s="48"/>
      <c r="E32" s="48"/>
      <c r="F32" s="88"/>
      <c r="G32" s="48"/>
      <c r="H32" s="86">
        <f>Electricité[[#This Row],[PRIX /U HT]]*Electricité[[#This Row],[QUANTITE]]</f>
        <v>0</v>
      </c>
      <c r="I32" s="86"/>
      <c r="J32" s="86">
        <f>(Electricité[[#This Row],[TOTAL HT]]*1.2)+Electricité[[#This Row],[FDP]]</f>
        <v>0</v>
      </c>
      <c r="K32" s="66"/>
      <c r="L32" s="48"/>
      <c r="M32" s="48"/>
    </row>
    <row r="33" spans="1:13" ht="46.2" customHeight="1" x14ac:dyDescent="0.3">
      <c r="A33" s="47" t="s">
        <v>220</v>
      </c>
      <c r="B33" s="48" t="s">
        <v>343</v>
      </c>
      <c r="C33" s="49" t="s">
        <v>221</v>
      </c>
      <c r="D33" s="48" t="s">
        <v>94</v>
      </c>
      <c r="E33" s="48"/>
      <c r="F33" s="88">
        <v>8.33</v>
      </c>
      <c r="G33" s="48">
        <v>1</v>
      </c>
      <c r="H33" s="86">
        <f>Electricité[[#This Row],[PRIX /U HT]]*Electricité[[#This Row],[QUANTITE]]</f>
        <v>8.33</v>
      </c>
      <c r="I33" s="86"/>
      <c r="J33" s="86">
        <f>(Electricité[[#This Row],[TOTAL HT]]*1.2)+Electricité[[#This Row],[FDP]]</f>
        <v>9.9960000000000004</v>
      </c>
      <c r="K33" s="48"/>
      <c r="L33" s="48"/>
      <c r="M33" s="48"/>
    </row>
    <row r="34" spans="1:13" ht="44.4" customHeight="1" x14ac:dyDescent="0.3">
      <c r="A34" s="47" t="s">
        <v>209</v>
      </c>
      <c r="B34" s="48" t="s">
        <v>343</v>
      </c>
      <c r="C34" s="49" t="s">
        <v>210</v>
      </c>
      <c r="D34" s="48" t="s">
        <v>205</v>
      </c>
      <c r="E34" s="48"/>
      <c r="F34" s="88">
        <v>2.69</v>
      </c>
      <c r="G34" s="48">
        <v>1</v>
      </c>
      <c r="H34" s="86">
        <f>Electricité[[#This Row],[PRIX /U HT]]*Electricité[[#This Row],[QUANTITE]]</f>
        <v>2.69</v>
      </c>
      <c r="I34" s="86"/>
      <c r="J34" s="86">
        <f>(Electricité[[#This Row],[TOTAL HT]]*1.2)+Electricité[[#This Row],[FDP]]</f>
        <v>3.2279999999999998</v>
      </c>
      <c r="K34" s="48"/>
      <c r="L34" s="48"/>
      <c r="M34" s="48"/>
    </row>
    <row r="35" spans="1:13" ht="55.2" customHeight="1" x14ac:dyDescent="0.3">
      <c r="A35" s="50" t="s">
        <v>98</v>
      </c>
      <c r="B35" s="48" t="s">
        <v>343</v>
      </c>
      <c r="C35" s="49" t="s">
        <v>99</v>
      </c>
      <c r="D35" s="48" t="s">
        <v>94</v>
      </c>
      <c r="E35" s="48"/>
      <c r="F35" s="88">
        <v>19.399999999999999</v>
      </c>
      <c r="G35" s="48">
        <v>1</v>
      </c>
      <c r="H35" s="86">
        <f>Electricité[[#This Row],[PRIX /U HT]]*Electricité[[#This Row],[QUANTITE]]</f>
        <v>19.399999999999999</v>
      </c>
      <c r="I35" s="86">
        <v>0</v>
      </c>
      <c r="J35" s="86">
        <f>(Electricité[[#This Row],[TOTAL HT]]*1.2)+Electricité[[#This Row],[FDP]]</f>
        <v>23.279999999999998</v>
      </c>
      <c r="K35" s="48" t="s">
        <v>100</v>
      </c>
      <c r="L35" s="48"/>
      <c r="M35" s="48"/>
    </row>
    <row r="36" spans="1:13" ht="20.399999999999999" customHeight="1" x14ac:dyDescent="0.3">
      <c r="A36" s="47" t="s">
        <v>31</v>
      </c>
      <c r="B36" s="48" t="s">
        <v>344</v>
      </c>
      <c r="C36" s="49"/>
      <c r="D36" s="48"/>
      <c r="E36" s="48"/>
      <c r="F36" s="88"/>
      <c r="G36" s="48"/>
      <c r="H36" s="86">
        <f>Electricité[[#This Row],[PRIX /U HT]]*Electricité[[#This Row],[QUANTITE]]</f>
        <v>0</v>
      </c>
      <c r="I36" s="86"/>
      <c r="J36" s="86">
        <f>(Electricité[[#This Row],[TOTAL HT]]*1.2)+Electricité[[#This Row],[FDP]]</f>
        <v>0</v>
      </c>
      <c r="K36" s="48"/>
      <c r="L36" s="48"/>
      <c r="M36" s="48"/>
    </row>
    <row r="37" spans="1:13" ht="29.4" customHeight="1" x14ac:dyDescent="0.3">
      <c r="A37" s="47" t="s">
        <v>201</v>
      </c>
      <c r="B37" s="48" t="s">
        <v>343</v>
      </c>
      <c r="C37" s="49" t="s">
        <v>202</v>
      </c>
      <c r="D37" s="48"/>
      <c r="E37" s="48"/>
      <c r="F37" s="88">
        <v>2.2999999999999998</v>
      </c>
      <c r="G37" s="48">
        <v>1</v>
      </c>
      <c r="H37" s="86">
        <f>Electricité[[#This Row],[PRIX /U HT]]*Electricité[[#This Row],[QUANTITE]]</f>
        <v>2.2999999999999998</v>
      </c>
      <c r="I37" s="86"/>
      <c r="J37" s="86">
        <f>(Electricité[[#This Row],[TOTAL HT]]*1.2)+Electricité[[#This Row],[FDP]]</f>
        <v>2.76</v>
      </c>
      <c r="K37" s="48"/>
      <c r="L37" s="48"/>
      <c r="M37" s="48"/>
    </row>
    <row r="38" spans="1:13" ht="43.8" customHeight="1" x14ac:dyDescent="0.3">
      <c r="A38" s="47" t="s">
        <v>212</v>
      </c>
      <c r="B38" s="48" t="s">
        <v>343</v>
      </c>
      <c r="C38" s="49" t="s">
        <v>204</v>
      </c>
      <c r="D38" s="48" t="s">
        <v>205</v>
      </c>
      <c r="E38" s="48">
        <v>0.98</v>
      </c>
      <c r="F38" s="88">
        <v>12.28</v>
      </c>
      <c r="G38" s="48">
        <v>1</v>
      </c>
      <c r="H38" s="86">
        <f>Electricité[[#This Row],[PRIX /U HT]]*Electricité[[#This Row],[QUANTITE]]</f>
        <v>12.28</v>
      </c>
      <c r="I38" s="86">
        <v>7.25</v>
      </c>
      <c r="J38" s="86">
        <f>(Electricité[[#This Row],[TOTAL HT]]*1.2)+Electricité[[#This Row],[FDP]]</f>
        <v>21.985999999999997</v>
      </c>
      <c r="K38" s="48" t="s">
        <v>206</v>
      </c>
      <c r="L38" s="48"/>
      <c r="M38" s="48"/>
    </row>
    <row r="39" spans="1:13" ht="29.4" customHeight="1" x14ac:dyDescent="0.3">
      <c r="A39" s="47" t="s">
        <v>211</v>
      </c>
      <c r="B39" s="48" t="s">
        <v>343</v>
      </c>
      <c r="C39" s="49" t="s">
        <v>214</v>
      </c>
      <c r="D39" s="48" t="s">
        <v>213</v>
      </c>
      <c r="E39" s="51"/>
      <c r="F39" s="88">
        <v>8.24</v>
      </c>
      <c r="G39" s="48">
        <v>3</v>
      </c>
      <c r="H39" s="86">
        <f>Electricité[[#This Row],[PRIX /U HT]]*Electricité[[#This Row],[QUANTITE]]</f>
        <v>24.72</v>
      </c>
      <c r="I39" s="86"/>
      <c r="J39" s="86">
        <f>(Electricité[[#This Row],[TOTAL HT]]*1.2)+Electricité[[#This Row],[FDP]]</f>
        <v>29.663999999999998</v>
      </c>
      <c r="K39" s="48"/>
      <c r="L39" s="48"/>
      <c r="M39" s="48"/>
    </row>
    <row r="40" spans="1:13" ht="20.399999999999999" customHeight="1" x14ac:dyDescent="0.3">
      <c r="A40" s="47" t="s">
        <v>27</v>
      </c>
      <c r="B40" s="48" t="s">
        <v>343</v>
      </c>
      <c r="C40" s="48" t="s">
        <v>186</v>
      </c>
      <c r="D40" s="48"/>
      <c r="E40" s="48"/>
      <c r="F40" s="88"/>
      <c r="G40" s="48">
        <v>1</v>
      </c>
      <c r="H40" s="86">
        <f>Electricité[[#This Row],[PRIX /U HT]]*Electricité[[#This Row],[QUANTITE]]</f>
        <v>0</v>
      </c>
      <c r="I40" s="86"/>
      <c r="J40" s="86">
        <f>(Electricité[[#This Row],[TOTAL HT]]*1.2)+Electricité[[#This Row],[FDP]]</f>
        <v>0</v>
      </c>
      <c r="K40" s="48"/>
      <c r="L40" s="48"/>
      <c r="M40" s="48"/>
    </row>
    <row r="41" spans="1:13" ht="39.6" customHeight="1" x14ac:dyDescent="0.3">
      <c r="A41" s="50" t="s">
        <v>85</v>
      </c>
      <c r="B41" s="48" t="s">
        <v>343</v>
      </c>
      <c r="C41" s="48" t="s">
        <v>86</v>
      </c>
      <c r="D41" s="48" t="s">
        <v>87</v>
      </c>
      <c r="E41" s="48"/>
      <c r="F41" s="88">
        <v>10.83</v>
      </c>
      <c r="G41" s="48">
        <v>1</v>
      </c>
      <c r="H41" s="86">
        <f>Electricité[[#This Row],[PRIX /U HT]]*Electricité[[#This Row],[QUANTITE]]</f>
        <v>10.83</v>
      </c>
      <c r="I41" s="86">
        <v>5.99</v>
      </c>
      <c r="J41" s="86">
        <f>(Electricité[[#This Row],[TOTAL HT]]*1.2)+Electricité[[#This Row],[FDP]]</f>
        <v>18.986000000000001</v>
      </c>
      <c r="K41" s="48"/>
      <c r="L41" s="48"/>
      <c r="M41" s="48"/>
    </row>
    <row r="42" spans="1:13" ht="20.399999999999999" customHeight="1" x14ac:dyDescent="0.3">
      <c r="A42" s="47" t="s">
        <v>223</v>
      </c>
      <c r="B42" s="48" t="s">
        <v>344</v>
      </c>
      <c r="C42" s="49" t="s">
        <v>185</v>
      </c>
      <c r="D42" s="48"/>
      <c r="E42" s="48"/>
      <c r="F42" s="88"/>
      <c r="G42" s="48"/>
      <c r="H42" s="86">
        <f>Electricité[[#This Row],[PRIX /U HT]]*Electricité[[#This Row],[QUANTITE]]</f>
        <v>0</v>
      </c>
      <c r="I42" s="86"/>
      <c r="J42" s="86">
        <f>(Electricité[[#This Row],[TOTAL HT]]*1.2)+Electricité[[#This Row],[FDP]]</f>
        <v>0</v>
      </c>
      <c r="K42" s="48"/>
      <c r="L42" s="48"/>
      <c r="M42" s="48"/>
    </row>
    <row r="43" spans="1:13" ht="40.799999999999997" customHeight="1" x14ac:dyDescent="0.3">
      <c r="A43" s="47" t="s">
        <v>222</v>
      </c>
      <c r="B43" s="48" t="s">
        <v>343</v>
      </c>
      <c r="C43" s="48" t="s">
        <v>224</v>
      </c>
      <c r="D43" s="48" t="s">
        <v>94</v>
      </c>
      <c r="E43" s="48"/>
      <c r="F43" s="88">
        <v>2.42</v>
      </c>
      <c r="G43" s="48">
        <v>1</v>
      </c>
      <c r="H43" s="86">
        <f>Electricité[[#This Row],[PRIX /U HT]]*Electricité[[#This Row],[QUANTITE]]</f>
        <v>2.42</v>
      </c>
      <c r="I43" s="86"/>
      <c r="J43" s="86">
        <f>(Electricité[[#This Row],[TOTAL HT]]*1.2)+Electricité[[#This Row],[FDP]]</f>
        <v>2.9039999999999999</v>
      </c>
      <c r="K43" s="48"/>
      <c r="L43" s="48"/>
      <c r="M43" s="48"/>
    </row>
    <row r="44" spans="1:13" ht="31.2" customHeight="1" x14ac:dyDescent="0.3">
      <c r="A44" s="47" t="s">
        <v>96</v>
      </c>
      <c r="B44" s="48" t="s">
        <v>343</v>
      </c>
      <c r="C44" s="49" t="s">
        <v>97</v>
      </c>
      <c r="D44" s="48" t="s">
        <v>82</v>
      </c>
      <c r="E44" s="48"/>
      <c r="F44" s="88">
        <v>20.83</v>
      </c>
      <c r="G44" s="48">
        <v>1</v>
      </c>
      <c r="H44" s="86">
        <f>Electricité[[#This Row],[PRIX /U HT]]*Electricité[[#This Row],[QUANTITE]]</f>
        <v>20.83</v>
      </c>
      <c r="I44" s="86">
        <v>5.99</v>
      </c>
      <c r="J44" s="86">
        <f>(Electricité[[#This Row],[TOTAL HT]]*1.2)+Electricité[[#This Row],[FDP]]</f>
        <v>30.985999999999997</v>
      </c>
      <c r="K44" s="48"/>
      <c r="L44" s="48"/>
      <c r="M44" s="48"/>
    </row>
    <row r="45" spans="1:13" ht="31.2" customHeight="1" x14ac:dyDescent="0.3">
      <c r="A45" s="47" t="s">
        <v>189</v>
      </c>
      <c r="B45" s="48" t="s">
        <v>343</v>
      </c>
      <c r="C45" s="49" t="s">
        <v>189</v>
      </c>
      <c r="D45" s="48"/>
      <c r="E45" s="48"/>
      <c r="F45" s="88"/>
      <c r="G45" s="48">
        <v>1</v>
      </c>
      <c r="H45" s="86">
        <f>Electricité[[#This Row],[PRIX /U HT]]*Electricité[[#This Row],[QUANTITE]]</f>
        <v>0</v>
      </c>
      <c r="I45" s="86">
        <v>0</v>
      </c>
      <c r="J45" s="86">
        <f>(Electricité[[#This Row],[TOTAL HT]]*1.2)+Electricité[[#This Row],[FDP]]</f>
        <v>0</v>
      </c>
      <c r="K45" s="48"/>
      <c r="L45" s="48"/>
      <c r="M45" s="48"/>
    </row>
    <row r="46" spans="1:13" ht="39.6" customHeight="1" thickBot="1" x14ac:dyDescent="0.35">
      <c r="A46" s="47" t="s">
        <v>92</v>
      </c>
      <c r="B46" s="48" t="s">
        <v>343</v>
      </c>
      <c r="C46" s="49" t="s">
        <v>93</v>
      </c>
      <c r="D46" s="48" t="s">
        <v>94</v>
      </c>
      <c r="E46" s="91"/>
      <c r="F46" s="88">
        <v>5.14</v>
      </c>
      <c r="G46" s="48">
        <v>6</v>
      </c>
      <c r="H46" s="86">
        <f>Electricité[[#This Row],[PRIX /U HT]]*Electricité[[#This Row],[QUANTITE]]</f>
        <v>30.839999999999996</v>
      </c>
      <c r="I46" s="93">
        <v>0</v>
      </c>
      <c r="J46" s="93">
        <f>(Electricité[[#This Row],[TOTAL HT]]*1.2)+Electricité[[#This Row],[FDP]]</f>
        <v>37.007999999999996</v>
      </c>
      <c r="K46" s="48" t="s">
        <v>95</v>
      </c>
      <c r="L46" s="48"/>
      <c r="M46" s="48"/>
    </row>
    <row r="47" spans="1:13" ht="31.2" customHeight="1" thickBot="1" x14ac:dyDescent="0.35">
      <c r="A47" s="123"/>
      <c r="B47" s="91"/>
      <c r="C47" s="92"/>
      <c r="D47" s="91"/>
      <c r="E47" s="127">
        <f>SUM(E2:E46)</f>
        <v>3.7899999999999996</v>
      </c>
      <c r="F47" s="93"/>
      <c r="G47" s="91"/>
      <c r="H47" s="124"/>
      <c r="I47" s="128">
        <f>SUM(I2:I46)</f>
        <v>33.020000000000003</v>
      </c>
      <c r="J47" s="128">
        <f>SUM(J2:J46)</f>
        <v>891.18799999999976</v>
      </c>
      <c r="K47" s="92"/>
      <c r="L47" s="91"/>
      <c r="M47" s="91"/>
    </row>
    <row r="48" spans="1:13" ht="20.399999999999999" customHeight="1" x14ac:dyDescent="0.3">
      <c r="B48" s="2"/>
      <c r="C48" s="3"/>
      <c r="E48" s="2"/>
      <c r="G48" s="147"/>
      <c r="H48" s="87"/>
      <c r="I48" s="121"/>
      <c r="J48" s="121"/>
      <c r="K48" s="122"/>
    </row>
  </sheetData>
  <conditionalFormatting sqref="A2:C47 E47:N47 D2:M46">
    <cfRule type="expression" dxfId="254" priority="3">
      <formula>$B2="Oui"</formula>
    </cfRule>
  </conditionalFormatting>
  <conditionalFormatting sqref="M47:N1048576 L1:M46">
    <cfRule type="containsText" dxfId="253" priority="2" operator="containsText" text="Oui">
      <formula>NOT(ISERROR(SEARCH("Oui",L1)))</formula>
    </cfRule>
  </conditionalFormatting>
  <conditionalFormatting sqref="M47:N1048576 L1:M46">
    <cfRule type="containsText" dxfId="252" priority="1" operator="containsText" text="Non">
      <formula>NOT(ISERROR(SEARCH("Non",L1)))</formula>
    </cfRule>
  </conditionalFormatting>
  <dataValidations count="1">
    <dataValidation type="list" allowBlank="1" showInputMessage="1" showErrorMessage="1" sqref="B2:B46 L2:M46" xr:uid="{4EE639F3-AE67-4F88-B10B-3B0E84C5BE81}">
      <formula1>"Oui,Non"</formula1>
    </dataValidation>
  </dataValidations>
  <pageMargins left="0.7" right="0.7" top="0.75" bottom="0.75" header="0.3" footer="0.3"/>
  <pageSetup paperSize="9" scale="37" orientation="portrait" r:id="rId1"/>
  <ignoredErrors>
    <ignoredError sqref="F3:F46" calculatedColumn="1"/>
  </ignoredErrors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0F069-54CA-480F-94FD-3F9AB047CE85}">
  <sheetPr>
    <tabColor theme="5" tint="-0.499984740745262"/>
  </sheetPr>
  <dimension ref="A1:N25"/>
  <sheetViews>
    <sheetView topLeftCell="B1" zoomScale="70" zoomScaleNormal="70" workbookViewId="0">
      <pane ySplit="1" topLeftCell="A2" activePane="bottomLeft" state="frozen"/>
      <selection activeCell="F2" sqref="F2"/>
      <selection pane="bottomLeft" activeCell="L2" sqref="L2"/>
    </sheetView>
  </sheetViews>
  <sheetFormatPr baseColWidth="10" defaultRowHeight="20.399999999999999" customHeight="1" x14ac:dyDescent="0.3"/>
  <cols>
    <col min="1" max="1" width="81.21875" customWidth="1"/>
    <col min="2" max="2" width="11.77734375" customWidth="1"/>
    <col min="3" max="3" width="30" style="4" customWidth="1"/>
    <col min="4" max="4" width="26.77734375" customWidth="1"/>
    <col min="5" max="5" width="11.33203125" customWidth="1"/>
    <col min="6" max="6" width="14.5546875" style="137" customWidth="1"/>
    <col min="7" max="7" width="13.21875" customWidth="1"/>
    <col min="8" max="8" width="12.6640625" style="137" customWidth="1"/>
    <col min="9" max="10" width="11.5546875" style="137"/>
    <col min="11" max="11" width="36.109375" style="1" customWidth="1"/>
    <col min="12" max="12" width="17.109375" style="1" customWidth="1"/>
    <col min="13" max="13" width="13.77734375" style="1" customWidth="1"/>
    <col min="14" max="14" width="11.5546875" style="1"/>
  </cols>
  <sheetData>
    <row r="1" spans="1:14" ht="59.4" customHeight="1" x14ac:dyDescent="0.3">
      <c r="A1" s="130" t="s">
        <v>345</v>
      </c>
      <c r="B1" s="129" t="s">
        <v>346</v>
      </c>
      <c r="C1" s="129" t="s">
        <v>347</v>
      </c>
      <c r="D1" s="129" t="s">
        <v>349</v>
      </c>
      <c r="E1" s="129" t="s">
        <v>350</v>
      </c>
      <c r="F1" s="136" t="s">
        <v>369</v>
      </c>
      <c r="G1" s="131" t="s">
        <v>348</v>
      </c>
      <c r="H1" s="136" t="s">
        <v>368</v>
      </c>
      <c r="I1" s="136" t="s">
        <v>352</v>
      </c>
      <c r="J1" s="136" t="s">
        <v>361</v>
      </c>
      <c r="K1" s="132" t="s">
        <v>354</v>
      </c>
      <c r="L1" s="129" t="s">
        <v>355</v>
      </c>
      <c r="M1" s="133" t="s">
        <v>356</v>
      </c>
      <c r="N1"/>
    </row>
    <row r="2" spans="1:14" ht="31.2" customHeight="1" x14ac:dyDescent="0.3">
      <c r="A2" s="39" t="s">
        <v>329</v>
      </c>
      <c r="B2" s="40" t="s">
        <v>343</v>
      </c>
      <c r="C2" s="41"/>
      <c r="D2" s="40" t="s">
        <v>324</v>
      </c>
      <c r="E2" s="40"/>
      <c r="F2" s="108"/>
      <c r="G2" s="40">
        <v>10</v>
      </c>
      <c r="H2" s="108">
        <f>Bois[[#This Row],[PRIX /U HT]]*G2</f>
        <v>0</v>
      </c>
      <c r="I2" s="108">
        <v>45.9</v>
      </c>
      <c r="J2" s="108">
        <f>(Bois[[#This Row],[TOTAL HT]]*1.2)+I2</f>
        <v>45.9</v>
      </c>
      <c r="K2" s="40" t="s">
        <v>330</v>
      </c>
      <c r="L2" s="40"/>
      <c r="M2" s="40"/>
      <c r="N2"/>
    </row>
    <row r="3" spans="1:14" ht="73.8" customHeight="1" x14ac:dyDescent="0.3">
      <c r="A3" s="70" t="s">
        <v>364</v>
      </c>
      <c r="B3" s="40" t="s">
        <v>343</v>
      </c>
      <c r="C3" s="41" t="s">
        <v>338</v>
      </c>
      <c r="D3" s="40" t="s">
        <v>146</v>
      </c>
      <c r="E3" s="40"/>
      <c r="F3" s="108">
        <v>19.914999999999999</v>
      </c>
      <c r="G3" s="40">
        <v>2</v>
      </c>
      <c r="H3" s="108">
        <f>Bois[[#This Row],[PRIX /U HT]]*G3</f>
        <v>39.83</v>
      </c>
      <c r="I3" s="108"/>
      <c r="J3" s="108">
        <f>(Bois[[#This Row],[TOTAL HT]]*1.2)+I3</f>
        <v>47.795999999999999</v>
      </c>
      <c r="K3" s="48" t="s">
        <v>365</v>
      </c>
      <c r="L3" s="40"/>
      <c r="M3" s="40"/>
      <c r="N3"/>
    </row>
    <row r="4" spans="1:14" ht="20.399999999999999" customHeight="1" x14ac:dyDescent="0.3">
      <c r="A4" s="39" t="s">
        <v>363</v>
      </c>
      <c r="B4" s="40" t="s">
        <v>343</v>
      </c>
      <c r="C4" s="41" t="s">
        <v>366</v>
      </c>
      <c r="D4" s="40" t="s">
        <v>324</v>
      </c>
      <c r="E4" s="40"/>
      <c r="F4" s="108">
        <v>129.38999999999999</v>
      </c>
      <c r="G4" s="40">
        <v>1</v>
      </c>
      <c r="H4" s="108">
        <f>Bois[[#This Row],[PRIX /U HT]]*G4</f>
        <v>129.38999999999999</v>
      </c>
      <c r="I4" s="108"/>
      <c r="J4" s="108">
        <f>(Bois[[#This Row],[TOTAL HT]]*1.2)+I4</f>
        <v>155.26799999999997</v>
      </c>
      <c r="K4" s="40" t="s">
        <v>376</v>
      </c>
      <c r="L4" s="40"/>
      <c r="M4" s="40"/>
      <c r="N4"/>
    </row>
    <row r="5" spans="1:14" ht="20.399999999999999" customHeight="1" x14ac:dyDescent="0.3">
      <c r="A5" s="39" t="s">
        <v>337</v>
      </c>
      <c r="B5" s="40" t="s">
        <v>343</v>
      </c>
      <c r="C5" s="41" t="s">
        <v>367</v>
      </c>
      <c r="D5" s="40" t="s">
        <v>324</v>
      </c>
      <c r="E5" s="40"/>
      <c r="F5" s="108">
        <v>192.3</v>
      </c>
      <c r="G5" s="40">
        <v>2</v>
      </c>
      <c r="H5" s="108">
        <f>Bois[[#This Row],[PRIX /U HT]]*G5</f>
        <v>384.6</v>
      </c>
      <c r="I5" s="108"/>
      <c r="J5" s="108">
        <f>(Bois[[#This Row],[TOTAL HT]]*1.2)+I5</f>
        <v>461.52</v>
      </c>
      <c r="K5" s="40" t="s">
        <v>377</v>
      </c>
      <c r="L5" s="40"/>
      <c r="M5" s="40"/>
      <c r="N5"/>
    </row>
    <row r="6" spans="1:14" ht="20.399999999999999" customHeight="1" x14ac:dyDescent="0.3">
      <c r="A6" s="39" t="s">
        <v>328</v>
      </c>
      <c r="B6" s="40" t="s">
        <v>343</v>
      </c>
      <c r="C6" s="41"/>
      <c r="D6" s="40" t="s">
        <v>324</v>
      </c>
      <c r="E6" s="40"/>
      <c r="F6" s="108"/>
      <c r="G6" s="40">
        <v>8</v>
      </c>
      <c r="H6" s="108">
        <f>Bois[[#This Row],[PRIX /U HT]]*G6</f>
        <v>0</v>
      </c>
      <c r="I6" s="108"/>
      <c r="J6" s="108">
        <f>(Bois[[#This Row],[TOTAL HT]]*1.2)+I6</f>
        <v>0</v>
      </c>
      <c r="K6" s="40" t="s">
        <v>327</v>
      </c>
      <c r="L6" s="40"/>
      <c r="M6" s="40"/>
      <c r="N6"/>
    </row>
    <row r="7" spans="1:14" ht="20.399999999999999" customHeight="1" x14ac:dyDescent="0.3">
      <c r="A7" s="39" t="s">
        <v>333</v>
      </c>
      <c r="B7" s="40" t="s">
        <v>343</v>
      </c>
      <c r="C7" s="41"/>
      <c r="D7" s="40" t="s">
        <v>324</v>
      </c>
      <c r="E7" s="40"/>
      <c r="F7" s="108"/>
      <c r="G7" s="40">
        <v>13</v>
      </c>
      <c r="H7" s="108">
        <f>Bois[[#This Row],[PRIX /U HT]]*G7</f>
        <v>0</v>
      </c>
      <c r="I7" s="108"/>
      <c r="J7" s="108">
        <f>(Bois[[#This Row],[TOTAL HT]]*1.2)+I7</f>
        <v>0</v>
      </c>
      <c r="K7" s="40" t="s">
        <v>336</v>
      </c>
      <c r="L7" s="40"/>
      <c r="M7" s="40"/>
      <c r="N7"/>
    </row>
    <row r="8" spans="1:14" ht="20.399999999999999" customHeight="1" x14ac:dyDescent="0.3">
      <c r="A8" s="39" t="s">
        <v>325</v>
      </c>
      <c r="B8" s="40" t="s">
        <v>343</v>
      </c>
      <c r="C8" s="41"/>
      <c r="D8" s="40" t="s">
        <v>324</v>
      </c>
      <c r="E8" s="40"/>
      <c r="F8" s="108"/>
      <c r="G8" s="40"/>
      <c r="H8" s="108">
        <f>Bois[[#This Row],[PRIX /U HT]]*G8</f>
        <v>0</v>
      </c>
      <c r="I8" s="108"/>
      <c r="J8" s="108">
        <f>(Bois[[#This Row],[TOTAL HT]]*1.2)+I8</f>
        <v>0</v>
      </c>
      <c r="K8" s="40" t="s">
        <v>326</v>
      </c>
      <c r="L8" s="40"/>
      <c r="M8" s="40"/>
      <c r="N8"/>
    </row>
    <row r="9" spans="1:14" ht="20.399999999999999" customHeight="1" x14ac:dyDescent="0.3">
      <c r="A9" s="39" t="s">
        <v>340</v>
      </c>
      <c r="B9" s="40" t="s">
        <v>343</v>
      </c>
      <c r="C9" s="41" t="s">
        <v>341</v>
      </c>
      <c r="D9" s="40" t="s">
        <v>165</v>
      </c>
      <c r="E9" s="40"/>
      <c r="F9" s="108"/>
      <c r="G9" s="40">
        <v>7</v>
      </c>
      <c r="H9" s="108">
        <f>Bois[[#This Row],[PRIX /U HT]]*G9</f>
        <v>0</v>
      </c>
      <c r="I9" s="108"/>
      <c r="J9" s="108">
        <f>(Bois[[#This Row],[TOTAL HT]]*1.2)+I9</f>
        <v>0</v>
      </c>
      <c r="K9" s="40" t="s">
        <v>339</v>
      </c>
      <c r="L9" s="40"/>
      <c r="M9" s="40"/>
      <c r="N9"/>
    </row>
    <row r="10" spans="1:14" ht="20.399999999999999" customHeight="1" x14ac:dyDescent="0.3">
      <c r="A10" s="67" t="s">
        <v>236</v>
      </c>
      <c r="B10" s="40" t="s">
        <v>343</v>
      </c>
      <c r="C10" s="41" t="s">
        <v>238</v>
      </c>
      <c r="D10" s="40" t="s">
        <v>165</v>
      </c>
      <c r="E10" s="40"/>
      <c r="F10" s="108">
        <v>0.48</v>
      </c>
      <c r="G10" s="40">
        <v>51</v>
      </c>
      <c r="H10" s="108">
        <f>Bois[[#This Row],[PRIX /U HT]]*G10</f>
        <v>24.48</v>
      </c>
      <c r="I10" s="108">
        <v>0</v>
      </c>
      <c r="J10" s="108">
        <f>(Bois[[#This Row],[TOTAL HT]]*1.2)+I10</f>
        <v>29.375999999999998</v>
      </c>
      <c r="K10" s="40" t="s">
        <v>375</v>
      </c>
      <c r="L10" s="40"/>
      <c r="M10" s="40"/>
      <c r="N10"/>
    </row>
    <row r="11" spans="1:14" ht="20.399999999999999" customHeight="1" x14ac:dyDescent="0.3">
      <c r="A11" s="67" t="s">
        <v>237</v>
      </c>
      <c r="B11" s="40" t="s">
        <v>343</v>
      </c>
      <c r="C11" s="41" t="s">
        <v>277</v>
      </c>
      <c r="D11" s="40" t="s">
        <v>165</v>
      </c>
      <c r="E11" s="40"/>
      <c r="F11" s="108"/>
      <c r="G11" s="40">
        <v>20</v>
      </c>
      <c r="H11" s="108">
        <f>Bois[[#This Row],[PRIX /U HT]]*G11</f>
        <v>0</v>
      </c>
      <c r="I11" s="108"/>
      <c r="J11" s="108">
        <f>(Bois[[#This Row],[TOTAL HT]]*1.2)+I11</f>
        <v>0</v>
      </c>
      <c r="K11" s="40" t="s">
        <v>278</v>
      </c>
      <c r="L11" s="40"/>
      <c r="M11" s="40"/>
      <c r="N11"/>
    </row>
    <row r="12" spans="1:14" ht="20.399999999999999" customHeight="1" x14ac:dyDescent="0.3">
      <c r="A12" s="39" t="s">
        <v>166</v>
      </c>
      <c r="B12" s="40" t="s">
        <v>343</v>
      </c>
      <c r="C12" s="41"/>
      <c r="D12" s="40" t="s">
        <v>324</v>
      </c>
      <c r="E12" s="40"/>
      <c r="F12" s="108"/>
      <c r="G12" s="40"/>
      <c r="H12" s="108">
        <f>Bois[[#This Row],[PRIX /U HT]]*G12</f>
        <v>0</v>
      </c>
      <c r="I12" s="108"/>
      <c r="J12" s="108">
        <f>(Bois[[#This Row],[TOTAL HT]]*1.2)+I12</f>
        <v>0</v>
      </c>
      <c r="K12" s="40" t="s">
        <v>167</v>
      </c>
      <c r="L12" s="40"/>
      <c r="M12" s="40"/>
      <c r="N12"/>
    </row>
    <row r="13" spans="1:14" ht="20.399999999999999" customHeight="1" thickBot="1" x14ac:dyDescent="0.35">
      <c r="A13" s="39" t="s">
        <v>331</v>
      </c>
      <c r="B13" s="40" t="s">
        <v>343</v>
      </c>
      <c r="C13" s="41"/>
      <c r="D13" s="40" t="s">
        <v>324</v>
      </c>
      <c r="E13" s="103"/>
      <c r="F13" s="108"/>
      <c r="G13" s="103">
        <v>4</v>
      </c>
      <c r="H13" s="108">
        <f>Bois[[#This Row],[PRIX /U HT]]*G13</f>
        <v>0</v>
      </c>
      <c r="I13" s="109"/>
      <c r="J13" s="108">
        <f>(Bois[[#This Row],[TOTAL HT]]*1.2)+I13</f>
        <v>0</v>
      </c>
      <c r="K13" s="40" t="s">
        <v>332</v>
      </c>
      <c r="L13" s="40"/>
      <c r="M13" s="40"/>
      <c r="N13"/>
    </row>
    <row r="14" spans="1:14" ht="20.399999999999999" customHeight="1" thickBot="1" x14ac:dyDescent="0.35">
      <c r="B14" s="1"/>
      <c r="C14" s="6"/>
      <c r="D14" s="1"/>
      <c r="E14" s="134">
        <f>SUM(E2:E13)</f>
        <v>0</v>
      </c>
      <c r="F14" s="110"/>
      <c r="G14" s="135"/>
      <c r="H14" s="164"/>
      <c r="I14" s="163">
        <f>SUM(I2:I13)</f>
        <v>45.9</v>
      </c>
      <c r="J14" s="162">
        <f>SUM(J2:J13)</f>
        <v>739.8599999999999</v>
      </c>
      <c r="N14"/>
    </row>
    <row r="15" spans="1:14" ht="20.399999999999999" customHeight="1" x14ac:dyDescent="0.3">
      <c r="B15" s="1"/>
      <c r="C15" s="6"/>
      <c r="E15" s="1"/>
      <c r="F15" s="110"/>
      <c r="H15" s="110"/>
      <c r="I15" s="111"/>
      <c r="J15" s="111"/>
      <c r="K15" s="106"/>
    </row>
    <row r="16" spans="1:14" ht="20.399999999999999" customHeight="1" x14ac:dyDescent="0.3">
      <c r="B16" s="1"/>
      <c r="C16" s="6"/>
      <c r="E16" s="1"/>
      <c r="F16" s="110"/>
      <c r="G16" s="1"/>
      <c r="H16" s="110"/>
      <c r="I16" s="110"/>
      <c r="J16" s="110"/>
    </row>
    <row r="17" spans="2:10" ht="20.399999999999999" customHeight="1" x14ac:dyDescent="0.3">
      <c r="B17" s="1"/>
      <c r="C17" s="6"/>
      <c r="E17" s="1"/>
      <c r="F17" s="110"/>
      <c r="G17" s="1"/>
      <c r="H17" s="110"/>
      <c r="I17" s="110"/>
      <c r="J17" s="110"/>
    </row>
    <row r="18" spans="2:10" ht="20.399999999999999" customHeight="1" x14ac:dyDescent="0.3">
      <c r="B18" s="1"/>
      <c r="C18" s="6"/>
      <c r="E18" s="1"/>
      <c r="F18" s="110"/>
      <c r="G18" s="1"/>
      <c r="H18" s="110"/>
      <c r="I18" s="110"/>
      <c r="J18" s="110"/>
    </row>
    <row r="19" spans="2:10" ht="20.399999999999999" customHeight="1" x14ac:dyDescent="0.3">
      <c r="B19" s="1"/>
      <c r="C19" s="6"/>
      <c r="E19" s="1"/>
      <c r="F19" s="110"/>
      <c r="G19" s="1"/>
      <c r="H19" s="110"/>
      <c r="I19" s="110"/>
      <c r="J19" s="110"/>
    </row>
    <row r="20" spans="2:10" ht="20.399999999999999" customHeight="1" x14ac:dyDescent="0.3">
      <c r="B20" s="1"/>
      <c r="C20" s="6"/>
      <c r="E20" s="1"/>
      <c r="F20" s="110"/>
      <c r="G20" s="1"/>
      <c r="H20" s="110"/>
      <c r="I20" s="110"/>
      <c r="J20" s="110"/>
    </row>
    <row r="21" spans="2:10" ht="20.399999999999999" customHeight="1" x14ac:dyDescent="0.3">
      <c r="B21" s="1"/>
      <c r="C21" s="6"/>
      <c r="E21" s="1"/>
      <c r="F21" s="110"/>
      <c r="G21" s="1"/>
      <c r="H21" s="110"/>
      <c r="I21" s="110"/>
      <c r="J21" s="110"/>
    </row>
    <row r="22" spans="2:10" ht="20.399999999999999" customHeight="1" x14ac:dyDescent="0.3">
      <c r="B22" s="1"/>
      <c r="C22" s="6"/>
      <c r="E22" s="1"/>
      <c r="F22" s="110"/>
      <c r="G22" s="1"/>
      <c r="H22" s="110"/>
      <c r="I22" s="110"/>
      <c r="J22" s="110"/>
    </row>
    <row r="23" spans="2:10" ht="20.399999999999999" customHeight="1" x14ac:dyDescent="0.3">
      <c r="B23" s="1"/>
      <c r="C23" s="6"/>
      <c r="E23" s="1"/>
      <c r="F23" s="110"/>
      <c r="G23" s="1"/>
      <c r="H23" s="110"/>
      <c r="I23" s="110"/>
      <c r="J23" s="110"/>
    </row>
    <row r="24" spans="2:10" ht="20.399999999999999" customHeight="1" x14ac:dyDescent="0.3">
      <c r="B24" s="1"/>
      <c r="C24" s="6"/>
      <c r="E24" s="1"/>
      <c r="F24" s="110"/>
      <c r="G24" s="1"/>
      <c r="H24" s="110"/>
      <c r="I24" s="110"/>
      <c r="J24" s="110"/>
    </row>
    <row r="25" spans="2:10" ht="20.399999999999999" customHeight="1" x14ac:dyDescent="0.3">
      <c r="B25" s="1"/>
      <c r="C25" s="6"/>
      <c r="E25" s="1"/>
      <c r="F25" s="110"/>
      <c r="G25" s="1"/>
      <c r="H25" s="110"/>
      <c r="I25" s="110"/>
      <c r="J25" s="110"/>
    </row>
  </sheetData>
  <conditionalFormatting sqref="A2:M14">
    <cfRule type="expression" dxfId="222" priority="3">
      <formula>$B2="Oui"</formula>
    </cfRule>
  </conditionalFormatting>
  <conditionalFormatting sqref="M15:N1048576 L1:M14">
    <cfRule type="containsText" dxfId="221" priority="2" operator="containsText" text="Oui">
      <formula>NOT(ISERROR(SEARCH("Oui",L1)))</formula>
    </cfRule>
  </conditionalFormatting>
  <conditionalFormatting sqref="M15:N1048576 L1:M14">
    <cfRule type="containsText" dxfId="220" priority="1" operator="containsText" text="Non">
      <formula>NOT(ISERROR(SEARCH("Non",L1)))</formula>
    </cfRule>
  </conditionalFormatting>
  <dataValidations count="1">
    <dataValidation type="list" allowBlank="1" showInputMessage="1" showErrorMessage="1" sqref="B2:B13 L2:M13" xr:uid="{4A5AE4D8-550F-4126-898B-2B7E1C0D649B}">
      <formula1>"Oui,Non"</formula1>
    </dataValidation>
  </dataValidations>
  <pageMargins left="0.7" right="0.7" top="0.75" bottom="0.75" header="0.3" footer="0.3"/>
  <pageSetup paperSize="9" scale="29" orientation="portrait" r:id="rId1"/>
  <ignoredErrors>
    <ignoredError sqref="J2:J14 F3:F5 F10" calculatedColumn="1"/>
  </ignoredErrors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E45725-77A6-406E-9800-B75488F71F79}">
  <sheetPr>
    <tabColor rgb="FFFF0000"/>
  </sheetPr>
  <dimension ref="A1:N8"/>
  <sheetViews>
    <sheetView zoomScale="80" zoomScaleNormal="80" workbookViewId="0">
      <pane ySplit="1" topLeftCell="A2" activePane="bottomLeft" state="frozen"/>
      <selection activeCell="F2" sqref="F2"/>
      <selection pane="bottomLeft" activeCell="E1" sqref="E1:E1048576"/>
    </sheetView>
  </sheetViews>
  <sheetFormatPr baseColWidth="10" defaultRowHeight="20.399999999999999" customHeight="1" x14ac:dyDescent="0.3"/>
  <cols>
    <col min="1" max="1" width="24.88671875" style="11" customWidth="1"/>
    <col min="2" max="2" width="12" style="7" customWidth="1"/>
    <col min="3" max="3" width="28.109375" style="8" customWidth="1"/>
    <col min="4" max="4" width="24.21875" customWidth="1"/>
    <col min="5" max="5" width="12.33203125" style="140" customWidth="1"/>
    <col min="6" max="6" width="12.88671875" style="115" customWidth="1"/>
    <col min="7" max="7" width="13.33203125" style="7" customWidth="1"/>
    <col min="8" max="8" width="12.6640625" style="115" customWidth="1"/>
    <col min="9" max="9" width="11.5546875" style="8"/>
    <col min="10" max="10" width="11.5546875" style="115"/>
    <col min="11" max="11" width="29" style="7" customWidth="1"/>
    <col min="12" max="12" width="13.21875" style="7" customWidth="1"/>
    <col min="13" max="13" width="10.33203125" style="7" customWidth="1"/>
    <col min="14" max="16384" width="11.5546875" style="7"/>
  </cols>
  <sheetData>
    <row r="1" spans="1:14" customFormat="1" ht="50.4" customHeight="1" x14ac:dyDescent="0.3">
      <c r="A1" s="141" t="s">
        <v>345</v>
      </c>
      <c r="B1" s="142" t="s">
        <v>346</v>
      </c>
      <c r="C1" s="142" t="s">
        <v>347</v>
      </c>
      <c r="D1" s="142" t="s">
        <v>349</v>
      </c>
      <c r="E1" s="161" t="s">
        <v>350</v>
      </c>
      <c r="F1" s="143" t="s">
        <v>369</v>
      </c>
      <c r="G1" s="142" t="s">
        <v>348</v>
      </c>
      <c r="H1" s="143" t="s">
        <v>368</v>
      </c>
      <c r="I1" s="142" t="s">
        <v>352</v>
      </c>
      <c r="J1" s="143" t="s">
        <v>361</v>
      </c>
      <c r="K1" s="144" t="s">
        <v>354</v>
      </c>
      <c r="L1" s="142" t="s">
        <v>355</v>
      </c>
      <c r="M1" s="145" t="s">
        <v>356</v>
      </c>
    </row>
    <row r="2" spans="1:14" ht="30.6" customHeight="1" x14ac:dyDescent="0.3">
      <c r="A2" s="47" t="s">
        <v>39</v>
      </c>
      <c r="B2" s="48" t="s">
        <v>344</v>
      </c>
      <c r="C2" s="49"/>
      <c r="D2" s="48"/>
      <c r="E2" s="102"/>
      <c r="F2" s="86"/>
      <c r="G2" s="48"/>
      <c r="H2" s="86">
        <f>Chauffage[[#This Row],[PRIX /U HT]]*Chauffage[[#This Row],[QUANTITE]]</f>
        <v>0</v>
      </c>
      <c r="I2" s="49"/>
      <c r="J2" s="86">
        <f>(Chauffage[[#This Row],[TOTAL HT]]*1.2)+Chauffage[[#This Row],[FDP]]</f>
        <v>0</v>
      </c>
      <c r="K2" s="48"/>
      <c r="L2" s="48"/>
      <c r="M2" s="48"/>
    </row>
    <row r="3" spans="1:14" ht="20.399999999999999" customHeight="1" x14ac:dyDescent="0.3">
      <c r="A3" s="47" t="s">
        <v>40</v>
      </c>
      <c r="B3" s="48" t="s">
        <v>344</v>
      </c>
      <c r="C3" s="49"/>
      <c r="D3" s="48"/>
      <c r="E3" s="102"/>
      <c r="F3" s="86"/>
      <c r="G3" s="48"/>
      <c r="H3" s="86">
        <f>Chauffage[[#This Row],[PRIX /U HT]]*Chauffage[[#This Row],[QUANTITE]]</f>
        <v>0</v>
      </c>
      <c r="I3" s="49"/>
      <c r="J3" s="86">
        <f>(Chauffage[[#This Row],[TOTAL HT]]*1.2)+Chauffage[[#This Row],[FDP]]</f>
        <v>0</v>
      </c>
      <c r="K3" s="48"/>
      <c r="L3" s="48"/>
      <c r="M3" s="48"/>
    </row>
    <row r="4" spans="1:14" ht="28.8" customHeight="1" x14ac:dyDescent="0.3">
      <c r="A4" s="47" t="s">
        <v>41</v>
      </c>
      <c r="B4" s="48" t="s">
        <v>344</v>
      </c>
      <c r="C4" s="49"/>
      <c r="D4" s="48"/>
      <c r="E4" s="102"/>
      <c r="F4" s="86"/>
      <c r="G4" s="48"/>
      <c r="H4" s="86">
        <f>Chauffage[[#This Row],[PRIX /U HT]]*Chauffage[[#This Row],[QUANTITE]]</f>
        <v>0</v>
      </c>
      <c r="I4" s="49"/>
      <c r="J4" s="86">
        <f>(Chauffage[[#This Row],[TOTAL HT]]*1.2)+Chauffage[[#This Row],[FDP]]</f>
        <v>0</v>
      </c>
      <c r="K4" s="48"/>
      <c r="L4" s="48"/>
      <c r="M4" s="48"/>
    </row>
    <row r="5" spans="1:14" ht="30.6" customHeight="1" x14ac:dyDescent="0.3">
      <c r="A5" s="47" t="s">
        <v>58</v>
      </c>
      <c r="B5" s="48" t="s">
        <v>344</v>
      </c>
      <c r="C5" s="49"/>
      <c r="D5" s="48"/>
      <c r="E5" s="102"/>
      <c r="F5" s="86"/>
      <c r="G5" s="48"/>
      <c r="H5" s="86">
        <f>Chauffage[[#This Row],[PRIX /U HT]]*Chauffage[[#This Row],[QUANTITE]]</f>
        <v>0</v>
      </c>
      <c r="I5" s="49"/>
      <c r="J5" s="86">
        <f>(Chauffage[[#This Row],[TOTAL HT]]*1.2)+Chauffage[[#This Row],[FDP]]</f>
        <v>0</v>
      </c>
      <c r="K5" s="48"/>
      <c r="L5" s="48"/>
      <c r="M5" s="48"/>
    </row>
    <row r="6" spans="1:14" ht="20.399999999999999" customHeight="1" thickBot="1" x14ac:dyDescent="0.35">
      <c r="A6" s="47"/>
      <c r="B6" s="51"/>
      <c r="C6" s="49"/>
      <c r="D6" s="48"/>
      <c r="E6" s="126"/>
      <c r="F6" s="86"/>
      <c r="G6" s="48"/>
      <c r="H6" s="86">
        <f>Chauffage[[#This Row],[PRIX /U HT]]*Chauffage[[#This Row],[QUANTITE]]</f>
        <v>0</v>
      </c>
      <c r="I6" s="92"/>
      <c r="J6" s="93">
        <f>(Chauffage[[#This Row],[TOTAL HT]]*1.2)+Chauffage[[#This Row],[FDP]]</f>
        <v>0</v>
      </c>
      <c r="K6" s="48"/>
      <c r="L6" s="48"/>
      <c r="M6" s="48"/>
    </row>
    <row r="7" spans="1:14" ht="20.399999999999999" customHeight="1" thickBot="1" x14ac:dyDescent="0.35">
      <c r="A7" s="123"/>
      <c r="B7" s="125"/>
      <c r="C7" s="92"/>
      <c r="D7" s="91"/>
      <c r="E7" s="146">
        <f>SUM(Chauffage[POIDS (KG)])</f>
        <v>0</v>
      </c>
      <c r="F7" s="93"/>
      <c r="G7" s="91"/>
      <c r="H7" s="93"/>
      <c r="I7" s="148">
        <f>SUM(Chauffage[FDP])</f>
        <v>0</v>
      </c>
      <c r="J7" s="160">
        <f>SUM(Chauffage[TOTAL TTC])</f>
        <v>0</v>
      </c>
      <c r="K7" s="92"/>
      <c r="L7" s="91"/>
      <c r="M7" s="91"/>
      <c r="N7" s="2"/>
    </row>
    <row r="8" spans="1:14" ht="20.399999999999999" customHeight="1" x14ac:dyDescent="0.3">
      <c r="G8" s="147"/>
      <c r="I8" s="122"/>
      <c r="J8" s="121"/>
      <c r="K8" s="122"/>
    </row>
  </sheetData>
  <conditionalFormatting sqref="A2:C7 D2:M6 E7:N7">
    <cfRule type="expression" dxfId="203" priority="3">
      <formula>$B2="Oui"</formula>
    </cfRule>
  </conditionalFormatting>
  <conditionalFormatting sqref="M7:N1048576 L1:M6">
    <cfRule type="containsText" dxfId="202" priority="2" operator="containsText" text="Oui">
      <formula>NOT(ISERROR(SEARCH("Oui",L1)))</formula>
    </cfRule>
  </conditionalFormatting>
  <conditionalFormatting sqref="M7:N1048576 L1:M6">
    <cfRule type="containsText" dxfId="201" priority="1" operator="containsText" text="Non">
      <formula>NOT(ISERROR(SEARCH("Non",L1)))</formula>
    </cfRule>
  </conditionalFormatting>
  <dataValidations count="1">
    <dataValidation type="list" allowBlank="1" showInputMessage="1" showErrorMessage="1" sqref="B2:B5 L2:M6" xr:uid="{31E894E6-413C-426B-A9B6-491C155F91CF}">
      <formula1>"Oui,Non"</formula1>
    </dataValidation>
  </dataValidations>
  <pageMargins left="0.7" right="0.7" top="0.75" bottom="0.75" header="0.3" footer="0.3"/>
  <pageSetup paperSize="9" scale="43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2AA9D-D38F-4417-A1C5-B7A765CFB672}">
  <sheetPr>
    <tabColor theme="4" tint="0.39997558519241921"/>
  </sheetPr>
  <dimension ref="A1:M49"/>
  <sheetViews>
    <sheetView zoomScale="70" zoomScaleNormal="70" workbookViewId="0">
      <pane ySplit="1" topLeftCell="A38" activePane="bottomLeft" state="frozen"/>
      <selection activeCell="F2" sqref="F2"/>
      <selection pane="bottomLeft" activeCell="L43" sqref="L43"/>
    </sheetView>
  </sheetViews>
  <sheetFormatPr baseColWidth="10" defaultRowHeight="20.399999999999999" customHeight="1" x14ac:dyDescent="0.3"/>
  <cols>
    <col min="1" max="1" width="29.88671875" style="9" customWidth="1"/>
    <col min="2" max="2" width="11.88671875" style="2" customWidth="1"/>
    <col min="3" max="3" width="27.33203125" style="3" customWidth="1"/>
    <col min="4" max="4" width="17.88671875" customWidth="1"/>
    <col min="5" max="5" width="12.109375" style="154" customWidth="1"/>
    <col min="6" max="6" width="29.109375" style="87" customWidth="1"/>
    <col min="7" max="7" width="12.5546875" style="2" customWidth="1"/>
    <col min="8" max="8" width="12.44140625" style="87" customWidth="1"/>
    <col min="9" max="10" width="11.5546875" style="87"/>
    <col min="11" max="11" width="35.77734375" style="3" customWidth="1"/>
    <col min="12" max="12" width="12.44140625" style="2" customWidth="1"/>
    <col min="13" max="13" width="10.5546875" style="2" customWidth="1"/>
    <col min="14" max="16384" width="11.5546875" style="2"/>
  </cols>
  <sheetData>
    <row r="1" spans="1:13" customFormat="1" ht="57.6" customHeight="1" x14ac:dyDescent="0.3">
      <c r="A1" s="59" t="s">
        <v>345</v>
      </c>
      <c r="B1" s="60" t="s">
        <v>346</v>
      </c>
      <c r="C1" s="60" t="s">
        <v>347</v>
      </c>
      <c r="D1" s="60" t="s">
        <v>349</v>
      </c>
      <c r="E1" s="157" t="s">
        <v>350</v>
      </c>
      <c r="F1" s="158" t="s">
        <v>369</v>
      </c>
      <c r="G1" s="61" t="s">
        <v>348</v>
      </c>
      <c r="H1" s="158" t="s">
        <v>368</v>
      </c>
      <c r="I1" s="158" t="s">
        <v>352</v>
      </c>
      <c r="J1" s="158" t="s">
        <v>361</v>
      </c>
      <c r="K1" s="62" t="s">
        <v>354</v>
      </c>
      <c r="L1" s="60" t="s">
        <v>355</v>
      </c>
      <c r="M1" s="63" t="s">
        <v>356</v>
      </c>
    </row>
    <row r="2" spans="1:13" ht="30.6" customHeight="1" x14ac:dyDescent="0.3">
      <c r="A2" s="50" t="s">
        <v>60</v>
      </c>
      <c r="B2" s="48" t="s">
        <v>344</v>
      </c>
      <c r="C2" s="49"/>
      <c r="D2" s="48"/>
      <c r="E2" s="102"/>
      <c r="F2" s="86">
        <v>0</v>
      </c>
      <c r="G2" s="48"/>
      <c r="H2" s="86">
        <f>Sanitaire[[#This Row],[PRIX /U HT]]*Sanitaire[[#This Row],[QUANTITE]]</f>
        <v>0</v>
      </c>
      <c r="I2" s="86"/>
      <c r="J2" s="86">
        <f>(Sanitaire[[#This Row],[TOTAL HT]]*1.2)+Sanitaire[[#This Row],[FDP]]</f>
        <v>0</v>
      </c>
      <c r="K2" s="48"/>
      <c r="L2" s="48"/>
      <c r="M2" s="48"/>
    </row>
    <row r="3" spans="1:13" ht="39.6" customHeight="1" x14ac:dyDescent="0.3">
      <c r="A3" s="50" t="s">
        <v>280</v>
      </c>
      <c r="B3" s="48" t="s">
        <v>343</v>
      </c>
      <c r="C3" s="49" t="s">
        <v>281</v>
      </c>
      <c r="D3" s="48" t="s">
        <v>146</v>
      </c>
      <c r="E3" s="102"/>
      <c r="F3" s="86">
        <v>14.92</v>
      </c>
      <c r="G3" s="48">
        <v>1</v>
      </c>
      <c r="H3" s="86">
        <f>Sanitaire[[#This Row],[PRIX /U HT]]*Sanitaire[[#This Row],[QUANTITE]]</f>
        <v>14.92</v>
      </c>
      <c r="I3" s="86"/>
      <c r="J3" s="86">
        <f>(Sanitaire[[#This Row],[TOTAL HT]]*1.2)+Sanitaire[[#This Row],[FDP]]</f>
        <v>17.904</v>
      </c>
      <c r="K3" s="48"/>
      <c r="L3" s="48"/>
      <c r="M3" s="48"/>
    </row>
    <row r="4" spans="1:13" ht="28.8" customHeight="1" x14ac:dyDescent="0.3">
      <c r="A4" s="50" t="s">
        <v>43</v>
      </c>
      <c r="B4" s="48" t="s">
        <v>344</v>
      </c>
      <c r="C4" s="49"/>
      <c r="D4" s="48"/>
      <c r="E4" s="102"/>
      <c r="F4" s="86">
        <v>0</v>
      </c>
      <c r="G4" s="48"/>
      <c r="H4" s="86">
        <f>Sanitaire[[#This Row],[PRIX /U HT]]*Sanitaire[[#This Row],[QUANTITE]]</f>
        <v>0</v>
      </c>
      <c r="I4" s="86"/>
      <c r="J4" s="86">
        <f>(Sanitaire[[#This Row],[TOTAL HT]]*1.2)+Sanitaire[[#This Row],[FDP]]</f>
        <v>0</v>
      </c>
      <c r="K4" s="48"/>
      <c r="L4" s="48"/>
      <c r="M4" s="48"/>
    </row>
    <row r="5" spans="1:13" ht="20.399999999999999" customHeight="1" x14ac:dyDescent="0.3">
      <c r="A5" s="50" t="s">
        <v>45</v>
      </c>
      <c r="B5" s="48" t="s">
        <v>344</v>
      </c>
      <c r="C5" s="49"/>
      <c r="D5" s="48"/>
      <c r="E5" s="102"/>
      <c r="F5" s="86">
        <v>0</v>
      </c>
      <c r="G5" s="48"/>
      <c r="H5" s="86">
        <f>Sanitaire[[#This Row],[PRIX /U HT]]*Sanitaire[[#This Row],[QUANTITE]]</f>
        <v>0</v>
      </c>
      <c r="I5" s="86"/>
      <c r="J5" s="86">
        <f>(Sanitaire[[#This Row],[TOTAL HT]]*1.2)+Sanitaire[[#This Row],[FDP]]</f>
        <v>0</v>
      </c>
      <c r="K5" s="48"/>
      <c r="L5" s="48"/>
      <c r="M5" s="48"/>
    </row>
    <row r="6" spans="1:13" ht="20.399999999999999" customHeight="1" x14ac:dyDescent="0.3">
      <c r="A6" s="50" t="s">
        <v>153</v>
      </c>
      <c r="B6" s="48" t="s">
        <v>343</v>
      </c>
      <c r="C6" s="49" t="s">
        <v>160</v>
      </c>
      <c r="D6" s="48" t="s">
        <v>94</v>
      </c>
      <c r="E6" s="102"/>
      <c r="F6" s="86">
        <v>1.77</v>
      </c>
      <c r="G6" s="48">
        <v>2</v>
      </c>
      <c r="H6" s="86">
        <f>Sanitaire[[#This Row],[PRIX /U HT]]*Sanitaire[[#This Row],[QUANTITE]]</f>
        <v>3.54</v>
      </c>
      <c r="I6" s="86"/>
      <c r="J6" s="86">
        <f>(Sanitaire[[#This Row],[TOTAL HT]]*1.2)+Sanitaire[[#This Row],[FDP]]</f>
        <v>4.2480000000000002</v>
      </c>
      <c r="K6" s="48"/>
      <c r="L6" s="48"/>
      <c r="M6" s="48"/>
    </row>
    <row r="7" spans="1:13" ht="28.8" customHeight="1" x14ac:dyDescent="0.3">
      <c r="A7" s="50" t="s">
        <v>134</v>
      </c>
      <c r="B7" s="48" t="s">
        <v>343</v>
      </c>
      <c r="C7" s="49" t="s">
        <v>135</v>
      </c>
      <c r="D7" s="48" t="s">
        <v>76</v>
      </c>
      <c r="E7" s="102"/>
      <c r="F7" s="86">
        <v>1.58</v>
      </c>
      <c r="G7" s="48">
        <v>2</v>
      </c>
      <c r="H7" s="86">
        <f>Sanitaire[[#This Row],[PRIX /U HT]]*Sanitaire[[#This Row],[QUANTITE]]</f>
        <v>3.16</v>
      </c>
      <c r="I7" s="86"/>
      <c r="J7" s="86">
        <f>(Sanitaire[[#This Row],[TOTAL HT]]*1.2)+Sanitaire[[#This Row],[FDP]]</f>
        <v>3.7919999999999998</v>
      </c>
      <c r="K7" s="48"/>
      <c r="L7" s="48"/>
      <c r="M7" s="48"/>
    </row>
    <row r="8" spans="1:13" ht="43.2" customHeight="1" x14ac:dyDescent="0.3">
      <c r="A8" s="50" t="s">
        <v>157</v>
      </c>
      <c r="B8" s="48" t="s">
        <v>343</v>
      </c>
      <c r="C8" s="48" t="s">
        <v>158</v>
      </c>
      <c r="D8" s="48" t="s">
        <v>76</v>
      </c>
      <c r="E8" s="102"/>
      <c r="F8" s="86">
        <v>10.029999999999999</v>
      </c>
      <c r="G8" s="48">
        <v>1</v>
      </c>
      <c r="H8" s="86">
        <f>Sanitaire[[#This Row],[PRIX /U HT]]*Sanitaire[[#This Row],[QUANTITE]]</f>
        <v>10.029999999999999</v>
      </c>
      <c r="I8" s="86"/>
      <c r="J8" s="86">
        <f>(Sanitaire[[#This Row],[TOTAL HT]]*1.2)+Sanitaire[[#This Row],[FDP]]</f>
        <v>12.036</v>
      </c>
      <c r="K8" s="64" t="s">
        <v>143</v>
      </c>
      <c r="L8" s="48"/>
      <c r="M8" s="48"/>
    </row>
    <row r="9" spans="1:13" ht="43.2" customHeight="1" x14ac:dyDescent="0.3">
      <c r="A9" s="50" t="s">
        <v>142</v>
      </c>
      <c r="B9" s="48" t="s">
        <v>343</v>
      </c>
      <c r="C9" s="48" t="s">
        <v>159</v>
      </c>
      <c r="D9" s="48" t="s">
        <v>76</v>
      </c>
      <c r="E9" s="102"/>
      <c r="F9" s="86">
        <v>6.28</v>
      </c>
      <c r="G9" s="48">
        <v>2</v>
      </c>
      <c r="H9" s="86">
        <f>Sanitaire[[#This Row],[PRIX /U HT]]*Sanitaire[[#This Row],[QUANTITE]]</f>
        <v>12.56</v>
      </c>
      <c r="I9" s="86"/>
      <c r="J9" s="86">
        <f>(Sanitaire[[#This Row],[TOTAL HT]]*1.2)+Sanitaire[[#This Row],[FDP]]</f>
        <v>15.071999999999999</v>
      </c>
      <c r="K9" s="48"/>
      <c r="L9" s="48"/>
      <c r="M9" s="48"/>
    </row>
    <row r="10" spans="1:13" ht="58.2" customHeight="1" x14ac:dyDescent="0.3">
      <c r="A10" s="50" t="s">
        <v>37</v>
      </c>
      <c r="B10" s="48" t="s">
        <v>344</v>
      </c>
      <c r="C10" s="49"/>
      <c r="D10" s="48"/>
      <c r="E10" s="102"/>
      <c r="F10" s="86">
        <v>0</v>
      </c>
      <c r="G10" s="48"/>
      <c r="H10" s="86">
        <f>Sanitaire[[#This Row],[PRIX /U HT]]*Sanitaire[[#This Row],[QUANTITE]]</f>
        <v>0</v>
      </c>
      <c r="I10" s="86"/>
      <c r="J10" s="86">
        <f>(Sanitaire[[#This Row],[TOTAL HT]]*1.2)+Sanitaire[[#This Row],[FDP]]</f>
        <v>0</v>
      </c>
      <c r="K10" s="64" t="s">
        <v>154</v>
      </c>
      <c r="L10" s="48"/>
      <c r="M10" s="48"/>
    </row>
    <row r="11" spans="1:13" ht="58.2" customHeight="1" x14ac:dyDescent="0.3">
      <c r="A11" s="50" t="s">
        <v>38</v>
      </c>
      <c r="B11" s="48" t="s">
        <v>344</v>
      </c>
      <c r="C11" s="49"/>
      <c r="D11" s="48"/>
      <c r="E11" s="102"/>
      <c r="F11" s="86">
        <v>0</v>
      </c>
      <c r="G11" s="48"/>
      <c r="H11" s="86">
        <f>Sanitaire[[#This Row],[PRIX /U HT]]*Sanitaire[[#This Row],[QUANTITE]]</f>
        <v>0</v>
      </c>
      <c r="I11" s="86"/>
      <c r="J11" s="86">
        <f>(Sanitaire[[#This Row],[TOTAL HT]]*1.2)+Sanitaire[[#This Row],[FDP]]</f>
        <v>0</v>
      </c>
      <c r="K11" s="64" t="s">
        <v>154</v>
      </c>
      <c r="L11" s="48"/>
      <c r="M11" s="48"/>
    </row>
    <row r="12" spans="1:13" ht="20.399999999999999" customHeight="1" x14ac:dyDescent="0.3">
      <c r="A12" s="50" t="s">
        <v>34</v>
      </c>
      <c r="B12" s="48" t="s">
        <v>344</v>
      </c>
      <c r="C12" s="49"/>
      <c r="D12" s="48"/>
      <c r="E12" s="102"/>
      <c r="F12" s="86">
        <v>0</v>
      </c>
      <c r="G12" s="48"/>
      <c r="H12" s="86">
        <f>Sanitaire[[#This Row],[PRIX /U HT]]*Sanitaire[[#This Row],[QUANTITE]]</f>
        <v>0</v>
      </c>
      <c r="I12" s="86"/>
      <c r="J12" s="86">
        <f>(Sanitaire[[#This Row],[TOTAL HT]]*1.2)+Sanitaire[[#This Row],[FDP]]</f>
        <v>0</v>
      </c>
      <c r="K12" s="48"/>
      <c r="L12" s="48"/>
      <c r="M12" s="48"/>
    </row>
    <row r="13" spans="1:13" ht="42.6" customHeight="1" x14ac:dyDescent="0.3">
      <c r="A13" s="50" t="s">
        <v>35</v>
      </c>
      <c r="B13" s="48" t="s">
        <v>344</v>
      </c>
      <c r="C13" s="49"/>
      <c r="D13" s="48"/>
      <c r="E13" s="102"/>
      <c r="F13" s="86">
        <v>0</v>
      </c>
      <c r="G13" s="48"/>
      <c r="H13" s="86">
        <f>Sanitaire[[#This Row],[PRIX /U HT]]*Sanitaire[[#This Row],[QUANTITE]]</f>
        <v>0</v>
      </c>
      <c r="I13" s="86"/>
      <c r="J13" s="86">
        <f>(Sanitaire[[#This Row],[TOTAL HT]]*1.2)+Sanitaire[[#This Row],[FDP]]</f>
        <v>0</v>
      </c>
      <c r="K13" s="48"/>
      <c r="L13" s="48"/>
      <c r="M13" s="48"/>
    </row>
    <row r="14" spans="1:13" ht="28.8" customHeight="1" x14ac:dyDescent="0.3">
      <c r="A14" s="50" t="s">
        <v>83</v>
      </c>
      <c r="B14" s="48" t="s">
        <v>343</v>
      </c>
      <c r="C14" s="49" t="s">
        <v>130</v>
      </c>
      <c r="D14" s="48" t="s">
        <v>76</v>
      </c>
      <c r="E14" s="102">
        <v>0.26</v>
      </c>
      <c r="F14" s="86">
        <v>16.3</v>
      </c>
      <c r="G14" s="48">
        <v>1</v>
      </c>
      <c r="H14" s="86">
        <f>Sanitaire[[#This Row],[PRIX /U HT]]*Sanitaire[[#This Row],[QUANTITE]]</f>
        <v>16.3</v>
      </c>
      <c r="I14" s="86"/>
      <c r="J14" s="86">
        <f>(Sanitaire[[#This Row],[TOTAL HT]]*1.2)+Sanitaire[[#This Row],[FDP]]</f>
        <v>19.559999999999999</v>
      </c>
      <c r="K14" s="48"/>
      <c r="L14" s="48"/>
      <c r="M14" s="48"/>
    </row>
    <row r="15" spans="1:13" ht="28.2" customHeight="1" x14ac:dyDescent="0.3">
      <c r="A15" s="50" t="s">
        <v>61</v>
      </c>
      <c r="B15" s="48" t="s">
        <v>344</v>
      </c>
      <c r="C15" s="49"/>
      <c r="D15" s="48"/>
      <c r="E15" s="102"/>
      <c r="F15" s="86">
        <v>0</v>
      </c>
      <c r="G15" s="48"/>
      <c r="H15" s="86">
        <f>Sanitaire[[#This Row],[PRIX /U HT]]*Sanitaire[[#This Row],[QUANTITE]]</f>
        <v>0</v>
      </c>
      <c r="I15" s="86"/>
      <c r="J15" s="86">
        <f>(Sanitaire[[#This Row],[TOTAL HT]]*1.2)+Sanitaire[[#This Row],[FDP]]</f>
        <v>0</v>
      </c>
      <c r="K15" s="48"/>
      <c r="L15" s="48"/>
      <c r="M15" s="48"/>
    </row>
    <row r="16" spans="1:13" ht="51" customHeight="1" x14ac:dyDescent="0.3">
      <c r="A16" s="50" t="s">
        <v>62</v>
      </c>
      <c r="B16" s="48" t="s">
        <v>344</v>
      </c>
      <c r="C16" s="49"/>
      <c r="D16" s="48"/>
      <c r="E16" s="102"/>
      <c r="F16" s="86">
        <v>0</v>
      </c>
      <c r="G16" s="48"/>
      <c r="H16" s="86">
        <f>Sanitaire[[#This Row],[PRIX /U HT]]*Sanitaire[[#This Row],[QUANTITE]]</f>
        <v>0</v>
      </c>
      <c r="I16" s="86"/>
      <c r="J16" s="86">
        <f>(Sanitaire[[#This Row],[TOTAL HT]]*1.2)+Sanitaire[[#This Row],[FDP]]</f>
        <v>0</v>
      </c>
      <c r="K16" s="48" t="s">
        <v>131</v>
      </c>
      <c r="L16" s="48"/>
      <c r="M16" s="48"/>
    </row>
    <row r="17" spans="1:13" ht="20.399999999999999" customHeight="1" x14ac:dyDescent="0.3">
      <c r="A17" s="50" t="s">
        <v>42</v>
      </c>
      <c r="B17" s="48" t="s">
        <v>343</v>
      </c>
      <c r="C17" s="49" t="s">
        <v>246</v>
      </c>
      <c r="D17" s="48" t="s">
        <v>77</v>
      </c>
      <c r="E17" s="102"/>
      <c r="F17" s="86">
        <v>10</v>
      </c>
      <c r="G17" s="48"/>
      <c r="H17" s="86">
        <f>Sanitaire[[#This Row],[PRIX /U HT]]*Sanitaire[[#This Row],[QUANTITE]]</f>
        <v>0</v>
      </c>
      <c r="I17" s="86"/>
      <c r="J17" s="86">
        <f>(Sanitaire[[#This Row],[TOTAL HT]]*1.2)+Sanitaire[[#This Row],[FDP]]</f>
        <v>0</v>
      </c>
      <c r="K17" s="48"/>
      <c r="L17" s="48"/>
      <c r="M17" s="48"/>
    </row>
    <row r="18" spans="1:13" ht="20.399999999999999" customHeight="1" x14ac:dyDescent="0.3">
      <c r="A18" s="50" t="s">
        <v>125</v>
      </c>
      <c r="B18" s="48" t="s">
        <v>343</v>
      </c>
      <c r="C18" s="49" t="s">
        <v>126</v>
      </c>
      <c r="D18" s="48" t="s">
        <v>76</v>
      </c>
      <c r="E18" s="102"/>
      <c r="F18" s="86">
        <v>28.43</v>
      </c>
      <c r="G18" s="48">
        <v>1</v>
      </c>
      <c r="H18" s="86">
        <f>Sanitaire[[#This Row],[PRIX /U HT]]*Sanitaire[[#This Row],[QUANTITE]]</f>
        <v>28.43</v>
      </c>
      <c r="I18" s="86"/>
      <c r="J18" s="86">
        <f>(Sanitaire[[#This Row],[TOTAL HT]]*1.2)+Sanitaire[[#This Row],[FDP]]</f>
        <v>34.116</v>
      </c>
      <c r="K18" s="48"/>
      <c r="L18" s="48"/>
      <c r="M18" s="48"/>
    </row>
    <row r="19" spans="1:13" ht="30" customHeight="1" x14ac:dyDescent="0.3">
      <c r="A19" s="50" t="s">
        <v>63</v>
      </c>
      <c r="B19" s="48" t="s">
        <v>344</v>
      </c>
      <c r="C19" s="49"/>
      <c r="D19" s="48"/>
      <c r="E19" s="102"/>
      <c r="F19" s="86">
        <v>0</v>
      </c>
      <c r="G19" s="48"/>
      <c r="H19" s="86">
        <f>Sanitaire[[#This Row],[PRIX /U HT]]*Sanitaire[[#This Row],[QUANTITE]]</f>
        <v>0</v>
      </c>
      <c r="I19" s="86"/>
      <c r="J19" s="86">
        <f>(Sanitaire[[#This Row],[TOTAL HT]]*1.2)+Sanitaire[[#This Row],[FDP]]</f>
        <v>0</v>
      </c>
      <c r="K19" s="65" t="s">
        <v>105</v>
      </c>
      <c r="L19" s="48"/>
      <c r="M19" s="48"/>
    </row>
    <row r="20" spans="1:13" ht="28.2" customHeight="1" x14ac:dyDescent="0.3">
      <c r="A20" s="50" t="s">
        <v>151</v>
      </c>
      <c r="B20" s="48" t="s">
        <v>344</v>
      </c>
      <c r="C20" s="49" t="s">
        <v>267</v>
      </c>
      <c r="D20" s="48" t="s">
        <v>76</v>
      </c>
      <c r="E20" s="102">
        <v>0.2</v>
      </c>
      <c r="F20" s="86">
        <v>10.88</v>
      </c>
      <c r="G20" s="48">
        <v>2</v>
      </c>
      <c r="H20" s="86">
        <f>Sanitaire[[#This Row],[PRIX /U HT]]*Sanitaire[[#This Row],[QUANTITE]]</f>
        <v>21.76</v>
      </c>
      <c r="I20" s="86"/>
      <c r="J20" s="86">
        <f>(Sanitaire[[#This Row],[TOTAL HT]]*1.2)+Sanitaire[[#This Row],[FDP]]</f>
        <v>26.112000000000002</v>
      </c>
      <c r="K20" s="48"/>
      <c r="L20" s="48"/>
      <c r="M20" s="48"/>
    </row>
    <row r="21" spans="1:13" ht="28.2" customHeight="1" x14ac:dyDescent="0.3">
      <c r="A21" s="50" t="s">
        <v>264</v>
      </c>
      <c r="B21" s="48" t="s">
        <v>343</v>
      </c>
      <c r="C21" s="49" t="s">
        <v>266</v>
      </c>
      <c r="D21" s="48" t="s">
        <v>76</v>
      </c>
      <c r="E21" s="102">
        <v>0.2</v>
      </c>
      <c r="F21" s="86">
        <v>18.95</v>
      </c>
      <c r="G21" s="48">
        <v>1</v>
      </c>
      <c r="H21" s="86">
        <f>Sanitaire[[#This Row],[PRIX /U HT]]*Sanitaire[[#This Row],[QUANTITE]]</f>
        <v>18.95</v>
      </c>
      <c r="I21" s="86"/>
      <c r="J21" s="86">
        <f>(Sanitaire[[#This Row],[TOTAL HT]]*1.2)+Sanitaire[[#This Row],[FDP]]</f>
        <v>22.74</v>
      </c>
      <c r="K21" s="48" t="s">
        <v>127</v>
      </c>
      <c r="L21" s="48"/>
      <c r="M21" s="48"/>
    </row>
    <row r="22" spans="1:13" ht="49.8" customHeight="1" x14ac:dyDescent="0.3">
      <c r="A22" s="50" t="s">
        <v>54</v>
      </c>
      <c r="B22" s="48" t="s">
        <v>344</v>
      </c>
      <c r="C22" s="49"/>
      <c r="D22" s="48"/>
      <c r="E22" s="102"/>
      <c r="F22" s="86">
        <v>0</v>
      </c>
      <c r="G22" s="48"/>
      <c r="H22" s="86">
        <f>Sanitaire[[#This Row],[PRIX /U HT]]*Sanitaire[[#This Row],[QUANTITE]]</f>
        <v>0</v>
      </c>
      <c r="I22" s="86"/>
      <c r="J22" s="86">
        <f>(Sanitaire[[#This Row],[TOTAL HT]]*1.2)+Sanitaire[[#This Row],[FDP]]</f>
        <v>0</v>
      </c>
      <c r="K22" s="66" t="s">
        <v>265</v>
      </c>
      <c r="L22" s="48"/>
      <c r="M22" s="48"/>
    </row>
    <row r="23" spans="1:13" ht="49.8" customHeight="1" x14ac:dyDescent="0.3">
      <c r="A23" s="50" t="s">
        <v>78</v>
      </c>
      <c r="B23" s="48" t="s">
        <v>343</v>
      </c>
      <c r="C23" s="48" t="s">
        <v>79</v>
      </c>
      <c r="D23" s="48" t="s">
        <v>80</v>
      </c>
      <c r="E23" s="102"/>
      <c r="F23" s="86">
        <v>8.8800000000000008</v>
      </c>
      <c r="G23" s="48">
        <v>1</v>
      </c>
      <c r="H23" s="86">
        <f>Sanitaire[[#This Row],[PRIX /U HT]]*Sanitaire[[#This Row],[QUANTITE]]</f>
        <v>8.8800000000000008</v>
      </c>
      <c r="I23" s="86">
        <v>7.8</v>
      </c>
      <c r="J23" s="86">
        <f>(Sanitaire[[#This Row],[TOTAL HT]]*1.2)+Sanitaire[[#This Row],[FDP]]</f>
        <v>18.456</v>
      </c>
      <c r="K23" s="66" t="s">
        <v>265</v>
      </c>
      <c r="L23" s="48"/>
      <c r="M23" s="48"/>
    </row>
    <row r="24" spans="1:13" ht="31.2" customHeight="1" x14ac:dyDescent="0.3">
      <c r="A24" s="50" t="s">
        <v>286</v>
      </c>
      <c r="B24" s="48" t="s">
        <v>343</v>
      </c>
      <c r="C24" s="48" t="s">
        <v>287</v>
      </c>
      <c r="D24" s="48" t="s">
        <v>76</v>
      </c>
      <c r="E24" s="102"/>
      <c r="F24" s="86">
        <v>4.83</v>
      </c>
      <c r="G24" s="48">
        <v>1</v>
      </c>
      <c r="H24" s="86">
        <f>Sanitaire[[#This Row],[PRIX /U HT]]*Sanitaire[[#This Row],[QUANTITE]]</f>
        <v>4.83</v>
      </c>
      <c r="I24" s="86"/>
      <c r="J24" s="86">
        <f>(Sanitaire[[#This Row],[TOTAL HT]]*1.2)+Sanitaire[[#This Row],[FDP]]</f>
        <v>5.7960000000000003</v>
      </c>
      <c r="K24" s="66"/>
      <c r="L24" s="48"/>
      <c r="M24" s="48"/>
    </row>
    <row r="25" spans="1:13" ht="20.399999999999999" customHeight="1" x14ac:dyDescent="0.3">
      <c r="A25" s="50" t="s">
        <v>282</v>
      </c>
      <c r="B25" s="48" t="s">
        <v>344</v>
      </c>
      <c r="C25" s="49"/>
      <c r="D25" s="48"/>
      <c r="E25" s="102"/>
      <c r="F25" s="86">
        <v>0</v>
      </c>
      <c r="G25" s="48"/>
      <c r="H25" s="86">
        <f>Sanitaire[[#This Row],[PRIX /U HT]]*Sanitaire[[#This Row],[QUANTITE]]</f>
        <v>0</v>
      </c>
      <c r="I25" s="86"/>
      <c r="J25" s="86">
        <f>(Sanitaire[[#This Row],[TOTAL HT]]*1.2)+Sanitaire[[#This Row],[FDP]]</f>
        <v>0</v>
      </c>
      <c r="K25" s="48"/>
      <c r="L25" s="48"/>
      <c r="M25" s="48"/>
    </row>
    <row r="26" spans="1:13" ht="27.6" customHeight="1" x14ac:dyDescent="0.3">
      <c r="A26" s="50" t="s">
        <v>285</v>
      </c>
      <c r="B26" s="48" t="s">
        <v>343</v>
      </c>
      <c r="C26" s="48" t="s">
        <v>285</v>
      </c>
      <c r="D26" s="48" t="s">
        <v>146</v>
      </c>
      <c r="E26" s="102"/>
      <c r="F26" s="86">
        <v>1.25</v>
      </c>
      <c r="G26" s="48">
        <v>3</v>
      </c>
      <c r="H26" s="86">
        <f>Sanitaire[[#This Row],[PRIX /U HT]]*Sanitaire[[#This Row],[QUANTITE]]</f>
        <v>3.75</v>
      </c>
      <c r="I26" s="86"/>
      <c r="J26" s="86">
        <f>(Sanitaire[[#This Row],[TOTAL HT]]*1.2)+Sanitaire[[#This Row],[FDP]]</f>
        <v>4.5</v>
      </c>
      <c r="K26" s="48"/>
      <c r="L26" s="48"/>
      <c r="M26" s="48"/>
    </row>
    <row r="27" spans="1:13" ht="40.200000000000003" customHeight="1" x14ac:dyDescent="0.3">
      <c r="A27" s="50" t="s">
        <v>284</v>
      </c>
      <c r="B27" s="48" t="s">
        <v>343</v>
      </c>
      <c r="C27" s="49" t="s">
        <v>279</v>
      </c>
      <c r="D27" s="48" t="s">
        <v>146</v>
      </c>
      <c r="E27" s="102"/>
      <c r="F27" s="86">
        <v>1.25</v>
      </c>
      <c r="G27" s="48">
        <v>2</v>
      </c>
      <c r="H27" s="86">
        <f>Sanitaire[[#This Row],[PRIX /U HT]]*Sanitaire[[#This Row],[QUANTITE]]</f>
        <v>2.5</v>
      </c>
      <c r="I27" s="86"/>
      <c r="J27" s="86">
        <f>(Sanitaire[[#This Row],[TOTAL HT]]*1.2)+Sanitaire[[#This Row],[FDP]]</f>
        <v>3</v>
      </c>
      <c r="K27" s="48"/>
      <c r="L27" s="48"/>
      <c r="M27" s="48"/>
    </row>
    <row r="28" spans="1:13" ht="32.4" customHeight="1" x14ac:dyDescent="0.3">
      <c r="A28" s="50" t="s">
        <v>161</v>
      </c>
      <c r="B28" s="48" t="s">
        <v>343</v>
      </c>
      <c r="C28" s="49" t="s">
        <v>162</v>
      </c>
      <c r="D28" s="48" t="s">
        <v>76</v>
      </c>
      <c r="E28" s="102"/>
      <c r="F28" s="86">
        <v>7.23</v>
      </c>
      <c r="G28" s="48">
        <v>1</v>
      </c>
      <c r="H28" s="86">
        <f>Sanitaire[[#This Row],[PRIX /U HT]]*Sanitaire[[#This Row],[QUANTITE]]</f>
        <v>7.23</v>
      </c>
      <c r="I28" s="86"/>
      <c r="J28" s="86">
        <f>(Sanitaire[[#This Row],[TOTAL HT]]*1.2)+Sanitaire[[#This Row],[FDP]]</f>
        <v>8.6760000000000002</v>
      </c>
      <c r="K28" s="48"/>
      <c r="L28" s="48"/>
      <c r="M28" s="48"/>
    </row>
    <row r="29" spans="1:13" ht="76.2" customHeight="1" x14ac:dyDescent="0.3">
      <c r="A29" s="50" t="s">
        <v>147</v>
      </c>
      <c r="B29" s="48" t="s">
        <v>344</v>
      </c>
      <c r="C29" s="49"/>
      <c r="D29" s="48"/>
      <c r="E29" s="102"/>
      <c r="F29" s="86">
        <v>0</v>
      </c>
      <c r="G29" s="48"/>
      <c r="H29" s="86">
        <f>Sanitaire[[#This Row],[PRIX /U HT]]*Sanitaire[[#This Row],[QUANTITE]]</f>
        <v>0</v>
      </c>
      <c r="I29" s="86"/>
      <c r="J29" s="86">
        <f>(Sanitaire[[#This Row],[TOTAL HT]]*1.2)+Sanitaire[[#This Row],[FDP]]</f>
        <v>0</v>
      </c>
      <c r="K29" s="48"/>
      <c r="L29" s="48"/>
      <c r="M29" s="48"/>
    </row>
    <row r="30" spans="1:13" ht="59.4" customHeight="1" x14ac:dyDescent="0.3">
      <c r="A30" s="50" t="s">
        <v>360</v>
      </c>
      <c r="B30" s="48" t="s">
        <v>343</v>
      </c>
      <c r="C30" s="49" t="s">
        <v>152</v>
      </c>
      <c r="D30" s="48" t="s">
        <v>76</v>
      </c>
      <c r="E30" s="102">
        <v>0.01</v>
      </c>
      <c r="F30" s="86">
        <v>5.0199999999999996</v>
      </c>
      <c r="G30" s="48">
        <v>1</v>
      </c>
      <c r="H30" s="86">
        <f>Sanitaire[[#This Row],[PRIX /U HT]]*Sanitaire[[#This Row],[QUANTITE]]</f>
        <v>5.0199999999999996</v>
      </c>
      <c r="I30" s="86"/>
      <c r="J30" s="86">
        <f>(Sanitaire[[#This Row],[TOTAL HT]]*1.2)+Sanitaire[[#This Row],[FDP]]</f>
        <v>6.0239999999999991</v>
      </c>
      <c r="K30" s="48"/>
      <c r="L30" s="48"/>
      <c r="M30" s="48"/>
    </row>
    <row r="31" spans="1:13" ht="55.2" customHeight="1" x14ac:dyDescent="0.3">
      <c r="A31" s="50" t="s">
        <v>136</v>
      </c>
      <c r="B31" s="48" t="s">
        <v>343</v>
      </c>
      <c r="C31" s="49" t="s">
        <v>137</v>
      </c>
      <c r="D31" s="48" t="s">
        <v>76</v>
      </c>
      <c r="E31" s="102">
        <v>0.01</v>
      </c>
      <c r="F31" s="86">
        <v>5.0199999999999996</v>
      </c>
      <c r="G31" s="48">
        <v>1</v>
      </c>
      <c r="H31" s="86">
        <f>Sanitaire[[#This Row],[PRIX /U HT]]*Sanitaire[[#This Row],[QUANTITE]]</f>
        <v>5.0199999999999996</v>
      </c>
      <c r="I31" s="86"/>
      <c r="J31" s="86">
        <f>(Sanitaire[[#This Row],[TOTAL HT]]*1.2)+Sanitaire[[#This Row],[FDP]]</f>
        <v>6.0239999999999991</v>
      </c>
      <c r="K31" s="48"/>
      <c r="L31" s="48"/>
      <c r="M31" s="48"/>
    </row>
    <row r="32" spans="1:13" ht="55.2" customHeight="1" x14ac:dyDescent="0.3">
      <c r="A32" s="50" t="s">
        <v>149</v>
      </c>
      <c r="B32" s="48" t="s">
        <v>343</v>
      </c>
      <c r="C32" s="49" t="s">
        <v>150</v>
      </c>
      <c r="D32" s="48" t="s">
        <v>76</v>
      </c>
      <c r="E32" s="102">
        <v>0.01</v>
      </c>
      <c r="F32" s="86">
        <v>3.93</v>
      </c>
      <c r="G32" s="48">
        <v>2</v>
      </c>
      <c r="H32" s="86">
        <f>Sanitaire[[#This Row],[PRIX /U HT]]*Sanitaire[[#This Row],[QUANTITE]]</f>
        <v>7.86</v>
      </c>
      <c r="I32" s="86"/>
      <c r="J32" s="86">
        <f>(Sanitaire[[#This Row],[TOTAL HT]]*1.2)+Sanitaire[[#This Row],[FDP]]</f>
        <v>9.4320000000000004</v>
      </c>
      <c r="K32" s="48"/>
      <c r="L32" s="48"/>
      <c r="M32" s="48"/>
    </row>
    <row r="33" spans="1:13" ht="29.4" customHeight="1" x14ac:dyDescent="0.3">
      <c r="A33" s="50" t="s">
        <v>138</v>
      </c>
      <c r="B33" s="48" t="s">
        <v>343</v>
      </c>
      <c r="C33" s="49" t="s">
        <v>139</v>
      </c>
      <c r="D33" s="48" t="s">
        <v>76</v>
      </c>
      <c r="E33" s="102">
        <v>0.01</v>
      </c>
      <c r="F33" s="86">
        <v>3.68</v>
      </c>
      <c r="G33" s="48">
        <v>1</v>
      </c>
      <c r="H33" s="86">
        <f>Sanitaire[[#This Row],[PRIX /U HT]]*Sanitaire[[#This Row],[QUANTITE]]</f>
        <v>3.68</v>
      </c>
      <c r="I33" s="86"/>
      <c r="J33" s="86">
        <f>(Sanitaire[[#This Row],[TOTAL HT]]*1.2)+Sanitaire[[#This Row],[FDP]]</f>
        <v>4.4160000000000004</v>
      </c>
      <c r="K33" s="48"/>
      <c r="L33" s="48"/>
      <c r="M33" s="48"/>
    </row>
    <row r="34" spans="1:13" ht="29.4" customHeight="1" x14ac:dyDescent="0.3">
      <c r="A34" s="50" t="s">
        <v>36</v>
      </c>
      <c r="B34" s="48" t="s">
        <v>344</v>
      </c>
      <c r="C34" s="49"/>
      <c r="D34" s="48"/>
      <c r="E34" s="102"/>
      <c r="F34" s="86">
        <v>0</v>
      </c>
      <c r="G34" s="48"/>
      <c r="H34" s="86">
        <f>Sanitaire[[#This Row],[PRIX /U HT]]*Sanitaire[[#This Row],[QUANTITE]]</f>
        <v>0</v>
      </c>
      <c r="I34" s="86"/>
      <c r="J34" s="86">
        <f>(Sanitaire[[#This Row],[TOTAL HT]]*1.2)+Sanitaire[[#This Row],[FDP]]</f>
        <v>0</v>
      </c>
      <c r="K34" s="48" t="s">
        <v>123</v>
      </c>
      <c r="L34" s="48"/>
      <c r="M34" s="48"/>
    </row>
    <row r="35" spans="1:13" ht="44.4" customHeight="1" x14ac:dyDescent="0.3">
      <c r="A35" s="50" t="s">
        <v>74</v>
      </c>
      <c r="B35" s="48" t="s">
        <v>343</v>
      </c>
      <c r="C35" s="49" t="s">
        <v>104</v>
      </c>
      <c r="D35" s="48" t="s">
        <v>76</v>
      </c>
      <c r="E35" s="102"/>
      <c r="F35" s="86">
        <v>75.489999999999995</v>
      </c>
      <c r="G35" s="48">
        <v>1</v>
      </c>
      <c r="H35" s="86">
        <f>Sanitaire[[#This Row],[PRIX /U HT]]*Sanitaire[[#This Row],[QUANTITE]]</f>
        <v>75.489999999999995</v>
      </c>
      <c r="I35" s="86"/>
      <c r="J35" s="86">
        <f>(Sanitaire[[#This Row],[TOTAL HT]]*1.2)+Sanitaire[[#This Row],[FDP]]</f>
        <v>90.587999999999994</v>
      </c>
      <c r="K35" s="48" t="s">
        <v>124</v>
      </c>
      <c r="L35" s="48"/>
      <c r="M35" s="48"/>
    </row>
    <row r="36" spans="1:13" ht="42" customHeight="1" x14ac:dyDescent="0.3">
      <c r="A36" s="50" t="s">
        <v>75</v>
      </c>
      <c r="B36" s="48" t="s">
        <v>343</v>
      </c>
      <c r="C36" s="49" t="s">
        <v>122</v>
      </c>
      <c r="D36" s="48" t="s">
        <v>76</v>
      </c>
      <c r="E36" s="102"/>
      <c r="F36" s="86">
        <v>63.95</v>
      </c>
      <c r="G36" s="48">
        <v>1</v>
      </c>
      <c r="H36" s="86">
        <f>Sanitaire[[#This Row],[PRIX /U HT]]*Sanitaire[[#This Row],[QUANTITE]]</f>
        <v>63.95</v>
      </c>
      <c r="I36" s="86"/>
      <c r="J36" s="86">
        <f>(Sanitaire[[#This Row],[TOTAL HT]]*1.2)+Sanitaire[[#This Row],[FDP]]</f>
        <v>76.739999999999995</v>
      </c>
      <c r="K36" s="48" t="s">
        <v>250</v>
      </c>
      <c r="L36" s="48"/>
      <c r="M36" s="48"/>
    </row>
    <row r="37" spans="1:13" ht="25.8" customHeight="1" x14ac:dyDescent="0.3">
      <c r="A37" s="50" t="s">
        <v>44</v>
      </c>
      <c r="B37" s="48" t="s">
        <v>343</v>
      </c>
      <c r="C37" s="49" t="s">
        <v>81</v>
      </c>
      <c r="D37" s="48" t="s">
        <v>249</v>
      </c>
      <c r="E37" s="102"/>
      <c r="F37" s="86">
        <v>21.58</v>
      </c>
      <c r="G37" s="48">
        <v>1</v>
      </c>
      <c r="H37" s="86">
        <f>Sanitaire[[#This Row],[PRIX /U HT]]*Sanitaire[[#This Row],[QUANTITE]]</f>
        <v>21.58</v>
      </c>
      <c r="I37" s="86">
        <v>5.99</v>
      </c>
      <c r="J37" s="86">
        <f>(Sanitaire[[#This Row],[TOTAL HT]]*1.2)+Sanitaire[[#This Row],[FDP]]</f>
        <v>31.885999999999996</v>
      </c>
      <c r="K37" s="48"/>
      <c r="L37" s="48"/>
      <c r="M37" s="48"/>
    </row>
    <row r="38" spans="1:13" ht="28.2" customHeight="1" x14ac:dyDescent="0.3">
      <c r="A38" s="50" t="s">
        <v>128</v>
      </c>
      <c r="B38" s="48" t="s">
        <v>343</v>
      </c>
      <c r="C38" s="49" t="s">
        <v>129</v>
      </c>
      <c r="D38" s="48" t="s">
        <v>76</v>
      </c>
      <c r="E38" s="102"/>
      <c r="F38" s="86">
        <v>2.4700000000000002</v>
      </c>
      <c r="G38" s="48">
        <v>3</v>
      </c>
      <c r="H38" s="86">
        <f>Sanitaire[[#This Row],[PRIX /U HT]]*Sanitaire[[#This Row],[QUANTITE]]</f>
        <v>7.41</v>
      </c>
      <c r="I38" s="86"/>
      <c r="J38" s="86">
        <f>(Sanitaire[[#This Row],[TOTAL HT]]*1.2)+Sanitaire[[#This Row],[FDP]]</f>
        <v>8.8919999999999995</v>
      </c>
      <c r="K38" s="48"/>
      <c r="L38" s="48"/>
      <c r="M38" s="48"/>
    </row>
    <row r="39" spans="1:13" ht="52.8" customHeight="1" x14ac:dyDescent="0.3">
      <c r="A39" s="50" t="s">
        <v>59</v>
      </c>
      <c r="B39" s="48" t="s">
        <v>344</v>
      </c>
      <c r="C39" s="49"/>
      <c r="D39" s="48"/>
      <c r="E39" s="102"/>
      <c r="F39" s="86">
        <v>0</v>
      </c>
      <c r="G39" s="48"/>
      <c r="H39" s="86">
        <f>Sanitaire[[#This Row],[PRIX /U HT]]*Sanitaire[[#This Row],[QUANTITE]]</f>
        <v>0</v>
      </c>
      <c r="I39" s="86"/>
      <c r="J39" s="86">
        <f>(Sanitaire[[#This Row],[TOTAL HT]]*1.2)+Sanitaire[[#This Row],[FDP]]</f>
        <v>0</v>
      </c>
      <c r="K39" s="48"/>
      <c r="L39" s="48"/>
      <c r="M39" s="48"/>
    </row>
    <row r="40" spans="1:13" ht="42" customHeight="1" x14ac:dyDescent="0.3">
      <c r="A40" s="50" t="s">
        <v>155</v>
      </c>
      <c r="B40" s="48" t="s">
        <v>343</v>
      </c>
      <c r="C40" s="48" t="s">
        <v>156</v>
      </c>
      <c r="D40" s="48" t="s">
        <v>76</v>
      </c>
      <c r="E40" s="102"/>
      <c r="F40" s="86">
        <v>3.34</v>
      </c>
      <c r="G40" s="48">
        <v>1</v>
      </c>
      <c r="H40" s="86">
        <f>Sanitaire[[#This Row],[PRIX /U HT]]*Sanitaire[[#This Row],[QUANTITE]]</f>
        <v>3.34</v>
      </c>
      <c r="I40" s="86"/>
      <c r="J40" s="86">
        <f>(Sanitaire[[#This Row],[TOTAL HT]]*1.2)+Sanitaire[[#This Row],[FDP]]</f>
        <v>4.008</v>
      </c>
      <c r="K40" s="48"/>
      <c r="L40" s="48"/>
      <c r="M40" s="48"/>
    </row>
    <row r="41" spans="1:13" ht="36.6" customHeight="1" x14ac:dyDescent="0.3">
      <c r="A41" s="50" t="s">
        <v>132</v>
      </c>
      <c r="B41" s="48" t="s">
        <v>343</v>
      </c>
      <c r="C41" s="49" t="s">
        <v>133</v>
      </c>
      <c r="D41" s="48" t="s">
        <v>76</v>
      </c>
      <c r="E41" s="102">
        <v>0.2</v>
      </c>
      <c r="F41" s="86">
        <v>5.0199999999999996</v>
      </c>
      <c r="G41" s="48">
        <v>3</v>
      </c>
      <c r="H41" s="86">
        <f>Sanitaire[[#This Row],[PRIX /U HT]]*Sanitaire[[#This Row],[QUANTITE]]</f>
        <v>15.059999999999999</v>
      </c>
      <c r="I41" s="86"/>
      <c r="J41" s="86">
        <f>(Sanitaire[[#This Row],[TOTAL HT]]*1.2)+Sanitaire[[#This Row],[FDP]]</f>
        <v>18.071999999999999</v>
      </c>
      <c r="K41" s="48"/>
      <c r="L41" s="48"/>
      <c r="M41" s="48"/>
    </row>
    <row r="42" spans="1:13" ht="36.6" customHeight="1" x14ac:dyDescent="0.3">
      <c r="A42" s="50" t="s">
        <v>148</v>
      </c>
      <c r="B42" s="48" t="s">
        <v>343</v>
      </c>
      <c r="C42" s="49" t="s">
        <v>141</v>
      </c>
      <c r="D42" s="48" t="s">
        <v>76</v>
      </c>
      <c r="E42" s="102"/>
      <c r="F42" s="86">
        <v>2.09</v>
      </c>
      <c r="G42" s="48">
        <v>5</v>
      </c>
      <c r="H42" s="86">
        <f>Sanitaire[[#This Row],[PRIX /U HT]]*Sanitaire[[#This Row],[QUANTITE]]</f>
        <v>10.45</v>
      </c>
      <c r="I42" s="86"/>
      <c r="J42" s="86">
        <f>(Sanitaire[[#This Row],[TOTAL HT]]*1.2)+Sanitaire[[#This Row],[FDP]]</f>
        <v>12.54</v>
      </c>
      <c r="K42" s="48"/>
      <c r="L42" s="48"/>
      <c r="M42" s="48"/>
    </row>
    <row r="43" spans="1:13" ht="36.6" customHeight="1" x14ac:dyDescent="0.3">
      <c r="A43" s="50" t="s">
        <v>140</v>
      </c>
      <c r="B43" s="48" t="s">
        <v>343</v>
      </c>
      <c r="C43" s="49" t="s">
        <v>141</v>
      </c>
      <c r="D43" s="48" t="s">
        <v>76</v>
      </c>
      <c r="E43" s="102"/>
      <c r="F43" s="86">
        <v>1.27</v>
      </c>
      <c r="G43" s="48">
        <v>10</v>
      </c>
      <c r="H43" s="86">
        <f>Sanitaire[[#This Row],[PRIX /U HT]]*Sanitaire[[#This Row],[QUANTITE]]</f>
        <v>12.7</v>
      </c>
      <c r="I43" s="86"/>
      <c r="J43" s="86">
        <f>(Sanitaire[[#This Row],[TOTAL HT]]*1.2)+Sanitaire[[#This Row],[FDP]]</f>
        <v>15.239999999999998</v>
      </c>
      <c r="K43" s="48"/>
      <c r="L43" s="48"/>
      <c r="M43" s="48"/>
    </row>
    <row r="44" spans="1:13" ht="31.2" customHeight="1" x14ac:dyDescent="0.3">
      <c r="A44" s="50" t="s">
        <v>64</v>
      </c>
      <c r="B44" s="48" t="s">
        <v>344</v>
      </c>
      <c r="C44" s="49"/>
      <c r="D44" s="48"/>
      <c r="E44" s="102"/>
      <c r="F44" s="86">
        <v>0</v>
      </c>
      <c r="G44" s="48"/>
      <c r="H44" s="86">
        <f>Sanitaire[[#This Row],[PRIX /U HT]]*Sanitaire[[#This Row],[QUANTITE]]</f>
        <v>0</v>
      </c>
      <c r="I44" s="86"/>
      <c r="J44" s="86">
        <f>(Sanitaire[[#This Row],[TOTAL HT]]*1.2)+Sanitaire[[#This Row],[FDP]]</f>
        <v>0</v>
      </c>
      <c r="K44" s="48"/>
      <c r="L44" s="48"/>
      <c r="M44" s="48"/>
    </row>
    <row r="45" spans="1:13" ht="63" customHeight="1" x14ac:dyDescent="0.3">
      <c r="A45" s="50" t="s">
        <v>33</v>
      </c>
      <c r="B45" s="48" t="s">
        <v>344</v>
      </c>
      <c r="C45" s="49"/>
      <c r="D45" s="48"/>
      <c r="E45" s="102"/>
      <c r="F45" s="86">
        <v>0</v>
      </c>
      <c r="G45" s="48"/>
      <c r="H45" s="86">
        <f>Sanitaire[[#This Row],[PRIX /U HT]]*Sanitaire[[#This Row],[QUANTITE]]</f>
        <v>0</v>
      </c>
      <c r="I45" s="86"/>
      <c r="J45" s="86">
        <f>(Sanitaire[[#This Row],[TOTAL HT]]*1.2)+Sanitaire[[#This Row],[FDP]]</f>
        <v>0</v>
      </c>
      <c r="K45" s="48"/>
      <c r="L45" s="48"/>
      <c r="M45" s="48"/>
    </row>
    <row r="46" spans="1:13" ht="30.6" customHeight="1" x14ac:dyDescent="0.3">
      <c r="A46" s="50" t="s">
        <v>144</v>
      </c>
      <c r="B46" s="48" t="s">
        <v>344</v>
      </c>
      <c r="C46" s="49" t="s">
        <v>145</v>
      </c>
      <c r="D46" s="48" t="s">
        <v>146</v>
      </c>
      <c r="E46" s="102"/>
      <c r="F46" s="86">
        <v>6.58</v>
      </c>
      <c r="G46" s="48">
        <v>1</v>
      </c>
      <c r="H46" s="86">
        <f>Sanitaire[[#This Row],[PRIX /U HT]]*Sanitaire[[#This Row],[QUANTITE]]</f>
        <v>6.58</v>
      </c>
      <c r="I46" s="86"/>
      <c r="J46" s="86">
        <f>(Sanitaire[[#This Row],[TOTAL HT]]*1.2)+Sanitaire[[#This Row],[FDP]]</f>
        <v>7.8959999999999999</v>
      </c>
      <c r="K46" s="48"/>
      <c r="L46" s="48"/>
      <c r="M46" s="48"/>
    </row>
    <row r="47" spans="1:13" ht="34.200000000000003" customHeight="1" thickBot="1" x14ac:dyDescent="0.35">
      <c r="A47" s="50" t="s">
        <v>163</v>
      </c>
      <c r="B47" s="48" t="s">
        <v>343</v>
      </c>
      <c r="C47" s="49" t="s">
        <v>164</v>
      </c>
      <c r="D47" s="48" t="s">
        <v>76</v>
      </c>
      <c r="E47" s="126">
        <v>0.2</v>
      </c>
      <c r="F47" s="86">
        <v>8.2799999999999994</v>
      </c>
      <c r="G47" s="48">
        <v>1</v>
      </c>
      <c r="H47" s="86">
        <f>Sanitaire[[#This Row],[PRIX /U HT]]*Sanitaire[[#This Row],[QUANTITE]]</f>
        <v>8.2799999999999994</v>
      </c>
      <c r="I47" s="93"/>
      <c r="J47" s="93">
        <f>(Sanitaire[[#This Row],[TOTAL HT]]*1.2)+Sanitaire[[#This Row],[FDP]]</f>
        <v>9.9359999999999982</v>
      </c>
      <c r="K47" s="48"/>
      <c r="L47" s="48"/>
      <c r="M47" s="48"/>
    </row>
    <row r="48" spans="1:13" ht="34.200000000000003" customHeight="1" thickBot="1" x14ac:dyDescent="0.35">
      <c r="A48" s="90"/>
      <c r="B48" s="91"/>
      <c r="C48" s="92"/>
      <c r="D48" s="91"/>
      <c r="E48" s="150">
        <f>SUM(E2:E47)</f>
        <v>1.1000000000000001</v>
      </c>
      <c r="F48" s="93"/>
      <c r="G48" s="91"/>
      <c r="H48" s="93"/>
      <c r="I48" s="159">
        <f>SUM(I2:I47)</f>
        <v>13.79</v>
      </c>
      <c r="J48" s="159">
        <f>SUM(J2:J47)</f>
        <v>497.70199999999994</v>
      </c>
      <c r="K48" s="92"/>
      <c r="L48" s="91"/>
      <c r="M48" s="91"/>
    </row>
    <row r="49" spans="7:11" ht="20.399999999999999" customHeight="1" x14ac:dyDescent="0.3">
      <c r="G49" s="151"/>
      <c r="I49" s="121"/>
      <c r="J49" s="121"/>
      <c r="K49" s="122"/>
    </row>
  </sheetData>
  <conditionalFormatting sqref="A2:C48 E48:N48 D2:M47">
    <cfRule type="expression" dxfId="171" priority="3">
      <formula>$B2="Oui"</formula>
    </cfRule>
  </conditionalFormatting>
  <conditionalFormatting sqref="M48:N1048576 L1:M47">
    <cfRule type="containsText" dxfId="170" priority="2" operator="containsText" text="Oui">
      <formula>NOT(ISERROR(SEARCH("Oui",L1)))</formula>
    </cfRule>
  </conditionalFormatting>
  <conditionalFormatting sqref="M48:N1048576 L1:M47">
    <cfRule type="containsText" dxfId="169" priority="1" operator="containsText" text="Non">
      <formula>NOT(ISERROR(SEARCH("Non",L1)))</formula>
    </cfRule>
  </conditionalFormatting>
  <dataValidations count="1">
    <dataValidation type="list" allowBlank="1" showInputMessage="1" showErrorMessage="1" sqref="L41:M47 B2:B47" xr:uid="{133DA945-61FC-464E-9E21-54A184200C61}">
      <formula1>"Oui,Non"</formula1>
    </dataValidation>
  </dataValidations>
  <pageMargins left="0.7" right="0.7" top="0.75" bottom="0.75" header="0.3" footer="0.3"/>
  <pageSetup paperSize="9" scale="40" orientation="portrait" r:id="rId1"/>
  <ignoredErrors>
    <ignoredError sqref="F2:F47" calculatedColumn="1"/>
  </ignoredErrors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4FFEA0-7EE7-473D-B8EF-EB11DC283644}">
  <sheetPr>
    <tabColor rgb="FFE85AE8"/>
  </sheetPr>
  <dimension ref="A1:M11"/>
  <sheetViews>
    <sheetView zoomScale="80" zoomScaleNormal="80" workbookViewId="0">
      <pane ySplit="1" topLeftCell="A2" activePane="bottomLeft" state="frozen"/>
      <selection activeCell="F2" sqref="F2"/>
      <selection pane="bottomLeft" activeCell="A2" sqref="A2"/>
    </sheetView>
  </sheetViews>
  <sheetFormatPr baseColWidth="10" defaultRowHeight="20.399999999999999" customHeight="1" x14ac:dyDescent="0.3"/>
  <cols>
    <col min="1" max="1" width="20.33203125" style="11" customWidth="1"/>
    <col min="2" max="2" width="11.88671875" style="2" customWidth="1"/>
    <col min="3" max="3" width="43.109375" style="2" customWidth="1"/>
    <col min="4" max="4" width="21.77734375" customWidth="1"/>
    <col min="5" max="5" width="10.5546875" style="154" customWidth="1"/>
    <col min="6" max="6" width="13.21875" style="87" customWidth="1"/>
    <col min="7" max="7" width="11.77734375" style="2" customWidth="1"/>
    <col min="8" max="8" width="11.5546875" style="137"/>
    <col min="9" max="9" width="12.5546875" style="87" customWidth="1"/>
    <col min="10" max="10" width="11.5546875" style="87"/>
    <col min="11" max="11" width="33.33203125" style="3" customWidth="1"/>
    <col min="12" max="12" width="13.77734375" style="3" customWidth="1"/>
    <col min="13" max="13" width="11" style="2" customWidth="1"/>
    <col min="14" max="14" width="14.77734375" style="2" customWidth="1"/>
    <col min="15" max="16384" width="11.5546875" style="2"/>
  </cols>
  <sheetData>
    <row r="1" spans="1:13" customFormat="1" ht="52.2" customHeight="1" x14ac:dyDescent="0.3">
      <c r="A1" s="54" t="s">
        <v>345</v>
      </c>
      <c r="B1" s="55" t="s">
        <v>346</v>
      </c>
      <c r="C1" s="55" t="s">
        <v>347</v>
      </c>
      <c r="D1" s="55" t="s">
        <v>349</v>
      </c>
      <c r="E1" s="153" t="s">
        <v>350</v>
      </c>
      <c r="F1" s="152" t="s">
        <v>369</v>
      </c>
      <c r="G1" s="56" t="s">
        <v>348</v>
      </c>
      <c r="H1" s="152" t="s">
        <v>368</v>
      </c>
      <c r="I1" s="152" t="s">
        <v>352</v>
      </c>
      <c r="J1" s="152" t="s">
        <v>361</v>
      </c>
      <c r="K1" s="57" t="s">
        <v>354</v>
      </c>
      <c r="L1" s="55" t="s">
        <v>355</v>
      </c>
      <c r="M1" s="58" t="s">
        <v>356</v>
      </c>
    </row>
    <row r="2" spans="1:13" ht="52.2" customHeight="1" x14ac:dyDescent="0.3">
      <c r="A2" s="47" t="s">
        <v>71</v>
      </c>
      <c r="B2" s="48" t="s">
        <v>343</v>
      </c>
      <c r="C2" s="48" t="s">
        <v>178</v>
      </c>
      <c r="D2" s="48" t="s">
        <v>170</v>
      </c>
      <c r="E2" s="102">
        <v>10.8</v>
      </c>
      <c r="F2" s="86">
        <v>290.83</v>
      </c>
      <c r="G2" s="48">
        <v>1</v>
      </c>
      <c r="H2" s="86">
        <f>Electroménager_mobilier[[#This Row],[PRIX /U HT]]*Electroménager_mobilier[[#This Row],[QUANTITE]]</f>
        <v>290.83</v>
      </c>
      <c r="I2" s="86">
        <v>7.5</v>
      </c>
      <c r="J2" s="86">
        <f>(Electroménager_mobilier[[#This Row],[TOTAL HT]]*1.2)+Electroménager_mobilier[[#This Row],[FDP]]</f>
        <v>356.49599999999998</v>
      </c>
      <c r="K2" s="48" t="s">
        <v>244</v>
      </c>
      <c r="L2" s="48"/>
      <c r="M2" s="48"/>
    </row>
    <row r="3" spans="1:13" ht="20.399999999999999" customHeight="1" x14ac:dyDescent="0.3">
      <c r="A3" s="47" t="s">
        <v>72</v>
      </c>
      <c r="B3" s="48" t="s">
        <v>344</v>
      </c>
      <c r="C3" s="48"/>
      <c r="D3" s="48"/>
      <c r="E3" s="102"/>
      <c r="F3" s="86">
        <v>0</v>
      </c>
      <c r="G3" s="48"/>
      <c r="H3" s="86">
        <f>Electroménager_mobilier[[#This Row],[PRIX /U HT]]*Electroménager_mobilier[[#This Row],[QUANTITE]]</f>
        <v>0</v>
      </c>
      <c r="I3" s="86"/>
      <c r="J3" s="86">
        <f>(Electroménager_mobilier[[#This Row],[TOTAL HT]]*1.2)+Electroménager_mobilier[[#This Row],[FDP]]</f>
        <v>0</v>
      </c>
      <c r="K3" s="48"/>
      <c r="L3" s="48"/>
      <c r="M3" s="48"/>
    </row>
    <row r="4" spans="1:13" ht="20.399999999999999" customHeight="1" x14ac:dyDescent="0.3">
      <c r="A4" s="47" t="s">
        <v>46</v>
      </c>
      <c r="B4" s="48" t="s">
        <v>344</v>
      </c>
      <c r="C4" s="48"/>
      <c r="D4" s="48"/>
      <c r="E4" s="102"/>
      <c r="F4" s="86">
        <v>0</v>
      </c>
      <c r="G4" s="48"/>
      <c r="H4" s="86">
        <f>Electroménager_mobilier[[#This Row],[PRIX /U HT]]*Electroménager_mobilier[[#This Row],[QUANTITE]]</f>
        <v>0</v>
      </c>
      <c r="I4" s="86"/>
      <c r="J4" s="86">
        <f>(Electroménager_mobilier[[#This Row],[TOTAL HT]]*1.2)+Electroménager_mobilier[[#This Row],[FDP]]</f>
        <v>0</v>
      </c>
      <c r="K4" s="48"/>
      <c r="L4" s="48"/>
      <c r="M4" s="48"/>
    </row>
    <row r="5" spans="1:13" ht="20.399999999999999" customHeight="1" x14ac:dyDescent="0.3">
      <c r="A5" s="47" t="s">
        <v>258</v>
      </c>
      <c r="B5" s="48" t="s">
        <v>343</v>
      </c>
      <c r="C5" s="48" t="s">
        <v>259</v>
      </c>
      <c r="D5" s="48" t="s">
        <v>94</v>
      </c>
      <c r="E5" s="102">
        <v>2.5</v>
      </c>
      <c r="F5" s="86">
        <v>33.25</v>
      </c>
      <c r="G5" s="48">
        <v>1</v>
      </c>
      <c r="H5" s="86">
        <f>Electroménager_mobilier[[#This Row],[PRIX /U HT]]*Electroménager_mobilier[[#This Row],[QUANTITE]]</f>
        <v>33.25</v>
      </c>
      <c r="I5" s="86">
        <v>0</v>
      </c>
      <c r="J5" s="86">
        <f>(Electroménager_mobilier[[#This Row],[TOTAL HT]]*1.2)+Electroménager_mobilier[[#This Row],[FDP]]</f>
        <v>39.9</v>
      </c>
      <c r="K5" s="48"/>
      <c r="L5" s="48"/>
      <c r="M5" s="48"/>
    </row>
    <row r="6" spans="1:13" ht="25.8" customHeight="1" x14ac:dyDescent="0.3">
      <c r="A6" s="47" t="s">
        <v>261</v>
      </c>
      <c r="B6" s="48" t="s">
        <v>343</v>
      </c>
      <c r="C6" s="48" t="s">
        <v>263</v>
      </c>
      <c r="D6" s="48" t="s">
        <v>80</v>
      </c>
      <c r="E6" s="102"/>
      <c r="F6" s="86">
        <v>22.17</v>
      </c>
      <c r="G6" s="48">
        <v>1</v>
      </c>
      <c r="H6" s="86">
        <f>Electroménager_mobilier[[#This Row],[PRIX /U HT]]*Electroménager_mobilier[[#This Row],[QUANTITE]]</f>
        <v>22.17</v>
      </c>
      <c r="I6" s="86">
        <v>0</v>
      </c>
      <c r="J6" s="86">
        <f>(Electroménager_mobilier[[#This Row],[TOTAL HT]]*1.2)+Electroménager_mobilier[[#This Row],[FDP]]</f>
        <v>26.604000000000003</v>
      </c>
      <c r="K6" s="48"/>
      <c r="L6" s="48"/>
      <c r="M6" s="48"/>
    </row>
    <row r="7" spans="1:13" ht="30" customHeight="1" x14ac:dyDescent="0.3">
      <c r="A7" s="50" t="s">
        <v>260</v>
      </c>
      <c r="B7" s="48" t="s">
        <v>343</v>
      </c>
      <c r="C7" s="49" t="s">
        <v>262</v>
      </c>
      <c r="D7" s="48" t="s">
        <v>80</v>
      </c>
      <c r="E7" s="102"/>
      <c r="F7" s="86">
        <v>7.96</v>
      </c>
      <c r="G7" s="48">
        <v>2</v>
      </c>
      <c r="H7" s="86">
        <f>Electroménager_mobilier[[#This Row],[PRIX /U HT]]*Electroménager_mobilier[[#This Row],[QUANTITE]]</f>
        <v>15.92</v>
      </c>
      <c r="I7" s="86">
        <v>0</v>
      </c>
      <c r="J7" s="86">
        <f>(Electroménager_mobilier[[#This Row],[TOTAL HT]]*1.2)+Electroménager_mobilier[[#This Row],[FDP]]</f>
        <v>19.103999999999999</v>
      </c>
      <c r="K7" s="48"/>
      <c r="L7" s="48"/>
      <c r="M7" s="48"/>
    </row>
    <row r="8" spans="1:13" ht="30.6" customHeight="1" x14ac:dyDescent="0.3">
      <c r="A8" s="47" t="s">
        <v>47</v>
      </c>
      <c r="B8" s="48" t="s">
        <v>343</v>
      </c>
      <c r="C8" s="48" t="s">
        <v>69</v>
      </c>
      <c r="D8" s="48" t="s">
        <v>70</v>
      </c>
      <c r="E8" s="102">
        <v>3.3</v>
      </c>
      <c r="F8" s="86">
        <v>157.5</v>
      </c>
      <c r="G8" s="48">
        <v>1</v>
      </c>
      <c r="H8" s="86">
        <f>Electroménager_mobilier[[#This Row],[PRIX /U HT]]*Electroménager_mobilier[[#This Row],[QUANTITE]]</f>
        <v>157.5</v>
      </c>
      <c r="I8" s="86">
        <v>7.8</v>
      </c>
      <c r="J8" s="86">
        <f>(Electroménager_mobilier[[#This Row],[TOTAL HT]]*1.2)+Electroménager_mobilier[[#This Row],[FDP]]</f>
        <v>196.8</v>
      </c>
      <c r="K8" s="48" t="s">
        <v>273</v>
      </c>
      <c r="L8" s="48"/>
      <c r="M8" s="48"/>
    </row>
    <row r="9" spans="1:13" ht="20.399999999999999" customHeight="1" thickBot="1" x14ac:dyDescent="0.35">
      <c r="A9" s="47" t="s">
        <v>48</v>
      </c>
      <c r="B9" s="48" t="s">
        <v>344</v>
      </c>
      <c r="C9" s="48"/>
      <c r="D9" s="48"/>
      <c r="E9" s="102"/>
      <c r="F9" s="86">
        <v>0</v>
      </c>
      <c r="G9" s="48"/>
      <c r="H9" s="86">
        <f>Electroménager_mobilier[[#This Row],[PRIX /U HT]]*Electroménager_mobilier[[#This Row],[QUANTITE]]</f>
        <v>0</v>
      </c>
      <c r="I9" s="86"/>
      <c r="J9" s="86">
        <f>(Electroménager_mobilier[[#This Row],[TOTAL HT]]*1.2)+Electroménager_mobilier[[#This Row],[FDP]]</f>
        <v>0</v>
      </c>
      <c r="K9" s="48"/>
      <c r="L9" s="48"/>
      <c r="M9" s="48"/>
    </row>
    <row r="10" spans="1:13" ht="20.399999999999999" customHeight="1" thickBot="1" x14ac:dyDescent="0.35">
      <c r="A10" s="123"/>
      <c r="B10" s="91"/>
      <c r="C10" s="91"/>
      <c r="D10" s="91"/>
      <c r="E10" s="156">
        <f>SUM(E2:E9)</f>
        <v>16.600000000000001</v>
      </c>
      <c r="F10" s="93"/>
      <c r="G10" s="91"/>
      <c r="H10" s="93"/>
      <c r="I10" s="155">
        <f>SUM(I2:I9)</f>
        <v>15.3</v>
      </c>
      <c r="J10" s="155">
        <f>SUM(J2:J9)</f>
        <v>638.904</v>
      </c>
      <c r="K10" s="92"/>
      <c r="L10" s="92"/>
      <c r="M10" s="91"/>
    </row>
    <row r="11" spans="1:13" ht="20.399999999999999" customHeight="1" x14ac:dyDescent="0.3">
      <c r="E11" s="151"/>
      <c r="F11" s="151"/>
      <c r="G11" s="151"/>
      <c r="J11" s="121"/>
      <c r="K11" s="122"/>
      <c r="L11" s="122"/>
    </row>
  </sheetData>
  <conditionalFormatting sqref="A2:C10 F10:G10 D2:M9 K10:O10">
    <cfRule type="expression" dxfId="139" priority="3">
      <formula>$B2="Oui"</formula>
    </cfRule>
  </conditionalFormatting>
  <conditionalFormatting sqref="N10:O1048576 L1:M9">
    <cfRule type="containsText" dxfId="138" priority="2" operator="containsText" text="Oui">
      <formula>NOT(ISERROR(SEARCH("Oui",L1)))</formula>
    </cfRule>
  </conditionalFormatting>
  <conditionalFormatting sqref="N10:O1048576 L1:M9">
    <cfRule type="containsText" dxfId="137" priority="1" operator="containsText" text="Non">
      <formula>NOT(ISERROR(SEARCH("Non",L1)))</formula>
    </cfRule>
  </conditionalFormatting>
  <dataValidations count="1">
    <dataValidation type="list" allowBlank="1" showInputMessage="1" showErrorMessage="1" sqref="L2:M9 B2:B9" xr:uid="{B5CE9BED-1DA9-4D1C-999B-F6DD3D55A341}">
      <formula1>"Oui,Non"</formula1>
    </dataValidation>
  </dataValidations>
  <pageMargins left="0.7" right="0.7" top="0.75" bottom="0.75" header="0.3" footer="0.3"/>
  <pageSetup paperSize="9" scale="47" orientation="portrait" r:id="rId1"/>
  <ignoredErrors>
    <ignoredError sqref="F2:F9" calculatedColumn="1"/>
  </ignoredErrors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E6A3A-40C8-4C6A-943B-DB2EAE5CFF63}">
  <sheetPr>
    <tabColor rgb="FFFFFF00"/>
  </sheetPr>
  <dimension ref="A1:M19"/>
  <sheetViews>
    <sheetView zoomScale="70" zoomScaleNormal="70" workbookViewId="0">
      <pane ySplit="1" topLeftCell="A17" activePane="bottomLeft" state="frozen"/>
      <selection activeCell="F2" sqref="F2"/>
      <selection pane="bottomLeft" activeCell="G20" sqref="G20"/>
    </sheetView>
  </sheetViews>
  <sheetFormatPr baseColWidth="10" defaultRowHeight="20.399999999999999" customHeight="1" x14ac:dyDescent="0.3"/>
  <cols>
    <col min="1" max="1" width="24.33203125" style="11" customWidth="1"/>
    <col min="2" max="2" width="11.88671875" style="12" customWidth="1"/>
    <col min="3" max="3" width="33.5546875" style="8" customWidth="1"/>
    <col min="4" max="4" width="22.6640625" customWidth="1"/>
    <col min="5" max="5" width="9.77734375" style="140" customWidth="1"/>
    <col min="6" max="6" width="14.109375" style="7" customWidth="1"/>
    <col min="7" max="7" width="12.21875" style="7" customWidth="1"/>
    <col min="8" max="8" width="12.5546875" style="7" customWidth="1"/>
    <col min="9" max="9" width="11.5546875" style="7"/>
    <col min="10" max="10" width="14.77734375" style="8" customWidth="1"/>
    <col min="11" max="11" width="33.33203125" style="3" customWidth="1"/>
    <col min="12" max="12" width="14.21875" style="9" customWidth="1"/>
    <col min="13" max="13" width="10.44140625" style="7" customWidth="1"/>
    <col min="14" max="16384" width="11.5546875" style="7"/>
  </cols>
  <sheetData>
    <row r="1" spans="1:13" customFormat="1" ht="55.2" customHeight="1" x14ac:dyDescent="0.3">
      <c r="A1" s="42" t="s">
        <v>345</v>
      </c>
      <c r="B1" s="43" t="s">
        <v>346</v>
      </c>
      <c r="C1" s="43" t="s">
        <v>347</v>
      </c>
      <c r="D1" s="43" t="s">
        <v>349</v>
      </c>
      <c r="E1" s="170" t="s">
        <v>350</v>
      </c>
      <c r="F1" s="43" t="s">
        <v>369</v>
      </c>
      <c r="G1" s="44" t="s">
        <v>348</v>
      </c>
      <c r="H1" s="43" t="s">
        <v>368</v>
      </c>
      <c r="I1" s="43" t="s">
        <v>352</v>
      </c>
      <c r="J1" s="44" t="s">
        <v>361</v>
      </c>
      <c r="K1" s="45" t="s">
        <v>354</v>
      </c>
      <c r="L1" s="43" t="s">
        <v>355</v>
      </c>
      <c r="M1" s="46" t="s">
        <v>356</v>
      </c>
    </row>
    <row r="2" spans="1:13" ht="20.399999999999999" customHeight="1" x14ac:dyDescent="0.3">
      <c r="A2" s="47" t="s">
        <v>49</v>
      </c>
      <c r="B2" s="48" t="s">
        <v>344</v>
      </c>
      <c r="C2" s="49"/>
      <c r="D2" s="48"/>
      <c r="E2" s="102"/>
      <c r="F2" s="49">
        <v>0</v>
      </c>
      <c r="G2" s="48"/>
      <c r="H2" s="49">
        <f>Gaz[[#This Row],[PRIX /U HT]]*Gaz[[#This Row],[QUANTITE]]</f>
        <v>0</v>
      </c>
      <c r="I2" s="49"/>
      <c r="J2" s="49">
        <f>(Gaz[[#This Row],[TOTAL HT]]*1.2)+Gaz[[#This Row],[FDP]]</f>
        <v>0</v>
      </c>
      <c r="K2" s="50"/>
      <c r="L2" s="51"/>
      <c r="M2" s="51"/>
    </row>
    <row r="3" spans="1:13" ht="20.399999999999999" customHeight="1" x14ac:dyDescent="0.3">
      <c r="A3" s="47" t="s">
        <v>52</v>
      </c>
      <c r="B3" s="48" t="s">
        <v>344</v>
      </c>
      <c r="C3" s="49"/>
      <c r="D3" s="48"/>
      <c r="E3" s="102"/>
      <c r="F3" s="49">
        <v>0</v>
      </c>
      <c r="G3" s="48"/>
      <c r="H3" s="49">
        <f>Gaz[[#This Row],[PRIX /U HT]]*Gaz[[#This Row],[QUANTITE]]</f>
        <v>0</v>
      </c>
      <c r="I3" s="49"/>
      <c r="J3" s="49">
        <f>(Gaz[[#This Row],[TOTAL HT]]*1.2)+Gaz[[#This Row],[FDP]]</f>
        <v>0</v>
      </c>
      <c r="K3" s="50"/>
      <c r="L3" s="51"/>
      <c r="M3" s="51"/>
    </row>
    <row r="4" spans="1:13" ht="20.399999999999999" customHeight="1" x14ac:dyDescent="0.3">
      <c r="A4" s="47" t="s">
        <v>53</v>
      </c>
      <c r="B4" s="48" t="s">
        <v>344</v>
      </c>
      <c r="C4" s="49"/>
      <c r="D4" s="48"/>
      <c r="E4" s="102"/>
      <c r="F4" s="49">
        <v>0</v>
      </c>
      <c r="G4" s="48"/>
      <c r="H4" s="49">
        <f>Gaz[[#This Row],[PRIX /U HT]]*Gaz[[#This Row],[QUANTITE]]</f>
        <v>0</v>
      </c>
      <c r="I4" s="49"/>
      <c r="J4" s="49">
        <f>(Gaz[[#This Row],[TOTAL HT]]*1.2)+Gaz[[#This Row],[FDP]]</f>
        <v>0</v>
      </c>
      <c r="K4" s="50"/>
      <c r="L4" s="51"/>
      <c r="M4" s="51"/>
    </row>
    <row r="5" spans="1:13" ht="20.399999999999999" customHeight="1" x14ac:dyDescent="0.3">
      <c r="A5" s="47" t="s">
        <v>54</v>
      </c>
      <c r="B5" s="48" t="s">
        <v>344</v>
      </c>
      <c r="C5" s="49"/>
      <c r="D5" s="48"/>
      <c r="E5" s="102"/>
      <c r="F5" s="49">
        <v>0</v>
      </c>
      <c r="G5" s="48"/>
      <c r="H5" s="49">
        <f>Gaz[[#This Row],[PRIX /U HT]]*Gaz[[#This Row],[QUANTITE]]</f>
        <v>0</v>
      </c>
      <c r="I5" s="49"/>
      <c r="J5" s="49">
        <f>(Gaz[[#This Row],[TOTAL HT]]*1.2)+Gaz[[#This Row],[FDP]]</f>
        <v>0</v>
      </c>
      <c r="K5" s="50"/>
      <c r="L5" s="51"/>
      <c r="M5" s="51"/>
    </row>
    <row r="6" spans="1:13" ht="86.4" customHeight="1" x14ac:dyDescent="0.3">
      <c r="A6" s="50" t="s">
        <v>306</v>
      </c>
      <c r="B6" s="48" t="s">
        <v>343</v>
      </c>
      <c r="C6" s="49" t="s">
        <v>308</v>
      </c>
      <c r="D6" s="48"/>
      <c r="E6" s="102"/>
      <c r="F6" s="49">
        <v>0</v>
      </c>
      <c r="G6" s="48"/>
      <c r="H6" s="49">
        <f>Gaz[[#This Row],[PRIX /U HT]]*Gaz[[#This Row],[QUANTITE]]</f>
        <v>0</v>
      </c>
      <c r="I6" s="49"/>
      <c r="J6" s="49">
        <f>(Gaz[[#This Row],[TOTAL HT]]*1.2)+Gaz[[#This Row],[FDP]]</f>
        <v>0</v>
      </c>
      <c r="K6" s="50" t="s">
        <v>307</v>
      </c>
      <c r="L6" s="51"/>
      <c r="M6" s="51"/>
    </row>
    <row r="7" spans="1:13" ht="30" customHeight="1" x14ac:dyDescent="0.3">
      <c r="A7" s="47" t="s">
        <v>316</v>
      </c>
      <c r="B7" s="48" t="s">
        <v>343</v>
      </c>
      <c r="C7" s="49" t="s">
        <v>317</v>
      </c>
      <c r="D7" s="48"/>
      <c r="E7" s="102"/>
      <c r="F7" s="49">
        <v>0</v>
      </c>
      <c r="G7" s="48">
        <v>1</v>
      </c>
      <c r="H7" s="49">
        <f>Gaz[[#This Row],[PRIX /U HT]]*Gaz[[#This Row],[QUANTITE]]</f>
        <v>0</v>
      </c>
      <c r="I7" s="49"/>
      <c r="J7" s="49">
        <f>(Gaz[[#This Row],[TOTAL HT]]*1.2)+Gaz[[#This Row],[FDP]]</f>
        <v>0</v>
      </c>
      <c r="K7" s="50"/>
      <c r="L7" s="51"/>
      <c r="M7" s="51"/>
    </row>
    <row r="8" spans="1:13" ht="30" customHeight="1" x14ac:dyDescent="0.3">
      <c r="A8" s="47" t="s">
        <v>304</v>
      </c>
      <c r="B8" s="48" t="s">
        <v>343</v>
      </c>
      <c r="C8" s="49" t="s">
        <v>305</v>
      </c>
      <c r="D8" s="48"/>
      <c r="E8" s="102"/>
      <c r="F8" s="49">
        <v>0</v>
      </c>
      <c r="G8" s="48"/>
      <c r="H8" s="49">
        <f>Gaz[[#This Row],[PRIX /U HT]]*Gaz[[#This Row],[QUANTITE]]</f>
        <v>0</v>
      </c>
      <c r="I8" s="49"/>
      <c r="J8" s="49">
        <f>(Gaz[[#This Row],[TOTAL HT]]*1.2)+Gaz[[#This Row],[FDP]]</f>
        <v>0</v>
      </c>
      <c r="K8" s="50" t="s">
        <v>274</v>
      </c>
      <c r="L8" s="51"/>
      <c r="M8" s="51"/>
    </row>
    <row r="9" spans="1:13" ht="30" customHeight="1" x14ac:dyDescent="0.3">
      <c r="A9" s="47" t="s">
        <v>55</v>
      </c>
      <c r="B9" s="48" t="s">
        <v>344</v>
      </c>
      <c r="C9" s="48"/>
      <c r="D9" s="48"/>
      <c r="E9" s="102"/>
      <c r="F9" s="49">
        <v>0</v>
      </c>
      <c r="G9" s="48"/>
      <c r="H9" s="49">
        <f>Gaz[[#This Row],[PRIX /U HT]]*Gaz[[#This Row],[QUANTITE]]</f>
        <v>0</v>
      </c>
      <c r="I9" s="49"/>
      <c r="J9" s="49">
        <f>(Gaz[[#This Row],[TOTAL HT]]*1.2)+Gaz[[#This Row],[FDP]]</f>
        <v>0</v>
      </c>
      <c r="K9" s="50"/>
      <c r="L9" s="51"/>
      <c r="M9" s="51"/>
    </row>
    <row r="10" spans="1:13" ht="45.6" customHeight="1" x14ac:dyDescent="0.3">
      <c r="A10" s="47" t="s">
        <v>56</v>
      </c>
      <c r="B10" s="48" t="s">
        <v>343</v>
      </c>
      <c r="C10" s="49"/>
      <c r="D10" s="48" t="s">
        <v>146</v>
      </c>
      <c r="E10" s="102"/>
      <c r="F10" s="49">
        <v>0</v>
      </c>
      <c r="G10" s="48"/>
      <c r="H10" s="49">
        <f>Gaz[[#This Row],[PRIX /U HT]]*Gaz[[#This Row],[QUANTITE]]</f>
        <v>0</v>
      </c>
      <c r="I10" s="49"/>
      <c r="J10" s="49">
        <f>(Gaz[[#This Row],[TOTAL HT]]*1.2)+Gaz[[#This Row],[FDP]]</f>
        <v>0</v>
      </c>
      <c r="K10" s="50" t="s">
        <v>378</v>
      </c>
      <c r="L10" s="51"/>
      <c r="M10" s="51"/>
    </row>
    <row r="11" spans="1:13" ht="48" customHeight="1" x14ac:dyDescent="0.3">
      <c r="A11" s="47" t="s">
        <v>73</v>
      </c>
      <c r="B11" s="48" t="s">
        <v>343</v>
      </c>
      <c r="C11" s="49" t="s">
        <v>315</v>
      </c>
      <c r="D11" s="48"/>
      <c r="E11" s="102"/>
      <c r="F11" s="49">
        <v>23.33</v>
      </c>
      <c r="G11" s="48">
        <v>1</v>
      </c>
      <c r="H11" s="49">
        <f>Gaz[[#This Row],[PRIX /U HT]]*Gaz[[#This Row],[QUANTITE]]</f>
        <v>23.33</v>
      </c>
      <c r="I11" s="49">
        <v>0</v>
      </c>
      <c r="J11" s="49">
        <f>(Gaz[[#This Row],[TOTAL HT]]*1.2)+Gaz[[#This Row],[FDP]]</f>
        <v>27.995999999999999</v>
      </c>
      <c r="K11" s="52" t="s">
        <v>314</v>
      </c>
      <c r="L11" s="51"/>
      <c r="M11" s="51"/>
    </row>
    <row r="12" spans="1:13" ht="25.2" customHeight="1" x14ac:dyDescent="0.3">
      <c r="A12" s="47" t="s">
        <v>57</v>
      </c>
      <c r="B12" s="48" t="s">
        <v>344</v>
      </c>
      <c r="C12" s="49"/>
      <c r="D12" s="48"/>
      <c r="E12" s="102"/>
      <c r="F12" s="49">
        <v>0</v>
      </c>
      <c r="G12" s="48"/>
      <c r="H12" s="49">
        <f>Gaz[[#This Row],[PRIX /U HT]]*Gaz[[#This Row],[QUANTITE]]</f>
        <v>0</v>
      </c>
      <c r="I12" s="49"/>
      <c r="J12" s="49">
        <f>(Gaz[[#This Row],[TOTAL HT]]*1.2)+Gaz[[#This Row],[FDP]]</f>
        <v>0</v>
      </c>
      <c r="K12" s="50"/>
      <c r="L12" s="51"/>
      <c r="M12" s="51"/>
    </row>
    <row r="13" spans="1:13" ht="37.799999999999997" customHeight="1" x14ac:dyDescent="0.3">
      <c r="A13" s="47" t="s">
        <v>51</v>
      </c>
      <c r="B13" s="48" t="s">
        <v>343</v>
      </c>
      <c r="C13" s="49" t="s">
        <v>311</v>
      </c>
      <c r="D13" s="48" t="s">
        <v>146</v>
      </c>
      <c r="E13" s="102"/>
      <c r="F13" s="49">
        <v>0</v>
      </c>
      <c r="G13" s="48">
        <v>1</v>
      </c>
      <c r="H13" s="49">
        <f>Gaz[[#This Row],[PRIX /U HT]]*Gaz[[#This Row],[QUANTITE]]</f>
        <v>0</v>
      </c>
      <c r="I13" s="49"/>
      <c r="J13" s="49">
        <f>(Gaz[[#This Row],[TOTAL HT]]*1.2)+Gaz[[#This Row],[FDP]]</f>
        <v>0</v>
      </c>
      <c r="K13" s="50"/>
      <c r="L13" s="51"/>
      <c r="M13" s="51"/>
    </row>
    <row r="14" spans="1:13" ht="37.799999999999997" customHeight="1" x14ac:dyDescent="0.3">
      <c r="A14" s="47" t="s">
        <v>298</v>
      </c>
      <c r="B14" s="48" t="s">
        <v>343</v>
      </c>
      <c r="C14" s="49" t="s">
        <v>310</v>
      </c>
      <c r="D14" s="48" t="s">
        <v>146</v>
      </c>
      <c r="E14" s="102"/>
      <c r="F14" s="49">
        <v>0</v>
      </c>
      <c r="G14" s="53"/>
      <c r="H14" s="49">
        <f>Gaz[[#This Row],[PRIX /U HT]]*Gaz[[#This Row],[QUANTITE]]</f>
        <v>0</v>
      </c>
      <c r="I14" s="49"/>
      <c r="J14" s="49">
        <f>(Gaz[[#This Row],[TOTAL HT]]*1.2)+Gaz[[#This Row],[FDP]]</f>
        <v>0</v>
      </c>
      <c r="K14" s="50" t="s">
        <v>379</v>
      </c>
      <c r="L14" s="51"/>
      <c r="M14" s="51"/>
    </row>
    <row r="15" spans="1:13" ht="30" customHeight="1" x14ac:dyDescent="0.3">
      <c r="A15" s="47" t="s">
        <v>297</v>
      </c>
      <c r="B15" s="48" t="s">
        <v>343</v>
      </c>
      <c r="C15" s="49" t="s">
        <v>312</v>
      </c>
      <c r="D15" s="48" t="s">
        <v>146</v>
      </c>
      <c r="E15" s="102"/>
      <c r="F15" s="49">
        <v>2.5</v>
      </c>
      <c r="G15" s="48">
        <v>2</v>
      </c>
      <c r="H15" s="49">
        <f>Gaz[[#This Row],[PRIX /U HT]]*Gaz[[#This Row],[QUANTITE]]</f>
        <v>5</v>
      </c>
      <c r="I15" s="49"/>
      <c r="J15" s="49">
        <f>(Gaz[[#This Row],[TOTAL HT]]*1.2)+Gaz[[#This Row],[FDP]]</f>
        <v>6</v>
      </c>
      <c r="K15" s="50"/>
      <c r="L15" s="51"/>
      <c r="M15" s="51"/>
    </row>
    <row r="16" spans="1:13" ht="25.2" customHeight="1" x14ac:dyDescent="0.3">
      <c r="A16" s="47" t="s">
        <v>50</v>
      </c>
      <c r="B16" s="48" t="s">
        <v>343</v>
      </c>
      <c r="C16" s="49" t="s">
        <v>309</v>
      </c>
      <c r="D16" s="48" t="s">
        <v>299</v>
      </c>
      <c r="E16" s="102" t="s">
        <v>283</v>
      </c>
      <c r="F16" s="49">
        <v>29.08</v>
      </c>
      <c r="G16" s="48">
        <v>1</v>
      </c>
      <c r="H16" s="49">
        <f>Gaz[[#This Row],[PRIX /U HT]]*Gaz[[#This Row],[QUANTITE]]</f>
        <v>29.08</v>
      </c>
      <c r="I16" s="49"/>
      <c r="J16" s="49">
        <f>(Gaz[[#This Row],[TOTAL HT]]*1.2)+Gaz[[#This Row],[FDP]]</f>
        <v>34.895999999999994</v>
      </c>
      <c r="K16" s="50"/>
      <c r="L16" s="51"/>
      <c r="M16" s="51"/>
    </row>
    <row r="17" spans="1:13" ht="20.399999999999999" customHeight="1" thickBot="1" x14ac:dyDescent="0.35">
      <c r="A17" s="47" t="s">
        <v>293</v>
      </c>
      <c r="B17" s="48" t="s">
        <v>343</v>
      </c>
      <c r="C17" s="49" t="s">
        <v>313</v>
      </c>
      <c r="D17" s="48" t="s">
        <v>146</v>
      </c>
      <c r="E17" s="126"/>
      <c r="F17" s="49">
        <v>0</v>
      </c>
      <c r="G17" s="48">
        <v>10</v>
      </c>
      <c r="H17" s="49">
        <f>Gaz[[#This Row],[PRIX /U HT]]*Gaz[[#This Row],[QUANTITE]]</f>
        <v>0</v>
      </c>
      <c r="I17" s="92"/>
      <c r="J17" s="92">
        <f>(Gaz[[#This Row],[TOTAL HT]]*1.2)+Gaz[[#This Row],[FDP]]</f>
        <v>0</v>
      </c>
      <c r="K17" s="50"/>
      <c r="L17" s="51"/>
      <c r="M17" s="51"/>
    </row>
    <row r="18" spans="1:13" ht="20.399999999999999" customHeight="1" thickBot="1" x14ac:dyDescent="0.35">
      <c r="A18" s="123"/>
      <c r="B18" s="91"/>
      <c r="C18" s="92"/>
      <c r="D18" s="91"/>
      <c r="E18" s="171">
        <f>SUM(E2:E17)</f>
        <v>0</v>
      </c>
      <c r="F18" s="92"/>
      <c r="G18" s="91"/>
      <c r="H18" s="92"/>
      <c r="I18" s="172">
        <f>SUM(I2:I17)</f>
        <v>0</v>
      </c>
      <c r="J18" s="172">
        <f>SUM(J2:J17)</f>
        <v>68.891999999999996</v>
      </c>
      <c r="K18" s="169"/>
      <c r="L18" s="125"/>
      <c r="M18" s="125"/>
    </row>
    <row r="19" spans="1:13" ht="20.399999999999999" customHeight="1" x14ac:dyDescent="0.3">
      <c r="B19" s="2"/>
      <c r="C19" s="3"/>
      <c r="E19" s="154"/>
      <c r="F19" s="2"/>
      <c r="G19" s="151"/>
      <c r="H19" s="2"/>
      <c r="I19" s="122"/>
      <c r="J19" s="122"/>
      <c r="K19" s="122"/>
    </row>
  </sheetData>
  <conditionalFormatting sqref="A2:C18 E18:N18 D2:M17">
    <cfRule type="expression" dxfId="107" priority="3">
      <formula>$B2="Oui"</formula>
    </cfRule>
  </conditionalFormatting>
  <conditionalFormatting sqref="L10:M17">
    <cfRule type="containsText" dxfId="106" priority="1" operator="containsText" text="Non">
      <formula>NOT(ISERROR(SEARCH("Non",L10)))</formula>
    </cfRule>
    <cfRule type="containsText" dxfId="105" priority="2" operator="containsText" text="Oui">
      <formula>NOT(ISERROR(SEARCH("Oui",L10)))</formula>
    </cfRule>
  </conditionalFormatting>
  <dataValidations count="1">
    <dataValidation type="list" allowBlank="1" showInputMessage="1" showErrorMessage="1" sqref="L10:M17 B2:B17" xr:uid="{2BC0BCFA-F937-45C5-A9F5-2F4F6E86F368}">
      <formula1>"Oui,Non"</formula1>
    </dataValidation>
  </dataValidations>
  <pageMargins left="0.7" right="0.7" top="0.75" bottom="0.75" header="0.3" footer="0.3"/>
  <pageSetup paperSize="9" scale="42" orientation="portrait" r:id="rId1"/>
  <ignoredErrors>
    <ignoredError sqref="F2:F17" calculatedColumn="1"/>
  </ignoredErrors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8C9723-FF65-4D22-92EE-9E484075F788}">
  <sheetPr>
    <tabColor rgb="FF7030A0"/>
  </sheetPr>
  <dimension ref="A1:M20"/>
  <sheetViews>
    <sheetView zoomScale="80" zoomScaleNormal="80" workbookViewId="0">
      <pane ySplit="1" topLeftCell="A2" activePane="bottomLeft" state="frozen"/>
      <selection activeCell="F2" sqref="F2"/>
      <selection pane="bottomLeft" activeCell="D9" sqref="D9"/>
    </sheetView>
  </sheetViews>
  <sheetFormatPr baseColWidth="10" defaultRowHeight="20.399999999999999" customHeight="1" x14ac:dyDescent="0.3"/>
  <cols>
    <col min="1" max="1" width="27.6640625" customWidth="1"/>
    <col min="2" max="2" width="11.88671875" customWidth="1"/>
    <col min="3" max="3" width="37.33203125" style="4" customWidth="1"/>
    <col min="4" max="4" width="27.44140625" customWidth="1"/>
    <col min="5" max="5" width="9.33203125" style="178" customWidth="1"/>
    <col min="6" max="6" width="12.88671875" style="137" customWidth="1"/>
    <col min="7" max="7" width="13.21875" customWidth="1"/>
    <col min="8" max="8" width="12.5546875" style="137" customWidth="1"/>
    <col min="9" max="10" width="11.5546875" style="174"/>
    <col min="11" max="11" width="36.88671875" style="6" customWidth="1"/>
    <col min="12" max="12" width="13.33203125" style="1" customWidth="1"/>
    <col min="13" max="13" width="10.109375" customWidth="1"/>
  </cols>
  <sheetData>
    <row r="1" spans="1:13" ht="49.2" customHeight="1" x14ac:dyDescent="0.3">
      <c r="A1" s="35" t="s">
        <v>345</v>
      </c>
      <c r="B1" s="36" t="s">
        <v>346</v>
      </c>
      <c r="C1" s="36" t="s">
        <v>347</v>
      </c>
      <c r="D1" s="36" t="s">
        <v>349</v>
      </c>
      <c r="E1" s="175" t="s">
        <v>350</v>
      </c>
      <c r="F1" s="173" t="s">
        <v>369</v>
      </c>
      <c r="G1" s="36" t="s">
        <v>348</v>
      </c>
      <c r="H1" s="173" t="s">
        <v>368</v>
      </c>
      <c r="I1" s="173" t="s">
        <v>352</v>
      </c>
      <c r="J1" s="173" t="s">
        <v>361</v>
      </c>
      <c r="K1" s="37" t="s">
        <v>354</v>
      </c>
      <c r="L1" s="36" t="s">
        <v>355</v>
      </c>
      <c r="M1" s="38" t="s">
        <v>356</v>
      </c>
    </row>
    <row r="2" spans="1:13" ht="20.399999999999999" customHeight="1" x14ac:dyDescent="0.3">
      <c r="A2" s="39" t="s">
        <v>239</v>
      </c>
      <c r="B2" s="40" t="s">
        <v>343</v>
      </c>
      <c r="C2" s="41"/>
      <c r="D2" s="40"/>
      <c r="E2" s="176"/>
      <c r="F2" s="108"/>
      <c r="G2" s="40"/>
      <c r="H2" s="108">
        <f>Literie_rideaux[[#This Row],[PRIX /U HT]]*G2</f>
        <v>0</v>
      </c>
      <c r="I2" s="108"/>
      <c r="J2" s="108">
        <f>(Literie_rideaux[[#This Row],[TOTAL HT]]*1.2)+Literie_rideaux[[#This Row],[FDP]]</f>
        <v>0</v>
      </c>
      <c r="K2" s="40"/>
      <c r="L2" s="39"/>
      <c r="M2" s="39"/>
    </row>
    <row r="3" spans="1:13" ht="20.399999999999999" customHeight="1" x14ac:dyDescent="0.3">
      <c r="A3" s="39" t="s">
        <v>22</v>
      </c>
      <c r="B3" s="40" t="s">
        <v>343</v>
      </c>
      <c r="C3" s="41"/>
      <c r="D3" s="40"/>
      <c r="E3" s="176"/>
      <c r="F3" s="108"/>
      <c r="G3" s="40"/>
      <c r="H3" s="108">
        <f>Literie_rideaux[[#This Row],[PRIX /U HT]]*G3</f>
        <v>0</v>
      </c>
      <c r="I3" s="108"/>
      <c r="J3" s="108">
        <f>(Literie_rideaux[[#This Row],[TOTAL HT]]*1.2)+Literie_rideaux[[#This Row],[FDP]]</f>
        <v>0</v>
      </c>
      <c r="K3" s="40"/>
      <c r="L3" s="39"/>
      <c r="M3" s="39"/>
    </row>
    <row r="4" spans="1:13" ht="20.399999999999999" customHeight="1" x14ac:dyDescent="0.3">
      <c r="A4" s="39" t="s">
        <v>240</v>
      </c>
      <c r="B4" s="40" t="s">
        <v>343</v>
      </c>
      <c r="C4" s="41"/>
      <c r="D4" s="40"/>
      <c r="E4" s="176"/>
      <c r="F4" s="108"/>
      <c r="G4" s="40"/>
      <c r="H4" s="108">
        <f>Literie_rideaux[[#This Row],[PRIX /U HT]]*G4</f>
        <v>0</v>
      </c>
      <c r="I4" s="108"/>
      <c r="J4" s="108">
        <f>(Literie_rideaux[[#This Row],[TOTAL HT]]*1.2)+Literie_rideaux[[#This Row],[FDP]]</f>
        <v>0</v>
      </c>
      <c r="K4" s="40" t="s">
        <v>241</v>
      </c>
      <c r="L4" s="39"/>
      <c r="M4" s="39"/>
    </row>
    <row r="5" spans="1:13" ht="20.399999999999999" customHeight="1" x14ac:dyDescent="0.3">
      <c r="A5" s="39" t="s">
        <v>242</v>
      </c>
      <c r="B5" s="40" t="s">
        <v>343</v>
      </c>
      <c r="C5" s="41"/>
      <c r="D5" s="40"/>
      <c r="E5" s="176"/>
      <c r="F5" s="108"/>
      <c r="G5" s="40"/>
      <c r="H5" s="108">
        <f>Literie_rideaux[[#This Row],[PRIX /U HT]]*G5</f>
        <v>0</v>
      </c>
      <c r="I5" s="108"/>
      <c r="J5" s="108">
        <f>(Literie_rideaux[[#This Row],[TOTAL HT]]*1.2)+Literie_rideaux[[#This Row],[FDP]]</f>
        <v>0</v>
      </c>
      <c r="K5" s="40"/>
      <c r="L5" s="39"/>
      <c r="M5" s="39"/>
    </row>
    <row r="6" spans="1:13" ht="20.399999999999999" customHeight="1" thickBot="1" x14ac:dyDescent="0.35">
      <c r="A6" s="39" t="s">
        <v>243</v>
      </c>
      <c r="B6" s="40" t="s">
        <v>343</v>
      </c>
      <c r="C6" s="41"/>
      <c r="D6" s="40"/>
      <c r="E6" s="180"/>
      <c r="F6" s="108"/>
      <c r="G6" s="40"/>
      <c r="H6" s="108">
        <f>Literie_rideaux[[#This Row],[PRIX /U HT]]*G6</f>
        <v>0</v>
      </c>
      <c r="I6" s="108"/>
      <c r="J6" s="108">
        <f>(Literie_rideaux[[#This Row],[TOTAL HT]]*1.2)+Literie_rideaux[[#This Row],[FDP]]</f>
        <v>0</v>
      </c>
      <c r="K6" s="40"/>
      <c r="L6" s="39"/>
      <c r="M6" s="39"/>
    </row>
    <row r="7" spans="1:13" ht="20.399999999999999" customHeight="1" thickBot="1" x14ac:dyDescent="0.35">
      <c r="A7" s="149"/>
      <c r="B7" s="103"/>
      <c r="C7" s="104"/>
      <c r="D7" s="103"/>
      <c r="E7" s="181">
        <f>SUM(E2:E6)</f>
        <v>0</v>
      </c>
      <c r="F7" s="109"/>
      <c r="G7" s="103"/>
      <c r="H7" s="109"/>
      <c r="I7" s="182">
        <f>SUM(I2:I6)</f>
        <v>0</v>
      </c>
      <c r="J7" s="182">
        <f>SUM(J2:J6)</f>
        <v>0</v>
      </c>
      <c r="K7" s="104"/>
      <c r="L7" s="103"/>
      <c r="M7" s="149"/>
    </row>
    <row r="8" spans="1:13" ht="20.399999999999999" customHeight="1" x14ac:dyDescent="0.3">
      <c r="B8" s="1"/>
      <c r="C8" s="6"/>
      <c r="E8" s="177"/>
      <c r="F8" s="110"/>
      <c r="G8" s="179"/>
      <c r="H8" s="110"/>
      <c r="I8" s="111"/>
      <c r="J8" s="111"/>
      <c r="K8" s="106"/>
    </row>
    <row r="9" spans="1:13" ht="20.399999999999999" customHeight="1" x14ac:dyDescent="0.3">
      <c r="B9" s="1"/>
      <c r="C9" s="6"/>
      <c r="E9" s="177"/>
      <c r="F9" s="110"/>
      <c r="G9" s="1"/>
      <c r="H9" s="110"/>
      <c r="I9" s="110"/>
      <c r="J9" s="110"/>
    </row>
    <row r="10" spans="1:13" ht="20.399999999999999" customHeight="1" x14ac:dyDescent="0.3">
      <c r="B10" s="1"/>
      <c r="C10" s="6"/>
      <c r="E10" s="177"/>
      <c r="F10" s="110"/>
      <c r="G10" s="1"/>
      <c r="H10" s="110"/>
      <c r="I10" s="110"/>
      <c r="J10" s="110"/>
    </row>
    <row r="11" spans="1:13" ht="20.399999999999999" customHeight="1" x14ac:dyDescent="0.3">
      <c r="B11" s="1"/>
      <c r="C11" s="6"/>
      <c r="E11" s="177"/>
      <c r="F11" s="110"/>
      <c r="G11" s="1"/>
      <c r="H11" s="110"/>
      <c r="I11" s="110"/>
      <c r="J11" s="110"/>
    </row>
    <row r="12" spans="1:13" ht="20.399999999999999" customHeight="1" x14ac:dyDescent="0.3">
      <c r="B12" s="1"/>
      <c r="C12" s="6"/>
      <c r="E12" s="177"/>
      <c r="F12" s="110"/>
      <c r="G12" s="1"/>
      <c r="H12" s="110"/>
      <c r="I12" s="110"/>
      <c r="J12" s="110"/>
    </row>
    <row r="13" spans="1:13" ht="20.399999999999999" customHeight="1" x14ac:dyDescent="0.3">
      <c r="B13" s="1"/>
      <c r="C13" s="6"/>
      <c r="E13" s="177"/>
      <c r="F13" s="110"/>
      <c r="G13" s="1"/>
      <c r="H13" s="110"/>
      <c r="I13" s="110"/>
      <c r="J13" s="110"/>
    </row>
    <row r="14" spans="1:13" ht="20.399999999999999" customHeight="1" x14ac:dyDescent="0.3">
      <c r="B14" s="1"/>
      <c r="C14" s="6"/>
      <c r="E14" s="177"/>
      <c r="F14" s="110"/>
      <c r="G14" s="1"/>
      <c r="H14" s="110"/>
      <c r="I14" s="110"/>
      <c r="J14" s="110"/>
    </row>
    <row r="15" spans="1:13" ht="20.399999999999999" customHeight="1" x14ac:dyDescent="0.3">
      <c r="B15" s="1"/>
      <c r="C15" s="6"/>
      <c r="E15" s="177"/>
      <c r="F15" s="110"/>
      <c r="G15" s="1"/>
      <c r="H15" s="110"/>
      <c r="I15" s="110"/>
      <c r="J15" s="110"/>
    </row>
    <row r="16" spans="1:13" ht="20.399999999999999" customHeight="1" x14ac:dyDescent="0.3">
      <c r="B16" s="1"/>
      <c r="C16" s="6"/>
      <c r="E16" s="177"/>
      <c r="F16" s="110"/>
      <c r="G16" s="1"/>
      <c r="H16" s="110"/>
      <c r="I16" s="110"/>
      <c r="J16" s="110"/>
    </row>
    <row r="17" spans="2:10" ht="20.399999999999999" customHeight="1" x14ac:dyDescent="0.3">
      <c r="B17" s="1"/>
      <c r="C17" s="6"/>
      <c r="E17" s="177"/>
      <c r="F17" s="110"/>
      <c r="G17" s="1"/>
      <c r="H17" s="110"/>
      <c r="I17" s="110"/>
      <c r="J17" s="110"/>
    </row>
    <row r="18" spans="2:10" ht="20.399999999999999" customHeight="1" x14ac:dyDescent="0.3">
      <c r="B18" s="1"/>
      <c r="C18" s="6"/>
      <c r="E18" s="177"/>
      <c r="F18" s="110"/>
      <c r="G18" s="1"/>
      <c r="H18" s="110"/>
      <c r="I18" s="110"/>
      <c r="J18" s="110"/>
    </row>
    <row r="19" spans="2:10" ht="20.399999999999999" customHeight="1" x14ac:dyDescent="0.3">
      <c r="B19" s="1"/>
      <c r="C19" s="6"/>
      <c r="E19" s="177"/>
      <c r="F19" s="110"/>
      <c r="G19" s="1"/>
      <c r="H19" s="110"/>
      <c r="I19" s="110"/>
      <c r="J19" s="110"/>
    </row>
    <row r="20" spans="2:10" ht="20.399999999999999" customHeight="1" x14ac:dyDescent="0.3">
      <c r="B20" s="1"/>
      <c r="C20" s="6"/>
      <c r="E20" s="177"/>
      <c r="F20" s="110"/>
      <c r="G20" s="1"/>
      <c r="H20" s="110"/>
      <c r="I20" s="110"/>
      <c r="J20" s="110"/>
    </row>
  </sheetData>
  <conditionalFormatting sqref="A2:C7 F7:H7 K7:N7 D2:M6">
    <cfRule type="expression" dxfId="76" priority="3">
      <formula>$B2="Oui"</formula>
    </cfRule>
  </conditionalFormatting>
  <conditionalFormatting sqref="M7:N1048576 L1:M6">
    <cfRule type="containsText" dxfId="75" priority="2" operator="containsText" text="Oui">
      <formula>NOT(ISERROR(SEARCH("Oui",L1)))</formula>
    </cfRule>
  </conditionalFormatting>
  <conditionalFormatting sqref="M7:N1048576 L1:M6">
    <cfRule type="containsText" dxfId="74" priority="1" operator="containsText" text="Non">
      <formula>NOT(ISERROR(SEARCH("Non",L1)))</formula>
    </cfRule>
  </conditionalFormatting>
  <dataValidations count="1">
    <dataValidation type="list" allowBlank="1" showInputMessage="1" showErrorMessage="1" sqref="L2:M6 B2:B6" xr:uid="{C7223EC8-C55A-46F7-96D0-56647D3C80BC}">
      <formula1>"Oui,Non"</formula1>
    </dataValidation>
  </dataValidations>
  <pageMargins left="0.7" right="0.7" top="0.75" bottom="0.75" header="0.3" footer="0.3"/>
  <pageSetup paperSize="9" scale="43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6EEACF-1139-42EE-A2EA-1401FE729DC3}">
  <sheetPr>
    <tabColor rgb="FFFF0000"/>
    <pageSetUpPr fitToPage="1"/>
  </sheetPr>
  <dimension ref="A1:O36"/>
  <sheetViews>
    <sheetView zoomScale="70" zoomScaleNormal="70" workbookViewId="0">
      <pane ySplit="1" topLeftCell="A26" activePane="bottomLeft" state="frozen"/>
      <selection activeCell="F2" sqref="F2"/>
      <selection pane="bottomLeft" activeCell="E34" sqref="E34"/>
    </sheetView>
  </sheetViews>
  <sheetFormatPr baseColWidth="10" defaultRowHeight="30" customHeight="1" x14ac:dyDescent="0.3"/>
  <cols>
    <col min="1" max="1" width="14.44140625" style="15" customWidth="1"/>
    <col min="2" max="2" width="30.6640625" style="9" customWidth="1"/>
    <col min="3" max="3" width="11.33203125" style="2" customWidth="1"/>
    <col min="4" max="4" width="39.5546875" style="3" customWidth="1"/>
    <col min="5" max="5" width="25.77734375" customWidth="1"/>
    <col min="6" max="6" width="11" style="2" customWidth="1"/>
    <col min="7" max="7" width="14.109375" style="87" customWidth="1"/>
    <col min="8" max="8" width="12.6640625" style="2" customWidth="1"/>
    <col min="9" max="9" width="12" style="87" customWidth="1"/>
    <col min="10" max="11" width="11.5546875" style="87"/>
    <col min="12" max="12" width="30.33203125" style="3" customWidth="1"/>
    <col min="13" max="13" width="14.77734375" style="2" customWidth="1"/>
    <col min="14" max="14" width="10" style="2" customWidth="1"/>
    <col min="15" max="16384" width="11.5546875" style="2"/>
  </cols>
  <sheetData>
    <row r="1" spans="1:14" s="22" customFormat="1" ht="57.6" customHeight="1" x14ac:dyDescent="0.3">
      <c r="A1" s="19" t="s">
        <v>357</v>
      </c>
      <c r="B1" s="19" t="s">
        <v>345</v>
      </c>
      <c r="C1" s="19" t="s">
        <v>346</v>
      </c>
      <c r="D1" s="19" t="s">
        <v>347</v>
      </c>
      <c r="E1" s="19" t="s">
        <v>349</v>
      </c>
      <c r="F1" s="19" t="s">
        <v>350</v>
      </c>
      <c r="G1" s="187" t="s">
        <v>369</v>
      </c>
      <c r="H1" s="20" t="s">
        <v>348</v>
      </c>
      <c r="I1" s="187" t="s">
        <v>368</v>
      </c>
      <c r="J1" s="187" t="s">
        <v>352</v>
      </c>
      <c r="K1" s="187" t="s">
        <v>361</v>
      </c>
      <c r="L1" s="21" t="s">
        <v>354</v>
      </c>
      <c r="M1" s="21" t="s">
        <v>355</v>
      </c>
      <c r="N1" s="21" t="s">
        <v>356</v>
      </c>
    </row>
    <row r="2" spans="1:14" ht="25.8" customHeight="1" x14ac:dyDescent="0.3">
      <c r="A2" s="26" t="s">
        <v>289</v>
      </c>
      <c r="B2" s="27" t="s">
        <v>18</v>
      </c>
      <c r="C2" s="28" t="s">
        <v>344</v>
      </c>
      <c r="D2" s="29"/>
      <c r="E2" s="28"/>
      <c r="F2" s="28"/>
      <c r="G2" s="188"/>
      <c r="H2" s="28"/>
      <c r="I2" s="188">
        <f>Quincaillerie_divers[[#This Row],[PRIX /U HT]]*Quincaillerie_divers[[#This Row],[QUANTITE]]</f>
        <v>0</v>
      </c>
      <c r="J2" s="188"/>
      <c r="K2" s="188">
        <f>(Quincaillerie_divers[[#This Row],[TOTAL HT]]*1.2)+Quincaillerie_divers[[#This Row],[FDP]]</f>
        <v>0</v>
      </c>
      <c r="L2" s="28"/>
      <c r="M2" s="28"/>
      <c r="N2" s="28"/>
    </row>
    <row r="3" spans="1:14" ht="28.8" customHeight="1" x14ac:dyDescent="0.3">
      <c r="A3" s="26" t="s">
        <v>289</v>
      </c>
      <c r="B3" s="27" t="s">
        <v>117</v>
      </c>
      <c r="C3" s="28" t="s">
        <v>343</v>
      </c>
      <c r="D3" s="29"/>
      <c r="E3" s="28"/>
      <c r="F3" s="28"/>
      <c r="G3" s="188"/>
      <c r="H3" s="28"/>
      <c r="I3" s="188">
        <f>Quincaillerie_divers[[#This Row],[PRIX /U HT]]*Quincaillerie_divers[[#This Row],[QUANTITE]]</f>
        <v>0</v>
      </c>
      <c r="J3" s="188"/>
      <c r="K3" s="188">
        <f>(Quincaillerie_divers[[#This Row],[TOTAL HT]]*1.2)+Quincaillerie_divers[[#This Row],[FDP]]</f>
        <v>0</v>
      </c>
      <c r="L3" s="30" t="s">
        <v>105</v>
      </c>
      <c r="M3" s="28"/>
      <c r="N3" s="28"/>
    </row>
    <row r="4" spans="1:14" ht="19.8" customHeight="1" x14ac:dyDescent="0.3">
      <c r="A4" s="26" t="s">
        <v>290</v>
      </c>
      <c r="B4" s="27" t="s">
        <v>113</v>
      </c>
      <c r="C4" s="28" t="s">
        <v>343</v>
      </c>
      <c r="D4" s="29"/>
      <c r="E4" s="28"/>
      <c r="F4" s="28"/>
      <c r="G4" s="188"/>
      <c r="H4" s="28"/>
      <c r="I4" s="188">
        <f>Quincaillerie_divers[[#This Row],[PRIX /U HT]]*Quincaillerie_divers[[#This Row],[QUANTITE]]</f>
        <v>0</v>
      </c>
      <c r="J4" s="188"/>
      <c r="K4" s="188">
        <f>(Quincaillerie_divers[[#This Row],[TOTAL HT]]*1.2)+Quincaillerie_divers[[#This Row],[FDP]]</f>
        <v>0</v>
      </c>
      <c r="L4" s="30" t="s">
        <v>105</v>
      </c>
      <c r="M4" s="28"/>
      <c r="N4" s="28"/>
    </row>
    <row r="5" spans="1:14" ht="31.8" customHeight="1" x14ac:dyDescent="0.3">
      <c r="A5" s="26"/>
      <c r="B5" s="27" t="s">
        <v>234</v>
      </c>
      <c r="C5" s="28" t="s">
        <v>343</v>
      </c>
      <c r="D5" s="29" t="s">
        <v>245</v>
      </c>
      <c r="E5" s="28"/>
      <c r="F5" s="28"/>
      <c r="G5" s="188"/>
      <c r="H5" s="28"/>
      <c r="I5" s="188">
        <f>Quincaillerie_divers[[#This Row],[PRIX /U HT]]*Quincaillerie_divers[[#This Row],[QUANTITE]]</f>
        <v>0</v>
      </c>
      <c r="J5" s="188"/>
      <c r="K5" s="188">
        <f>(Quincaillerie_divers[[#This Row],[TOTAL HT]]*1.2)+Quincaillerie_divers[[#This Row],[FDP]]</f>
        <v>0</v>
      </c>
      <c r="L5" s="31" t="s">
        <v>235</v>
      </c>
      <c r="M5" s="28"/>
      <c r="N5" s="28"/>
    </row>
    <row r="6" spans="1:14" ht="30.6" customHeight="1" x14ac:dyDescent="0.3">
      <c r="A6" s="26" t="s">
        <v>291</v>
      </c>
      <c r="B6" s="27" t="s">
        <v>15</v>
      </c>
      <c r="C6" s="28" t="s">
        <v>343</v>
      </c>
      <c r="D6" s="29"/>
      <c r="E6" s="28"/>
      <c r="F6" s="28"/>
      <c r="G6" s="188"/>
      <c r="H6" s="28"/>
      <c r="I6" s="188">
        <f>Quincaillerie_divers[[#This Row],[PRIX /U HT]]*Quincaillerie_divers[[#This Row],[QUANTITE]]</f>
        <v>0</v>
      </c>
      <c r="J6" s="188"/>
      <c r="K6" s="188">
        <f>(Quincaillerie_divers[[#This Row],[TOTAL HT]]*1.2)+Quincaillerie_divers[[#This Row],[FDP]]</f>
        <v>0</v>
      </c>
      <c r="L6" s="28"/>
      <c r="M6" s="28"/>
      <c r="N6" s="28"/>
    </row>
    <row r="7" spans="1:14" ht="19.8" customHeight="1" x14ac:dyDescent="0.3">
      <c r="A7" s="26" t="s">
        <v>291</v>
      </c>
      <c r="B7" s="27" t="s">
        <v>16</v>
      </c>
      <c r="C7" s="28" t="s">
        <v>344</v>
      </c>
      <c r="D7" s="29"/>
      <c r="E7" s="28"/>
      <c r="F7" s="28"/>
      <c r="G7" s="188"/>
      <c r="H7" s="28"/>
      <c r="I7" s="188">
        <f>Quincaillerie_divers[[#This Row],[PRIX /U HT]]*Quincaillerie_divers[[#This Row],[QUANTITE]]</f>
        <v>0</v>
      </c>
      <c r="J7" s="188"/>
      <c r="K7" s="188">
        <f>(Quincaillerie_divers[[#This Row],[TOTAL HT]]*1.2)+Quincaillerie_divers[[#This Row],[FDP]]</f>
        <v>0</v>
      </c>
      <c r="L7" s="28"/>
      <c r="M7" s="28"/>
      <c r="N7" s="28"/>
    </row>
    <row r="8" spans="1:14" ht="61.2" customHeight="1" x14ac:dyDescent="0.3">
      <c r="A8" s="26" t="s">
        <v>289</v>
      </c>
      <c r="B8" s="27" t="s">
        <v>118</v>
      </c>
      <c r="C8" s="28" t="s">
        <v>343</v>
      </c>
      <c r="D8" s="29"/>
      <c r="E8" s="28"/>
      <c r="F8" s="28"/>
      <c r="G8" s="188"/>
      <c r="H8" s="28"/>
      <c r="I8" s="188">
        <f>Quincaillerie_divers[[#This Row],[PRIX /U HT]]*Quincaillerie_divers[[#This Row],[QUANTITE]]</f>
        <v>0</v>
      </c>
      <c r="J8" s="188"/>
      <c r="K8" s="188">
        <f>(Quincaillerie_divers[[#This Row],[TOTAL HT]]*1.2)+Quincaillerie_divers[[#This Row],[FDP]]</f>
        <v>0</v>
      </c>
      <c r="L8" s="30" t="s">
        <v>105</v>
      </c>
      <c r="M8" s="28"/>
      <c r="N8" s="28"/>
    </row>
    <row r="9" spans="1:14" ht="42.6" customHeight="1" x14ac:dyDescent="0.3">
      <c r="A9" s="26" t="s">
        <v>289</v>
      </c>
      <c r="B9" s="27" t="s">
        <v>174</v>
      </c>
      <c r="C9" s="28" t="s">
        <v>344</v>
      </c>
      <c r="D9" s="29" t="s">
        <v>175</v>
      </c>
      <c r="E9" s="28"/>
      <c r="F9" s="28"/>
      <c r="G9" s="188"/>
      <c r="H9" s="28"/>
      <c r="I9" s="188">
        <f>Quincaillerie_divers[[#This Row],[PRIX /U HT]]*Quincaillerie_divers[[#This Row],[QUANTITE]]</f>
        <v>0</v>
      </c>
      <c r="J9" s="188"/>
      <c r="K9" s="188">
        <f>(Quincaillerie_divers[[#This Row],[TOTAL HT]]*1.2)+Quincaillerie_divers[[#This Row],[FDP]]</f>
        <v>0</v>
      </c>
      <c r="L9" s="28"/>
      <c r="M9" s="28"/>
      <c r="N9" s="28"/>
    </row>
    <row r="10" spans="1:14" ht="49.8" customHeight="1" x14ac:dyDescent="0.3">
      <c r="A10" s="26" t="s">
        <v>292</v>
      </c>
      <c r="B10" s="27" t="s">
        <v>247</v>
      </c>
      <c r="C10" s="28" t="s">
        <v>343</v>
      </c>
      <c r="D10" s="29" t="s">
        <v>248</v>
      </c>
      <c r="E10" s="28"/>
      <c r="F10" s="28"/>
      <c r="G10" s="188"/>
      <c r="H10" s="28"/>
      <c r="I10" s="188">
        <f>Quincaillerie_divers[[#This Row],[PRIX /U HT]]*Quincaillerie_divers[[#This Row],[QUANTITE]]</f>
        <v>0</v>
      </c>
      <c r="J10" s="188"/>
      <c r="K10" s="188">
        <f>(Quincaillerie_divers[[#This Row],[TOTAL HT]]*1.2)+Quincaillerie_divers[[#This Row],[FDP]]</f>
        <v>0</v>
      </c>
      <c r="L10" s="30" t="s">
        <v>105</v>
      </c>
      <c r="M10" s="28"/>
      <c r="N10" s="28"/>
    </row>
    <row r="11" spans="1:14" ht="30" customHeight="1" x14ac:dyDescent="0.3">
      <c r="A11" s="26" t="s">
        <v>290</v>
      </c>
      <c r="B11" s="27" t="s">
        <v>116</v>
      </c>
      <c r="C11" s="28" t="s">
        <v>344</v>
      </c>
      <c r="D11" s="29"/>
      <c r="E11" s="28"/>
      <c r="F11" s="28"/>
      <c r="G11" s="188"/>
      <c r="H11" s="28"/>
      <c r="I11" s="188">
        <f>Quincaillerie_divers[[#This Row],[PRIX /U HT]]*Quincaillerie_divers[[#This Row],[QUANTITE]]</f>
        <v>0</v>
      </c>
      <c r="J11" s="188"/>
      <c r="K11" s="188">
        <f>(Quincaillerie_divers[[#This Row],[TOTAL HT]]*1.2)+Quincaillerie_divers[[#This Row],[FDP]]</f>
        <v>0</v>
      </c>
      <c r="L11" s="30" t="s">
        <v>105</v>
      </c>
      <c r="M11" s="28"/>
      <c r="N11" s="28"/>
    </row>
    <row r="12" spans="1:14" ht="30" customHeight="1" x14ac:dyDescent="0.3">
      <c r="A12" s="26"/>
      <c r="B12" s="27" t="s">
        <v>321</v>
      </c>
      <c r="C12" s="28" t="s">
        <v>343</v>
      </c>
      <c r="D12" s="29" t="s">
        <v>320</v>
      </c>
      <c r="E12" s="28" t="s">
        <v>146</v>
      </c>
      <c r="F12" s="28"/>
      <c r="G12" s="188"/>
      <c r="H12" s="28">
        <v>1</v>
      </c>
      <c r="I12" s="188">
        <f>Quincaillerie_divers[[#This Row],[PRIX /U HT]]*Quincaillerie_divers[[#This Row],[QUANTITE]]</f>
        <v>0</v>
      </c>
      <c r="J12" s="188"/>
      <c r="K12" s="188">
        <f>(Quincaillerie_divers[[#This Row],[TOTAL HT]]*1.2)+Quincaillerie_divers[[#This Row],[FDP]]</f>
        <v>0</v>
      </c>
      <c r="L12" s="28"/>
      <c r="M12" s="28"/>
      <c r="N12" s="28"/>
    </row>
    <row r="13" spans="1:14" ht="30" customHeight="1" x14ac:dyDescent="0.3">
      <c r="A13" s="26"/>
      <c r="B13" s="27" t="s">
        <v>19</v>
      </c>
      <c r="C13" s="28" t="s">
        <v>343</v>
      </c>
      <c r="D13" s="29"/>
      <c r="E13" s="28"/>
      <c r="F13" s="28"/>
      <c r="G13" s="188"/>
      <c r="H13" s="28"/>
      <c r="I13" s="188">
        <f>Quincaillerie_divers[[#This Row],[PRIX /U HT]]*Quincaillerie_divers[[#This Row],[QUANTITE]]</f>
        <v>0</v>
      </c>
      <c r="J13" s="188"/>
      <c r="K13" s="188">
        <f>(Quincaillerie_divers[[#This Row],[TOTAL HT]]*1.2)+Quincaillerie_divers[[#This Row],[FDP]]</f>
        <v>0</v>
      </c>
      <c r="L13" s="28"/>
      <c r="M13" s="28"/>
      <c r="N13" s="28"/>
    </row>
    <row r="14" spans="1:14" ht="30" customHeight="1" x14ac:dyDescent="0.3">
      <c r="A14" s="26" t="s">
        <v>291</v>
      </c>
      <c r="B14" s="27" t="s">
        <v>255</v>
      </c>
      <c r="C14" s="28" t="s">
        <v>343</v>
      </c>
      <c r="D14" s="32" t="s">
        <v>256</v>
      </c>
      <c r="E14" s="28"/>
      <c r="F14" s="28"/>
      <c r="G14" s="188"/>
      <c r="H14" s="28"/>
      <c r="I14" s="188">
        <f>Quincaillerie_divers[[#This Row],[PRIX /U HT]]*Quincaillerie_divers[[#This Row],[QUANTITE]]</f>
        <v>0</v>
      </c>
      <c r="J14" s="188"/>
      <c r="K14" s="188">
        <f>(Quincaillerie_divers[[#This Row],[TOTAL HT]]*1.2)+Quincaillerie_divers[[#This Row],[FDP]]</f>
        <v>0</v>
      </c>
      <c r="L14" s="30" t="s">
        <v>257</v>
      </c>
      <c r="M14" s="28"/>
      <c r="N14" s="28"/>
    </row>
    <row r="15" spans="1:14" ht="37.799999999999997" customHeight="1" x14ac:dyDescent="0.3">
      <c r="A15" s="26"/>
      <c r="B15" s="27" t="s">
        <v>252</v>
      </c>
      <c r="C15" s="28" t="s">
        <v>343</v>
      </c>
      <c r="D15" s="32" t="s">
        <v>256</v>
      </c>
      <c r="E15" s="28"/>
      <c r="F15" s="28"/>
      <c r="G15" s="188"/>
      <c r="H15" s="28"/>
      <c r="I15" s="188">
        <f>Quincaillerie_divers[[#This Row],[PRIX /U HT]]*Quincaillerie_divers[[#This Row],[QUANTITE]]</f>
        <v>0</v>
      </c>
      <c r="J15" s="188"/>
      <c r="K15" s="188">
        <f>(Quincaillerie_divers[[#This Row],[TOTAL HT]]*1.2)+Quincaillerie_divers[[#This Row],[FDP]]</f>
        <v>0</v>
      </c>
      <c r="L15" s="30" t="s">
        <v>253</v>
      </c>
      <c r="M15" s="28"/>
      <c r="N15" s="28"/>
    </row>
    <row r="16" spans="1:14" s="7" customFormat="1" ht="37.799999999999997" customHeight="1" x14ac:dyDescent="0.3">
      <c r="A16" s="26" t="s">
        <v>295</v>
      </c>
      <c r="B16" s="27" t="s">
        <v>303</v>
      </c>
      <c r="C16" s="28" t="s">
        <v>343</v>
      </c>
      <c r="D16" s="29" t="s">
        <v>311</v>
      </c>
      <c r="E16" s="28" t="s">
        <v>146</v>
      </c>
      <c r="F16" s="29"/>
      <c r="G16" s="188"/>
      <c r="H16" s="28">
        <v>1</v>
      </c>
      <c r="I16" s="188">
        <f>Quincaillerie_divers[[#This Row],[PRIX /U HT]]*Quincaillerie_divers[[#This Row],[QUANTITE]]</f>
        <v>0</v>
      </c>
      <c r="J16" s="188"/>
      <c r="K16" s="188">
        <f>(Quincaillerie_divers[[#This Row],[TOTAL HT]]*1.2)+Quincaillerie_divers[[#This Row],[FDP]]</f>
        <v>0</v>
      </c>
      <c r="L16" s="33"/>
      <c r="M16" s="33"/>
      <c r="N16" s="33"/>
    </row>
    <row r="17" spans="1:14" ht="37.799999999999997" customHeight="1" x14ac:dyDescent="0.3">
      <c r="A17" s="26" t="s">
        <v>295</v>
      </c>
      <c r="B17" s="27" t="s">
        <v>302</v>
      </c>
      <c r="C17" s="28" t="s">
        <v>343</v>
      </c>
      <c r="D17" s="29" t="s">
        <v>312</v>
      </c>
      <c r="E17" s="28" t="s">
        <v>146</v>
      </c>
      <c r="F17" s="28"/>
      <c r="G17" s="188">
        <v>2.5</v>
      </c>
      <c r="H17" s="28">
        <v>2</v>
      </c>
      <c r="I17" s="188">
        <f>Quincaillerie_divers[[#This Row],[PRIX /U HT]]*Quincaillerie_divers[[#This Row],[QUANTITE]]</f>
        <v>5</v>
      </c>
      <c r="J17" s="188"/>
      <c r="K17" s="188">
        <f>(Quincaillerie_divers[[#This Row],[TOTAL HT]]*1.2)+Quincaillerie_divers[[#This Row],[FDP]]</f>
        <v>6</v>
      </c>
      <c r="L17" s="33"/>
      <c r="M17" s="33"/>
      <c r="N17" s="33"/>
    </row>
    <row r="18" spans="1:14" ht="37.799999999999997" customHeight="1" x14ac:dyDescent="0.3">
      <c r="A18" s="26" t="s">
        <v>295</v>
      </c>
      <c r="B18" s="27" t="s">
        <v>294</v>
      </c>
      <c r="C18" s="28" t="s">
        <v>343</v>
      </c>
      <c r="D18" s="29" t="s">
        <v>313</v>
      </c>
      <c r="E18" s="28" t="s">
        <v>146</v>
      </c>
      <c r="F18" s="28"/>
      <c r="G18" s="188"/>
      <c r="H18" s="28">
        <v>10</v>
      </c>
      <c r="I18" s="188">
        <f>Quincaillerie_divers[[#This Row],[PRIX /U HT]]*Quincaillerie_divers[[#This Row],[QUANTITE]]</f>
        <v>0</v>
      </c>
      <c r="J18" s="188"/>
      <c r="K18" s="188">
        <f>(Quincaillerie_divers[[#This Row],[TOTAL HT]]*1.2)+Quincaillerie_divers[[#This Row],[FDP]]</f>
        <v>0</v>
      </c>
      <c r="L18" s="33"/>
      <c r="M18" s="33"/>
      <c r="N18" s="33"/>
    </row>
    <row r="19" spans="1:14" ht="30" customHeight="1" x14ac:dyDescent="0.3">
      <c r="A19" s="26" t="s">
        <v>295</v>
      </c>
      <c r="B19" s="27" t="s">
        <v>318</v>
      </c>
      <c r="C19" s="28" t="s">
        <v>343</v>
      </c>
      <c r="D19" s="29" t="s">
        <v>319</v>
      </c>
      <c r="E19" s="28" t="s">
        <v>146</v>
      </c>
      <c r="F19" s="28"/>
      <c r="G19" s="188"/>
      <c r="H19" s="28">
        <v>1</v>
      </c>
      <c r="I19" s="188">
        <f>Quincaillerie_divers[[#This Row],[PRIX /U HT]]*Quincaillerie_divers[[#This Row],[QUANTITE]]</f>
        <v>0</v>
      </c>
      <c r="J19" s="188"/>
      <c r="K19" s="188">
        <f>(Quincaillerie_divers[[#This Row],[TOTAL HT]]*1.2)+Quincaillerie_divers[[#This Row],[FDP]]</f>
        <v>0</v>
      </c>
      <c r="L19" s="33"/>
      <c r="M19" s="33"/>
      <c r="N19" s="33"/>
    </row>
    <row r="20" spans="1:14" ht="30" customHeight="1" x14ac:dyDescent="0.3">
      <c r="A20" s="26" t="s">
        <v>295</v>
      </c>
      <c r="B20" s="27" t="s">
        <v>296</v>
      </c>
      <c r="C20" s="28" t="s">
        <v>343</v>
      </c>
      <c r="D20" s="29" t="s">
        <v>309</v>
      </c>
      <c r="E20" s="28" t="s">
        <v>146</v>
      </c>
      <c r="F20" s="28"/>
      <c r="G20" s="188"/>
      <c r="H20" s="28">
        <v>10</v>
      </c>
      <c r="I20" s="188">
        <f>Quincaillerie_divers[[#This Row],[PRIX /U HT]]*Quincaillerie_divers[[#This Row],[QUANTITE]]</f>
        <v>0</v>
      </c>
      <c r="J20" s="188"/>
      <c r="K20" s="188">
        <f>(Quincaillerie_divers[[#This Row],[TOTAL HT]]*1.2)+Quincaillerie_divers[[#This Row],[FDP]]</f>
        <v>0</v>
      </c>
      <c r="L20" s="33"/>
      <c r="M20" s="33"/>
      <c r="N20" s="33"/>
    </row>
    <row r="21" spans="1:14" ht="30" customHeight="1" x14ac:dyDescent="0.3">
      <c r="A21" s="26" t="s">
        <v>291</v>
      </c>
      <c r="B21" s="27" t="s">
        <v>288</v>
      </c>
      <c r="C21" s="28" t="s">
        <v>343</v>
      </c>
      <c r="D21" s="29" t="s">
        <v>300</v>
      </c>
      <c r="E21" s="28"/>
      <c r="F21" s="28"/>
      <c r="G21" s="188"/>
      <c r="H21" s="28"/>
      <c r="I21" s="188">
        <f>Quincaillerie_divers[[#This Row],[PRIX /U HT]]*Quincaillerie_divers[[#This Row],[QUANTITE]]</f>
        <v>0</v>
      </c>
      <c r="J21" s="188"/>
      <c r="K21" s="188">
        <f>(Quincaillerie_divers[[#This Row],[TOTAL HT]]*1.2)+Quincaillerie_divers[[#This Row],[FDP]]</f>
        <v>0</v>
      </c>
      <c r="L21" s="31"/>
      <c r="M21" s="28"/>
      <c r="N21" s="28"/>
    </row>
    <row r="22" spans="1:14" ht="30" customHeight="1" x14ac:dyDescent="0.3">
      <c r="A22" s="26" t="s">
        <v>295</v>
      </c>
      <c r="B22" s="27" t="s">
        <v>301</v>
      </c>
      <c r="C22" s="28" t="s">
        <v>343</v>
      </c>
      <c r="D22" s="29" t="s">
        <v>310</v>
      </c>
      <c r="E22" s="28"/>
      <c r="F22" s="28"/>
      <c r="G22" s="188"/>
      <c r="H22" s="34"/>
      <c r="I22" s="188">
        <f>Quincaillerie_divers[[#This Row],[PRIX /U HT]]*Quincaillerie_divers[[#This Row],[QUANTITE]]</f>
        <v>0</v>
      </c>
      <c r="J22" s="188"/>
      <c r="K22" s="188">
        <f>(Quincaillerie_divers[[#This Row],[TOTAL HT]]*1.2)+Quincaillerie_divers[[#This Row],[FDP]]</f>
        <v>0</v>
      </c>
      <c r="L22" s="28" t="s">
        <v>380</v>
      </c>
      <c r="M22" s="28"/>
      <c r="N22" s="28"/>
    </row>
    <row r="23" spans="1:14" ht="30" customHeight="1" x14ac:dyDescent="0.3">
      <c r="A23" s="26" t="s">
        <v>291</v>
      </c>
      <c r="B23" s="27" t="s">
        <v>254</v>
      </c>
      <c r="C23" s="28" t="s">
        <v>343</v>
      </c>
      <c r="D23" s="29"/>
      <c r="E23" s="28"/>
      <c r="F23" s="28"/>
      <c r="G23" s="188"/>
      <c r="H23" s="28">
        <v>6</v>
      </c>
      <c r="I23" s="188">
        <f>Quincaillerie_divers[[#This Row],[PRIX /U HT]]*Quincaillerie_divers[[#This Row],[QUANTITE]]</f>
        <v>0</v>
      </c>
      <c r="J23" s="188"/>
      <c r="K23" s="188">
        <f>(Quincaillerie_divers[[#This Row],[TOTAL HT]]*1.2)+Quincaillerie_divers[[#This Row],[FDP]]</f>
        <v>0</v>
      </c>
      <c r="L23" s="28"/>
      <c r="M23" s="28"/>
      <c r="N23" s="28"/>
    </row>
    <row r="24" spans="1:14" ht="30" customHeight="1" x14ac:dyDescent="0.3">
      <c r="A24" s="26"/>
      <c r="B24" s="27" t="s">
        <v>22</v>
      </c>
      <c r="C24" s="28" t="s">
        <v>344</v>
      </c>
      <c r="D24" s="29"/>
      <c r="E24" s="28"/>
      <c r="F24" s="28"/>
      <c r="G24" s="188"/>
      <c r="H24" s="28"/>
      <c r="I24" s="188">
        <f>Quincaillerie_divers[[#This Row],[PRIX /U HT]]*Quincaillerie_divers[[#This Row],[QUANTITE]]</f>
        <v>0</v>
      </c>
      <c r="J24" s="188"/>
      <c r="K24" s="188">
        <f>(Quincaillerie_divers[[#This Row],[TOTAL HT]]*1.2)+Quincaillerie_divers[[#This Row],[FDP]]</f>
        <v>0</v>
      </c>
      <c r="L24" s="28"/>
      <c r="M24" s="28"/>
      <c r="N24" s="28"/>
    </row>
    <row r="25" spans="1:14" ht="30" customHeight="1" x14ac:dyDescent="0.3">
      <c r="A25" s="26" t="s">
        <v>290</v>
      </c>
      <c r="B25" s="27" t="s">
        <v>334</v>
      </c>
      <c r="C25" s="28" t="s">
        <v>343</v>
      </c>
      <c r="D25" s="29"/>
      <c r="E25" s="28" t="s">
        <v>335</v>
      </c>
      <c r="F25" s="28"/>
      <c r="G25" s="188"/>
      <c r="H25" s="28">
        <v>1</v>
      </c>
      <c r="I25" s="188">
        <f>Quincaillerie_divers[[#This Row],[PRIX /U HT]]*Quincaillerie_divers[[#This Row],[QUANTITE]]</f>
        <v>0</v>
      </c>
      <c r="J25" s="188"/>
      <c r="K25" s="188">
        <f>(Quincaillerie_divers[[#This Row],[TOTAL HT]]*1.2)+Quincaillerie_divers[[#This Row],[FDP]]</f>
        <v>0</v>
      </c>
      <c r="L25" s="28"/>
      <c r="M25" s="28"/>
      <c r="N25" s="28"/>
    </row>
    <row r="26" spans="1:14" ht="30" customHeight="1" x14ac:dyDescent="0.3">
      <c r="A26" s="26"/>
      <c r="B26" s="27" t="s">
        <v>21</v>
      </c>
      <c r="C26" s="28" t="s">
        <v>344</v>
      </c>
      <c r="D26" s="29"/>
      <c r="E26" s="28"/>
      <c r="F26" s="28"/>
      <c r="G26" s="188"/>
      <c r="H26" s="28"/>
      <c r="I26" s="188">
        <f>Quincaillerie_divers[[#This Row],[PRIX /U HT]]*Quincaillerie_divers[[#This Row],[QUANTITE]]</f>
        <v>0</v>
      </c>
      <c r="J26" s="188"/>
      <c r="K26" s="188">
        <f>(Quincaillerie_divers[[#This Row],[TOTAL HT]]*1.2)+Quincaillerie_divers[[#This Row],[FDP]]</f>
        <v>0</v>
      </c>
      <c r="L26" s="28"/>
      <c r="M26" s="28"/>
      <c r="N26" s="28"/>
    </row>
    <row r="27" spans="1:14" ht="30" customHeight="1" x14ac:dyDescent="0.3">
      <c r="A27" s="26"/>
      <c r="B27" s="27" t="s">
        <v>20</v>
      </c>
      <c r="C27" s="28" t="s">
        <v>344</v>
      </c>
      <c r="D27" s="29"/>
      <c r="E27" s="28"/>
      <c r="F27" s="28"/>
      <c r="G27" s="188"/>
      <c r="H27" s="28"/>
      <c r="I27" s="188">
        <f>Quincaillerie_divers[[#This Row],[PRIX /U HT]]*Quincaillerie_divers[[#This Row],[QUANTITE]]</f>
        <v>0</v>
      </c>
      <c r="J27" s="188"/>
      <c r="K27" s="188">
        <f>(Quincaillerie_divers[[#This Row],[TOTAL HT]]*1.2)+Quincaillerie_divers[[#This Row],[FDP]]</f>
        <v>0</v>
      </c>
      <c r="L27" s="28"/>
      <c r="M27" s="28"/>
      <c r="N27" s="28"/>
    </row>
    <row r="28" spans="1:14" ht="30" customHeight="1" x14ac:dyDescent="0.3">
      <c r="A28" s="26"/>
      <c r="B28" s="27" t="s">
        <v>17</v>
      </c>
      <c r="C28" s="28" t="s">
        <v>344</v>
      </c>
      <c r="D28" s="29"/>
      <c r="E28" s="28"/>
      <c r="F28" s="28"/>
      <c r="G28" s="188"/>
      <c r="H28" s="28"/>
      <c r="I28" s="188">
        <f>Quincaillerie_divers[[#This Row],[PRIX /U HT]]*Quincaillerie_divers[[#This Row],[QUANTITE]]</f>
        <v>0</v>
      </c>
      <c r="J28" s="188"/>
      <c r="K28" s="188">
        <f>(Quincaillerie_divers[[#This Row],[TOTAL HT]]*1.2)+Quincaillerie_divers[[#This Row],[FDP]]</f>
        <v>0</v>
      </c>
      <c r="L28" s="28"/>
      <c r="M28" s="28"/>
      <c r="N28" s="28"/>
    </row>
    <row r="29" spans="1:14" ht="30" customHeight="1" x14ac:dyDescent="0.3">
      <c r="A29" s="26"/>
      <c r="B29" s="27" t="s">
        <v>107</v>
      </c>
      <c r="C29" s="28" t="s">
        <v>343</v>
      </c>
      <c r="D29" s="29"/>
      <c r="E29" s="28"/>
      <c r="F29" s="28"/>
      <c r="G29" s="188"/>
      <c r="H29" s="28">
        <v>1</v>
      </c>
      <c r="I29" s="188">
        <f>Quincaillerie_divers[[#This Row],[PRIX /U HT]]*Quincaillerie_divers[[#This Row],[QUANTITE]]</f>
        <v>0</v>
      </c>
      <c r="J29" s="188"/>
      <c r="K29" s="188">
        <f>(Quincaillerie_divers[[#This Row],[TOTAL HT]]*1.2)+Quincaillerie_divers[[#This Row],[FDP]]</f>
        <v>0</v>
      </c>
      <c r="L29" s="30" t="s">
        <v>105</v>
      </c>
      <c r="M29" s="28"/>
      <c r="N29" s="28"/>
    </row>
    <row r="30" spans="1:14" ht="30" customHeight="1" x14ac:dyDescent="0.3">
      <c r="A30" s="26" t="s">
        <v>290</v>
      </c>
      <c r="B30" s="27" t="s">
        <v>322</v>
      </c>
      <c r="C30" s="28" t="s">
        <v>343</v>
      </c>
      <c r="D30" s="29"/>
      <c r="E30" s="28"/>
      <c r="F30" s="28"/>
      <c r="G30" s="188"/>
      <c r="H30" s="28">
        <v>1</v>
      </c>
      <c r="I30" s="188">
        <f>Quincaillerie_divers[[#This Row],[PRIX /U HT]]*Quincaillerie_divers[[#This Row],[QUANTITE]]</f>
        <v>0</v>
      </c>
      <c r="J30" s="188"/>
      <c r="K30" s="188">
        <f>(Quincaillerie_divers[[#This Row],[TOTAL HT]]*1.2)+Quincaillerie_divers[[#This Row],[FDP]]</f>
        <v>0</v>
      </c>
      <c r="L30" s="30"/>
      <c r="M30" s="28"/>
      <c r="N30" s="28"/>
    </row>
    <row r="31" spans="1:14" ht="30" customHeight="1" x14ac:dyDescent="0.3">
      <c r="A31" s="26" t="s">
        <v>290</v>
      </c>
      <c r="B31" s="27" t="s">
        <v>173</v>
      </c>
      <c r="C31" s="28" t="s">
        <v>343</v>
      </c>
      <c r="D31" s="29"/>
      <c r="E31" s="28"/>
      <c r="F31" s="28"/>
      <c r="G31" s="188"/>
      <c r="H31" s="28"/>
      <c r="I31" s="188">
        <f>Quincaillerie_divers[[#This Row],[PRIX /U HT]]*Quincaillerie_divers[[#This Row],[QUANTITE]]</f>
        <v>0</v>
      </c>
      <c r="J31" s="188"/>
      <c r="K31" s="188">
        <f>(Quincaillerie_divers[[#This Row],[TOTAL HT]]*1.2)+Quincaillerie_divers[[#This Row],[FDP]]</f>
        <v>0</v>
      </c>
      <c r="L31" s="30" t="s">
        <v>105</v>
      </c>
      <c r="M31" s="28"/>
      <c r="N31" s="28"/>
    </row>
    <row r="32" spans="1:14" s="7" customFormat="1" ht="30" customHeight="1" x14ac:dyDescent="0.3">
      <c r="A32" s="26" t="s">
        <v>290</v>
      </c>
      <c r="B32" s="27" t="s">
        <v>115</v>
      </c>
      <c r="C32" s="28" t="s">
        <v>343</v>
      </c>
      <c r="D32" s="28" t="s">
        <v>114</v>
      </c>
      <c r="E32" s="28"/>
      <c r="F32" s="28"/>
      <c r="G32" s="188"/>
      <c r="H32" s="28">
        <v>6</v>
      </c>
      <c r="I32" s="188">
        <f>Quincaillerie_divers[[#This Row],[PRIX /U HT]]*Quincaillerie_divers[[#This Row],[QUANTITE]]</f>
        <v>0</v>
      </c>
      <c r="J32" s="188"/>
      <c r="K32" s="188">
        <f>(Quincaillerie_divers[[#This Row],[TOTAL HT]]*1.2)+Quincaillerie_divers[[#This Row],[FDP]]</f>
        <v>0</v>
      </c>
      <c r="L32" s="28"/>
      <c r="M32" s="28"/>
      <c r="N32" s="28"/>
    </row>
    <row r="33" spans="1:15" s="7" customFormat="1" ht="48.6" customHeight="1" x14ac:dyDescent="0.3">
      <c r="A33" s="26" t="s">
        <v>289</v>
      </c>
      <c r="B33" s="27" t="s">
        <v>232</v>
      </c>
      <c r="C33" s="28" t="s">
        <v>343</v>
      </c>
      <c r="D33" s="29" t="s">
        <v>233</v>
      </c>
      <c r="E33" s="28"/>
      <c r="F33" s="28"/>
      <c r="G33" s="188"/>
      <c r="H33" s="28"/>
      <c r="I33" s="188">
        <f>Quincaillerie_divers[[#This Row],[PRIX /U HT]]*Quincaillerie_divers[[#This Row],[QUANTITE]]</f>
        <v>0</v>
      </c>
      <c r="J33" s="188"/>
      <c r="K33" s="188">
        <f>(Quincaillerie_divers[[#This Row],[TOTAL HT]]*1.2)+Quincaillerie_divers[[#This Row],[FDP]]</f>
        <v>0</v>
      </c>
      <c r="L33" s="28" t="s">
        <v>121</v>
      </c>
      <c r="M33" s="28"/>
      <c r="N33" s="28"/>
    </row>
    <row r="34" spans="1:15" s="7" customFormat="1" ht="33.6" customHeight="1" thickBot="1" x14ac:dyDescent="0.35">
      <c r="A34" s="26" t="s">
        <v>290</v>
      </c>
      <c r="B34" s="27" t="s">
        <v>251</v>
      </c>
      <c r="C34" s="28" t="s">
        <v>343</v>
      </c>
      <c r="D34" s="29"/>
      <c r="E34" s="28" t="s">
        <v>108</v>
      </c>
      <c r="F34" s="185"/>
      <c r="G34" s="188"/>
      <c r="H34" s="28">
        <v>1</v>
      </c>
      <c r="I34" s="188">
        <f>Quincaillerie_divers[[#This Row],[PRIX /U HT]]*Quincaillerie_divers[[#This Row],[QUANTITE]]</f>
        <v>0</v>
      </c>
      <c r="J34" s="188"/>
      <c r="K34" s="188">
        <f>(Quincaillerie_divers[[#This Row],[TOTAL HT]]*1.2)+Quincaillerie_divers[[#This Row],[FDP]]</f>
        <v>0</v>
      </c>
      <c r="L34" s="28"/>
      <c r="M34" s="28"/>
      <c r="N34" s="28"/>
    </row>
    <row r="35" spans="1:15" s="7" customFormat="1" ht="33.6" customHeight="1" thickBot="1" x14ac:dyDescent="0.35">
      <c r="A35" s="183"/>
      <c r="B35" s="184"/>
      <c r="C35" s="185"/>
      <c r="D35" s="186"/>
      <c r="E35" s="185"/>
      <c r="F35" s="191">
        <f>SUM(F2:F34)</f>
        <v>0</v>
      </c>
      <c r="G35" s="190"/>
      <c r="H35" s="185"/>
      <c r="I35" s="190"/>
      <c r="J35" s="189">
        <f>SUM(J2:J34)</f>
        <v>0</v>
      </c>
      <c r="K35" s="189">
        <f>SUM(K2:K34)</f>
        <v>6</v>
      </c>
      <c r="L35" s="186"/>
      <c r="M35" s="185"/>
      <c r="N35" s="185"/>
      <c r="O35" s="2"/>
    </row>
    <row r="36" spans="1:15" ht="30" customHeight="1" x14ac:dyDescent="0.3">
      <c r="H36" s="151"/>
      <c r="J36" s="121"/>
      <c r="K36" s="121"/>
      <c r="L36" s="122"/>
    </row>
  </sheetData>
  <conditionalFormatting sqref="A2:D35 G35:I35 E2:N34 L35:O35">
    <cfRule type="expression" dxfId="45" priority="3">
      <formula>$C2="Oui"</formula>
    </cfRule>
  </conditionalFormatting>
  <conditionalFormatting sqref="N35:O1048576 M1:N34">
    <cfRule type="containsText" dxfId="44" priority="2" operator="containsText" text="Oui">
      <formula>NOT(ISERROR(SEARCH("Oui",M1)))</formula>
    </cfRule>
  </conditionalFormatting>
  <conditionalFormatting sqref="N35:O1048576 M1:N34">
    <cfRule type="containsText" dxfId="43" priority="1" operator="containsText" text="Non">
      <formula>NOT(ISERROR(SEARCH("Non",M1)))</formula>
    </cfRule>
  </conditionalFormatting>
  <dataValidations count="1">
    <dataValidation type="list" allowBlank="1" showInputMessage="1" showErrorMessage="1" sqref="M2:N34 C2:C34" xr:uid="{0E6E7208-6A95-4207-A0C7-19C840FEF088}">
      <formula1>"Oui,Non"</formula1>
    </dataValidation>
  </dataValidations>
  <pageMargins left="0.7" right="0.7" top="0.75" bottom="0.75" header="0.3" footer="0.3"/>
  <pageSetup paperSize="9" scale="52" fitToHeight="0" orientation="landscape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DC1F3C-47E0-4024-9C66-625442B996B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RESUME</vt:lpstr>
      <vt:lpstr>ADMINISTRATIF</vt:lpstr>
      <vt:lpstr>OUVERTURES</vt:lpstr>
      <vt:lpstr>ISOLATION</vt:lpstr>
      <vt:lpstr>ELECTRICITE</vt:lpstr>
      <vt:lpstr>BOIS</vt:lpstr>
      <vt:lpstr>CHAUFFAGE</vt:lpstr>
      <vt:lpstr>SANITAIRE</vt:lpstr>
      <vt:lpstr>ELECTROMENAGER - MOBILIER</vt:lpstr>
      <vt:lpstr>PRODUITS GAZ</vt:lpstr>
      <vt:lpstr>LITERIE - RIDEAUX</vt:lpstr>
      <vt:lpstr>QUINCAILLERIE - DIVERS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Eddy Michel</cp:lastModifiedBy>
  <cp:lastPrinted>2022-11-07T11:29:36Z</cp:lastPrinted>
  <dcterms:created xsi:type="dcterms:W3CDTF">2015-06-05T18:19:34Z</dcterms:created>
  <dcterms:modified xsi:type="dcterms:W3CDTF">2022-11-09T20:31:29Z</dcterms:modified>
</cp:coreProperties>
</file>