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inehijona/Desktop/"/>
    </mc:Choice>
  </mc:AlternateContent>
  <xr:revisionPtr revIDLastSave="0" documentId="13_ncr:1_{A7B306C1-6D77-B140-BBF9-B00151CA6A02}" xr6:coauthVersionLast="47" xr6:coauthVersionMax="47" xr10:uidLastSave="{00000000-0000-0000-0000-000000000000}"/>
  <bookViews>
    <workbookView xWindow="0" yWindow="500" windowWidth="44800" windowHeight="24700" activeTab="1" xr2:uid="{DB958753-9D7E-3E44-A49F-0F2533D33BCC}"/>
  </bookViews>
  <sheets>
    <sheet name="Synthèse de scénarios 9" sheetId="11" r:id="rId1"/>
    <sheet name="Essai 1" sheetId="1" r:id="rId2"/>
    <sheet name="Essai 2" sheetId="14" r:id="rId3"/>
    <sheet name="Feuil13" sheetId="13" r:id="rId4"/>
    <sheet name="BD" sheetId="2" r:id="rId5"/>
  </sheets>
  <definedNames>
    <definedName name="DMT">'Essai 1'!$F$3</definedName>
    <definedName name="Duree">'Essai 1'!$M$6</definedName>
    <definedName name="ETP">'Essai 1'!$M$8</definedName>
    <definedName name="Nb_jrs_presta">'Essai 1'!$M$7</definedName>
    <definedName name="NBJRS">'Essai 1'!$F$5</definedName>
    <definedName name="solver_eng" localSheetId="1" hidden="1">1</definedName>
    <definedName name="solver_lin" localSheetId="1" hidden="1">2</definedName>
    <definedName name="solver_neg" localSheetId="1" hidden="1">1</definedName>
    <definedName name="solver_num" localSheetId="1" hidden="1">0</definedName>
    <definedName name="solver_opt" localSheetId="1" hidden="1">'Essai 1'!$B$4</definedName>
    <definedName name="solver_typ" localSheetId="1" hidden="1">1</definedName>
    <definedName name="solver_val" localSheetId="1" hidden="1">0</definedName>
    <definedName name="solver_ver" localSheetId="1" hidden="1">2</definedName>
    <definedName name="TPSJOURNALIER">'Essai 1'!$B$6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14" l="1"/>
  <c r="J24" i="14"/>
  <c r="J25" i="14"/>
  <c r="J16" i="14"/>
  <c r="E33" i="14"/>
  <c r="E16" i="14"/>
  <c r="F16" i="14" s="1"/>
  <c r="C36" i="14"/>
  <c r="F24" i="14"/>
  <c r="F25" i="14"/>
  <c r="G24" i="14"/>
  <c r="G25" i="14"/>
  <c r="G16" i="14"/>
  <c r="G32" i="14"/>
  <c r="D25" i="14"/>
  <c r="D24" i="14"/>
  <c r="D16" i="14"/>
  <c r="F13" i="14"/>
  <c r="E13" i="14"/>
  <c r="D13" i="14"/>
  <c r="L24" i="14"/>
  <c r="G27" i="14"/>
  <c r="E25" i="14"/>
  <c r="E24" i="14"/>
  <c r="C17" i="14"/>
  <c r="C18" i="14" s="1"/>
  <c r="C19" i="14" s="1"/>
  <c r="C20" i="14" s="1"/>
  <c r="C21" i="14" s="1"/>
  <c r="C22" i="14" s="1"/>
  <c r="C23" i="14" s="1"/>
  <c r="E23" i="14" s="1"/>
  <c r="F23" i="14" s="1"/>
  <c r="K24" i="1"/>
  <c r="E23" i="1"/>
  <c r="D23" i="1"/>
  <c r="P25" i="1"/>
  <c r="L31" i="1"/>
  <c r="L30" i="1"/>
  <c r="L29" i="1"/>
  <c r="J28" i="1"/>
  <c r="K22" i="1"/>
  <c r="L14" i="1"/>
  <c r="F25" i="13"/>
  <c r="E25" i="13"/>
  <c r="D25" i="13"/>
  <c r="F24" i="13"/>
  <c r="E24" i="13"/>
  <c r="D24" i="13"/>
  <c r="F23" i="13"/>
  <c r="E23" i="13"/>
  <c r="D23" i="13"/>
  <c r="F22" i="13"/>
  <c r="F16" i="13"/>
  <c r="E16" i="13"/>
  <c r="D16" i="13"/>
  <c r="F15" i="13"/>
  <c r="E15" i="13"/>
  <c r="D15" i="13"/>
  <c r="F14" i="13"/>
  <c r="E14" i="13"/>
  <c r="F13" i="13"/>
  <c r="D8" i="13"/>
  <c r="E8" i="13"/>
  <c r="F8" i="13"/>
  <c r="C8" i="13"/>
  <c r="D6" i="13"/>
  <c r="E6" i="13"/>
  <c r="F6" i="13"/>
  <c r="D7" i="13"/>
  <c r="E7" i="13"/>
  <c r="F7" i="13"/>
  <c r="E5" i="13"/>
  <c r="F5" i="13"/>
  <c r="D5" i="13"/>
  <c r="F4" i="13"/>
  <c r="B6" i="1"/>
  <c r="H25" i="14" s="1"/>
  <c r="E20" i="1"/>
  <c r="N9" i="1"/>
  <c r="P1" i="1"/>
  <c r="P2" i="1" s="1"/>
  <c r="P8" i="1" s="1"/>
  <c r="O1" i="1"/>
  <c r="O2" i="1" s="1"/>
  <c r="O8" i="1" s="1"/>
  <c r="N1" i="1"/>
  <c r="N2" i="1"/>
  <c r="N8" i="1" s="1"/>
  <c r="M2" i="1"/>
  <c r="M8" i="1" s="1"/>
  <c r="F6" i="1"/>
  <c r="F4" i="1"/>
  <c r="B10" i="1"/>
  <c r="B2" i="1"/>
  <c r="B3" i="1" s="1"/>
  <c r="J16" i="1"/>
  <c r="A4" i="2"/>
  <c r="A5" i="2" s="1"/>
  <c r="A6" i="2" s="1"/>
  <c r="A7" i="2" s="1"/>
  <c r="A8" i="2" s="1"/>
  <c r="J9" i="1"/>
  <c r="F19" i="1"/>
  <c r="G19" i="1" s="1"/>
  <c r="P36" i="1"/>
  <c r="H24" i="14" l="1"/>
  <c r="G13" i="14"/>
  <c r="H16" i="14"/>
  <c r="I16" i="14" s="1"/>
  <c r="L19" i="1"/>
  <c r="K19" i="1"/>
  <c r="D18" i="14"/>
  <c r="H22" i="14"/>
  <c r="J23" i="14"/>
  <c r="D23" i="14"/>
  <c r="G22" i="14"/>
  <c r="G20" i="14"/>
  <c r="G18" i="14"/>
  <c r="J20" i="14"/>
  <c r="D20" i="14"/>
  <c r="D21" i="14"/>
  <c r="D22" i="14"/>
  <c r="G23" i="14"/>
  <c r="E22" i="14"/>
  <c r="F22" i="14" s="1"/>
  <c r="H20" i="14"/>
  <c r="J22" i="14"/>
  <c r="E21" i="14"/>
  <c r="I21" i="14" s="1"/>
  <c r="H19" i="14"/>
  <c r="J21" i="14"/>
  <c r="E20" i="14"/>
  <c r="F20" i="14" s="1"/>
  <c r="H18" i="14"/>
  <c r="E18" i="14"/>
  <c r="F18" i="14" s="1"/>
  <c r="G17" i="14"/>
  <c r="H17" i="14"/>
  <c r="I17" i="14" s="1"/>
  <c r="J19" i="14"/>
  <c r="D17" i="14"/>
  <c r="G21" i="14"/>
  <c r="H23" i="14"/>
  <c r="J18" i="14"/>
  <c r="J17" i="14"/>
  <c r="D19" i="14"/>
  <c r="G19" i="14"/>
  <c r="H21" i="14"/>
  <c r="E17" i="14"/>
  <c r="F17" i="14" s="1"/>
  <c r="E19" i="14"/>
  <c r="F19" i="14" s="1"/>
  <c r="Q8" i="1"/>
  <c r="M14" i="1"/>
  <c r="M18" i="1"/>
  <c r="Q2" i="1"/>
  <c r="P9" i="1"/>
  <c r="O9" i="1"/>
  <c r="Q9" i="1" s="1"/>
  <c r="Q1" i="1"/>
  <c r="J19" i="1"/>
  <c r="S33" i="1"/>
  <c r="F18" i="1"/>
  <c r="K18" i="1" s="1"/>
  <c r="D19" i="1"/>
  <c r="D18" i="1"/>
  <c r="R40" i="1"/>
  <c r="R52" i="1"/>
  <c r="O47" i="1"/>
  <c r="O41" i="1"/>
  <c r="G37" i="1"/>
  <c r="G38" i="1"/>
  <c r="I44" i="1"/>
  <c r="J44" i="1"/>
  <c r="H44" i="1"/>
  <c r="G44" i="1"/>
  <c r="I43" i="1"/>
  <c r="J43" i="1"/>
  <c r="H43" i="1"/>
  <c r="G43" i="1"/>
  <c r="F42" i="1"/>
  <c r="I42" i="1" s="1"/>
  <c r="D42" i="1"/>
  <c r="H19" i="1"/>
  <c r="I19" i="1"/>
  <c r="C30" i="1"/>
  <c r="E35" i="1"/>
  <c r="E36" i="1"/>
  <c r="G36" i="1" s="1"/>
  <c r="L18" i="1" l="1"/>
  <c r="F21" i="14"/>
  <c r="I18" i="14"/>
  <c r="I19" i="14"/>
  <c r="M19" i="1"/>
  <c r="N14" i="1"/>
  <c r="G18" i="1"/>
  <c r="J18" i="1"/>
  <c r="I18" i="1"/>
  <c r="H18" i="1"/>
  <c r="K50" i="1"/>
  <c r="J42" i="1"/>
  <c r="H42" i="1"/>
  <c r="G42" i="1"/>
  <c r="I33" i="1"/>
  <c r="K33" i="1" s="1"/>
  <c r="F17" i="1"/>
  <c r="D17" i="1"/>
  <c r="C20" i="1" s="1"/>
  <c r="F20" i="1" s="1"/>
  <c r="K20" i="1" l="1"/>
  <c r="K21" i="1" s="1"/>
  <c r="M20" i="1"/>
  <c r="M21" i="1" s="1"/>
  <c r="L20" i="1"/>
  <c r="L21" i="1" s="1"/>
  <c r="K17" i="1"/>
  <c r="M17" i="1"/>
  <c r="L17" i="1"/>
  <c r="N18" i="1"/>
  <c r="O14" i="1"/>
  <c r="N19" i="1"/>
  <c r="N20" i="1"/>
  <c r="N17" i="1"/>
  <c r="J17" i="1"/>
  <c r="J20" i="1"/>
  <c r="I20" i="1"/>
  <c r="H20" i="1"/>
  <c r="G20" i="1"/>
  <c r="R51" i="1"/>
  <c r="O46" i="1"/>
  <c r="P41" i="1" s="1"/>
  <c r="G17" i="1"/>
  <c r="I35" i="1"/>
  <c r="H17" i="1"/>
  <c r="I17" i="1"/>
  <c r="J27" i="1" l="1"/>
  <c r="N21" i="1"/>
  <c r="M22" i="1"/>
  <c r="P14" i="1"/>
  <c r="O18" i="1"/>
  <c r="O17" i="1"/>
  <c r="O20" i="1"/>
  <c r="O21" i="1" s="1"/>
  <c r="O19" i="1"/>
  <c r="O32" i="1"/>
  <c r="P17" i="1" l="1"/>
  <c r="O25" i="1" s="1"/>
  <c r="P20" i="1"/>
  <c r="P21" i="1" s="1"/>
  <c r="P18" i="1"/>
  <c r="Q14" i="1"/>
  <c r="P19" i="1"/>
  <c r="O33" i="1"/>
  <c r="Q54" i="1"/>
  <c r="Q20" i="1" l="1"/>
  <c r="Q21" i="1" s="1"/>
  <c r="Q17" i="1"/>
  <c r="Q19" i="1"/>
  <c r="Q18" i="1"/>
  <c r="R14" i="1"/>
  <c r="R17" i="1" l="1"/>
  <c r="R18" i="1"/>
  <c r="R19" i="1"/>
  <c r="R20" i="1"/>
  <c r="R21" i="1" s="1"/>
</calcChain>
</file>

<file path=xl/sharedStrings.xml><?xml version="1.0" encoding="utf-8"?>
<sst xmlns="http://schemas.openxmlformats.org/spreadsheetml/2006/main" count="66" uniqueCount="51">
  <si>
    <t>Appels</t>
  </si>
  <si>
    <t>Appels
(+30% rappel)</t>
  </si>
  <si>
    <t>DMT
(appel + post-appel)</t>
  </si>
  <si>
    <t>Durée totale (min)</t>
  </si>
  <si>
    <t>Durée totale (h)</t>
  </si>
  <si>
    <t>Durée totale (Centième)</t>
  </si>
  <si>
    <t>Nb jrs à réaliser pour 2 etp (7,75h/j)</t>
  </si>
  <si>
    <t>Durée totale (jrs, h, min))</t>
  </si>
  <si>
    <t>Rappel : 24 heures = 1440 minutes</t>
  </si>
  <si>
    <t>Durée estimée opération</t>
  </si>
  <si>
    <t>Nombre de jours alloué à la prestation</t>
  </si>
  <si>
    <t>Nombre d'ETP estimé</t>
  </si>
  <si>
    <t>Temps travail journalier (7,50) - en min</t>
  </si>
  <si>
    <t>Tps_travail</t>
  </si>
  <si>
    <t>Nb-ETP</t>
  </si>
  <si>
    <t>Nb appels</t>
  </si>
  <si>
    <t>Nb appels (+30% rappel)</t>
  </si>
  <si>
    <t>Moyenne Nb appels</t>
  </si>
  <si>
    <t>Nb ETP à prévoir</t>
  </si>
  <si>
    <t>Temps travail journalier pour 1ETP (7,50) - en min</t>
  </si>
  <si>
    <t>NB ETP à prévoir</t>
  </si>
  <si>
    <t>NB ETP</t>
  </si>
  <si>
    <t>DUREE OPE</t>
  </si>
  <si>
    <t>NB APPEL MOYEN</t>
  </si>
  <si>
    <t>DMT</t>
  </si>
  <si>
    <t>NB JRS PREST</t>
  </si>
  <si>
    <t>Synthèse de scénarios</t>
  </si>
  <si>
    <t>Cellules variables :</t>
  </si>
  <si>
    <t>Valeurs actuelles :</t>
  </si>
  <si>
    <t>Cellules résultantes :</t>
  </si>
  <si>
    <t>La colonne Valeurs actuelles affiche les valeurs des cellules variables</t>
  </si>
  <si>
    <t>au moment de la création du rapport de synthèse. Les cellules variables</t>
  </si>
  <si>
    <t>de chaque scénario se situent dans les colonnes grisées.</t>
  </si>
  <si>
    <t>Créé par lola X le 11/11/2022
Modifié par: lola X le 11/11/2022</t>
  </si>
  <si>
    <t xml:space="preserve">1 heure </t>
  </si>
  <si>
    <t>24h</t>
  </si>
  <si>
    <t>1 ETP</t>
  </si>
  <si>
    <t>Nb moyen appels</t>
  </si>
  <si>
    <t>Nb jrs presta</t>
  </si>
  <si>
    <t>ETP à prévoir</t>
  </si>
  <si>
    <t>Durée opé</t>
  </si>
  <si>
    <t>ETP</t>
  </si>
  <si>
    <t>Duree</t>
  </si>
  <si>
    <t>DMT 10</t>
  </si>
  <si>
    <t>DMT 12</t>
  </si>
  <si>
    <t>Nb_jrs_presta</t>
  </si>
  <si>
    <t>Nb jrs alloué</t>
  </si>
  <si>
    <t>Nb ETP</t>
  </si>
  <si>
    <t>DUREE ESTIMEE OPERATION</t>
  </si>
  <si>
    <t>DUREE TOTALE ETP (min)</t>
  </si>
  <si>
    <t>DUREE TOTALE ETP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</si>
</sst>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&quot; min&quot;"/>
    <numFmt numFmtId="165" formatCode="0.0"/>
    <numFmt numFmtId="166" formatCode="#,##0.00&quot; appels/pers.&quot;"/>
    <numFmt numFmtId="167" formatCode="0&quot; jr(s)&quot;"/>
    <numFmt numFmtId="174" formatCode="[$-F400]h:mm:ss\ AM/PM"/>
  </numFmts>
  <fonts count="1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4F595F"/>
      <name val="Courier New"/>
      <family val="1"/>
    </font>
    <font>
      <b/>
      <sz val="12"/>
      <color theme="4"/>
      <name val="Calibri"/>
      <family val="2"/>
      <scheme val="minor"/>
    </font>
    <font>
      <sz val="12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indexed="18"/>
      <name val="Calibri"/>
      <family val="2"/>
      <scheme val="minor"/>
    </font>
    <font>
      <sz val="11"/>
      <color indexed="9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22"/>
        <bgColor indexed="7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2" fillId="0" borderId="0" xfId="0" applyFont="1"/>
    <xf numFmtId="46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6" fontId="0" fillId="0" borderId="0" xfId="0" applyNumberFormat="1"/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1" fillId="0" borderId="0" xfId="0" applyFont="1" applyAlignment="1">
      <alignment horizontal="center" vertical="center"/>
    </xf>
    <xf numFmtId="46" fontId="1" fillId="2" borderId="1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3" borderId="0" xfId="0" applyFill="1"/>
    <xf numFmtId="46" fontId="0" fillId="0" borderId="0" xfId="0" applyNumberFormat="1" applyAlignment="1">
      <alignment horizontal="right" vertical="center"/>
    </xf>
    <xf numFmtId="0" fontId="6" fillId="4" borderId="2" xfId="0" applyFont="1" applyFill="1" applyBorder="1" applyAlignment="1">
      <alignment horizontal="left"/>
    </xf>
    <xf numFmtId="0" fontId="6" fillId="4" borderId="3" xfId="0" applyFont="1" applyFill="1" applyBorder="1" applyAlignment="1">
      <alignment horizontal="left"/>
    </xf>
    <xf numFmtId="0" fontId="0" fillId="0" borderId="1" xfId="0" applyBorder="1"/>
    <xf numFmtId="0" fontId="7" fillId="5" borderId="0" xfId="0" applyFont="1" applyFill="1" applyAlignment="1">
      <alignment horizontal="left"/>
    </xf>
    <xf numFmtId="0" fontId="8" fillId="5" borderId="1" xfId="0" applyFont="1" applyFill="1" applyBorder="1" applyAlignment="1">
      <alignment horizontal="left"/>
    </xf>
    <xf numFmtId="0" fontId="7" fillId="5" borderId="4" xfId="0" applyFont="1" applyFill="1" applyBorder="1" applyAlignment="1">
      <alignment horizontal="left"/>
    </xf>
    <xf numFmtId="0" fontId="9" fillId="4" borderId="3" xfId="0" applyFont="1" applyFill="1" applyBorder="1" applyAlignment="1">
      <alignment horizontal="right"/>
    </xf>
    <xf numFmtId="0" fontId="9" fillId="4" borderId="2" xfId="0" applyFont="1" applyFill="1" applyBorder="1" applyAlignment="1">
      <alignment horizontal="right"/>
    </xf>
    <xf numFmtId="0" fontId="0" fillId="6" borderId="0" xfId="0" applyFill="1"/>
    <xf numFmtId="0" fontId="10" fillId="0" borderId="0" xfId="0" applyFont="1" applyAlignment="1">
      <alignment vertical="top" wrapText="1"/>
    </xf>
    <xf numFmtId="165" fontId="0" fillId="0" borderId="0" xfId="0" applyNumberFormat="1"/>
    <xf numFmtId="2" fontId="0" fillId="0" borderId="4" xfId="0" applyNumberFormat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164" fontId="12" fillId="0" borderId="6" xfId="0" applyNumberFormat="1" applyFont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14" fillId="0" borderId="6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164" fontId="16" fillId="2" borderId="1" xfId="0" applyNumberFormat="1" applyFont="1" applyFill="1" applyBorder="1" applyAlignment="1">
      <alignment horizontal="center" vertical="center"/>
    </xf>
    <xf numFmtId="46" fontId="16" fillId="2" borderId="1" xfId="0" applyNumberFormat="1" applyFont="1" applyFill="1" applyBorder="1" applyAlignment="1">
      <alignment horizontal="center" vertical="center"/>
    </xf>
    <xf numFmtId="2" fontId="16" fillId="2" borderId="1" xfId="0" applyNumberFormat="1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left" vertical="center"/>
    </xf>
    <xf numFmtId="166" fontId="0" fillId="0" borderId="0" xfId="0" applyNumberFormat="1" applyAlignment="1">
      <alignment horizontal="center" vertical="center"/>
    </xf>
    <xf numFmtId="167" fontId="1" fillId="2" borderId="1" xfId="0" applyNumberFormat="1" applyFont="1" applyFill="1" applyBorder="1" applyAlignment="1">
      <alignment horizontal="center" vertical="center" wrapText="1"/>
    </xf>
    <xf numFmtId="1" fontId="16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/>
    <xf numFmtId="164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6" xfId="0" applyFill="1" applyBorder="1"/>
    <xf numFmtId="46" fontId="0" fillId="0" borderId="6" xfId="0" applyNumberFormat="1" applyBorder="1" applyAlignment="1">
      <alignment horizontal="center" vertical="center"/>
    </xf>
    <xf numFmtId="174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686C7-9DBC-5B48-9733-66B1331F1256}">
  <sheetPr>
    <tabColor rgb="FFFFC000"/>
    <outlinePr summaryBelow="0"/>
  </sheetPr>
  <dimension ref="B1:G12"/>
  <sheetViews>
    <sheetView showGridLines="0" workbookViewId="0"/>
  </sheetViews>
  <sheetFormatPr baseColWidth="10" defaultRowHeight="16" outlineLevelRow="1" outlineLevelCol="1" x14ac:dyDescent="0.2"/>
  <cols>
    <col min="3" max="3" width="12.6640625" bestFit="1" customWidth="1"/>
    <col min="4" max="7" width="14.6640625" bestFit="1" customWidth="1" outlineLevel="1"/>
  </cols>
  <sheetData>
    <row r="1" spans="2:7" ht="17" thickBot="1" x14ac:dyDescent="0.25"/>
    <row r="2" spans="2:7" ht="19" x14ac:dyDescent="0.25">
      <c r="B2" s="21" t="s">
        <v>26</v>
      </c>
      <c r="C2" s="21"/>
      <c r="D2" s="26"/>
      <c r="E2" s="26"/>
      <c r="F2" s="26"/>
      <c r="G2" s="26"/>
    </row>
    <row r="3" spans="2:7" ht="19" collapsed="1" x14ac:dyDescent="0.25">
      <c r="B3" s="20"/>
      <c r="C3" s="20"/>
      <c r="D3" s="27" t="s">
        <v>28</v>
      </c>
      <c r="E3" s="27" t="s">
        <v>24</v>
      </c>
      <c r="F3" s="27" t="s">
        <v>43</v>
      </c>
      <c r="G3" s="27" t="s">
        <v>44</v>
      </c>
    </row>
    <row r="4" spans="2:7" ht="48" hidden="1" outlineLevel="1" x14ac:dyDescent="0.2">
      <c r="B4" s="23"/>
      <c r="C4" s="23"/>
      <c r="E4" s="29" t="s">
        <v>33</v>
      </c>
      <c r="F4" s="29" t="s">
        <v>33</v>
      </c>
      <c r="G4" s="29" t="s">
        <v>33</v>
      </c>
    </row>
    <row r="5" spans="2:7" x14ac:dyDescent="0.2">
      <c r="B5" s="24" t="s">
        <v>27</v>
      </c>
      <c r="C5" s="24"/>
      <c r="D5" s="22"/>
      <c r="E5" s="22"/>
      <c r="F5" s="22"/>
      <c r="G5" s="22"/>
    </row>
    <row r="6" spans="2:7" outlineLevel="1" x14ac:dyDescent="0.2">
      <c r="B6" s="23"/>
      <c r="C6" s="23" t="s">
        <v>42</v>
      </c>
      <c r="D6">
        <v>8</v>
      </c>
      <c r="E6" s="28">
        <v>9</v>
      </c>
      <c r="F6" s="28">
        <v>10</v>
      </c>
      <c r="G6" s="28">
        <v>12</v>
      </c>
    </row>
    <row r="7" spans="2:7" outlineLevel="1" x14ac:dyDescent="0.2">
      <c r="B7" s="23"/>
      <c r="C7" s="23" t="s">
        <v>45</v>
      </c>
      <c r="D7">
        <v>3</v>
      </c>
      <c r="E7" s="28">
        <v>4</v>
      </c>
      <c r="F7" s="28">
        <v>5</v>
      </c>
      <c r="G7" s="28">
        <v>6</v>
      </c>
    </row>
    <row r="8" spans="2:7" x14ac:dyDescent="0.2">
      <c r="B8" s="24" t="s">
        <v>29</v>
      </c>
      <c r="C8" s="24"/>
      <c r="D8" s="22"/>
      <c r="E8" s="22"/>
      <c r="F8" s="22"/>
      <c r="G8" s="22"/>
    </row>
    <row r="9" spans="2:7" ht="17" outlineLevel="1" thickBot="1" x14ac:dyDescent="0.25">
      <c r="B9" s="25"/>
      <c r="C9" s="25" t="s">
        <v>41</v>
      </c>
      <c r="D9" s="31">
        <v>2.35792592592593</v>
      </c>
      <c r="E9" s="31">
        <v>1.9895</v>
      </c>
      <c r="F9" s="31">
        <v>1.76844444444444</v>
      </c>
      <c r="G9" s="31">
        <v>1.76844444444444</v>
      </c>
    </row>
    <row r="10" spans="2:7" x14ac:dyDescent="0.2">
      <c r="B10" t="s">
        <v>30</v>
      </c>
    </row>
    <row r="11" spans="2:7" x14ac:dyDescent="0.2">
      <c r="B11" t="s">
        <v>31</v>
      </c>
    </row>
    <row r="12" spans="2:7" x14ac:dyDescent="0.2">
      <c r="B12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7C3CE-0A7C-3F4A-84AC-4EF066E798C2}">
  <sheetPr>
    <tabColor rgb="FF92D050"/>
  </sheetPr>
  <dimension ref="A1:S54"/>
  <sheetViews>
    <sheetView tabSelected="1" zoomScale="110" zoomScaleNormal="110" workbookViewId="0">
      <selection activeCell="I47" sqref="I47"/>
    </sheetView>
  </sheetViews>
  <sheetFormatPr baseColWidth="10" defaultRowHeight="16" x14ac:dyDescent="0.2"/>
  <cols>
    <col min="1" max="1" width="33.83203125" customWidth="1"/>
    <col min="3" max="3" width="20.5" customWidth="1"/>
    <col min="4" max="4" width="19.1640625" customWidth="1"/>
    <col min="5" max="5" width="19.5" customWidth="1"/>
    <col min="8" max="8" width="11.6640625" bestFit="1" customWidth="1"/>
    <col min="9" max="9" width="30.5" customWidth="1"/>
    <col min="10" max="10" width="45.33203125" customWidth="1"/>
    <col min="11" max="11" width="16.5" bestFit="1" customWidth="1"/>
    <col min="12" max="12" width="17.6640625" customWidth="1"/>
    <col min="13" max="18" width="17.5" bestFit="1" customWidth="1"/>
  </cols>
  <sheetData>
    <row r="1" spans="1:18" x14ac:dyDescent="0.2">
      <c r="A1" t="s">
        <v>15</v>
      </c>
      <c r="B1">
        <v>346</v>
      </c>
      <c r="L1" t="s">
        <v>37</v>
      </c>
      <c r="M1" s="17">
        <v>397.9</v>
      </c>
      <c r="N1" s="1">
        <f>$M$1/3</f>
        <v>132.63333333333333</v>
      </c>
      <c r="O1" s="1">
        <f t="shared" ref="O1:P1" si="0">$M$1/3</f>
        <v>132.63333333333333</v>
      </c>
      <c r="P1" s="1">
        <f t="shared" si="0"/>
        <v>132.63333333333333</v>
      </c>
      <c r="Q1" s="1">
        <f t="shared" ref="Q1:Q2" si="1">SUM(N1:P1)</f>
        <v>397.9</v>
      </c>
    </row>
    <row r="2" spans="1:18" x14ac:dyDescent="0.2">
      <c r="A2" t="s">
        <v>16</v>
      </c>
      <c r="B2" s="17">
        <f>B1+B1*30%</f>
        <v>449.8</v>
      </c>
      <c r="E2" t="s">
        <v>23</v>
      </c>
      <c r="F2">
        <v>398</v>
      </c>
      <c r="L2" t="s">
        <v>40</v>
      </c>
      <c r="M2">
        <f>M1*M6</f>
        <v>3979</v>
      </c>
      <c r="N2">
        <f>N1*N6</f>
        <v>1326.3333333333333</v>
      </c>
      <c r="O2">
        <f t="shared" ref="O2:P2" si="2">O1*O6</f>
        <v>1326.3333333333333</v>
      </c>
      <c r="P2">
        <f t="shared" si="2"/>
        <v>1326.3333333333333</v>
      </c>
      <c r="Q2" s="1">
        <f t="shared" si="1"/>
        <v>3979</v>
      </c>
    </row>
    <row r="3" spans="1:18" x14ac:dyDescent="0.2">
      <c r="A3" t="s">
        <v>17</v>
      </c>
      <c r="B3" s="17">
        <f>AVERAGE(B1:B2)</f>
        <v>397.9</v>
      </c>
      <c r="E3" t="s">
        <v>24</v>
      </c>
      <c r="F3">
        <v>2768</v>
      </c>
      <c r="G3">
        <v>3460</v>
      </c>
      <c r="H3">
        <v>4152</v>
      </c>
      <c r="L3" t="s">
        <v>34</v>
      </c>
      <c r="M3">
        <v>60</v>
      </c>
      <c r="N3">
        <v>60</v>
      </c>
      <c r="O3">
        <v>60</v>
      </c>
      <c r="P3">
        <v>60</v>
      </c>
    </row>
    <row r="4" spans="1:18" x14ac:dyDescent="0.2">
      <c r="A4" t="s">
        <v>9</v>
      </c>
      <c r="B4">
        <v>3051</v>
      </c>
      <c r="E4" t="s">
        <v>22</v>
      </c>
      <c r="F4" s="19">
        <f>F3/(24*60)</f>
        <v>1.9222222222222223</v>
      </c>
      <c r="L4" t="s">
        <v>35</v>
      </c>
      <c r="M4">
        <v>1400</v>
      </c>
      <c r="N4">
        <v>1400</v>
      </c>
      <c r="O4">
        <v>1400</v>
      </c>
      <c r="P4">
        <v>1400</v>
      </c>
    </row>
    <row r="5" spans="1:18" x14ac:dyDescent="0.2">
      <c r="A5" t="s">
        <v>11</v>
      </c>
      <c r="B5" s="18">
        <v>3</v>
      </c>
      <c r="E5" t="s">
        <v>25</v>
      </c>
      <c r="F5">
        <v>2</v>
      </c>
      <c r="G5">
        <v>3</v>
      </c>
      <c r="H5">
        <v>4</v>
      </c>
      <c r="I5">
        <v>5</v>
      </c>
      <c r="L5" t="s">
        <v>36</v>
      </c>
      <c r="M5">
        <v>420</v>
      </c>
      <c r="N5">
        <v>420</v>
      </c>
      <c r="O5">
        <v>420</v>
      </c>
      <c r="P5">
        <v>420</v>
      </c>
    </row>
    <row r="6" spans="1:18" x14ac:dyDescent="0.2">
      <c r="A6" t="s">
        <v>12</v>
      </c>
      <c r="B6" s="18">
        <f>IF($B$5=1,BD!$A$3,IF($B$5=2,BD!$A$4,IF($B$5=3,BD!$A$5,IF($B$5=4,BD!$A$6,IF($B$5=5,BD!$A$7,IF($B$5=6,BD!$A$8,""))))))</f>
        <v>1260</v>
      </c>
      <c r="E6" t="s">
        <v>21</v>
      </c>
      <c r="F6" s="30">
        <f>DMT/450</f>
        <v>6.1511111111111108</v>
      </c>
      <c r="L6" t="s">
        <v>24</v>
      </c>
      <c r="M6" s="18">
        <v>10</v>
      </c>
      <c r="N6" s="18">
        <v>10</v>
      </c>
      <c r="O6" s="18">
        <v>10</v>
      </c>
      <c r="P6" s="18">
        <v>10</v>
      </c>
    </row>
    <row r="7" spans="1:18" x14ac:dyDescent="0.2">
      <c r="A7" s="13" t="s">
        <v>8</v>
      </c>
      <c r="B7">
        <v>1440</v>
      </c>
      <c r="L7" t="s">
        <v>38</v>
      </c>
      <c r="M7" s="18">
        <v>3</v>
      </c>
      <c r="N7" s="18">
        <v>3</v>
      </c>
      <c r="O7" s="18">
        <v>3</v>
      </c>
      <c r="P7" s="18">
        <v>3</v>
      </c>
    </row>
    <row r="8" spans="1:18" x14ac:dyDescent="0.2">
      <c r="A8" t="s">
        <v>10</v>
      </c>
      <c r="L8" t="s">
        <v>39</v>
      </c>
      <c r="M8" s="1">
        <f>(M2/M5)/Nb_jrs_presta</f>
        <v>3.1579365079365078</v>
      </c>
      <c r="N8" s="1">
        <f>N2/N5</f>
        <v>3.1579365079365078</v>
      </c>
      <c r="O8" s="1">
        <f t="shared" ref="O8:P8" si="3">O2/O5</f>
        <v>3.1579365079365078</v>
      </c>
      <c r="P8" s="1">
        <f t="shared" si="3"/>
        <v>3.1579365079365078</v>
      </c>
      <c r="Q8" s="1">
        <f>SUM(N8:P8)</f>
        <v>9.473809523809523</v>
      </c>
    </row>
    <row r="9" spans="1:18" x14ac:dyDescent="0.2">
      <c r="A9" t="s">
        <v>19</v>
      </c>
      <c r="B9">
        <v>420</v>
      </c>
      <c r="J9">
        <f>7.5*60</f>
        <v>450</v>
      </c>
      <c r="N9" s="1">
        <f>N1/N7</f>
        <v>44.211111111111109</v>
      </c>
      <c r="O9" s="1">
        <f t="shared" ref="O9:P9" si="4">O1/O7</f>
        <v>44.211111111111109</v>
      </c>
      <c r="P9" s="1">
        <f t="shared" si="4"/>
        <v>44.211111111111109</v>
      </c>
      <c r="Q9" s="1">
        <f>SUM(N9:P9)</f>
        <v>132.63333333333333</v>
      </c>
    </row>
    <row r="10" spans="1:18" x14ac:dyDescent="0.2">
      <c r="A10" t="s">
        <v>18</v>
      </c>
      <c r="B10" s="1">
        <f>B4/B9</f>
        <v>7.2642857142857142</v>
      </c>
    </row>
    <row r="14" spans="1:18" x14ac:dyDescent="0.2">
      <c r="K14">
        <v>420</v>
      </c>
      <c r="L14">
        <f>$K$14+K14</f>
        <v>840</v>
      </c>
      <c r="M14">
        <f t="shared" ref="M14:R14" si="5">$K$14+L14</f>
        <v>1260</v>
      </c>
      <c r="N14">
        <f t="shared" si="5"/>
        <v>1680</v>
      </c>
      <c r="O14">
        <f t="shared" si="5"/>
        <v>2100</v>
      </c>
      <c r="P14">
        <f t="shared" si="5"/>
        <v>2520</v>
      </c>
      <c r="Q14">
        <f>$K$14+P14</f>
        <v>2940</v>
      </c>
      <c r="R14">
        <f t="shared" si="5"/>
        <v>3360</v>
      </c>
    </row>
    <row r="15" spans="1:18" ht="34" customHeight="1" x14ac:dyDescent="0.2">
      <c r="K15" s="53" t="s">
        <v>20</v>
      </c>
      <c r="L15" s="53"/>
      <c r="M15" s="53"/>
      <c r="N15" s="53"/>
      <c r="O15" s="53"/>
      <c r="P15" s="53"/>
      <c r="Q15" s="53"/>
      <c r="R15" s="53"/>
    </row>
    <row r="16" spans="1:18" s="2" customFormat="1" ht="31" customHeight="1" x14ac:dyDescent="0.2">
      <c r="C16" s="5" t="s">
        <v>0</v>
      </c>
      <c r="D16" s="5" t="s">
        <v>1</v>
      </c>
      <c r="E16" s="5" t="s">
        <v>2</v>
      </c>
      <c r="F16" s="5" t="s">
        <v>3</v>
      </c>
      <c r="G16" s="5" t="s">
        <v>4</v>
      </c>
      <c r="H16" s="5" t="s">
        <v>5</v>
      </c>
      <c r="I16" s="5" t="s">
        <v>7</v>
      </c>
      <c r="J16" s="11" t="str">
        <f>"Durée si Nb ETP - "&amp;B5</f>
        <v>Durée si Nb ETP - 3</v>
      </c>
      <c r="K16" s="51">
        <v>1</v>
      </c>
      <c r="L16" s="51">
        <v>2</v>
      </c>
      <c r="M16" s="51">
        <v>3</v>
      </c>
      <c r="N16" s="51">
        <v>4</v>
      </c>
      <c r="O16" s="51">
        <v>5</v>
      </c>
      <c r="P16" s="51">
        <v>6</v>
      </c>
      <c r="Q16" s="51">
        <v>7</v>
      </c>
      <c r="R16" s="51">
        <v>8</v>
      </c>
    </row>
    <row r="17" spans="3:19" s="3" customFormat="1" hidden="1" x14ac:dyDescent="0.2">
      <c r="C17" s="3">
        <v>346</v>
      </c>
      <c r="D17" s="4">
        <f>(C17*30%)+C17</f>
        <v>449.8</v>
      </c>
      <c r="E17" s="6">
        <v>5</v>
      </c>
      <c r="F17" s="6">
        <f>(C17*E17)</f>
        <v>1730</v>
      </c>
      <c r="G17" s="8">
        <f>F17/(24*60)</f>
        <v>1.2013888888888888</v>
      </c>
      <c r="H17" s="16">
        <f>F17/60</f>
        <v>28.833333333333332</v>
      </c>
      <c r="I17" s="9" t="str">
        <f>INT(ROUND(F17,0)/1440)&amp;" jours "&amp;INT(MOD(ROUND(F17,0),1440)/60)&amp;" heures "&amp;INT(MOD(ROUND(F17,0),60)/1)&amp;" minutes "</f>
        <v xml:space="preserve">1 jours 4 heures 50 minutes </v>
      </c>
      <c r="J17" s="12" t="str">
        <f>INT(F17/TPSJOURNALIER)&amp;" jour(s) " &amp; HOUR((F17-(INT(F17/TPSJOURNALIER)*TPSJOURNALIER))/1440) &amp; " heure(s) " &amp; MINUTE((F17-(INT(F17/TPSJOURNALIER)*TPSJOURNALIER))/1440) &amp; " minute(s)"</f>
        <v>1 jour(s) 7 heure(s) 50 minute(s)</v>
      </c>
      <c r="K17" s="16">
        <f>$F17/K$14</f>
        <v>4.1190476190476186</v>
      </c>
      <c r="L17" s="16">
        <f t="shared" ref="L17:R17" si="6">$F17/L$14</f>
        <v>2.0595238095238093</v>
      </c>
      <c r="M17" s="16">
        <f t="shared" si="6"/>
        <v>1.373015873015873</v>
      </c>
      <c r="N17" s="16">
        <f t="shared" si="6"/>
        <v>1.0297619047619047</v>
      </c>
      <c r="O17" s="16">
        <f t="shared" si="6"/>
        <v>0.82380952380952377</v>
      </c>
      <c r="P17" s="16">
        <f t="shared" si="6"/>
        <v>0.68650793650793651</v>
      </c>
      <c r="Q17" s="16">
        <f t="shared" si="6"/>
        <v>0.58843537414965985</v>
      </c>
      <c r="R17" s="16">
        <f t="shared" si="6"/>
        <v>0.51488095238095233</v>
      </c>
    </row>
    <row r="18" spans="3:19" hidden="1" x14ac:dyDescent="0.2">
      <c r="C18" s="3">
        <v>346</v>
      </c>
      <c r="D18" s="4">
        <f t="shared" ref="D18:D19" si="7">(C18*30%)+C18</f>
        <v>449.8</v>
      </c>
      <c r="E18" s="6">
        <v>8</v>
      </c>
      <c r="F18" s="6">
        <f>(C18*E18)</f>
        <v>2768</v>
      </c>
      <c r="G18" s="8">
        <f>F18/(24*60)</f>
        <v>1.9222222222222223</v>
      </c>
      <c r="H18" s="16">
        <f>F18/60</f>
        <v>46.133333333333333</v>
      </c>
      <c r="I18" s="9" t="str">
        <f>INT(ROUND(F18,0)/1440)&amp;" jours "&amp;INT(MOD(ROUND(F18,0),1440)/60)&amp;" heures "&amp;INT(MOD(ROUND(F18,0),60)/1)&amp;" minutes "</f>
        <v xml:space="preserve">1 jours 22 heures 8 minutes </v>
      </c>
      <c r="J18" s="12" t="str">
        <f>INT(F18/TPSJOURNALIER)&amp;" jour(s) " &amp; HOUR((F18-(INT(F18/TPSJOURNALIER)*TPSJOURNALIER))/1440) &amp; " heure(s) " &amp; MINUTE((F18-(INT(F18/TPSJOURNALIER)*TPSJOURNALIER))/1440) &amp; " minute(s)"</f>
        <v>2 jour(s) 4 heure(s) 8 minute(s)</v>
      </c>
      <c r="K18" s="16">
        <f t="shared" ref="K18:R20" si="8">$F18/K$14</f>
        <v>6.5904761904761902</v>
      </c>
      <c r="L18" s="16">
        <f t="shared" si="8"/>
        <v>3.2952380952380951</v>
      </c>
      <c r="M18" s="16">
        <f t="shared" si="8"/>
        <v>2.196825396825397</v>
      </c>
      <c r="N18" s="16">
        <f t="shared" si="8"/>
        <v>1.6476190476190475</v>
      </c>
      <c r="O18" s="16">
        <f t="shared" si="8"/>
        <v>1.318095238095238</v>
      </c>
      <c r="P18" s="16">
        <f t="shared" si="8"/>
        <v>1.0984126984126985</v>
      </c>
      <c r="Q18" s="16">
        <f t="shared" si="8"/>
        <v>0.94149659863945578</v>
      </c>
      <c r="R18" s="16">
        <f t="shared" si="8"/>
        <v>0.82380952380952377</v>
      </c>
    </row>
    <row r="19" spans="3:19" hidden="1" x14ac:dyDescent="0.2">
      <c r="C19" s="3">
        <v>346</v>
      </c>
      <c r="D19" s="4">
        <f t="shared" si="7"/>
        <v>449.8</v>
      </c>
      <c r="E19" s="6">
        <v>10</v>
      </c>
      <c r="F19" s="6">
        <f>(C19*E19)</f>
        <v>3460</v>
      </c>
      <c r="G19" s="8">
        <f>F19/(24*60)</f>
        <v>2.4027777777777777</v>
      </c>
      <c r="H19" s="16">
        <f>F19/60</f>
        <v>57.666666666666664</v>
      </c>
      <c r="I19" s="9" t="str">
        <f>INT(ROUND(F19,0)/1440)&amp;" jours "&amp;INT(MOD(ROUND(F19,0),1440)/60)&amp;" heures "&amp;INT(MOD(ROUND(F19,0),60)/1)&amp;" minutes "</f>
        <v xml:space="preserve">2 jours 9 heures 40 minutes </v>
      </c>
      <c r="J19" s="12" t="str">
        <f>INT(F19/TPSJOURNALIER)&amp;" jour(s) " &amp; HOUR((F19-(INT(F19/TPSJOURNALIER)*TPSJOURNALIER))/1440) &amp; " heure(s) " &amp; MINUTE((F19-(INT(F19/TPSJOURNALIER)*TPSJOURNALIER))/1440) &amp; " minute(s)"</f>
        <v>2 jour(s) 15 heure(s) 40 minute(s)</v>
      </c>
      <c r="K19" s="16">
        <f t="shared" si="8"/>
        <v>8.2380952380952372</v>
      </c>
      <c r="L19" s="16">
        <f t="shared" si="8"/>
        <v>4.1190476190476186</v>
      </c>
      <c r="M19" s="16">
        <f t="shared" si="8"/>
        <v>2.746031746031746</v>
      </c>
      <c r="N19" s="16">
        <f t="shared" si="8"/>
        <v>2.0595238095238093</v>
      </c>
      <c r="O19" s="16">
        <f t="shared" si="8"/>
        <v>1.6476190476190475</v>
      </c>
      <c r="P19" s="16">
        <f t="shared" si="8"/>
        <v>1.373015873015873</v>
      </c>
      <c r="Q19" s="16">
        <f t="shared" si="8"/>
        <v>1.1768707482993197</v>
      </c>
      <c r="R19" s="16">
        <f t="shared" si="8"/>
        <v>1.0297619047619047</v>
      </c>
    </row>
    <row r="20" spans="3:19" s="14" customFormat="1" x14ac:dyDescent="0.2">
      <c r="C20" s="52">
        <f>AVERAGE(C17:D19)</f>
        <v>397.90000000000003</v>
      </c>
      <c r="D20" s="52"/>
      <c r="E20" s="46">
        <f>AVERAGE(E17:E19)</f>
        <v>7.666666666666667</v>
      </c>
      <c r="F20" s="46">
        <f>(C20*E20)</f>
        <v>3050.5666666666671</v>
      </c>
      <c r="G20" s="47">
        <f>F20/(24*60)</f>
        <v>2.1184490740740745</v>
      </c>
      <c r="H20" s="48">
        <f>F20/60</f>
        <v>50.842777777777783</v>
      </c>
      <c r="I20" s="49" t="str">
        <f>INT(ROUND(F20,0)/1440)&amp;" jours "&amp;INT(MOD(ROUND(F20,0),1440)/60)&amp;" heures "&amp;INT(MOD(ROUND(F20,0),60)/1)&amp;" minutes "</f>
        <v xml:space="preserve">2 jours 2 heures 51 minutes </v>
      </c>
      <c r="J20" s="49" t="str">
        <f>INT(F20/TPSJOURNALIER)&amp;" jour(s) " &amp; HOUR((F20-(INT(F20/TPSJOURNALIER)*TPSJOURNALIER))/1440) &amp; " heure(s) " &amp; MINUTE((F20-(INT(F20/TPSJOURNALIER)*TPSJOURNALIER))/1440) &amp; " minute(s)"</f>
        <v>2 jour(s) 8 heure(s) 50 minute(s)</v>
      </c>
      <c r="K20" s="48">
        <f t="shared" si="8"/>
        <v>7.2632539682539692</v>
      </c>
      <c r="L20" s="48">
        <f t="shared" si="8"/>
        <v>3.6316269841269846</v>
      </c>
      <c r="M20" s="48">
        <f t="shared" si="8"/>
        <v>2.4210846560846564</v>
      </c>
      <c r="N20" s="48">
        <f t="shared" si="8"/>
        <v>1.8158134920634923</v>
      </c>
      <c r="O20" s="48">
        <f t="shared" si="8"/>
        <v>1.4526507936507937</v>
      </c>
      <c r="P20" s="48">
        <f t="shared" si="8"/>
        <v>1.2105423280423282</v>
      </c>
      <c r="Q20" s="48">
        <f t="shared" si="8"/>
        <v>1.0376077097505669</v>
      </c>
      <c r="R20" s="48">
        <f t="shared" si="8"/>
        <v>0.90790674603174615</v>
      </c>
    </row>
    <row r="21" spans="3:19" x14ac:dyDescent="0.2">
      <c r="K21" s="50">
        <f>($C$20/K$20)/K$16</f>
        <v>54.782608695652172</v>
      </c>
      <c r="L21" s="50">
        <f t="shared" ref="L21:R21" si="9">($C$20/L$20)/L$16</f>
        <v>54.782608695652172</v>
      </c>
      <c r="M21" s="50">
        <f t="shared" si="9"/>
        <v>54.782608695652165</v>
      </c>
      <c r="N21" s="50">
        <f t="shared" si="9"/>
        <v>54.782608695652172</v>
      </c>
      <c r="O21" s="50">
        <f t="shared" si="9"/>
        <v>54.782608695652172</v>
      </c>
      <c r="P21" s="50">
        <f t="shared" si="9"/>
        <v>54.782608695652165</v>
      </c>
      <c r="Q21" s="50">
        <f t="shared" si="9"/>
        <v>54.782608695652179</v>
      </c>
      <c r="R21" s="50">
        <f t="shared" si="9"/>
        <v>54.782608695652172</v>
      </c>
    </row>
    <row r="22" spans="3:19" x14ac:dyDescent="0.2">
      <c r="K22" s="16">
        <f>6.15111*450</f>
        <v>2767.9994999999999</v>
      </c>
      <c r="M22">
        <f>K20*4</f>
        <v>29.053015873015877</v>
      </c>
    </row>
    <row r="23" spans="3:19" x14ac:dyDescent="0.2">
      <c r="D23">
        <f>(398/3)*10</f>
        <v>1326.6666666666665</v>
      </c>
      <c r="E23" s="15">
        <f>D23/(24*60)*3</f>
        <v>2.7638888888888884</v>
      </c>
    </row>
    <row r="24" spans="3:19" x14ac:dyDescent="0.2">
      <c r="K24">
        <f>14*9.47</f>
        <v>132.58000000000001</v>
      </c>
    </row>
    <row r="25" spans="3:19" x14ac:dyDescent="0.2">
      <c r="O25">
        <f>(P17*6)*420*8</f>
        <v>13839.999999999998</v>
      </c>
      <c r="P25">
        <f>(1.1*420)*8</f>
        <v>3696.0000000000005</v>
      </c>
    </row>
    <row r="27" spans="3:19" x14ac:dyDescent="0.2">
      <c r="J27">
        <f>(F20/N20)/4</f>
        <v>420</v>
      </c>
    </row>
    <row r="28" spans="3:19" x14ac:dyDescent="0.2">
      <c r="J28">
        <f>(2.21*450)*4</f>
        <v>3978</v>
      </c>
    </row>
    <row r="29" spans="3:19" x14ac:dyDescent="0.2">
      <c r="L29">
        <f>7.75*60</f>
        <v>465</v>
      </c>
    </row>
    <row r="30" spans="3:19" x14ac:dyDescent="0.2">
      <c r="C30">
        <f>24*60</f>
        <v>1440</v>
      </c>
      <c r="L30">
        <f>7.5*60</f>
        <v>450</v>
      </c>
    </row>
    <row r="31" spans="3:19" x14ac:dyDescent="0.2">
      <c r="L31">
        <f>7*60</f>
        <v>420</v>
      </c>
      <c r="S31" s="10">
        <v>2.4027777777777777</v>
      </c>
    </row>
    <row r="32" spans="3:19" x14ac:dyDescent="0.2">
      <c r="O32">
        <f>H17/H19</f>
        <v>0.5</v>
      </c>
      <c r="S32" s="10">
        <v>2</v>
      </c>
    </row>
    <row r="33" spans="3:19" x14ac:dyDescent="0.2">
      <c r="I33">
        <f>24*60</f>
        <v>1440</v>
      </c>
      <c r="J33">
        <v>2</v>
      </c>
      <c r="K33">
        <f>I33*J33</f>
        <v>2880</v>
      </c>
      <c r="O33">
        <f>C17/O32</f>
        <v>692</v>
      </c>
      <c r="S33" s="10">
        <f>S31-S32</f>
        <v>0.40277777777777768</v>
      </c>
    </row>
    <row r="34" spans="3:19" x14ac:dyDescent="0.2">
      <c r="S34">
        <v>24</v>
      </c>
    </row>
    <row r="35" spans="3:19" ht="19" x14ac:dyDescent="0.25">
      <c r="C35">
        <v>7</v>
      </c>
      <c r="D35">
        <v>60</v>
      </c>
      <c r="E35">
        <f>C35*D35</f>
        <v>420</v>
      </c>
      <c r="I35" s="7" t="str">
        <f>INT(F17/1440)&amp;" jour "&amp;INT(MOD(F17,1440)/3600)&amp;" heure(s) "&amp;INT(MOD(F17,3600)/60)&amp;" minutes "&amp;MOD(F17,60)&amp;" seconde(s)"</f>
        <v>1 jour 0 heure(s) 28 minutes 50 seconde(s)</v>
      </c>
      <c r="S35">
        <v>24</v>
      </c>
    </row>
    <row r="36" spans="3:19" x14ac:dyDescent="0.2">
      <c r="C36">
        <v>7.75</v>
      </c>
      <c r="D36">
        <v>60</v>
      </c>
      <c r="E36">
        <f>C36*D36</f>
        <v>465</v>
      </c>
      <c r="F36">
        <v>2</v>
      </c>
      <c r="G36">
        <f>E36*F36</f>
        <v>930</v>
      </c>
      <c r="P36">
        <f>2768/4</f>
        <v>692</v>
      </c>
    </row>
    <row r="37" spans="3:19" x14ac:dyDescent="0.2">
      <c r="E37">
        <v>465</v>
      </c>
      <c r="F37">
        <v>3</v>
      </c>
      <c r="G37">
        <f t="shared" ref="G37:G38" si="10">E37*F37</f>
        <v>1395</v>
      </c>
    </row>
    <row r="38" spans="3:19" x14ac:dyDescent="0.2">
      <c r="E38">
        <v>465</v>
      </c>
      <c r="F38">
        <v>4</v>
      </c>
      <c r="G38">
        <f t="shared" si="10"/>
        <v>1860</v>
      </c>
    </row>
    <row r="40" spans="3:19" x14ac:dyDescent="0.2">
      <c r="R40">
        <f>24*60</f>
        <v>1440</v>
      </c>
    </row>
    <row r="41" spans="3:19" ht="51" x14ac:dyDescent="0.2">
      <c r="C41" s="5" t="s">
        <v>0</v>
      </c>
      <c r="D41" s="5" t="s">
        <v>1</v>
      </c>
      <c r="E41" s="5" t="s">
        <v>2</v>
      </c>
      <c r="F41" s="5" t="s">
        <v>3</v>
      </c>
      <c r="G41" s="5" t="s">
        <v>4</v>
      </c>
      <c r="H41" s="5" t="s">
        <v>5</v>
      </c>
      <c r="I41" s="5"/>
      <c r="J41" s="5" t="s">
        <v>6</v>
      </c>
      <c r="O41">
        <f>465*2</f>
        <v>930</v>
      </c>
      <c r="P41">
        <f>O41*O46</f>
        <v>2767.9999999999995</v>
      </c>
    </row>
    <row r="42" spans="3:19" x14ac:dyDescent="0.2">
      <c r="C42" s="3">
        <v>346</v>
      </c>
      <c r="D42" s="4">
        <f>(C42*30%)+C42</f>
        <v>449.8</v>
      </c>
      <c r="E42" s="6">
        <v>8</v>
      </c>
      <c r="F42" s="6">
        <f>(C42*E42)</f>
        <v>2768</v>
      </c>
      <c r="G42" s="8">
        <f>F42/(24*60)</f>
        <v>1.9222222222222223</v>
      </c>
      <c r="H42" s="1">
        <f>F42/60</f>
        <v>46.133333333333333</v>
      </c>
      <c r="I42" s="9" t="str">
        <f>INT(ROUND(F42,0)/1440)&amp;" jours "&amp;INT(MOD(ROUND(F42,0),1440)/60)&amp;" heures "&amp;INT(MOD(ROUND(F42,0),60)/1)&amp;" minutes "</f>
        <v xml:space="preserve">1 jours 22 heures 8 minutes </v>
      </c>
      <c r="J42" s="9" t="str">
        <f>INT(F42/930)&amp;" jour(s) " &amp; HOUR((F42-(INT(F42/930)*930))/1440) &amp; " heure(s) " &amp; MINUTE((F42-(INT(F42/930)*930))/1440) &amp; " minute(s)"</f>
        <v>2 jour(s) 15 heure(s) 8 minute(s)</v>
      </c>
    </row>
    <row r="43" spans="3:19" x14ac:dyDescent="0.2">
      <c r="E43">
        <v>8</v>
      </c>
      <c r="F43">
        <v>1440</v>
      </c>
      <c r="G43" s="8">
        <f>F43/(24*60)</f>
        <v>1</v>
      </c>
      <c r="H43" s="1">
        <f>F43/60</f>
        <v>24</v>
      </c>
      <c r="I43" s="9" t="str">
        <f>INT(ROUND(F43,0)/1440)&amp;" jours "&amp;INT(MOD(ROUND(F43,0),1440)/60)&amp;" heures "&amp;INT(MOD(ROUND(F43,0),60)/1)&amp;" minutes "</f>
        <v xml:space="preserve">1 jours 0 heures 0 minutes </v>
      </c>
      <c r="J43" s="9" t="str">
        <f>INT(F43/465)&amp;" jour(s) " &amp; HOUR((F43-(INT(F43/465)*465))/1440) &amp; " heure(s) " &amp; MINUTE((F43-(INT(F43/465)*465))/1440) &amp; " minute(s)"</f>
        <v>3 jour(s) 0 heure(s) 45 minute(s)</v>
      </c>
    </row>
    <row r="44" spans="3:19" x14ac:dyDescent="0.2">
      <c r="E44">
        <v>8</v>
      </c>
      <c r="F44">
        <v>465</v>
      </c>
      <c r="G44" s="8">
        <f>F44/(24*60)</f>
        <v>0.32291666666666669</v>
      </c>
      <c r="H44" s="1">
        <f>F44/60</f>
        <v>7.75</v>
      </c>
      <c r="I44" s="9" t="str">
        <f>INT(ROUND(F44,0)/1440)&amp;" jours "&amp;INT(MOD(ROUND(F44,0),1440)/60)&amp;" heures "&amp;INT(MOD(ROUND(F44,0),60)/1)&amp;" minutes "</f>
        <v xml:space="preserve">0 jours 7 heures 45 minutes </v>
      </c>
      <c r="J44" s="9" t="str">
        <f>INT(F44/465)&amp;" jour(s) " &amp; HOUR((F44-(INT(F44/465)*465))/1440) &amp; " heure(s) " &amp; MINUTE((F44-(INT(F44/465)*465))/1440) &amp; " minute(s)"</f>
        <v>1 jour(s) 0 heure(s) 0 minute(s)</v>
      </c>
    </row>
    <row r="46" spans="3:19" x14ac:dyDescent="0.2">
      <c r="H46">
        <v>15.5</v>
      </c>
      <c r="O46">
        <f>H42/H46</f>
        <v>2.9763440860215051</v>
      </c>
    </row>
    <row r="47" spans="3:19" x14ac:dyDescent="0.2">
      <c r="O47">
        <f>3*465</f>
        <v>1395</v>
      </c>
    </row>
    <row r="50" spans="11:18" x14ac:dyDescent="0.2">
      <c r="K50">
        <f>F42/F44/3</f>
        <v>1.9842293906810038</v>
      </c>
    </row>
    <row r="51" spans="11:18" x14ac:dyDescent="0.2">
      <c r="R51" s="1">
        <f>H42-R52</f>
        <v>7.3833333333333329</v>
      </c>
    </row>
    <row r="52" spans="11:18" x14ac:dyDescent="0.2">
      <c r="R52">
        <f>7.75*5</f>
        <v>38.75</v>
      </c>
    </row>
    <row r="54" spans="11:18" x14ac:dyDescent="0.2">
      <c r="P54">
        <v>46.13</v>
      </c>
      <c r="Q54">
        <f>465*O32</f>
        <v>232.5</v>
      </c>
    </row>
  </sheetData>
  <scenarios current="2" sqref="M8">
    <scenario name="DMT" locked="1" count="2" user="lola X" comment="Créé par lola X le 11/11/2022_x000a_Modifié par: lola X le 11/11/2022">
      <inputCells r="M6" val="9"/>
      <inputCells r="M7" val="4"/>
    </scenario>
    <scenario name="DMT 10" locked="1" count="2" user="lola X" comment="Créé par lola X le 11/11/2022_x000a_Modifié par: lola X le 11/11/2022">
      <inputCells r="M6" val="10"/>
      <inputCells r="M7" val="5"/>
    </scenario>
    <scenario name="DMT 12" locked="1" count="2" user="lola X" comment="Créé par lola X le 11/11/2022_x000a_Modifié par: lola X le 11/11/2022">
      <inputCells r="M6" val="12"/>
      <inputCells r="M7" val="6"/>
    </scenario>
  </scenarios>
  <mergeCells count="2">
    <mergeCell ref="C20:D20"/>
    <mergeCell ref="K15:R15"/>
  </mergeCells>
  <phoneticPr fontId="15" type="noConversion"/>
  <dataValidations count="1">
    <dataValidation type="list" allowBlank="1" showInputMessage="1" showErrorMessage="1" sqref="B5" xr:uid="{9A84CD96-006F-AC45-BA16-6940ED15083B}">
      <formula1>"0,1,2,3,4,5,6"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F77D6-9885-D844-B7B4-06FEACC55A97}">
  <sheetPr>
    <tabColor theme="8" tint="-0.249977111117893"/>
  </sheetPr>
  <dimension ref="B12:L36"/>
  <sheetViews>
    <sheetView topLeftCell="A2" workbookViewId="0">
      <selection activeCell="C13" sqref="C13"/>
    </sheetView>
  </sheetViews>
  <sheetFormatPr baseColWidth="10" defaultRowHeight="16" x14ac:dyDescent="0.2"/>
  <cols>
    <col min="2" max="2" width="28" customWidth="1"/>
    <col min="3" max="3" width="22.5" bestFit="1" customWidth="1"/>
    <col min="4" max="4" width="20.1640625" bestFit="1" customWidth="1"/>
    <col min="5" max="5" width="22.1640625" customWidth="1"/>
    <col min="6" max="6" width="25.6640625" bestFit="1" customWidth="1"/>
    <col min="7" max="7" width="29.33203125" bestFit="1" customWidth="1"/>
    <col min="8" max="8" width="51.5" customWidth="1"/>
  </cols>
  <sheetData>
    <row r="12" spans="2:10" x14ac:dyDescent="0.2">
      <c r="C12">
        <v>450</v>
      </c>
    </row>
    <row r="13" spans="2:10" x14ac:dyDescent="0.2">
      <c r="B13" s="62" t="s">
        <v>48</v>
      </c>
      <c r="C13" s="60">
        <v>3979</v>
      </c>
      <c r="D13" s="63">
        <f>C13/(24*60)</f>
        <v>2.7631944444444443</v>
      </c>
      <c r="E13" s="59">
        <f>C13/60</f>
        <v>66.316666666666663</v>
      </c>
      <c r="F13" s="45" t="str">
        <f>INT(ROUND(C13,0)/1440)&amp;" jours "&amp;INT(MOD(ROUND(C13,0),1440)/60)&amp;" heures "&amp;INT(MOD(ROUND(C13,0),60)/1)&amp;" minutes "</f>
        <v xml:space="preserve">2 jours 18 heures 19 minutes </v>
      </c>
      <c r="G13" s="45" t="str">
        <f>INT(C13/TPSJOURNALIER)&amp;" jour(s) " &amp; HOUR((C13-(INT(C13/TPSJOURNALIER)*TPSJOURNALIER))/1440) &amp; " heure(s) " &amp; MINUTE((C13-(INT(C13/TPSJOURNALIER)*TPSJOURNALIER))/1440) &amp; " minute(s)"</f>
        <v>3 jour(s) 3 heure(s) 19 minute(s)</v>
      </c>
    </row>
    <row r="14" spans="2:10" x14ac:dyDescent="0.2">
      <c r="E14" s="3"/>
    </row>
    <row r="15" spans="2:10" x14ac:dyDescent="0.2">
      <c r="B15" s="61" t="s">
        <v>41</v>
      </c>
      <c r="C15" s="61" t="s">
        <v>49</v>
      </c>
      <c r="D15" s="61" t="s">
        <v>50</v>
      </c>
      <c r="E15" s="61" t="s">
        <v>21</v>
      </c>
    </row>
    <row r="16" spans="2:10" x14ac:dyDescent="0.2">
      <c r="B16" s="45">
        <v>1</v>
      </c>
      <c r="C16" s="58">
        <f>C12</f>
        <v>450</v>
      </c>
      <c r="D16" s="64">
        <f t="shared" ref="D16:D25" si="0">C16/(24*60)</f>
        <v>0.3125</v>
      </c>
      <c r="E16" s="59">
        <f>$C$13/$C16</f>
        <v>8.8422222222222224</v>
      </c>
      <c r="F16" s="59">
        <f>(E16*C16)/60</f>
        <v>66.316666666666663</v>
      </c>
      <c r="G16" s="57" t="str">
        <f>INT(ROUND(C16,0)/1440)&amp;" jours "&amp;INT(MOD(ROUND(C16,0),1440)/60)&amp;" heures "&amp;INT(MOD(ROUND(C16,0),60)/1)&amp;" minutes "</f>
        <v xml:space="preserve">0 jours 7 heures 30 minutes </v>
      </c>
      <c r="H16" t="str">
        <f>INT(C16/TPSJOURNALIER)&amp;" jour(s) " &amp; HOUR((C16-(INT(C16/TPSJOURNALIER)*TPSJOURNALIER))/1440) &amp; " heure(s) " &amp; MINUTE((C16-(INT(C16/TPSJOURNALIER)*TPSJOURNALIER))/1440) &amp; " minute(s)"</f>
        <v>0 jour(s) 7 heure(s) 30 minute(s)</v>
      </c>
      <c r="I16" s="57" t="e">
        <f>H16-G16</f>
        <v>#VALUE!</v>
      </c>
      <c r="J16" s="57">
        <f>$C$13-C16</f>
        <v>3529</v>
      </c>
    </row>
    <row r="17" spans="2:12" x14ac:dyDescent="0.2">
      <c r="B17" s="45">
        <v>2</v>
      </c>
      <c r="C17" s="58">
        <f>$C$16+C16</f>
        <v>900</v>
      </c>
      <c r="D17" s="64">
        <f t="shared" si="0"/>
        <v>0.625</v>
      </c>
      <c r="E17" s="59">
        <f>$C$13/$C17</f>
        <v>4.4211111111111112</v>
      </c>
      <c r="F17" s="59">
        <f t="shared" ref="F17:F25" si="1">(E17*C17)/60</f>
        <v>66.316666666666663</v>
      </c>
      <c r="G17" s="57" t="str">
        <f t="shared" ref="G17:G25" si="2">INT(ROUND(C17,0)/1440)&amp;" jours "&amp;INT(MOD(ROUND(C17,0),1440)/60)&amp;" heures "&amp;INT(MOD(ROUND(C17,0),60)/1)&amp;" minutes "</f>
        <v xml:space="preserve">0 jours 15 heures 0 minutes </v>
      </c>
      <c r="H17" t="str">
        <f>INT(C17/TPSJOURNALIER)&amp;" jour(s) " &amp; HOUR((C17-(INT(C17/TPSJOURNALIER)*TPSJOURNALIER))/1440) &amp; " heure(s) " &amp; MINUTE((C17-(INT(C17/TPSJOURNALIER)*TPSJOURNALIER))/1440) &amp; " minute(s)"</f>
        <v>0 jour(s) 15 heure(s) 0 minute(s)</v>
      </c>
      <c r="I17" s="57" t="e">
        <f t="shared" ref="I17:I19" si="3">H17-G17</f>
        <v>#VALUE!</v>
      </c>
      <c r="J17" s="57">
        <f t="shared" ref="J17:J25" si="4">$C$13-C17</f>
        <v>3079</v>
      </c>
    </row>
    <row r="18" spans="2:12" x14ac:dyDescent="0.2">
      <c r="B18" s="45">
        <v>3</v>
      </c>
      <c r="C18" s="58">
        <f>$C$16+C17</f>
        <v>1350</v>
      </c>
      <c r="D18" s="63">
        <f t="shared" si="0"/>
        <v>0.9375</v>
      </c>
      <c r="E18" s="59">
        <f>$C$13/$C18</f>
        <v>2.9474074074074075</v>
      </c>
      <c r="F18" s="59">
        <f t="shared" si="1"/>
        <v>66.316666666666663</v>
      </c>
      <c r="G18" s="57" t="str">
        <f t="shared" si="2"/>
        <v xml:space="preserve">0 jours 22 heures 30 minutes </v>
      </c>
      <c r="H18" t="str">
        <f>INT(C18/TPSJOURNALIER)&amp;" jour(s) " &amp; HOUR((C18-(INT(C18/TPSJOURNALIER)*TPSJOURNALIER))/1440) &amp; " heure(s) " &amp; MINUTE((C18-(INT(C18/TPSJOURNALIER)*TPSJOURNALIER))/1440) &amp; " minute(s)"</f>
        <v>1 jour(s) 1 heure(s) 30 minute(s)</v>
      </c>
      <c r="I18" s="57" t="e">
        <f t="shared" si="3"/>
        <v>#VALUE!</v>
      </c>
      <c r="J18" s="57">
        <f t="shared" si="4"/>
        <v>2629</v>
      </c>
    </row>
    <row r="19" spans="2:12" x14ac:dyDescent="0.2">
      <c r="B19" s="45">
        <v>4</v>
      </c>
      <c r="C19" s="58">
        <f>$C$16+C18</f>
        <v>1800</v>
      </c>
      <c r="D19" s="63">
        <f t="shared" si="0"/>
        <v>1.25</v>
      </c>
      <c r="E19" s="59">
        <f>$C$13/$C19</f>
        <v>2.2105555555555556</v>
      </c>
      <c r="F19" s="59">
        <f t="shared" si="1"/>
        <v>66.316666666666663</v>
      </c>
      <c r="G19" s="57" t="str">
        <f t="shared" si="2"/>
        <v xml:space="preserve">1 jours 6 heures 0 minutes </v>
      </c>
      <c r="H19" t="str">
        <f>INT(C19/TPSJOURNALIER)&amp;" jour(s) " &amp; HOUR((C19-(INT(C19/TPSJOURNALIER)*TPSJOURNALIER))/1440) &amp; " heure(s) " &amp; MINUTE((C19-(INT(C19/TPSJOURNALIER)*TPSJOURNALIER))/1440) &amp; " minute(s)"</f>
        <v>1 jour(s) 9 heure(s) 0 minute(s)</v>
      </c>
      <c r="I19" s="57" t="e">
        <f t="shared" si="3"/>
        <v>#VALUE!</v>
      </c>
      <c r="J19" s="57">
        <f t="shared" si="4"/>
        <v>2179</v>
      </c>
    </row>
    <row r="20" spans="2:12" x14ac:dyDescent="0.2">
      <c r="B20" s="45">
        <v>5</v>
      </c>
      <c r="C20" s="58">
        <f>$C$16+C19</f>
        <v>2250</v>
      </c>
      <c r="D20" s="63">
        <f t="shared" si="0"/>
        <v>1.5625</v>
      </c>
      <c r="E20" s="59">
        <f>$C$13/$C20</f>
        <v>1.7684444444444445</v>
      </c>
      <c r="F20" s="59">
        <f t="shared" si="1"/>
        <v>66.316666666666663</v>
      </c>
      <c r="G20" s="57" t="str">
        <f t="shared" si="2"/>
        <v xml:space="preserve">1 jours 13 heures 30 minutes </v>
      </c>
      <c r="H20" t="str">
        <f>INT(C20/TPSJOURNALIER)&amp;" jour(s) " &amp; HOUR((C20-(INT(C20/TPSJOURNALIER)*TPSJOURNALIER))/1440) &amp; " heure(s) " &amp; MINUTE((C20-(INT(C20/TPSJOURNALIER)*TPSJOURNALIER))/1440) &amp; " minute(s)"</f>
        <v>1 jour(s) 16 heure(s) 30 minute(s)</v>
      </c>
      <c r="J20" s="57">
        <f t="shared" si="4"/>
        <v>1729</v>
      </c>
    </row>
    <row r="21" spans="2:12" x14ac:dyDescent="0.2">
      <c r="B21" s="45">
        <v>6</v>
      </c>
      <c r="C21" s="58">
        <f>$C$16+C20</f>
        <v>2700</v>
      </c>
      <c r="D21" s="63">
        <f t="shared" si="0"/>
        <v>1.875</v>
      </c>
      <c r="E21" s="59">
        <f>$C$13/$C21</f>
        <v>1.4737037037037037</v>
      </c>
      <c r="F21" s="59">
        <f t="shared" si="1"/>
        <v>66.316666666666663</v>
      </c>
      <c r="G21" s="57" t="str">
        <f t="shared" si="2"/>
        <v xml:space="preserve">1 jours 21 heures 0 minutes </v>
      </c>
      <c r="H21" t="str">
        <f>INT(C21/TPSJOURNALIER)&amp;" jour(s) " &amp; HOUR((C21-(INT(C21/TPSJOURNALIER)*TPSJOURNALIER))/1440) &amp; " heure(s) " &amp; MINUTE((C21-(INT(C21/TPSJOURNALIER)*TPSJOURNALIER))/1440) &amp; " minute(s)"</f>
        <v>2 jour(s) 3 heure(s) 0 minute(s)</v>
      </c>
      <c r="I21">
        <f>E21*420*6</f>
        <v>3713.7333333333331</v>
      </c>
      <c r="J21" s="57">
        <f t="shared" si="4"/>
        <v>1279</v>
      </c>
    </row>
    <row r="22" spans="2:12" x14ac:dyDescent="0.2">
      <c r="B22" s="45">
        <v>7</v>
      </c>
      <c r="C22" s="58">
        <f>$C$16+C21</f>
        <v>3150</v>
      </c>
      <c r="D22" s="63">
        <f t="shared" si="0"/>
        <v>2.1875</v>
      </c>
      <c r="E22" s="59">
        <f>$C$13/$C22</f>
        <v>1.2631746031746032</v>
      </c>
      <c r="F22" s="59">
        <f t="shared" si="1"/>
        <v>66.316666666666663</v>
      </c>
      <c r="G22" s="57" t="str">
        <f t="shared" si="2"/>
        <v xml:space="preserve">2 jours 4 heures 30 minutes </v>
      </c>
      <c r="H22" t="str">
        <f>INT(C22/TPSJOURNALIER)&amp;" jour(s) " &amp; HOUR((C22-(INT(C22/TPSJOURNALIER)*TPSJOURNALIER))/1440) &amp; " heure(s) " &amp; MINUTE((C22-(INT(C22/TPSJOURNALIER)*TPSJOURNALIER))/1440) &amp; " minute(s)"</f>
        <v>2 jour(s) 10 heure(s) 30 minute(s)</v>
      </c>
      <c r="J22" s="57">
        <f t="shared" si="4"/>
        <v>829</v>
      </c>
    </row>
    <row r="23" spans="2:12" x14ac:dyDescent="0.2">
      <c r="B23" s="45">
        <v>8</v>
      </c>
      <c r="C23" s="58">
        <f>$C$16+C22</f>
        <v>3600</v>
      </c>
      <c r="D23" s="63">
        <f t="shared" si="0"/>
        <v>2.5</v>
      </c>
      <c r="E23" s="59">
        <f>$C$13/$C23</f>
        <v>1.1052777777777778</v>
      </c>
      <c r="F23" s="59">
        <f t="shared" si="1"/>
        <v>66.316666666666663</v>
      </c>
      <c r="G23" s="57" t="str">
        <f t="shared" si="2"/>
        <v xml:space="preserve">2 jours 12 heures 0 minutes </v>
      </c>
      <c r="H23" t="str">
        <f>INT(C23/TPSJOURNALIER)&amp;" jour(s) " &amp; HOUR((C23-(INT(C23/TPSJOURNALIER)*TPSJOURNALIER))/1440) &amp; " heure(s) " &amp; MINUTE((C23-(INT(C23/TPSJOURNALIER)*TPSJOURNALIER))/1440) &amp; " minute(s)"</f>
        <v>2 jour(s) 18 heure(s) 0 minute(s)</v>
      </c>
      <c r="J23" s="57">
        <f t="shared" si="4"/>
        <v>379</v>
      </c>
    </row>
    <row r="24" spans="2:12" x14ac:dyDescent="0.2">
      <c r="B24" s="45">
        <v>9</v>
      </c>
      <c r="C24" s="58">
        <v>3780</v>
      </c>
      <c r="D24" s="63">
        <f t="shared" si="0"/>
        <v>2.625</v>
      </c>
      <c r="E24" s="59">
        <f>$C$13/$C24</f>
        <v>1.0526455026455026</v>
      </c>
      <c r="F24" s="59">
        <f t="shared" si="1"/>
        <v>66.316666666666663</v>
      </c>
      <c r="G24" s="57" t="str">
        <f t="shared" si="2"/>
        <v xml:space="preserve">2 jours 15 heures 0 minutes </v>
      </c>
      <c r="H24" t="str">
        <f>INT(C24/TPSJOURNALIER)&amp;" jour(s) " &amp; HOUR((C24-(INT(C24/TPSJOURNALIER)*TPSJOURNALIER))/1440) &amp; " heure(s) " &amp; MINUTE((C24-(INT(C24/TPSJOURNALIER)*TPSJOURNALIER))/1440) &amp; " minute(s)"</f>
        <v>3 jour(s) 0 heure(s) 0 minute(s)</v>
      </c>
      <c r="J24" s="57">
        <f t="shared" si="4"/>
        <v>199</v>
      </c>
      <c r="L24">
        <f>2.368*1680</f>
        <v>3978.24</v>
      </c>
    </row>
    <row r="25" spans="2:12" x14ac:dyDescent="0.2">
      <c r="B25" s="45">
        <v>10</v>
      </c>
      <c r="C25" s="58">
        <v>4200</v>
      </c>
      <c r="D25" s="63">
        <f t="shared" si="0"/>
        <v>2.9166666666666665</v>
      </c>
      <c r="E25" s="59">
        <f>$C$13/$C25</f>
        <v>0.94738095238095243</v>
      </c>
      <c r="F25" s="59">
        <f t="shared" si="1"/>
        <v>66.316666666666663</v>
      </c>
      <c r="G25" s="57" t="str">
        <f t="shared" si="2"/>
        <v xml:space="preserve">2 jours 22 heures 0 minutes </v>
      </c>
      <c r="H25" t="str">
        <f>INT(C25/TPSJOURNALIER)&amp;" jour(s) " &amp; HOUR((C25-(INT(C25/TPSJOURNALIER)*TPSJOURNALIER))/1440) &amp; " heure(s) " &amp; MINUTE((C25-(INT(C25/TPSJOURNALIER)*TPSJOURNALIER))/1440) &amp; " minute(s)"</f>
        <v>3 jour(s) 7 heure(s) 0 minute(s)</v>
      </c>
      <c r="J25" s="57">
        <f t="shared" si="4"/>
        <v>-221</v>
      </c>
    </row>
    <row r="27" spans="2:12" x14ac:dyDescent="0.2">
      <c r="G27" s="57">
        <f>C25-C13</f>
        <v>221</v>
      </c>
    </row>
    <row r="32" spans="2:12" x14ac:dyDescent="0.2">
      <c r="G32">
        <f>((3979/420)*3)*3</f>
        <v>85.264285714285705</v>
      </c>
    </row>
    <row r="33" spans="3:5" x14ac:dyDescent="0.2">
      <c r="E33">
        <f>E25*420*10</f>
        <v>3979.0000000000005</v>
      </c>
    </row>
    <row r="36" spans="3:5" x14ac:dyDescent="0.2">
      <c r="C36">
        <f>3979/4</f>
        <v>994.75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29D0A-B98B-E648-82F9-9F0045556112}">
  <sheetPr>
    <tabColor rgb="FF7030A0"/>
  </sheetPr>
  <dimension ref="B3:F27"/>
  <sheetViews>
    <sheetView topLeftCell="B1" workbookViewId="0">
      <selection activeCell="D15" sqref="D15"/>
    </sheetView>
  </sheetViews>
  <sheetFormatPr baseColWidth="10" defaultRowHeight="16" x14ac:dyDescent="0.2"/>
  <cols>
    <col min="2" max="2" width="27" customWidth="1"/>
    <col min="4" max="5" width="15.83203125" style="32" customWidth="1"/>
    <col min="6" max="6" width="10.83203125" style="3"/>
  </cols>
  <sheetData>
    <row r="3" spans="2:6" ht="64" customHeight="1" x14ac:dyDescent="0.2">
      <c r="D3" s="5" t="s">
        <v>0</v>
      </c>
      <c r="E3" s="5" t="s">
        <v>1</v>
      </c>
    </row>
    <row r="4" spans="2:6" x14ac:dyDescent="0.2">
      <c r="D4" s="33">
        <v>346</v>
      </c>
      <c r="E4" s="33">
        <v>450</v>
      </c>
      <c r="F4" s="14">
        <f>AVERAGE(D4:E4)</f>
        <v>398</v>
      </c>
    </row>
    <row r="5" spans="2:6" x14ac:dyDescent="0.2">
      <c r="B5" s="54" t="s">
        <v>2</v>
      </c>
      <c r="C5" s="34">
        <v>8</v>
      </c>
      <c r="D5" s="35">
        <f>$C5*D$4</f>
        <v>2768</v>
      </c>
      <c r="E5" s="35">
        <f t="shared" ref="E5:F7" si="0">$C5*E$4</f>
        <v>3600</v>
      </c>
      <c r="F5" s="36">
        <f t="shared" si="0"/>
        <v>3184</v>
      </c>
    </row>
    <row r="6" spans="2:6" x14ac:dyDescent="0.2">
      <c r="B6" s="54"/>
      <c r="C6" s="37">
        <v>10</v>
      </c>
      <c r="D6" s="38">
        <f t="shared" ref="D6:D7" si="1">$C6*D$4</f>
        <v>3460</v>
      </c>
      <c r="E6" s="38">
        <f t="shared" si="0"/>
        <v>4500</v>
      </c>
      <c r="F6" s="39">
        <f t="shared" si="0"/>
        <v>3980</v>
      </c>
    </row>
    <row r="7" spans="2:6" x14ac:dyDescent="0.2">
      <c r="B7" s="54"/>
      <c r="C7" s="40">
        <v>12</v>
      </c>
      <c r="D7" s="41">
        <f t="shared" si="1"/>
        <v>4152</v>
      </c>
      <c r="E7" s="41">
        <f t="shared" si="0"/>
        <v>5400</v>
      </c>
      <c r="F7" s="42">
        <f t="shared" si="0"/>
        <v>4776</v>
      </c>
    </row>
    <row r="8" spans="2:6" x14ac:dyDescent="0.2">
      <c r="C8" s="43">
        <f>AVERAGE(C5:C7)</f>
        <v>10</v>
      </c>
      <c r="D8" s="43">
        <f t="shared" ref="D8:F8" si="2">AVERAGE(D5:D7)</f>
        <v>3460</v>
      </c>
      <c r="E8" s="43">
        <f t="shared" si="2"/>
        <v>4500</v>
      </c>
      <c r="F8" s="43">
        <f t="shared" si="2"/>
        <v>3980</v>
      </c>
    </row>
    <row r="13" spans="2:6" x14ac:dyDescent="0.2">
      <c r="D13" s="33">
        <v>346</v>
      </c>
      <c r="E13" s="33">
        <v>450</v>
      </c>
      <c r="F13" s="14">
        <f>AVERAGE(D13:E13)</f>
        <v>398</v>
      </c>
    </row>
    <row r="14" spans="2:6" ht="16" customHeight="1" x14ac:dyDescent="0.2">
      <c r="B14" s="55" t="s">
        <v>46</v>
      </c>
      <c r="C14" s="44">
        <v>1</v>
      </c>
      <c r="D14" s="35"/>
      <c r="E14" s="35">
        <f t="shared" ref="E14:F16" si="3">$C14*E$4</f>
        <v>450</v>
      </c>
      <c r="F14" s="36">
        <f t="shared" si="3"/>
        <v>398</v>
      </c>
    </row>
    <row r="15" spans="2:6" x14ac:dyDescent="0.2">
      <c r="B15" s="56"/>
      <c r="C15" s="44">
        <v>2</v>
      </c>
      <c r="D15" s="38">
        <f t="shared" ref="D15:D16" si="4">$C15*D$4</f>
        <v>692</v>
      </c>
      <c r="E15" s="38">
        <f t="shared" si="3"/>
        <v>900</v>
      </c>
      <c r="F15" s="39">
        <f t="shared" si="3"/>
        <v>796</v>
      </c>
    </row>
    <row r="16" spans="2:6" x14ac:dyDescent="0.2">
      <c r="B16" s="56"/>
      <c r="C16" s="44">
        <v>3</v>
      </c>
      <c r="D16" s="41">
        <f t="shared" si="4"/>
        <v>1038</v>
      </c>
      <c r="E16" s="41">
        <f t="shared" si="3"/>
        <v>1350</v>
      </c>
      <c r="F16" s="42">
        <f t="shared" si="3"/>
        <v>1194</v>
      </c>
    </row>
    <row r="17" spans="2:6" x14ac:dyDescent="0.2">
      <c r="B17" s="56"/>
      <c r="C17" s="44">
        <v>4</v>
      </c>
      <c r="D17" s="44"/>
      <c r="E17" s="44"/>
      <c r="F17" s="45"/>
    </row>
    <row r="18" spans="2:6" x14ac:dyDescent="0.2">
      <c r="B18" s="56"/>
      <c r="C18" s="44">
        <v>5</v>
      </c>
      <c r="D18" s="44"/>
      <c r="E18" s="44"/>
      <c r="F18" s="45"/>
    </row>
    <row r="22" spans="2:6" x14ac:dyDescent="0.2">
      <c r="D22" s="33">
        <v>346</v>
      </c>
      <c r="E22" s="33">
        <v>450</v>
      </c>
      <c r="F22" s="14">
        <f>AVERAGE(D22:E22)</f>
        <v>398</v>
      </c>
    </row>
    <row r="23" spans="2:6" x14ac:dyDescent="0.2">
      <c r="B23" s="55" t="s">
        <v>47</v>
      </c>
      <c r="C23" s="44">
        <v>1</v>
      </c>
      <c r="D23" s="35">
        <f>$C23*D$4</f>
        <v>346</v>
      </c>
      <c r="E23" s="35">
        <f t="shared" ref="E23:F25" si="5">$C23*E$4</f>
        <v>450</v>
      </c>
      <c r="F23" s="36">
        <f t="shared" si="5"/>
        <v>398</v>
      </c>
    </row>
    <row r="24" spans="2:6" x14ac:dyDescent="0.2">
      <c r="B24" s="56"/>
      <c r="C24" s="44">
        <v>2</v>
      </c>
      <c r="D24" s="38">
        <f t="shared" ref="D24:D25" si="6">$C24*D$4</f>
        <v>692</v>
      </c>
      <c r="E24" s="38">
        <f t="shared" si="5"/>
        <v>900</v>
      </c>
      <c r="F24" s="39">
        <f t="shared" si="5"/>
        <v>796</v>
      </c>
    </row>
    <row r="25" spans="2:6" x14ac:dyDescent="0.2">
      <c r="B25" s="56"/>
      <c r="C25" s="44">
        <v>3</v>
      </c>
      <c r="D25" s="41">
        <f t="shared" si="6"/>
        <v>1038</v>
      </c>
      <c r="E25" s="41">
        <f t="shared" si="5"/>
        <v>1350</v>
      </c>
      <c r="F25" s="42">
        <f t="shared" si="5"/>
        <v>1194</v>
      </c>
    </row>
    <row r="26" spans="2:6" x14ac:dyDescent="0.2">
      <c r="B26" s="56"/>
      <c r="C26" s="44">
        <v>4</v>
      </c>
      <c r="D26" s="44"/>
      <c r="E26" s="44"/>
      <c r="F26" s="45"/>
    </row>
    <row r="27" spans="2:6" x14ac:dyDescent="0.2">
      <c r="B27" s="56"/>
      <c r="C27" s="44">
        <v>5</v>
      </c>
      <c r="D27" s="44"/>
      <c r="E27" s="44"/>
      <c r="F27" s="45"/>
    </row>
  </sheetData>
  <mergeCells count="3">
    <mergeCell ref="B5:B7"/>
    <mergeCell ref="B14:B18"/>
    <mergeCell ref="B23:B2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F1371-EFE4-5442-A643-5D0D4D385197}">
  <sheetPr>
    <tabColor rgb="FFFF0000"/>
  </sheetPr>
  <dimension ref="A1:B8"/>
  <sheetViews>
    <sheetView workbookViewId="0">
      <selection activeCell="G57" sqref="G57"/>
    </sheetView>
  </sheetViews>
  <sheetFormatPr baseColWidth="10" defaultRowHeight="16" x14ac:dyDescent="0.2"/>
  <cols>
    <col min="1" max="2" width="13.83203125" customWidth="1"/>
  </cols>
  <sheetData>
    <row r="1" spans="1:2" ht="22" customHeight="1" x14ac:dyDescent="0.2">
      <c r="A1" t="s">
        <v>13</v>
      </c>
      <c r="B1" t="s">
        <v>14</v>
      </c>
    </row>
    <row r="2" spans="1:2" ht="22" customHeight="1" x14ac:dyDescent="0.2"/>
    <row r="3" spans="1:2" x14ac:dyDescent="0.2">
      <c r="A3">
        <v>420</v>
      </c>
      <c r="B3">
        <v>1</v>
      </c>
    </row>
    <row r="4" spans="1:2" x14ac:dyDescent="0.2">
      <c r="A4">
        <f>A3+A3</f>
        <v>840</v>
      </c>
      <c r="B4">
        <v>2</v>
      </c>
    </row>
    <row r="5" spans="1:2" x14ac:dyDescent="0.2">
      <c r="A5">
        <f>A4+A3</f>
        <v>1260</v>
      </c>
      <c r="B5">
        <v>3</v>
      </c>
    </row>
    <row r="6" spans="1:2" x14ac:dyDescent="0.2">
      <c r="A6">
        <f>A5+A3</f>
        <v>1680</v>
      </c>
      <c r="B6">
        <v>4</v>
      </c>
    </row>
    <row r="7" spans="1:2" x14ac:dyDescent="0.2">
      <c r="A7">
        <f>A6+A3</f>
        <v>2100</v>
      </c>
      <c r="B7">
        <v>5</v>
      </c>
    </row>
    <row r="8" spans="1:2" x14ac:dyDescent="0.2">
      <c r="A8">
        <f>A7+A3</f>
        <v>2520</v>
      </c>
      <c r="B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Synthèse de scénarios 9</vt:lpstr>
      <vt:lpstr>Essai 1</vt:lpstr>
      <vt:lpstr>Essai 2</vt:lpstr>
      <vt:lpstr>Feuil13</vt:lpstr>
      <vt:lpstr>BD</vt:lpstr>
      <vt:lpstr>DMT</vt:lpstr>
      <vt:lpstr>Duree</vt:lpstr>
      <vt:lpstr>ETP</vt:lpstr>
      <vt:lpstr>Nb_jrs_presta</vt:lpstr>
      <vt:lpstr>NBJRS</vt:lpstr>
      <vt:lpstr>TPSJOURNALIER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lola X</dc:creator>
  <cp:lastModifiedBy>lola X</cp:lastModifiedBy>
  <dcterms:created xsi:type="dcterms:W3CDTF">2022-11-10T20:55:22Z</dcterms:created>
  <dcterms:modified xsi:type="dcterms:W3CDTF">2022-11-12T13:21:46Z</dcterms:modified>
</cp:coreProperties>
</file>