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drey.beaumard\Desktop\AUDREY\"/>
    </mc:Choice>
  </mc:AlternateContent>
  <xr:revisionPtr revIDLastSave="0" documentId="13_ncr:1_{F5C6B55C-7821-4017-AE90-2A54BA0AEDFE}" xr6:coauthVersionLast="36" xr6:coauthVersionMax="36" xr10:uidLastSave="{00000000-0000-0000-0000-000000000000}"/>
  <bookViews>
    <workbookView xWindow="0" yWindow="0" windowWidth="28800" windowHeight="11625" activeTab="2" xr2:uid="{8F0BE2A8-6523-4DBB-BCAC-B142E5185540}"/>
  </bookViews>
  <sheets>
    <sheet name="LISTE DOSSIERS CLOS 2021" sheetId="3" r:id="rId1"/>
    <sheet name="LISTE DOSSIERS CLOS 2022" sheetId="1" r:id="rId2"/>
    <sheet name="STATISTIQUES GLOBALES" sheetId="2" r:id="rId3"/>
  </sheets>
  <definedNames>
    <definedName name="_xlnm._FilterDatabase" localSheetId="0" hidden="1">'LISTE DOSSIERS CLOS 2021'!$B$1:$K$1</definedName>
    <definedName name="_xlnm._FilterDatabase" localSheetId="1" hidden="1">'LISTE DOSSIERS CLOS 2022'!$B$1:$K$30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2" l="1"/>
  <c r="J32" i="2"/>
  <c r="I23" i="2"/>
  <c r="I32" i="2"/>
  <c r="H23" i="2"/>
  <c r="H32" i="2"/>
  <c r="G23" i="2"/>
  <c r="G32" i="2"/>
  <c r="F23" i="2"/>
  <c r="F32" i="2"/>
  <c r="E23" i="2"/>
  <c r="E32" i="2"/>
  <c r="D23" i="2"/>
  <c r="D32" i="2"/>
  <c r="C23" i="2"/>
  <c r="K23" i="2" s="1"/>
  <c r="C32" i="2"/>
  <c r="J22" i="2"/>
  <c r="J31" i="2"/>
  <c r="I22" i="2"/>
  <c r="I31" i="2"/>
  <c r="H22" i="2"/>
  <c r="H31" i="2"/>
  <c r="G22" i="2"/>
  <c r="G31" i="2"/>
  <c r="F22" i="2"/>
  <c r="F31" i="2"/>
  <c r="E22" i="2"/>
  <c r="E31" i="2"/>
  <c r="D22" i="2"/>
  <c r="D31" i="2"/>
  <c r="C22" i="2"/>
  <c r="C31" i="2"/>
  <c r="J21" i="2"/>
  <c r="J30" i="2"/>
  <c r="I21" i="2"/>
  <c r="K21" i="2" s="1"/>
  <c r="I30" i="2"/>
  <c r="H21" i="2"/>
  <c r="H30" i="2"/>
  <c r="G21" i="2"/>
  <c r="G30" i="2"/>
  <c r="F21" i="2"/>
  <c r="F30" i="2"/>
  <c r="E21" i="2"/>
  <c r="E30" i="2"/>
  <c r="D21" i="2"/>
  <c r="L21" i="2" s="1"/>
  <c r="D30" i="2"/>
  <c r="C21" i="2"/>
  <c r="C30" i="2"/>
  <c r="J20" i="2"/>
  <c r="I20" i="2"/>
  <c r="I19" i="2"/>
  <c r="H20" i="2"/>
  <c r="G20" i="2"/>
  <c r="G19" i="2"/>
  <c r="F20" i="2"/>
  <c r="E20" i="2"/>
  <c r="E19" i="2"/>
  <c r="D20" i="2"/>
  <c r="C20" i="2"/>
  <c r="C19" i="2"/>
  <c r="L22" i="2" l="1"/>
  <c r="K20" i="2"/>
  <c r="L20" i="2"/>
  <c r="K22" i="2"/>
  <c r="L23" i="2"/>
  <c r="L32" i="2"/>
  <c r="L31" i="2"/>
  <c r="L30" i="2"/>
  <c r="K32" i="2"/>
  <c r="K31" i="2"/>
  <c r="K30" i="2"/>
  <c r="K19" i="2"/>
  <c r="I29" i="2"/>
  <c r="J29" i="2"/>
  <c r="I28" i="2"/>
  <c r="J28" i="2"/>
  <c r="I27" i="2"/>
  <c r="J27" i="2"/>
  <c r="I26" i="2"/>
  <c r="J26" i="2"/>
  <c r="I25" i="2"/>
  <c r="J25" i="2"/>
  <c r="J19" i="2"/>
  <c r="I18" i="2"/>
  <c r="J18" i="2"/>
  <c r="I17" i="2"/>
  <c r="J17" i="2"/>
  <c r="I16" i="2"/>
  <c r="J16" i="2"/>
  <c r="I14" i="2"/>
  <c r="J14" i="2"/>
  <c r="I13" i="2"/>
  <c r="J13" i="2"/>
  <c r="I12" i="2"/>
  <c r="J12" i="2"/>
  <c r="I11" i="2"/>
  <c r="J11" i="2"/>
  <c r="I9" i="2"/>
  <c r="J9" i="2"/>
  <c r="I8" i="2"/>
  <c r="J8" i="2"/>
  <c r="I7" i="2"/>
  <c r="J7" i="2"/>
  <c r="I6" i="2"/>
  <c r="J6" i="2"/>
  <c r="I4" i="2"/>
  <c r="I5" i="2" s="1"/>
  <c r="J4" i="2"/>
  <c r="J5" i="2" s="1"/>
  <c r="G29" i="2"/>
  <c r="H29" i="2"/>
  <c r="G28" i="2"/>
  <c r="H28" i="2"/>
  <c r="G27" i="2"/>
  <c r="H27" i="2"/>
  <c r="G26" i="2"/>
  <c r="H26" i="2"/>
  <c r="G25" i="2"/>
  <c r="H25" i="2"/>
  <c r="H19" i="2"/>
  <c r="G18" i="2"/>
  <c r="H18" i="2"/>
  <c r="G17" i="2"/>
  <c r="H17" i="2"/>
  <c r="G16" i="2"/>
  <c r="H16" i="2"/>
  <c r="G14" i="2"/>
  <c r="H14" i="2"/>
  <c r="G13" i="2"/>
  <c r="H13" i="2"/>
  <c r="G12" i="2"/>
  <c r="H12" i="2"/>
  <c r="G11" i="2"/>
  <c r="H11" i="2"/>
  <c r="G9" i="2"/>
  <c r="H9" i="2"/>
  <c r="G8" i="2"/>
  <c r="H8" i="2"/>
  <c r="G7" i="2"/>
  <c r="H7" i="2"/>
  <c r="G6" i="2"/>
  <c r="H6" i="2"/>
  <c r="G4" i="2"/>
  <c r="G5" i="2" s="1"/>
  <c r="H4" i="2"/>
  <c r="H5" i="2" s="1"/>
  <c r="E29" i="2"/>
  <c r="F29" i="2"/>
  <c r="E28" i="2"/>
  <c r="F28" i="2"/>
  <c r="E27" i="2"/>
  <c r="F27" i="2"/>
  <c r="E26" i="2"/>
  <c r="F26" i="2"/>
  <c r="E25" i="2"/>
  <c r="F25" i="2"/>
  <c r="F19" i="2"/>
  <c r="E18" i="2"/>
  <c r="F18" i="2"/>
  <c r="E17" i="2"/>
  <c r="F17" i="2"/>
  <c r="E16" i="2"/>
  <c r="F16" i="2"/>
  <c r="E14" i="2"/>
  <c r="F14" i="2"/>
  <c r="E13" i="2"/>
  <c r="F13" i="2"/>
  <c r="E12" i="2"/>
  <c r="F12" i="2"/>
  <c r="E11" i="2"/>
  <c r="F11" i="2"/>
  <c r="E9" i="2"/>
  <c r="F9" i="2"/>
  <c r="E8" i="2"/>
  <c r="F8" i="2"/>
  <c r="E7" i="2"/>
  <c r="F7" i="2"/>
  <c r="E6" i="2"/>
  <c r="F6" i="2"/>
  <c r="E4" i="2"/>
  <c r="E5" i="2" s="1"/>
  <c r="F4" i="2"/>
  <c r="F5" i="2" s="1"/>
  <c r="C29" i="2"/>
  <c r="D29" i="2"/>
  <c r="C28" i="2"/>
  <c r="D28" i="2"/>
  <c r="L28" i="2" s="1"/>
  <c r="C27" i="2"/>
  <c r="D27" i="2"/>
  <c r="C26" i="2"/>
  <c r="D26" i="2"/>
  <c r="C25" i="2"/>
  <c r="D25" i="2"/>
  <c r="D19" i="2"/>
  <c r="C18" i="2"/>
  <c r="D18" i="2"/>
  <c r="C17" i="2"/>
  <c r="D17" i="2"/>
  <c r="C16" i="2"/>
  <c r="D16" i="2"/>
  <c r="C14" i="2"/>
  <c r="D14" i="2"/>
  <c r="C13" i="2"/>
  <c r="D13" i="2"/>
  <c r="C12" i="2"/>
  <c r="D12" i="2"/>
  <c r="C11" i="2"/>
  <c r="D11" i="2"/>
  <c r="C9" i="2"/>
  <c r="C8" i="2"/>
  <c r="D8" i="2"/>
  <c r="C7" i="2"/>
  <c r="D7" i="2"/>
  <c r="C6" i="2"/>
  <c r="D6" i="2"/>
  <c r="L6" i="2" s="1"/>
  <c r="C4" i="2"/>
  <c r="C5" i="2" s="1"/>
  <c r="D4" i="2"/>
  <c r="L17" i="2" l="1"/>
  <c r="L8" i="2"/>
  <c r="L26" i="2"/>
  <c r="L7" i="2"/>
  <c r="L4" i="2"/>
  <c r="L11" i="2"/>
  <c r="K25" i="2"/>
  <c r="K6" i="2"/>
  <c r="K9" i="2"/>
  <c r="K13" i="2"/>
  <c r="K17" i="2"/>
  <c r="K26" i="2"/>
  <c r="K29" i="2"/>
  <c r="K28" i="2"/>
  <c r="K4" i="2"/>
  <c r="K11" i="2"/>
  <c r="K14" i="2"/>
  <c r="K18" i="2"/>
  <c r="K27" i="2"/>
  <c r="K8" i="2"/>
  <c r="K12" i="2"/>
  <c r="K16" i="2"/>
  <c r="L16" i="2"/>
  <c r="L19" i="2"/>
  <c r="K7" i="2"/>
  <c r="L25" i="2"/>
  <c r="L27" i="2"/>
  <c r="L29" i="2"/>
  <c r="L13" i="2"/>
  <c r="L18" i="2"/>
  <c r="L12" i="2"/>
  <c r="L14" i="2"/>
  <c r="D5" i="2"/>
  <c r="L5" i="2" s="1"/>
  <c r="K5" i="2"/>
  <c r="D9" i="2" l="1"/>
  <c r="L9" i="2" s="1"/>
</calcChain>
</file>

<file path=xl/sharedStrings.xml><?xml version="1.0" encoding="utf-8"?>
<sst xmlns="http://schemas.openxmlformats.org/spreadsheetml/2006/main" count="408" uniqueCount="120">
  <si>
    <t>DOSSIER</t>
  </si>
  <si>
    <t>ETAT</t>
  </si>
  <si>
    <t>ACTEURS</t>
  </si>
  <si>
    <t>JOURS</t>
  </si>
  <si>
    <t>CLOS</t>
  </si>
  <si>
    <t>CS</t>
  </si>
  <si>
    <t>FC</t>
  </si>
  <si>
    <t>JL</t>
  </si>
  <si>
    <t>PAP</t>
  </si>
  <si>
    <t>NATURE</t>
  </si>
  <si>
    <t>I</t>
  </si>
  <si>
    <t>S</t>
  </si>
  <si>
    <t>Cie estime que pas de tiers</t>
  </si>
  <si>
    <t>Expertise judiciaire</t>
  </si>
  <si>
    <t>REMARQUES</t>
  </si>
  <si>
    <t>DELAIS</t>
  </si>
  <si>
    <t>OUI</t>
  </si>
  <si>
    <t>NON</t>
  </si>
  <si>
    <t>DECEMBRE 2021</t>
  </si>
  <si>
    <t>FEVRIER 2022</t>
  </si>
  <si>
    <t>JANVIER 2022</t>
  </si>
  <si>
    <t>MARS 2022</t>
  </si>
  <si>
    <t>AVRIL 2022</t>
  </si>
  <si>
    <t>MAI 2022</t>
  </si>
  <si>
    <t>JUIN 2022</t>
  </si>
  <si>
    <t>JUILLET 2022</t>
  </si>
  <si>
    <t>AOUT 2022</t>
  </si>
  <si>
    <t>SEPTEMBRE 2022</t>
  </si>
  <si>
    <t>OCTOBRE 2022</t>
  </si>
  <si>
    <t>JANVIER 2021</t>
  </si>
  <si>
    <t>FEVRIER 2021</t>
  </si>
  <si>
    <t>MARS 2021</t>
  </si>
  <si>
    <t>MAI 2021</t>
  </si>
  <si>
    <t>JUIN 2021</t>
  </si>
  <si>
    <t>JUILLET 2021</t>
  </si>
  <si>
    <t>AOUT 2021</t>
  </si>
  <si>
    <t>SEPTEMBRE 2021</t>
  </si>
  <si>
    <t>OCTOBRE 2021</t>
  </si>
  <si>
    <t>NOVEMBRE 2021</t>
  </si>
  <si>
    <t>AVRIL 2021</t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</si>
  <si>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CLOS</t>
    </r>
  </si>
  <si>
    <r>
      <rPr>
        <b/>
        <sz val="11"/>
        <color theme="1"/>
        <rFont val="Calibri"/>
        <family val="2"/>
        <scheme val="minor"/>
      </rPr>
      <t>MOYENNE MENSUELLE</t>
    </r>
    <r>
      <rPr>
        <sz val="11"/>
        <color theme="1"/>
        <rFont val="Calibri"/>
        <family val="2"/>
        <scheme val="minor"/>
      </rPr>
      <t xml:space="preserve"> DOSSIERS CLOS</t>
    </r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</si>
  <si>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HORS DELAIS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</si>
  <si>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HORS DELAIS</t>
    </r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</si>
  <si>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DANS LES DELAIS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</si>
  <si>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DANS LES DELAIS</t>
    </r>
  </si>
  <si>
    <r>
      <t>NOMBRE DE DOSSIERS</t>
    </r>
    <r>
      <rPr>
        <b/>
        <sz val="11"/>
        <color theme="1"/>
        <rFont val="Calibri"/>
        <family val="2"/>
        <scheme val="minor"/>
      </rPr>
      <t xml:space="preserve"> AVEC TIERS</t>
    </r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</si>
  <si>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SANS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</si>
  <si>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AVEC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</si>
  <si>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SANS TIERS</t>
    </r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</si>
  <si>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"AUTRES"</t>
    </r>
  </si>
  <si>
    <r>
      <t xml:space="preserve">MOYENNE DUREE DOSSIERS </t>
    </r>
    <r>
      <rPr>
        <b/>
        <sz val="11"/>
        <color theme="1"/>
        <rFont val="Calibri"/>
        <family val="2"/>
        <scheme val="minor"/>
      </rPr>
      <t>"AUTRES"</t>
    </r>
  </si>
  <si>
    <r>
      <t xml:space="preserve">NOMBRE DE DOSSIERS "AUTRES" </t>
    </r>
    <r>
      <rPr>
        <b/>
        <sz val="11"/>
        <color theme="1"/>
        <rFont val="Calibri"/>
        <family val="2"/>
        <scheme val="minor"/>
      </rPr>
      <t>DANS LES DELAIS</t>
    </r>
  </si>
  <si>
    <r>
      <t xml:space="preserve">NOMBRE DE DOSSIERS "AUTRES" </t>
    </r>
    <r>
      <rPr>
        <b/>
        <sz val="11"/>
        <color theme="1"/>
        <rFont val="Calibri"/>
        <family val="2"/>
        <scheme val="minor"/>
      </rPr>
      <t>HORS DELAIS</t>
    </r>
  </si>
  <si>
    <r>
      <t>NOMBRE DE DOSSIERS "AUTRES"</t>
    </r>
    <r>
      <rPr>
        <b/>
        <sz val="11"/>
        <color theme="1"/>
        <rFont val="Calibri"/>
        <family val="2"/>
        <scheme val="minor"/>
      </rPr>
      <t xml:space="preserve"> AVEC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</si>
  <si>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"AUTRES" AVEC TIERS</t>
    </r>
  </si>
  <si>
    <r>
      <t xml:space="preserve">NOMBRE DE DOSSIERS "AUTRES" </t>
    </r>
    <r>
      <rPr>
        <b/>
        <sz val="11"/>
        <color theme="1"/>
        <rFont val="Calibri"/>
        <family val="2"/>
        <scheme val="minor"/>
      </rPr>
      <t>SANS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</si>
  <si>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"AUTRES" SANS TIERS</t>
    </r>
  </si>
  <si>
    <t>DATE OUVERTURE</t>
  </si>
  <si>
    <t>DATE CLOTURE</t>
  </si>
  <si>
    <t>X</t>
  </si>
  <si>
    <t>TIERS</t>
  </si>
  <si>
    <t>TIERS ?</t>
  </si>
  <si>
    <t>AGENT</t>
  </si>
  <si>
    <t>A</t>
  </si>
  <si>
    <t>B</t>
  </si>
  <si>
    <t>C</t>
  </si>
  <si>
    <t>D</t>
  </si>
  <si>
    <t>E</t>
  </si>
  <si>
    <t>F</t>
  </si>
  <si>
    <t>G</t>
  </si>
  <si>
    <t>H</t>
  </si>
  <si>
    <t>L</t>
  </si>
  <si>
    <t>J</t>
  </si>
  <si>
    <t>K</t>
  </si>
  <si>
    <t>M</t>
  </si>
  <si>
    <t>O</t>
  </si>
  <si>
    <t>N</t>
  </si>
  <si>
    <t>P</t>
  </si>
  <si>
    <t>Q</t>
  </si>
  <si>
    <t>R</t>
  </si>
  <si>
    <t>T</t>
  </si>
  <si>
    <t>U</t>
  </si>
  <si>
    <t>V</t>
  </si>
  <si>
    <t>W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</si>
  <si>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</si>
  <si>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</si>
  <si>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</si>
  <si>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</si>
  <si>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</si>
  <si>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</si>
  <si>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</si>
  <si>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</si>
  <si>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</si>
  <si>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</si>
  <si>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</si>
  <si>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</si>
  <si>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</si>
  <si>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</si>
  <si>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</si>
  <si>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</si>
  <si>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</si>
  <si>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</si>
  <si>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</si>
  <si>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</si>
  <si>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</si>
  <si>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</si>
  <si>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</si>
  <si>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ENTREPRISE</t>
  </si>
  <si>
    <r>
      <t xml:space="preserve">NOMBRE DE DOSSIERS </t>
    </r>
    <r>
      <rPr>
        <b/>
        <sz val="11"/>
        <color theme="1"/>
        <rFont val="Calibri"/>
        <family val="2"/>
        <scheme val="minor"/>
      </rPr>
      <t>S</t>
    </r>
  </si>
  <si>
    <r>
      <t>MOYENNE</t>
    </r>
    <r>
      <rPr>
        <b/>
        <sz val="11"/>
        <color theme="1"/>
        <rFont val="Calibri"/>
        <family val="2"/>
        <scheme val="minor"/>
      </rPr>
      <t xml:space="preserve"> DUREE DOSSIERS S</t>
    </r>
  </si>
  <si>
    <r>
      <t xml:space="preserve">NOMBRE DE DOSSIERS S </t>
    </r>
    <r>
      <rPr>
        <b/>
        <sz val="11"/>
        <color theme="1"/>
        <rFont val="Calibri"/>
        <family val="2"/>
        <scheme val="minor"/>
      </rPr>
      <t>DANS LES DELAIS</t>
    </r>
  </si>
  <si>
    <r>
      <t xml:space="preserve">NOMBRE DE DOSSIERS S </t>
    </r>
    <r>
      <rPr>
        <b/>
        <sz val="11"/>
        <color theme="1"/>
        <rFont val="Calibri"/>
        <family val="2"/>
        <scheme val="minor"/>
      </rPr>
      <t>HORS DELAIS</t>
    </r>
  </si>
  <si>
    <r>
      <t xml:space="preserve">NOMBRE DE DOSSIERS S </t>
    </r>
    <r>
      <rPr>
        <b/>
        <sz val="11"/>
        <color theme="1"/>
        <rFont val="Calibri"/>
        <family val="2"/>
        <scheme val="minor"/>
      </rPr>
      <t>AVEC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</si>
  <si>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S AVEC TIERS</t>
    </r>
  </si>
  <si>
    <r>
      <t xml:space="preserve">NOMBRE DE DOSSIERS S </t>
    </r>
    <r>
      <rPr>
        <b/>
        <sz val="11"/>
        <color theme="1"/>
        <rFont val="Calibri"/>
        <family val="2"/>
        <scheme val="minor"/>
      </rPr>
      <t>SANS TIERS</t>
    </r>
  </si>
  <si>
    <r>
      <t xml:space="preserve">MOYENNE </t>
    </r>
    <r>
      <rPr>
        <b/>
        <sz val="11"/>
        <color theme="1"/>
        <rFont val="Calibri"/>
        <family val="2"/>
        <scheme val="minor"/>
      </rPr>
      <t>DUREE DOSSIERS S SANS TIERS</t>
    </r>
  </si>
  <si>
    <t>CLIENT</t>
  </si>
  <si>
    <t>ABCD</t>
  </si>
  <si>
    <t>EFGH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</si>
</sst>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/>
      </patternFill>
    </fill>
    <fill>
      <patternFill patternType="solid">
        <fgColor theme="9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0" applyNumberFormat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" fontId="3" fillId="0" borderId="2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5" borderId="2" xfId="1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" fontId="1" fillId="2" borderId="3" xfId="1" applyNumberFormat="1" applyBorder="1" applyAlignment="1">
      <alignment vertical="center"/>
    </xf>
    <xf numFmtId="17" fontId="1" fillId="2" borderId="4" xfId="1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" fontId="1" fillId="2" borderId="3" xfId="1" applyNumberFormat="1" applyBorder="1" applyAlignment="1">
      <alignment horizontal="left" vertical="center"/>
    </xf>
    <xf numFmtId="0" fontId="0" fillId="10" borderId="0" xfId="0" applyFill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" fontId="1" fillId="10" borderId="3" xfId="1" applyNumberFormat="1" applyFill="1" applyBorder="1" applyAlignment="1">
      <alignment vertical="center"/>
    </xf>
    <xf numFmtId="0" fontId="0" fillId="10" borderId="3" xfId="0" applyFill="1" applyBorder="1" applyAlignment="1">
      <alignment horizontal="center" vertical="center"/>
    </xf>
    <xf numFmtId="0" fontId="4" fillId="3" borderId="2" xfId="2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Alignment="1">
      <alignment horizontal="center"/>
    </xf>
    <xf numFmtId="49" fontId="1" fillId="2" borderId="3" xfId="1" applyNumberFormat="1" applyBorder="1" applyAlignment="1">
      <alignment horizontal="left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5" borderId="2" xfId="2" applyFont="1" applyFill="1" applyBorder="1" applyAlignment="1">
      <alignment horizontal="center" vertical="center"/>
    </xf>
    <xf numFmtId="0" fontId="3" fillId="4" borderId="2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0" fillId="0" borderId="25" xfId="0" applyBorder="1"/>
    <xf numFmtId="0" fontId="0" fillId="0" borderId="22" xfId="0" applyBorder="1"/>
    <xf numFmtId="2" fontId="0" fillId="0" borderId="0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27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0" fillId="0" borderId="24" xfId="0" applyBorder="1"/>
    <xf numFmtId="0" fontId="0" fillId="0" borderId="25" xfId="0" applyFill="1" applyBorder="1"/>
    <xf numFmtId="0" fontId="0" fillId="0" borderId="22" xfId="0" applyFill="1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1" fillId="2" borderId="3" xfId="1" applyNumberFormat="1" applyBorder="1" applyAlignment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3" fillId="0" borderId="2" xfId="2" applyNumberFormat="1" applyFont="1" applyFill="1" applyBorder="1" applyAlignment="1">
      <alignment horizontal="center" vertical="center"/>
    </xf>
  </cellXfs>
  <cellStyles count="3">
    <cellStyle name="Accent3" xfId="2" builtinId="37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1872D-1DA5-40D2-BA1D-921914E00A76}">
  <sheetPr>
    <pageSetUpPr fitToPage="1"/>
  </sheetPr>
  <dimension ref="A1:Q41"/>
  <sheetViews>
    <sheetView workbookViewId="0">
      <pane ySplit="1" topLeftCell="A2" activePane="bottomLeft" state="frozen"/>
      <selection pane="bottomLeft" activeCell="J50" sqref="J50"/>
    </sheetView>
  </sheetViews>
  <sheetFormatPr baseColWidth="10" defaultRowHeight="15" x14ac:dyDescent="0.25"/>
  <cols>
    <col min="1" max="1" width="21.85546875" style="1" customWidth="1"/>
    <col min="2" max="2" width="14.7109375" style="1" customWidth="1"/>
    <col min="3" max="3" width="11.42578125" style="1" customWidth="1"/>
    <col min="4" max="4" width="11.42578125" style="1"/>
    <col min="5" max="5" width="13.140625" style="1" customWidth="1"/>
    <col min="6" max="6" width="15" style="1" customWidth="1"/>
    <col min="7" max="7" width="20.85546875" style="1" customWidth="1"/>
    <col min="8" max="8" width="15.140625" style="1" customWidth="1"/>
    <col min="9" max="9" width="8.42578125" style="10" customWidth="1"/>
    <col min="10" max="10" width="11.42578125" style="1"/>
    <col min="11" max="11" width="15.85546875" style="1" customWidth="1"/>
    <col min="12" max="12" width="57.140625" style="1" customWidth="1"/>
    <col min="13" max="16384" width="11.42578125" style="1"/>
  </cols>
  <sheetData>
    <row r="1" spans="1:17" ht="25.5" customHeight="1" x14ac:dyDescent="0.25">
      <c r="A1" s="9" t="s">
        <v>0</v>
      </c>
      <c r="B1" s="9" t="s">
        <v>63</v>
      </c>
      <c r="C1" s="9" t="s">
        <v>9</v>
      </c>
      <c r="D1" s="9" t="s">
        <v>1</v>
      </c>
      <c r="E1" s="9" t="s">
        <v>58</v>
      </c>
      <c r="F1" s="9" t="s">
        <v>59</v>
      </c>
      <c r="G1" s="9" t="s">
        <v>2</v>
      </c>
      <c r="H1" s="9" t="s">
        <v>3</v>
      </c>
      <c r="I1" s="9" t="s">
        <v>15</v>
      </c>
      <c r="J1" s="9" t="s">
        <v>117</v>
      </c>
      <c r="K1" s="27" t="s">
        <v>61</v>
      </c>
      <c r="L1" s="9" t="s">
        <v>14</v>
      </c>
    </row>
    <row r="2" spans="1:17" x14ac:dyDescent="0.25">
      <c r="A2" s="26"/>
      <c r="B2" s="18"/>
      <c r="C2" s="18"/>
      <c r="D2" s="18"/>
      <c r="E2" s="18"/>
      <c r="F2" s="18"/>
      <c r="G2" s="30" t="s">
        <v>29</v>
      </c>
      <c r="H2" s="18"/>
      <c r="I2" s="18"/>
      <c r="J2" s="18"/>
      <c r="K2" s="18"/>
      <c r="L2" s="19"/>
    </row>
    <row r="3" spans="1:17" s="15" customFormat="1" x14ac:dyDescent="0.25">
      <c r="A3" s="11" t="s">
        <v>64</v>
      </c>
      <c r="B3" s="4" t="s">
        <v>6</v>
      </c>
      <c r="C3" s="11" t="s">
        <v>10</v>
      </c>
      <c r="D3" s="11" t="s">
        <v>4</v>
      </c>
      <c r="E3" s="23">
        <v>2018</v>
      </c>
      <c r="F3" s="23">
        <v>2021</v>
      </c>
      <c r="G3" s="11"/>
      <c r="H3" s="13">
        <v>420</v>
      </c>
      <c r="I3" s="23" t="s">
        <v>17</v>
      </c>
      <c r="J3" s="11" t="s">
        <v>119</v>
      </c>
      <c r="K3" s="11" t="s">
        <v>16</v>
      </c>
      <c r="L3" s="11"/>
    </row>
    <row r="4" spans="1:17" x14ac:dyDescent="0.25">
      <c r="A4" s="11" t="s">
        <v>65</v>
      </c>
      <c r="B4" s="4" t="s">
        <v>6</v>
      </c>
      <c r="C4" s="11" t="s">
        <v>10</v>
      </c>
      <c r="D4" s="12" t="s">
        <v>4</v>
      </c>
      <c r="E4" s="90">
        <v>2019</v>
      </c>
      <c r="F4" s="23">
        <v>2021</v>
      </c>
      <c r="G4" s="11"/>
      <c r="H4" s="13">
        <v>881</v>
      </c>
      <c r="I4" s="23" t="s">
        <v>17</v>
      </c>
      <c r="J4" s="11" t="s">
        <v>118</v>
      </c>
      <c r="K4" s="11" t="s">
        <v>17</v>
      </c>
      <c r="L4" s="11"/>
    </row>
    <row r="5" spans="1:17" x14ac:dyDescent="0.25">
      <c r="A5" s="22"/>
      <c r="B5" s="18"/>
      <c r="C5" s="18"/>
      <c r="D5" s="18"/>
      <c r="E5" s="91"/>
      <c r="F5" s="91"/>
      <c r="G5" s="21" t="s">
        <v>30</v>
      </c>
      <c r="H5" s="18"/>
      <c r="I5" s="25"/>
      <c r="J5" s="18"/>
      <c r="K5" s="18"/>
      <c r="L5" s="19"/>
    </row>
    <row r="6" spans="1:17" x14ac:dyDescent="0.25">
      <c r="A6" s="11" t="s">
        <v>66</v>
      </c>
      <c r="B6" s="6" t="s">
        <v>5</v>
      </c>
      <c r="C6" s="11" t="s">
        <v>10</v>
      </c>
      <c r="D6" s="12" t="s">
        <v>4</v>
      </c>
      <c r="E6" s="90">
        <v>2020</v>
      </c>
      <c r="F6" s="23">
        <v>2021</v>
      </c>
      <c r="G6" s="11"/>
      <c r="H6" s="16">
        <v>111</v>
      </c>
      <c r="I6" s="23" t="s">
        <v>16</v>
      </c>
      <c r="J6" s="11" t="s">
        <v>118</v>
      </c>
      <c r="K6" s="11" t="s">
        <v>16</v>
      </c>
      <c r="L6" s="11"/>
      <c r="Q6" s="20"/>
    </row>
    <row r="7" spans="1:17" x14ac:dyDescent="0.25">
      <c r="A7" s="11" t="s">
        <v>67</v>
      </c>
      <c r="B7" s="6" t="s">
        <v>5</v>
      </c>
      <c r="C7" s="11" t="s">
        <v>10</v>
      </c>
      <c r="D7" s="12" t="s">
        <v>4</v>
      </c>
      <c r="E7" s="90">
        <v>2018</v>
      </c>
      <c r="F7" s="23">
        <v>2021</v>
      </c>
      <c r="G7" s="11"/>
      <c r="H7" s="13">
        <v>881</v>
      </c>
      <c r="I7" s="23" t="s">
        <v>17</v>
      </c>
      <c r="J7" s="11" t="s">
        <v>119</v>
      </c>
      <c r="K7" s="11" t="s">
        <v>17</v>
      </c>
      <c r="L7" s="11"/>
      <c r="Q7" s="20"/>
    </row>
    <row r="8" spans="1:17" s="10" customFormat="1" x14ac:dyDescent="0.25">
      <c r="A8" s="22"/>
      <c r="B8" s="18"/>
      <c r="C8" s="18"/>
      <c r="D8" s="18"/>
      <c r="E8" s="91"/>
      <c r="F8" s="91"/>
      <c r="G8" s="30" t="s">
        <v>31</v>
      </c>
      <c r="H8" s="18"/>
      <c r="I8" s="25"/>
      <c r="J8" s="18"/>
      <c r="K8" s="18"/>
      <c r="L8" s="19"/>
    </row>
    <row r="9" spans="1:17" s="10" customFormat="1" x14ac:dyDescent="0.25">
      <c r="A9" s="2" t="s">
        <v>68</v>
      </c>
      <c r="B9" s="6" t="s">
        <v>5</v>
      </c>
      <c r="C9" s="2" t="s">
        <v>10</v>
      </c>
      <c r="D9" s="2" t="s">
        <v>4</v>
      </c>
      <c r="E9" s="92">
        <v>2018</v>
      </c>
      <c r="F9" s="92">
        <v>2021</v>
      </c>
      <c r="G9" s="2"/>
      <c r="H9" s="5">
        <v>931</v>
      </c>
      <c r="I9" s="24" t="s">
        <v>17</v>
      </c>
      <c r="J9" s="11" t="s">
        <v>118</v>
      </c>
      <c r="K9" s="2" t="s">
        <v>17</v>
      </c>
      <c r="L9" s="2"/>
    </row>
    <row r="10" spans="1:17" s="10" customFormat="1" x14ac:dyDescent="0.25">
      <c r="A10" s="2" t="s">
        <v>69</v>
      </c>
      <c r="B10" s="6" t="s">
        <v>5</v>
      </c>
      <c r="C10" s="2" t="s">
        <v>10</v>
      </c>
      <c r="D10" s="2" t="s">
        <v>4</v>
      </c>
      <c r="E10" s="92">
        <v>2020</v>
      </c>
      <c r="F10" s="92">
        <v>2021</v>
      </c>
      <c r="G10" s="2"/>
      <c r="H10" s="3">
        <v>110</v>
      </c>
      <c r="I10" s="24" t="s">
        <v>16</v>
      </c>
      <c r="J10" s="11" t="s">
        <v>119</v>
      </c>
      <c r="K10" s="2" t="s">
        <v>16</v>
      </c>
      <c r="L10" s="2"/>
    </row>
    <row r="11" spans="1:17" s="10" customFormat="1" x14ac:dyDescent="0.25">
      <c r="A11" s="2" t="s">
        <v>70</v>
      </c>
      <c r="B11" s="6" t="s">
        <v>5</v>
      </c>
      <c r="C11" s="2" t="s">
        <v>10</v>
      </c>
      <c r="D11" s="2" t="s">
        <v>4</v>
      </c>
      <c r="E11" s="92">
        <v>2020</v>
      </c>
      <c r="F11" s="92">
        <v>2021</v>
      </c>
      <c r="G11" s="2"/>
      <c r="H11" s="3">
        <v>66</v>
      </c>
      <c r="I11" s="24" t="s">
        <v>16</v>
      </c>
      <c r="J11" s="11" t="s">
        <v>118</v>
      </c>
      <c r="K11" s="2" t="s">
        <v>16</v>
      </c>
      <c r="L11" s="2"/>
    </row>
    <row r="12" spans="1:17" s="10" customFormat="1" x14ac:dyDescent="0.25">
      <c r="A12" s="2" t="s">
        <v>71</v>
      </c>
      <c r="B12" s="6" t="s">
        <v>5</v>
      </c>
      <c r="C12" s="2" t="s">
        <v>10</v>
      </c>
      <c r="D12" s="2" t="s">
        <v>4</v>
      </c>
      <c r="E12" s="92">
        <v>2020</v>
      </c>
      <c r="F12" s="92">
        <v>2021</v>
      </c>
      <c r="G12" s="2"/>
      <c r="H12" s="3">
        <v>64</v>
      </c>
      <c r="I12" s="24" t="s">
        <v>16</v>
      </c>
      <c r="J12" s="11" t="s">
        <v>119</v>
      </c>
      <c r="K12" s="2" t="s">
        <v>16</v>
      </c>
      <c r="L12" s="2"/>
    </row>
    <row r="13" spans="1:17" x14ac:dyDescent="0.25">
      <c r="A13" s="22"/>
      <c r="B13" s="18"/>
      <c r="C13" s="18"/>
      <c r="D13" s="18"/>
      <c r="E13" s="91"/>
      <c r="F13" s="91"/>
      <c r="G13" s="30" t="s">
        <v>39</v>
      </c>
      <c r="H13" s="18"/>
      <c r="I13" s="25"/>
      <c r="J13" s="18"/>
      <c r="K13" s="18"/>
      <c r="L13" s="19"/>
    </row>
    <row r="14" spans="1:17" s="15" customFormat="1" x14ac:dyDescent="0.25">
      <c r="A14" s="11" t="s">
        <v>10</v>
      </c>
      <c r="B14" s="6" t="s">
        <v>5</v>
      </c>
      <c r="C14" s="11" t="s">
        <v>10</v>
      </c>
      <c r="D14" s="2" t="s">
        <v>4</v>
      </c>
      <c r="E14" s="92">
        <v>2021</v>
      </c>
      <c r="F14" s="23">
        <v>2021</v>
      </c>
      <c r="G14" s="11"/>
      <c r="H14" s="16">
        <v>40</v>
      </c>
      <c r="I14" s="23" t="s">
        <v>16</v>
      </c>
      <c r="J14" s="11" t="s">
        <v>118</v>
      </c>
      <c r="K14" s="11" t="s">
        <v>17</v>
      </c>
      <c r="L14" s="11"/>
    </row>
    <row r="15" spans="1:17" s="15" customFormat="1" x14ac:dyDescent="0.25">
      <c r="A15" s="11" t="s">
        <v>73</v>
      </c>
      <c r="B15" s="6" t="s">
        <v>5</v>
      </c>
      <c r="C15" s="11" t="s">
        <v>10</v>
      </c>
      <c r="D15" s="2" t="s">
        <v>4</v>
      </c>
      <c r="E15" s="92">
        <v>2021</v>
      </c>
      <c r="F15" s="23">
        <v>2021</v>
      </c>
      <c r="G15" s="11"/>
      <c r="H15" s="16">
        <v>72</v>
      </c>
      <c r="I15" s="23" t="s">
        <v>16</v>
      </c>
      <c r="J15" s="11" t="s">
        <v>119</v>
      </c>
      <c r="K15" s="11" t="s">
        <v>17</v>
      </c>
      <c r="L15" s="11"/>
    </row>
    <row r="16" spans="1:17" s="15" customFormat="1" x14ac:dyDescent="0.25">
      <c r="A16" s="11" t="s">
        <v>74</v>
      </c>
      <c r="B16" s="6" t="s">
        <v>5</v>
      </c>
      <c r="C16" s="11" t="s">
        <v>11</v>
      </c>
      <c r="D16" s="2" t="s">
        <v>4</v>
      </c>
      <c r="E16" s="92">
        <v>2021</v>
      </c>
      <c r="F16" s="23">
        <v>2021</v>
      </c>
      <c r="G16" s="11"/>
      <c r="H16" s="16">
        <v>75</v>
      </c>
      <c r="I16" s="23" t="s">
        <v>16</v>
      </c>
      <c r="J16" s="11" t="s">
        <v>118</v>
      </c>
      <c r="K16" s="11" t="s">
        <v>17</v>
      </c>
      <c r="L16" s="11"/>
    </row>
    <row r="17" spans="1:15" s="15" customFormat="1" x14ac:dyDescent="0.25">
      <c r="A17" s="11" t="s">
        <v>72</v>
      </c>
      <c r="B17" s="6" t="s">
        <v>5</v>
      </c>
      <c r="C17" s="11" t="s">
        <v>10</v>
      </c>
      <c r="D17" s="2" t="s">
        <v>4</v>
      </c>
      <c r="E17" s="92">
        <v>2021</v>
      </c>
      <c r="F17" s="23">
        <v>2021</v>
      </c>
      <c r="G17" s="11"/>
      <c r="H17" s="16">
        <v>53</v>
      </c>
      <c r="I17" s="23" t="s">
        <v>16</v>
      </c>
      <c r="J17" s="11" t="s">
        <v>119</v>
      </c>
      <c r="K17" s="11" t="s">
        <v>16</v>
      </c>
      <c r="L17" s="11"/>
    </row>
    <row r="18" spans="1:15" s="15" customFormat="1" x14ac:dyDescent="0.25">
      <c r="A18" s="2" t="s">
        <v>75</v>
      </c>
      <c r="B18" s="4" t="s">
        <v>6</v>
      </c>
      <c r="C18" s="11" t="s">
        <v>10</v>
      </c>
      <c r="D18" s="2" t="s">
        <v>4</v>
      </c>
      <c r="E18" s="92">
        <v>2021</v>
      </c>
      <c r="F18" s="92">
        <v>2021</v>
      </c>
      <c r="G18" s="2"/>
      <c r="H18" s="3">
        <v>75</v>
      </c>
      <c r="I18" s="24" t="s">
        <v>16</v>
      </c>
      <c r="J18" s="2" t="s">
        <v>118</v>
      </c>
      <c r="K18" s="2" t="s">
        <v>17</v>
      </c>
      <c r="L18" s="2"/>
    </row>
    <row r="19" spans="1:15" s="10" customFormat="1" x14ac:dyDescent="0.25">
      <c r="A19" s="22"/>
      <c r="B19" s="18"/>
      <c r="C19" s="18"/>
      <c r="D19" s="18"/>
      <c r="E19" s="91"/>
      <c r="F19" s="91"/>
      <c r="G19" s="30" t="s">
        <v>32</v>
      </c>
      <c r="H19" s="18"/>
      <c r="I19" s="25"/>
      <c r="J19" s="18"/>
      <c r="K19" s="18"/>
      <c r="L19" s="19"/>
    </row>
    <row r="20" spans="1:15" x14ac:dyDescent="0.25">
      <c r="A20" s="2" t="s">
        <v>77</v>
      </c>
      <c r="B20" s="7" t="s">
        <v>8</v>
      </c>
      <c r="C20" s="2" t="s">
        <v>10</v>
      </c>
      <c r="D20" s="2" t="s">
        <v>4</v>
      </c>
      <c r="E20" s="92">
        <v>2021</v>
      </c>
      <c r="F20" s="92">
        <v>2021</v>
      </c>
      <c r="G20" s="2"/>
      <c r="H20" s="5">
        <v>80</v>
      </c>
      <c r="I20" s="24" t="s">
        <v>17</v>
      </c>
      <c r="J20" s="2" t="s">
        <v>118</v>
      </c>
      <c r="K20" s="2" t="s">
        <v>17</v>
      </c>
      <c r="L20" s="2"/>
      <c r="O20" s="20"/>
    </row>
    <row r="21" spans="1:15" x14ac:dyDescent="0.25">
      <c r="A21" s="22"/>
      <c r="B21" s="18"/>
      <c r="C21" s="18"/>
      <c r="D21" s="18"/>
      <c r="E21" s="91"/>
      <c r="F21" s="91"/>
      <c r="G21" s="30" t="s">
        <v>33</v>
      </c>
      <c r="H21" s="18"/>
      <c r="I21" s="25"/>
      <c r="J21" s="18"/>
      <c r="K21" s="18"/>
      <c r="L21" s="19"/>
    </row>
    <row r="22" spans="1:15" x14ac:dyDescent="0.25">
      <c r="A22" s="2" t="s">
        <v>76</v>
      </c>
      <c r="B22" s="7" t="s">
        <v>8</v>
      </c>
      <c r="C22" s="2" t="s">
        <v>10</v>
      </c>
      <c r="D22" s="2" t="s">
        <v>4</v>
      </c>
      <c r="E22" s="92">
        <v>2021</v>
      </c>
      <c r="F22" s="92">
        <v>2021</v>
      </c>
      <c r="G22" s="2"/>
      <c r="H22" s="3">
        <v>60</v>
      </c>
      <c r="I22" s="24" t="s">
        <v>16</v>
      </c>
      <c r="J22" s="2" t="s">
        <v>118</v>
      </c>
      <c r="K22" s="2" t="s">
        <v>16</v>
      </c>
      <c r="L22" s="2"/>
    </row>
    <row r="23" spans="1:15" x14ac:dyDescent="0.25">
      <c r="A23" s="22"/>
      <c r="B23" s="18"/>
      <c r="C23" s="18"/>
      <c r="D23" s="18"/>
      <c r="E23" s="91"/>
      <c r="F23" s="91"/>
      <c r="G23" s="30" t="s">
        <v>34</v>
      </c>
      <c r="H23" s="18"/>
      <c r="I23" s="25"/>
      <c r="J23" s="18"/>
      <c r="K23" s="18"/>
      <c r="L23" s="19"/>
    </row>
    <row r="24" spans="1:15" x14ac:dyDescent="0.25">
      <c r="A24" s="2" t="s">
        <v>78</v>
      </c>
      <c r="B24" s="4" t="s">
        <v>6</v>
      </c>
      <c r="C24" s="2" t="s">
        <v>10</v>
      </c>
      <c r="D24" s="2" t="s">
        <v>4</v>
      </c>
      <c r="E24" s="92">
        <v>2021</v>
      </c>
      <c r="F24" s="92">
        <v>2021</v>
      </c>
      <c r="G24" s="2"/>
      <c r="H24" s="3">
        <v>60</v>
      </c>
      <c r="I24" s="24" t="s">
        <v>16</v>
      </c>
      <c r="J24" s="11" t="s">
        <v>118</v>
      </c>
      <c r="K24" s="2" t="s">
        <v>16</v>
      </c>
      <c r="L24" s="2"/>
    </row>
    <row r="25" spans="1:15" x14ac:dyDescent="0.25">
      <c r="A25" s="2" t="s">
        <v>79</v>
      </c>
      <c r="B25" s="7" t="s">
        <v>8</v>
      </c>
      <c r="C25" s="2" t="s">
        <v>10</v>
      </c>
      <c r="D25" s="2" t="s">
        <v>4</v>
      </c>
      <c r="E25" s="92">
        <v>2021</v>
      </c>
      <c r="F25" s="92">
        <v>2021</v>
      </c>
      <c r="G25" s="2"/>
      <c r="H25" s="3">
        <v>95</v>
      </c>
      <c r="I25" s="24" t="s">
        <v>16</v>
      </c>
      <c r="J25" s="11" t="s">
        <v>119</v>
      </c>
      <c r="K25" s="2" t="s">
        <v>16</v>
      </c>
      <c r="L25" s="2"/>
    </row>
    <row r="26" spans="1:15" x14ac:dyDescent="0.25">
      <c r="A26" s="2" t="s">
        <v>80</v>
      </c>
      <c r="B26" s="6" t="s">
        <v>5</v>
      </c>
      <c r="C26" s="2" t="s">
        <v>10</v>
      </c>
      <c r="D26" s="2" t="s">
        <v>4</v>
      </c>
      <c r="E26" s="92">
        <v>2020</v>
      </c>
      <c r="F26" s="92">
        <v>2021</v>
      </c>
      <c r="G26" s="2"/>
      <c r="H26" s="5">
        <v>161</v>
      </c>
      <c r="I26" s="24" t="s">
        <v>17</v>
      </c>
      <c r="J26" s="2" t="s">
        <v>118</v>
      </c>
      <c r="K26" s="2" t="s">
        <v>16</v>
      </c>
      <c r="L26" s="2"/>
    </row>
    <row r="27" spans="1:15" x14ac:dyDescent="0.25">
      <c r="A27" s="26"/>
      <c r="B27" s="18"/>
      <c r="C27" s="18"/>
      <c r="D27" s="18"/>
      <c r="E27" s="91"/>
      <c r="F27" s="91"/>
      <c r="G27" s="30" t="s">
        <v>35</v>
      </c>
      <c r="H27" s="18"/>
      <c r="I27" s="25"/>
      <c r="J27" s="18"/>
      <c r="K27" s="18"/>
      <c r="L27" s="19"/>
    </row>
    <row r="28" spans="1:15" x14ac:dyDescent="0.25">
      <c r="A28" s="2" t="s">
        <v>11</v>
      </c>
      <c r="B28" s="7" t="s">
        <v>8</v>
      </c>
      <c r="C28" s="2" t="s">
        <v>10</v>
      </c>
      <c r="D28" s="2" t="s">
        <v>4</v>
      </c>
      <c r="E28" s="92">
        <v>2021</v>
      </c>
      <c r="F28" s="92">
        <v>2022</v>
      </c>
      <c r="G28" s="2"/>
      <c r="H28" s="3">
        <v>65</v>
      </c>
      <c r="I28" s="24" t="s">
        <v>16</v>
      </c>
      <c r="J28" s="2" t="s">
        <v>118</v>
      </c>
      <c r="K28" s="2" t="s">
        <v>16</v>
      </c>
      <c r="L28" s="2"/>
    </row>
    <row r="29" spans="1:15" x14ac:dyDescent="0.25">
      <c r="A29" s="26"/>
      <c r="B29" s="18"/>
      <c r="C29" s="18"/>
      <c r="D29" s="18"/>
      <c r="E29" s="91"/>
      <c r="F29" s="91"/>
      <c r="G29" s="30" t="s">
        <v>36</v>
      </c>
      <c r="H29" s="18"/>
      <c r="I29" s="25"/>
      <c r="J29" s="18"/>
      <c r="K29" s="18"/>
      <c r="L29" s="19"/>
    </row>
    <row r="30" spans="1:15" x14ac:dyDescent="0.25">
      <c r="A30" s="2" t="s">
        <v>81</v>
      </c>
      <c r="B30" s="7" t="s">
        <v>8</v>
      </c>
      <c r="C30" s="2" t="s">
        <v>10</v>
      </c>
      <c r="D30" s="2" t="s">
        <v>4</v>
      </c>
      <c r="E30" s="92">
        <v>2021</v>
      </c>
      <c r="F30" s="92">
        <v>2022</v>
      </c>
      <c r="G30" s="2"/>
      <c r="H30" s="3">
        <v>55</v>
      </c>
      <c r="I30" s="24" t="s">
        <v>16</v>
      </c>
      <c r="J30" s="2" t="s">
        <v>118</v>
      </c>
      <c r="K30" s="2" t="s">
        <v>16</v>
      </c>
      <c r="L30" s="2"/>
    </row>
    <row r="31" spans="1:15" x14ac:dyDescent="0.25">
      <c r="A31" s="2" t="s">
        <v>82</v>
      </c>
      <c r="B31" s="6" t="s">
        <v>5</v>
      </c>
      <c r="C31" s="2" t="s">
        <v>10</v>
      </c>
      <c r="D31" s="2" t="s">
        <v>4</v>
      </c>
      <c r="E31" s="92">
        <v>2021</v>
      </c>
      <c r="F31" s="92">
        <v>2022</v>
      </c>
      <c r="G31" s="2"/>
      <c r="H31" s="3">
        <v>78</v>
      </c>
      <c r="I31" s="24" t="s">
        <v>16</v>
      </c>
      <c r="J31" s="2" t="s">
        <v>119</v>
      </c>
      <c r="K31" s="2" t="s">
        <v>16</v>
      </c>
      <c r="L31" s="2"/>
    </row>
    <row r="32" spans="1:15" x14ac:dyDescent="0.25">
      <c r="A32" s="2" t="s">
        <v>83</v>
      </c>
      <c r="B32" s="7" t="s">
        <v>8</v>
      </c>
      <c r="C32" s="2" t="s">
        <v>10</v>
      </c>
      <c r="D32" s="2" t="s">
        <v>4</v>
      </c>
      <c r="E32" s="92">
        <v>2021</v>
      </c>
      <c r="F32" s="92">
        <v>2022</v>
      </c>
      <c r="G32" s="2"/>
      <c r="H32" s="5">
        <v>99</v>
      </c>
      <c r="I32" s="24" t="s">
        <v>17</v>
      </c>
      <c r="J32" s="2" t="s">
        <v>119</v>
      </c>
      <c r="K32" s="2" t="s">
        <v>17</v>
      </c>
      <c r="L32" s="2"/>
    </row>
    <row r="33" spans="1:12" x14ac:dyDescent="0.25">
      <c r="A33" s="26"/>
      <c r="B33" s="18"/>
      <c r="C33" s="18"/>
      <c r="D33" s="18"/>
      <c r="E33" s="91"/>
      <c r="F33" s="91"/>
      <c r="G33" s="30" t="s">
        <v>37</v>
      </c>
      <c r="H33" s="18"/>
      <c r="I33" s="25"/>
      <c r="J33" s="18"/>
      <c r="K33" s="18"/>
      <c r="L33" s="19"/>
    </row>
    <row r="34" spans="1:12" x14ac:dyDescent="0.25">
      <c r="A34" s="2" t="s">
        <v>84</v>
      </c>
      <c r="B34" s="6" t="s">
        <v>5</v>
      </c>
      <c r="C34" s="2" t="s">
        <v>10</v>
      </c>
      <c r="D34" s="2" t="s">
        <v>4</v>
      </c>
      <c r="E34" s="92">
        <v>2021</v>
      </c>
      <c r="F34" s="94">
        <v>2021</v>
      </c>
      <c r="G34" s="24"/>
      <c r="H34" s="5">
        <v>128</v>
      </c>
      <c r="I34" s="24" t="s">
        <v>17</v>
      </c>
      <c r="J34" s="2" t="s">
        <v>118</v>
      </c>
      <c r="K34" s="2" t="s">
        <v>16</v>
      </c>
      <c r="L34" s="2"/>
    </row>
    <row r="35" spans="1:12" x14ac:dyDescent="0.25">
      <c r="A35" s="2" t="s">
        <v>60</v>
      </c>
      <c r="B35" s="6" t="s">
        <v>5</v>
      </c>
      <c r="C35" s="2" t="s">
        <v>10</v>
      </c>
      <c r="D35" s="2" t="s">
        <v>4</v>
      </c>
      <c r="E35" s="92">
        <v>2021</v>
      </c>
      <c r="F35" s="92">
        <v>2021</v>
      </c>
      <c r="G35" s="24"/>
      <c r="H35" s="5">
        <v>98</v>
      </c>
      <c r="I35" s="24" t="s">
        <v>17</v>
      </c>
      <c r="J35" s="2" t="s">
        <v>119</v>
      </c>
      <c r="K35" s="2" t="s">
        <v>17</v>
      </c>
      <c r="L35" s="2"/>
    </row>
    <row r="36" spans="1:12" x14ac:dyDescent="0.25">
      <c r="A36" s="26"/>
      <c r="B36" s="18"/>
      <c r="C36" s="18"/>
      <c r="D36" s="18"/>
      <c r="E36" s="91"/>
      <c r="F36" s="91"/>
      <c r="G36" s="30" t="s">
        <v>38</v>
      </c>
      <c r="H36" s="18"/>
      <c r="I36" s="18"/>
      <c r="J36" s="18"/>
      <c r="K36" s="18"/>
      <c r="L36" s="19"/>
    </row>
    <row r="37" spans="1:12" x14ac:dyDescent="0.25">
      <c r="A37" s="31" t="s">
        <v>85</v>
      </c>
      <c r="B37" s="14" t="s">
        <v>7</v>
      </c>
      <c r="C37" s="31" t="s">
        <v>60</v>
      </c>
      <c r="D37" s="11" t="s">
        <v>4</v>
      </c>
      <c r="E37" s="23">
        <v>2021</v>
      </c>
      <c r="F37" s="95">
        <v>2021</v>
      </c>
      <c r="G37" s="31"/>
      <c r="H37" s="33">
        <v>109</v>
      </c>
      <c r="I37" s="31" t="s">
        <v>17</v>
      </c>
      <c r="J37" s="2" t="s">
        <v>118</v>
      </c>
      <c r="K37" s="32" t="s">
        <v>17</v>
      </c>
      <c r="L37" s="31"/>
    </row>
    <row r="38" spans="1:12" x14ac:dyDescent="0.25">
      <c r="A38" s="31" t="s">
        <v>86</v>
      </c>
      <c r="B38" s="4" t="s">
        <v>6</v>
      </c>
      <c r="C38" s="31" t="s">
        <v>10</v>
      </c>
      <c r="D38" s="11" t="s">
        <v>4</v>
      </c>
      <c r="E38" s="23">
        <v>2021</v>
      </c>
      <c r="F38" s="95">
        <v>2021</v>
      </c>
      <c r="G38" s="31"/>
      <c r="H38" s="34">
        <v>98</v>
      </c>
      <c r="I38" s="31" t="s">
        <v>16</v>
      </c>
      <c r="J38" s="2" t="s">
        <v>119</v>
      </c>
      <c r="K38" s="32" t="s">
        <v>16</v>
      </c>
      <c r="L38" s="31"/>
    </row>
    <row r="39" spans="1:12" x14ac:dyDescent="0.25">
      <c r="A39" s="26"/>
      <c r="B39" s="18"/>
      <c r="C39" s="18"/>
      <c r="D39" s="18"/>
      <c r="E39" s="91"/>
      <c r="F39" s="91"/>
      <c r="G39" s="30" t="s">
        <v>18</v>
      </c>
      <c r="H39" s="18"/>
      <c r="I39" s="18"/>
      <c r="J39" s="18"/>
      <c r="K39" s="18"/>
      <c r="L39" s="19"/>
    </row>
    <row r="40" spans="1:12" x14ac:dyDescent="0.25">
      <c r="A40" s="31" t="s">
        <v>87</v>
      </c>
      <c r="B40" s="4" t="s">
        <v>6</v>
      </c>
      <c r="C40" s="31" t="s">
        <v>10</v>
      </c>
      <c r="D40" s="11" t="s">
        <v>4</v>
      </c>
      <c r="E40" s="23">
        <v>2021</v>
      </c>
      <c r="F40" s="95">
        <v>2021</v>
      </c>
      <c r="G40" s="31"/>
      <c r="H40" s="33">
        <v>228</v>
      </c>
      <c r="I40" s="31" t="s">
        <v>17</v>
      </c>
      <c r="J40" s="2" t="s">
        <v>118</v>
      </c>
      <c r="K40" s="32" t="s">
        <v>16</v>
      </c>
      <c r="L40" s="31"/>
    </row>
    <row r="41" spans="1:12" x14ac:dyDescent="0.25">
      <c r="A41" s="31" t="s">
        <v>88</v>
      </c>
      <c r="B41" s="6" t="s">
        <v>5</v>
      </c>
      <c r="C41" s="31" t="s">
        <v>11</v>
      </c>
      <c r="D41" s="11" t="s">
        <v>4</v>
      </c>
      <c r="E41" s="23">
        <v>2020</v>
      </c>
      <c r="F41" s="95">
        <v>2021</v>
      </c>
      <c r="G41" s="31"/>
      <c r="H41" s="33">
        <v>322</v>
      </c>
      <c r="I41" s="31" t="s">
        <v>17</v>
      </c>
      <c r="J41" s="2" t="s">
        <v>119</v>
      </c>
      <c r="K41" s="32" t="s">
        <v>17</v>
      </c>
      <c r="L41" s="31"/>
    </row>
  </sheetData>
  <autoFilter ref="B1:K1" xr:uid="{38D687C8-F8EC-4661-8960-4261DF437A12}"/>
  <pageMargins left="0.7" right="0.7" top="0.75" bottom="0.75" header="0.3" footer="0.3"/>
  <pageSetup paperSize="8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5736-CB52-4CDE-BA45-1C2A15BB6819}">
  <sheetPr codeName="Feuil1">
    <pageSetUpPr fitToPage="1"/>
  </sheetPr>
  <dimension ref="A1:O31"/>
  <sheetViews>
    <sheetView workbookViewId="0">
      <pane ySplit="1" topLeftCell="A2" activePane="bottomLeft" state="frozen"/>
      <selection pane="bottomLeft" activeCell="J31" sqref="J31"/>
    </sheetView>
  </sheetViews>
  <sheetFormatPr baseColWidth="10" defaultRowHeight="15" x14ac:dyDescent="0.25"/>
  <cols>
    <col min="1" max="1" width="21.85546875" style="1" customWidth="1"/>
    <col min="2" max="2" width="14.7109375" style="1" customWidth="1"/>
    <col min="3" max="3" width="11.42578125" style="1" customWidth="1"/>
    <col min="4" max="4" width="11.42578125" style="1"/>
    <col min="5" max="5" width="12.85546875" style="1" customWidth="1"/>
    <col min="6" max="6" width="15" style="1" customWidth="1"/>
    <col min="7" max="7" width="20.85546875" style="1" customWidth="1"/>
    <col min="8" max="8" width="15.140625" style="1" customWidth="1"/>
    <col min="9" max="9" width="8.42578125" style="10" customWidth="1"/>
    <col min="10" max="10" width="11.42578125" style="1"/>
    <col min="11" max="11" width="15.85546875" style="1" customWidth="1"/>
    <col min="12" max="12" width="57.140625" style="1" customWidth="1"/>
    <col min="13" max="16384" width="11.42578125" style="1"/>
  </cols>
  <sheetData>
    <row r="1" spans="1:15" ht="25.5" customHeight="1" x14ac:dyDescent="0.25">
      <c r="A1" s="9" t="s">
        <v>0</v>
      </c>
      <c r="B1" s="9" t="s">
        <v>63</v>
      </c>
      <c r="C1" s="9" t="s">
        <v>9</v>
      </c>
      <c r="D1" s="9" t="s">
        <v>1</v>
      </c>
      <c r="E1" s="9" t="s">
        <v>58</v>
      </c>
      <c r="F1" s="9" t="s">
        <v>59</v>
      </c>
      <c r="G1" s="9" t="s">
        <v>2</v>
      </c>
      <c r="H1" s="9" t="s">
        <v>3</v>
      </c>
      <c r="I1" s="9" t="s">
        <v>15</v>
      </c>
      <c r="J1" s="9" t="s">
        <v>117</v>
      </c>
      <c r="K1" s="27" t="s">
        <v>62</v>
      </c>
      <c r="L1" s="9" t="s">
        <v>14</v>
      </c>
    </row>
    <row r="2" spans="1:15" x14ac:dyDescent="0.25">
      <c r="A2" s="26"/>
      <c r="B2" s="18"/>
      <c r="C2" s="18"/>
      <c r="D2" s="18"/>
      <c r="E2" s="18"/>
      <c r="F2" s="18"/>
      <c r="G2" s="30" t="s">
        <v>20</v>
      </c>
      <c r="H2" s="18"/>
      <c r="I2" s="18"/>
      <c r="J2" s="18"/>
      <c r="K2" s="18"/>
      <c r="L2" s="19"/>
    </row>
    <row r="3" spans="1:15" s="15" customFormat="1" x14ac:dyDescent="0.25">
      <c r="A3" s="11" t="s">
        <v>89</v>
      </c>
      <c r="B3" s="4" t="s">
        <v>6</v>
      </c>
      <c r="C3" s="11" t="s">
        <v>11</v>
      </c>
      <c r="D3" s="11" t="s">
        <v>4</v>
      </c>
      <c r="E3" s="23">
        <v>2020</v>
      </c>
      <c r="F3" s="23">
        <v>2022</v>
      </c>
      <c r="G3" s="11"/>
      <c r="H3" s="13">
        <v>271</v>
      </c>
      <c r="I3" s="23" t="s">
        <v>17</v>
      </c>
      <c r="J3" s="11" t="s">
        <v>118</v>
      </c>
      <c r="K3" s="11" t="s">
        <v>17</v>
      </c>
      <c r="L3" s="11"/>
    </row>
    <row r="4" spans="1:15" x14ac:dyDescent="0.25">
      <c r="A4" s="11" t="s">
        <v>90</v>
      </c>
      <c r="B4" s="14" t="s">
        <v>7</v>
      </c>
      <c r="C4" s="11" t="s">
        <v>60</v>
      </c>
      <c r="D4" s="12" t="s">
        <v>4</v>
      </c>
      <c r="E4" s="90">
        <v>2020</v>
      </c>
      <c r="F4" s="23">
        <v>2022</v>
      </c>
      <c r="G4" s="11"/>
      <c r="H4" s="13">
        <v>497</v>
      </c>
      <c r="I4" s="23" t="s">
        <v>17</v>
      </c>
      <c r="J4" s="11" t="s">
        <v>118</v>
      </c>
      <c r="K4" s="11" t="s">
        <v>17</v>
      </c>
      <c r="L4" s="11" t="s">
        <v>13</v>
      </c>
    </row>
    <row r="5" spans="1:15" x14ac:dyDescent="0.25">
      <c r="A5" s="22"/>
      <c r="B5" s="18"/>
      <c r="C5" s="18"/>
      <c r="D5" s="18"/>
      <c r="E5" s="91"/>
      <c r="F5" s="91"/>
      <c r="G5" s="21" t="s">
        <v>19</v>
      </c>
      <c r="H5" s="18"/>
      <c r="I5" s="25"/>
      <c r="J5" s="18"/>
      <c r="K5" s="18"/>
      <c r="L5" s="19"/>
    </row>
    <row r="6" spans="1:15" x14ac:dyDescent="0.25">
      <c r="A6" s="11" t="s">
        <v>91</v>
      </c>
      <c r="B6" s="6" t="s">
        <v>5</v>
      </c>
      <c r="C6" s="11" t="s">
        <v>11</v>
      </c>
      <c r="D6" s="12" t="s">
        <v>4</v>
      </c>
      <c r="E6" s="90">
        <v>2021</v>
      </c>
      <c r="F6" s="23">
        <v>2022</v>
      </c>
      <c r="G6" s="11"/>
      <c r="H6" s="13">
        <v>132</v>
      </c>
      <c r="I6" s="23" t="s">
        <v>17</v>
      </c>
      <c r="J6" s="11" t="s">
        <v>119</v>
      </c>
      <c r="K6" s="11" t="s">
        <v>17</v>
      </c>
      <c r="L6" s="11"/>
    </row>
    <row r="7" spans="1:15" x14ac:dyDescent="0.25">
      <c r="A7" s="2" t="s">
        <v>92</v>
      </c>
      <c r="B7" s="6" t="s">
        <v>5</v>
      </c>
      <c r="C7" s="2" t="s">
        <v>10</v>
      </c>
      <c r="D7" s="2" t="s">
        <v>4</v>
      </c>
      <c r="E7" s="92">
        <v>2021</v>
      </c>
      <c r="F7" s="92">
        <v>2022</v>
      </c>
      <c r="G7" s="2"/>
      <c r="H7" s="5">
        <v>100</v>
      </c>
      <c r="I7" s="24" t="s">
        <v>17</v>
      </c>
      <c r="J7" s="2" t="s">
        <v>118</v>
      </c>
      <c r="K7" s="2" t="s">
        <v>17</v>
      </c>
      <c r="L7" s="2" t="s">
        <v>12</v>
      </c>
    </row>
    <row r="8" spans="1:15" x14ac:dyDescent="0.25">
      <c r="A8" s="11" t="s">
        <v>93</v>
      </c>
      <c r="B8" s="6" t="s">
        <v>5</v>
      </c>
      <c r="C8" s="11" t="s">
        <v>10</v>
      </c>
      <c r="D8" s="12" t="s">
        <v>4</v>
      </c>
      <c r="E8" s="90">
        <v>2021</v>
      </c>
      <c r="F8" s="23">
        <v>2022</v>
      </c>
      <c r="G8" s="11"/>
      <c r="H8" s="16">
        <v>114</v>
      </c>
      <c r="I8" s="23" t="s">
        <v>16</v>
      </c>
      <c r="J8" s="11" t="s">
        <v>119</v>
      </c>
      <c r="K8" s="11" t="s">
        <v>16</v>
      </c>
      <c r="L8" s="11"/>
    </row>
    <row r="9" spans="1:15" x14ac:dyDescent="0.25">
      <c r="A9" s="11" t="s">
        <v>94</v>
      </c>
      <c r="B9" s="6" t="s">
        <v>5</v>
      </c>
      <c r="C9" s="11" t="s">
        <v>10</v>
      </c>
      <c r="D9" s="12" t="s">
        <v>4</v>
      </c>
      <c r="E9" s="90">
        <v>2021</v>
      </c>
      <c r="F9" s="23">
        <v>2022</v>
      </c>
      <c r="G9" s="11"/>
      <c r="H9" s="13">
        <v>181</v>
      </c>
      <c r="I9" s="23" t="s">
        <v>17</v>
      </c>
      <c r="J9" s="11" t="s">
        <v>119</v>
      </c>
      <c r="K9" s="11" t="s">
        <v>16</v>
      </c>
      <c r="L9" s="11"/>
    </row>
    <row r="10" spans="1:15" s="10" customFormat="1" x14ac:dyDescent="0.25">
      <c r="A10" s="22"/>
      <c r="B10" s="18"/>
      <c r="C10" s="18"/>
      <c r="D10" s="18"/>
      <c r="E10" s="91"/>
      <c r="F10" s="91"/>
      <c r="G10" s="30" t="s">
        <v>21</v>
      </c>
      <c r="H10" s="18"/>
      <c r="I10" s="25"/>
      <c r="J10" s="18"/>
      <c r="K10" s="18"/>
      <c r="L10" s="19"/>
    </row>
    <row r="11" spans="1:15" s="10" customFormat="1" x14ac:dyDescent="0.25">
      <c r="A11" s="2" t="s">
        <v>95</v>
      </c>
      <c r="B11" s="4" t="s">
        <v>6</v>
      </c>
      <c r="C11" s="2" t="s">
        <v>10</v>
      </c>
      <c r="D11" s="2" t="s">
        <v>4</v>
      </c>
      <c r="E11" s="92">
        <v>2021</v>
      </c>
      <c r="F11" s="92">
        <v>2022</v>
      </c>
      <c r="G11" s="2"/>
      <c r="H11" s="5">
        <v>285</v>
      </c>
      <c r="I11" s="24" t="s">
        <v>17</v>
      </c>
      <c r="J11" s="2" t="s">
        <v>118</v>
      </c>
      <c r="K11" s="2" t="s">
        <v>17</v>
      </c>
      <c r="L11" s="2"/>
    </row>
    <row r="12" spans="1:15" x14ac:dyDescent="0.25">
      <c r="A12" s="2" t="s">
        <v>96</v>
      </c>
      <c r="B12" s="8" t="s">
        <v>7</v>
      </c>
      <c r="C12" s="2" t="s">
        <v>10</v>
      </c>
      <c r="D12" s="2" t="s">
        <v>4</v>
      </c>
      <c r="E12" s="92">
        <v>2022</v>
      </c>
      <c r="F12" s="92">
        <v>2022</v>
      </c>
      <c r="G12" s="2"/>
      <c r="H12" s="3">
        <v>52</v>
      </c>
      <c r="I12" s="24" t="s">
        <v>16</v>
      </c>
      <c r="J12" s="11" t="s">
        <v>119</v>
      </c>
      <c r="K12" s="2" t="s">
        <v>16</v>
      </c>
      <c r="L12" s="2"/>
    </row>
    <row r="13" spans="1:15" x14ac:dyDescent="0.25">
      <c r="A13" s="22"/>
      <c r="B13" s="18"/>
      <c r="C13" s="18"/>
      <c r="D13" s="18"/>
      <c r="E13" s="91"/>
      <c r="F13" s="91"/>
      <c r="G13" s="30" t="s">
        <v>22</v>
      </c>
      <c r="H13" s="18"/>
      <c r="I13" s="25"/>
      <c r="J13" s="18"/>
      <c r="K13" s="18"/>
      <c r="L13" s="19"/>
    </row>
    <row r="14" spans="1:15" s="15" customFormat="1" x14ac:dyDescent="0.25">
      <c r="A14" s="11" t="s">
        <v>97</v>
      </c>
      <c r="B14" s="8" t="s">
        <v>7</v>
      </c>
      <c r="C14" s="11" t="s">
        <v>10</v>
      </c>
      <c r="D14" s="2" t="s">
        <v>4</v>
      </c>
      <c r="E14" s="92">
        <v>2021</v>
      </c>
      <c r="F14" s="23">
        <v>2022</v>
      </c>
      <c r="G14" s="11"/>
      <c r="H14" s="13">
        <v>209</v>
      </c>
      <c r="I14" s="23" t="s">
        <v>17</v>
      </c>
      <c r="J14" s="11" t="s">
        <v>118</v>
      </c>
      <c r="K14" s="11" t="s">
        <v>16</v>
      </c>
      <c r="L14" s="11"/>
    </row>
    <row r="15" spans="1:15" s="10" customFormat="1" x14ac:dyDescent="0.25">
      <c r="A15" s="22"/>
      <c r="B15" s="18"/>
      <c r="C15" s="18"/>
      <c r="D15" s="18"/>
      <c r="E15" s="91"/>
      <c r="F15" s="91"/>
      <c r="G15" s="30" t="s">
        <v>23</v>
      </c>
      <c r="H15" s="18"/>
      <c r="I15" s="25"/>
      <c r="J15" s="18"/>
      <c r="K15" s="18"/>
      <c r="L15" s="19"/>
    </row>
    <row r="16" spans="1:15" x14ac:dyDescent="0.25">
      <c r="A16" s="2" t="s">
        <v>98</v>
      </c>
      <c r="B16" s="8" t="s">
        <v>7</v>
      </c>
      <c r="C16" s="2" t="s">
        <v>10</v>
      </c>
      <c r="D16" s="2" t="s">
        <v>4</v>
      </c>
      <c r="E16" s="92">
        <v>2022</v>
      </c>
      <c r="F16" s="92">
        <v>2022</v>
      </c>
      <c r="G16" s="2"/>
      <c r="H16" s="3">
        <v>62</v>
      </c>
      <c r="I16" s="24" t="s">
        <v>16</v>
      </c>
      <c r="J16" s="2" t="s">
        <v>119</v>
      </c>
      <c r="K16" s="2" t="s">
        <v>16</v>
      </c>
      <c r="L16" s="2"/>
      <c r="O16" s="20"/>
    </row>
    <row r="17" spans="1:12" x14ac:dyDescent="0.25">
      <c r="A17" s="22"/>
      <c r="B17" s="18"/>
      <c r="C17" s="18"/>
      <c r="D17" s="18"/>
      <c r="E17" s="91"/>
      <c r="F17" s="91"/>
      <c r="G17" s="30" t="s">
        <v>24</v>
      </c>
      <c r="H17" s="18"/>
      <c r="I17" s="25"/>
      <c r="J17" s="18"/>
      <c r="K17" s="18"/>
      <c r="L17" s="19"/>
    </row>
    <row r="18" spans="1:12" x14ac:dyDescent="0.25">
      <c r="A18" s="2" t="s">
        <v>99</v>
      </c>
      <c r="B18" s="6" t="s">
        <v>5</v>
      </c>
      <c r="C18" s="2" t="s">
        <v>10</v>
      </c>
      <c r="D18" s="2" t="s">
        <v>4</v>
      </c>
      <c r="E18" s="92">
        <v>2022</v>
      </c>
      <c r="F18" s="92">
        <v>2022</v>
      </c>
      <c r="G18" s="2"/>
      <c r="H18" s="3">
        <v>75</v>
      </c>
      <c r="I18" s="24" t="s">
        <v>16</v>
      </c>
      <c r="J18" s="2" t="s">
        <v>118</v>
      </c>
      <c r="K18" s="2" t="s">
        <v>16</v>
      </c>
      <c r="L18" s="2"/>
    </row>
    <row r="19" spans="1:12" x14ac:dyDescent="0.25">
      <c r="A19" s="2" t="s">
        <v>100</v>
      </c>
      <c r="B19" s="6" t="s">
        <v>5</v>
      </c>
      <c r="C19" s="2" t="s">
        <v>10</v>
      </c>
      <c r="D19" s="2" t="s">
        <v>4</v>
      </c>
      <c r="E19" s="92">
        <v>2022</v>
      </c>
      <c r="F19" s="92">
        <v>2022</v>
      </c>
      <c r="G19" s="2"/>
      <c r="H19" s="5">
        <v>113</v>
      </c>
      <c r="I19" s="24" t="s">
        <v>17</v>
      </c>
      <c r="J19" s="2" t="s">
        <v>119</v>
      </c>
      <c r="K19" s="2" t="s">
        <v>17</v>
      </c>
      <c r="L19" s="2"/>
    </row>
    <row r="20" spans="1:12" x14ac:dyDescent="0.25">
      <c r="A20" s="2" t="s">
        <v>101</v>
      </c>
      <c r="B20" s="6" t="s">
        <v>5</v>
      </c>
      <c r="C20" s="2" t="s">
        <v>10</v>
      </c>
      <c r="D20" s="2" t="s">
        <v>4</v>
      </c>
      <c r="E20" s="92">
        <v>2022</v>
      </c>
      <c r="F20" s="92">
        <v>2022</v>
      </c>
      <c r="G20" s="2"/>
      <c r="H20" s="3">
        <v>62</v>
      </c>
      <c r="I20" s="24" t="s">
        <v>16</v>
      </c>
      <c r="J20" s="2" t="s">
        <v>119</v>
      </c>
      <c r="K20" s="2" t="s">
        <v>16</v>
      </c>
      <c r="L20" s="2"/>
    </row>
    <row r="21" spans="1:12" x14ac:dyDescent="0.25">
      <c r="A21" s="22"/>
      <c r="B21" s="18"/>
      <c r="C21" s="18"/>
      <c r="D21" s="18"/>
      <c r="E21" s="91"/>
      <c r="F21" s="91"/>
      <c r="G21" s="30" t="s">
        <v>25</v>
      </c>
      <c r="H21" s="18"/>
      <c r="I21" s="25"/>
      <c r="J21" s="18"/>
      <c r="K21" s="18"/>
      <c r="L21" s="19"/>
    </row>
    <row r="22" spans="1:12" x14ac:dyDescent="0.25">
      <c r="A22" s="2" t="s">
        <v>102</v>
      </c>
      <c r="B22" s="6" t="s">
        <v>5</v>
      </c>
      <c r="C22" s="2" t="s">
        <v>10</v>
      </c>
      <c r="D22" s="2" t="s">
        <v>4</v>
      </c>
      <c r="E22" s="92">
        <v>2022</v>
      </c>
      <c r="F22" s="92">
        <v>2022</v>
      </c>
      <c r="G22" s="2"/>
      <c r="H22" s="3">
        <v>116</v>
      </c>
      <c r="I22" s="24" t="s">
        <v>16</v>
      </c>
      <c r="J22" s="2" t="s">
        <v>118</v>
      </c>
      <c r="K22" s="2" t="s">
        <v>16</v>
      </c>
      <c r="L22" s="2"/>
    </row>
    <row r="23" spans="1:12" x14ac:dyDescent="0.25">
      <c r="A23" s="26"/>
      <c r="B23" s="18"/>
      <c r="C23" s="18"/>
      <c r="D23" s="18"/>
      <c r="E23" s="91"/>
      <c r="F23" s="91"/>
      <c r="G23" s="30" t="s">
        <v>26</v>
      </c>
      <c r="H23" s="18"/>
      <c r="I23" s="25"/>
      <c r="J23" s="18"/>
      <c r="K23" s="18"/>
      <c r="L23" s="19"/>
    </row>
    <row r="24" spans="1:12" x14ac:dyDescent="0.25">
      <c r="A24" s="2" t="s">
        <v>103</v>
      </c>
      <c r="B24" s="8" t="s">
        <v>7</v>
      </c>
      <c r="C24" s="2" t="s">
        <v>10</v>
      </c>
      <c r="D24" s="2" t="s">
        <v>4</v>
      </c>
      <c r="E24" s="92">
        <v>2022</v>
      </c>
      <c r="F24" s="92">
        <v>2022</v>
      </c>
      <c r="G24" s="2"/>
      <c r="H24" s="5">
        <v>79</v>
      </c>
      <c r="I24" s="24" t="s">
        <v>17</v>
      </c>
      <c r="J24" s="2" t="s">
        <v>119</v>
      </c>
      <c r="K24" s="2" t="s">
        <v>17</v>
      </c>
      <c r="L24" s="2"/>
    </row>
    <row r="25" spans="1:12" x14ac:dyDescent="0.25">
      <c r="A25" s="2" t="s">
        <v>104</v>
      </c>
      <c r="B25" s="8" t="s">
        <v>7</v>
      </c>
      <c r="C25" s="2" t="s">
        <v>10</v>
      </c>
      <c r="D25" s="2" t="s">
        <v>4</v>
      </c>
      <c r="E25" s="92">
        <v>2022</v>
      </c>
      <c r="F25" s="92">
        <v>2022</v>
      </c>
      <c r="G25" s="2"/>
      <c r="H25" s="3">
        <v>96</v>
      </c>
      <c r="I25" s="24" t="s">
        <v>16</v>
      </c>
      <c r="J25" s="2" t="s">
        <v>119</v>
      </c>
      <c r="K25" s="2" t="s">
        <v>16</v>
      </c>
      <c r="L25" s="2"/>
    </row>
    <row r="26" spans="1:12" x14ac:dyDescent="0.25">
      <c r="A26" s="26"/>
      <c r="B26" s="18"/>
      <c r="C26" s="18"/>
      <c r="D26" s="18"/>
      <c r="E26" s="91"/>
      <c r="F26" s="91"/>
      <c r="G26" s="30" t="s">
        <v>27</v>
      </c>
      <c r="H26" s="18"/>
      <c r="I26" s="25"/>
      <c r="J26" s="18"/>
      <c r="K26" s="18"/>
      <c r="L26" s="19"/>
    </row>
    <row r="27" spans="1:12" x14ac:dyDescent="0.25">
      <c r="A27" s="2" t="s">
        <v>105</v>
      </c>
      <c r="B27" s="6" t="s">
        <v>5</v>
      </c>
      <c r="C27" s="2" t="s">
        <v>11</v>
      </c>
      <c r="D27" s="2" t="s">
        <v>4</v>
      </c>
      <c r="E27" s="92">
        <v>2022</v>
      </c>
      <c r="F27" s="92">
        <v>2022</v>
      </c>
      <c r="G27" s="2"/>
      <c r="H27" s="5">
        <v>386</v>
      </c>
      <c r="I27" s="24" t="s">
        <v>17</v>
      </c>
      <c r="J27" s="2" t="s">
        <v>118</v>
      </c>
      <c r="K27" s="2" t="s">
        <v>17</v>
      </c>
      <c r="L27" s="2"/>
    </row>
    <row r="28" spans="1:12" x14ac:dyDescent="0.25">
      <c r="A28" s="2" t="s">
        <v>106</v>
      </c>
      <c r="B28" s="6" t="s">
        <v>5</v>
      </c>
      <c r="C28" s="2" t="s">
        <v>10</v>
      </c>
      <c r="D28" s="2" t="s">
        <v>4</v>
      </c>
      <c r="E28" s="92">
        <v>2022</v>
      </c>
      <c r="F28" s="92">
        <v>2022</v>
      </c>
      <c r="G28" s="2"/>
      <c r="H28" s="3">
        <v>55</v>
      </c>
      <c r="I28" s="24" t="s">
        <v>16</v>
      </c>
      <c r="J28" s="2" t="s">
        <v>118</v>
      </c>
      <c r="K28" s="2" t="s">
        <v>17</v>
      </c>
      <c r="L28" s="2"/>
    </row>
    <row r="29" spans="1:12" x14ac:dyDescent="0.25">
      <c r="A29" s="26"/>
      <c r="B29" s="18"/>
      <c r="C29" s="18"/>
      <c r="D29" s="18"/>
      <c r="E29" s="91"/>
      <c r="F29" s="91"/>
      <c r="G29" s="30" t="s">
        <v>28</v>
      </c>
      <c r="H29" s="18"/>
      <c r="I29" s="25"/>
      <c r="J29" s="18"/>
      <c r="K29" s="18"/>
      <c r="L29" s="19"/>
    </row>
    <row r="30" spans="1:12" x14ac:dyDescent="0.25">
      <c r="A30" s="2" t="s">
        <v>107</v>
      </c>
      <c r="B30" s="7" t="s">
        <v>8</v>
      </c>
      <c r="C30" s="2" t="s">
        <v>10</v>
      </c>
      <c r="D30" s="2" t="s">
        <v>4</v>
      </c>
      <c r="E30" s="92">
        <v>2022</v>
      </c>
      <c r="F30" s="92">
        <v>2022</v>
      </c>
      <c r="G30" s="2"/>
      <c r="H30" s="5">
        <v>106</v>
      </c>
      <c r="I30" s="24" t="s">
        <v>17</v>
      </c>
      <c r="J30" s="2" t="s">
        <v>119</v>
      </c>
      <c r="K30" s="2" t="s">
        <v>17</v>
      </c>
      <c r="L30" s="2"/>
    </row>
    <row r="31" spans="1:12" x14ac:dyDescent="0.25">
      <c r="E31" s="93"/>
      <c r="F31" s="93"/>
    </row>
  </sheetData>
  <autoFilter ref="B1:K30" xr:uid="{76918D7A-D618-4C72-B6E9-0C06E754AAB9}"/>
  <pageMargins left="0.7" right="0.7" top="0.75" bottom="0.75" header="0.3" footer="0.3"/>
  <pageSetup paperSize="8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0448C-0D56-4BE3-98A6-F3AC642A7248}">
  <sheetPr codeName="Feuil2">
    <pageSetUpPr fitToPage="1"/>
  </sheetPr>
  <dimension ref="A1:L32"/>
  <sheetViews>
    <sheetView tabSelected="1" workbookViewId="0">
      <selection activeCell="O24" sqref="O24"/>
    </sheetView>
  </sheetViews>
  <sheetFormatPr baseColWidth="10" defaultRowHeight="15" x14ac:dyDescent="0.25"/>
  <cols>
    <col min="2" max="2" width="49.7109375" customWidth="1"/>
    <col min="3" max="3" width="10.85546875" customWidth="1"/>
    <col min="12" max="12" width="11.42578125" style="1"/>
  </cols>
  <sheetData>
    <row r="1" spans="1:12" ht="15.75" thickBot="1" x14ac:dyDescent="0.3">
      <c r="E1" s="40"/>
      <c r="F1" s="40"/>
      <c r="G1" s="40"/>
      <c r="H1" s="40"/>
      <c r="I1" s="40"/>
      <c r="J1" s="40"/>
      <c r="K1" s="40"/>
      <c r="L1" s="41"/>
    </row>
    <row r="2" spans="1:12" ht="15.75" thickBot="1" x14ac:dyDescent="0.3">
      <c r="C2" s="80" t="s">
        <v>5</v>
      </c>
      <c r="D2" s="81"/>
      <c r="E2" s="82" t="s">
        <v>8</v>
      </c>
      <c r="F2" s="83"/>
      <c r="G2" s="84" t="s">
        <v>7</v>
      </c>
      <c r="H2" s="85"/>
      <c r="I2" s="86" t="s">
        <v>6</v>
      </c>
      <c r="J2" s="87"/>
      <c r="K2" s="88" t="s">
        <v>108</v>
      </c>
      <c r="L2" s="89"/>
    </row>
    <row r="3" spans="1:12" ht="15.75" thickBot="1" x14ac:dyDescent="0.3">
      <c r="B3" s="29"/>
      <c r="C3" s="71">
        <v>2021</v>
      </c>
      <c r="D3" s="72">
        <v>2022</v>
      </c>
      <c r="E3" s="73">
        <v>2021</v>
      </c>
      <c r="F3" s="74">
        <v>2022</v>
      </c>
      <c r="G3" s="71">
        <v>2021</v>
      </c>
      <c r="H3" s="72">
        <v>2022</v>
      </c>
      <c r="I3" s="73">
        <v>2021</v>
      </c>
      <c r="J3" s="74">
        <v>2022</v>
      </c>
      <c r="K3" s="71">
        <v>2021</v>
      </c>
      <c r="L3" s="72">
        <v>2022</v>
      </c>
    </row>
    <row r="4" spans="1:12" x14ac:dyDescent="0.25">
      <c r="B4" s="64" t="s">
        <v>40</v>
      </c>
      <c r="C4" s="70">
        <f>COUNTIF('LISTE DOSSIERS CLOS 2021'!$B:$B,'STATISTIQUES GLOBALES'!C2)</f>
        <v>15</v>
      </c>
      <c r="D4" s="67">
        <f>COUNTIF('LISTE DOSSIERS CLOS 2022'!$B:$B,'STATISTIQUES GLOBALES'!C2)</f>
        <v>10</v>
      </c>
      <c r="E4" s="68">
        <f>COUNTIF('LISTE DOSSIERS CLOS 2021'!$B:$B,'STATISTIQUES GLOBALES'!E2)</f>
        <v>6</v>
      </c>
      <c r="F4" s="69">
        <f>COUNTIF('LISTE DOSSIERS CLOS 2022'!$B:$B,'STATISTIQUES GLOBALES'!E2)</f>
        <v>1</v>
      </c>
      <c r="G4" s="70">
        <f>COUNTIF('LISTE DOSSIERS CLOS 2021'!$B:$B,'STATISTIQUES GLOBALES'!G2)</f>
        <v>1</v>
      </c>
      <c r="H4" s="67">
        <f>COUNTIF('LISTE DOSSIERS CLOS 2022'!$B:$B,'STATISTIQUES GLOBALES'!G2)</f>
        <v>6</v>
      </c>
      <c r="I4" s="68">
        <f>COUNTIF('LISTE DOSSIERS CLOS 2021'!$B:$B,'STATISTIQUES GLOBALES'!I2)</f>
        <v>6</v>
      </c>
      <c r="J4" s="69">
        <f>COUNTIF('LISTE DOSSIERS CLOS 2022'!$B:$B,'STATISTIQUES GLOBALES'!I2)</f>
        <v>2</v>
      </c>
      <c r="K4" s="70">
        <f t="shared" ref="K4:L6" si="0">SUM(C4,E4,G4,I4)</f>
        <v>28</v>
      </c>
      <c r="L4" s="67">
        <f t="shared" si="0"/>
        <v>19</v>
      </c>
    </row>
    <row r="5" spans="1:12" x14ac:dyDescent="0.25">
      <c r="B5" s="49" t="s">
        <v>41</v>
      </c>
      <c r="C5" s="45">
        <f t="shared" ref="C5:J5" ca="1" si="1">C4/(MONTH(TODAY())-1)</f>
        <v>1.6666666666666667</v>
      </c>
      <c r="D5" s="48">
        <f t="shared" ca="1" si="1"/>
        <v>1.1111111111111112</v>
      </c>
      <c r="E5" s="36">
        <f t="shared" ca="1" si="1"/>
        <v>0.66666666666666663</v>
      </c>
      <c r="F5" s="43">
        <f t="shared" ca="1" si="1"/>
        <v>0.1111111111111111</v>
      </c>
      <c r="G5" s="45">
        <f t="shared" ca="1" si="1"/>
        <v>0.1111111111111111</v>
      </c>
      <c r="H5" s="38">
        <f t="shared" ca="1" si="1"/>
        <v>0.66666666666666663</v>
      </c>
      <c r="I5" s="36">
        <f t="shared" ca="1" si="1"/>
        <v>0.66666666666666663</v>
      </c>
      <c r="J5" s="43">
        <f t="shared" ca="1" si="1"/>
        <v>0.22222222222222221</v>
      </c>
      <c r="K5" s="45">
        <f t="shared" ca="1" si="0"/>
        <v>3.1111111111111112</v>
      </c>
      <c r="L5" s="38">
        <f t="shared" ca="1" si="0"/>
        <v>2.1111111111111112</v>
      </c>
    </row>
    <row r="6" spans="1:12" x14ac:dyDescent="0.25">
      <c r="B6" s="49" t="s">
        <v>42</v>
      </c>
      <c r="C6" s="44">
        <f>COUNTIFS('LISTE DOSSIERS CLOS 2021'!$I:$I,"NON",'LISTE DOSSIERS CLOS 2021'!$B:$B,'STATISTIQUES GLOBALES'!C2)</f>
        <v>6</v>
      </c>
      <c r="D6" s="37">
        <f>COUNTIFS('LISTE DOSSIERS CLOS 2022'!$I:$I,"NON",'LISTE DOSSIERS CLOS 2022'!$B:$B,'STATISTIQUES GLOBALES'!C2)</f>
        <v>5</v>
      </c>
      <c r="E6" s="35">
        <f>COUNTIFS('LISTE DOSSIERS CLOS 2021'!$I:$I,"NON",'LISTE DOSSIERS CLOS 2021'!$B:$B,'STATISTIQUES GLOBALES'!E2)</f>
        <v>2</v>
      </c>
      <c r="F6" s="42">
        <f>COUNTIFS('LISTE DOSSIERS CLOS 2022'!$I:$I,"NON",'LISTE DOSSIERS CLOS 2022'!$B:$B,'STATISTIQUES GLOBALES'!E2)</f>
        <v>1</v>
      </c>
      <c r="G6" s="44">
        <f>COUNTIFS('LISTE DOSSIERS CLOS 2021'!$I:$I,"NON",'LISTE DOSSIERS CLOS 2021'!$B:$B,'STATISTIQUES GLOBALES'!G2)</f>
        <v>1</v>
      </c>
      <c r="H6" s="37">
        <f>COUNTIFS('LISTE DOSSIERS CLOS 2022'!$I:$I,"NON",'LISTE DOSSIERS CLOS 2022'!$B:$B,'STATISTIQUES GLOBALES'!G2)</f>
        <v>3</v>
      </c>
      <c r="I6" s="35">
        <f>COUNTIFS('LISTE DOSSIERS CLOS 2021'!$I:$I,"NON",'LISTE DOSSIERS CLOS 2021'!$B:$B,'STATISTIQUES GLOBALES'!I2)</f>
        <v>3</v>
      </c>
      <c r="J6" s="42">
        <f>COUNTIFS('LISTE DOSSIERS CLOS 2022'!$I:$I,"NON",'LISTE DOSSIERS CLOS 2022'!$B:$B,'STATISTIQUES GLOBALES'!I2)</f>
        <v>2</v>
      </c>
      <c r="K6" s="44">
        <f t="shared" si="0"/>
        <v>12</v>
      </c>
      <c r="L6" s="37">
        <f t="shared" si="0"/>
        <v>11</v>
      </c>
    </row>
    <row r="7" spans="1:12" x14ac:dyDescent="0.25">
      <c r="B7" s="49" t="s">
        <v>43</v>
      </c>
      <c r="C7" s="44">
        <f>AVERAGEIFS('LISTE DOSSIERS CLOS 2021'!$H:$H,'LISTE DOSSIERS CLOS 2021'!$I:$I,"NON",'LISTE DOSSIERS CLOS 2021'!$B:$B,"CS")</f>
        <v>420.16666666666669</v>
      </c>
      <c r="D7" s="38">
        <f>AVERAGEIFS('LISTE DOSSIERS CLOS 2022'!$H:$H,'LISTE DOSSIERS CLOS 2022'!$I:$I,"NON",'LISTE DOSSIERS CLOS 2022'!$B:$B,"CS")</f>
        <v>182.4</v>
      </c>
      <c r="E7" s="36">
        <f>AVERAGEIFS('LISTE DOSSIERS CLOS 2021'!$H:$H,'LISTE DOSSIERS CLOS 2021'!$I:$I,"NON",'LISTE DOSSIERS CLOS 2021'!$B:$B,"PAP")</f>
        <v>89.5</v>
      </c>
      <c r="F7" s="43">
        <f>AVERAGEIFS('LISTE DOSSIERS CLOS 2022'!$H:$H,'LISTE DOSSIERS CLOS 2022'!$I:$I,"NON",'LISTE DOSSIERS CLOS 2022'!$B:$B,"PAP")</f>
        <v>106</v>
      </c>
      <c r="G7" s="45">
        <f>AVERAGEIFS('LISTE DOSSIERS CLOS 2021'!$H:$H,'LISTE DOSSIERS CLOS 2021'!$I:$I,"NON",'LISTE DOSSIERS CLOS 2021'!$B:$B,"JL")</f>
        <v>109</v>
      </c>
      <c r="H7" s="38">
        <f>AVERAGEIFS('LISTE DOSSIERS CLOS 2022'!$H:$H,'LISTE DOSSIERS CLOS 2022'!$I:$I,"NON",'LISTE DOSSIERS CLOS 2022'!$B:$B,"JL")</f>
        <v>261.66666666666669</v>
      </c>
      <c r="I7" s="36">
        <f>AVERAGEIFS('LISTE DOSSIERS CLOS 2021'!$H:$H,'LISTE DOSSIERS CLOS 2021'!$I:$I,"NON",'LISTE DOSSIERS CLOS 2022'!$B:$B,"FC")</f>
        <v>420</v>
      </c>
      <c r="J7" s="43">
        <f>AVERAGEIFS('LISTE DOSSIERS CLOS 2022'!$H:$H,'LISTE DOSSIERS CLOS 2022'!$I:$I,"NON",'LISTE DOSSIERS CLOS 2022'!$B:$B,"FC")</f>
        <v>278</v>
      </c>
      <c r="K7" s="45">
        <f>AVERAGE(C7,E7,G7,I7)</f>
        <v>259.66666666666669</v>
      </c>
      <c r="L7" s="38">
        <f>AVERAGE(D7,F7,H7,J7)</f>
        <v>207.01666666666665</v>
      </c>
    </row>
    <row r="8" spans="1:12" x14ac:dyDescent="0.25">
      <c r="B8" s="49" t="s">
        <v>44</v>
      </c>
      <c r="C8" s="44">
        <f>COUNTIFS('LISTE DOSSIERS CLOS 2021'!$I:$I,"OUI",'LISTE DOSSIERS CLOS 2021'!$B:$B,'STATISTIQUES GLOBALES'!C2)</f>
        <v>9</v>
      </c>
      <c r="D8" s="37">
        <f>COUNTIFS('LISTE DOSSIERS CLOS 2022'!$I:$I,"OUI",'LISTE DOSSIERS CLOS 2022'!$B:$B,'STATISTIQUES GLOBALES'!C2)</f>
        <v>5</v>
      </c>
      <c r="E8" s="35">
        <f>COUNTIFS('LISTE DOSSIERS CLOS 2021'!$I:$I,"OUI",'LISTE DOSSIERS CLOS 2021'!$B:$B,'STATISTIQUES GLOBALES'!E2)</f>
        <v>4</v>
      </c>
      <c r="F8" s="42">
        <f>COUNTIFS('LISTE DOSSIERS CLOS 2022'!$I:$I,"OUI",'LISTE DOSSIERS CLOS 2022'!$B:$B,'STATISTIQUES GLOBALES'!E2)</f>
        <v>0</v>
      </c>
      <c r="G8" s="44">
        <f>COUNTIFS('LISTE DOSSIERS CLOS 2021'!$I:$I,"OUI",'LISTE DOSSIERS CLOS 2021'!$B:$B,'STATISTIQUES GLOBALES'!G2)</f>
        <v>0</v>
      </c>
      <c r="H8" s="37">
        <f>COUNTIFS('LISTE DOSSIERS CLOS 2022'!$I:$I,"OUI",'LISTE DOSSIERS CLOS 2022'!$B:$B,'STATISTIQUES GLOBALES'!G2)</f>
        <v>3</v>
      </c>
      <c r="I8" s="35">
        <f>COUNTIFS('LISTE DOSSIERS CLOS 2021'!$I:$I,"OUI",'LISTE DOSSIERS CLOS 2021'!$B:$B,'STATISTIQUES GLOBALES'!I2)</f>
        <v>3</v>
      </c>
      <c r="J8" s="42">
        <f>COUNTIFS('LISTE DOSSIERS CLOS 2022'!$I:$I,"OUI",'LISTE DOSSIERS CLOS 2022'!$B:$B,'STATISTIQUES GLOBALES'!I2)</f>
        <v>0</v>
      </c>
      <c r="K8" s="44">
        <f>SUM(C8,E8,G8,I8)</f>
        <v>16</v>
      </c>
      <c r="L8" s="37">
        <f>SUM(D8,F8,H8,J8)</f>
        <v>8</v>
      </c>
    </row>
    <row r="9" spans="1:12" ht="15.75" thickBot="1" x14ac:dyDescent="0.3">
      <c r="B9" s="50" t="s">
        <v>45</v>
      </c>
      <c r="C9" s="46">
        <f>AVERAGEIFS('LISTE DOSSIERS CLOS 2021'!$H:$H,'LISTE DOSSIERS CLOS 2021'!$I:$I,"OUI",'LISTE DOSSIERS CLOS 2021'!$B:$B,"CS")</f>
        <v>74.333333333333329</v>
      </c>
      <c r="D9" s="47">
        <f>AVERAGEIFS('LISTE DOSSIERS CLOS 2022'!$H:$H,'LISTE DOSSIERS CLOS 2022'!$I:$I,"OUI",'LISTE DOSSIERS CLOS 2022'!$B:$B,"CS")</f>
        <v>84.4</v>
      </c>
      <c r="E9" s="46">
        <f>AVERAGEIFS('LISTE DOSSIERS CLOS 2021'!$H:$H,'LISTE DOSSIERS CLOS 2021'!$I:$I,"OUI",'LISTE DOSSIERS CLOS 2021'!$B:$B,"PAP")</f>
        <v>68.75</v>
      </c>
      <c r="F9" s="39" t="e">
        <f>AVERAGEIFS('LISTE DOSSIERS CLOS 2022'!$H:$H,'LISTE DOSSIERS CLOS 2022'!$I:$I,"OUI",'LISTE DOSSIERS CLOS 2022'!$B:$B,"PAP")</f>
        <v>#DIV/0!</v>
      </c>
      <c r="G9" s="46" t="e">
        <f>AVERAGEIFS('LISTE DOSSIERS CLOS 2021'!$H:$H,'LISTE DOSSIERS CLOS 2021'!$I:$I,"OUI",'LISTE DOSSIERS CLOS 2021'!$B:$B,"JL")</f>
        <v>#DIV/0!</v>
      </c>
      <c r="H9" s="39">
        <f>AVERAGEIFS('LISTE DOSSIERS CLOS 2022'!$H:$H,'LISTE DOSSIERS CLOS 2022'!$I:$I,"OUI",'LISTE DOSSIERS CLOS 2022'!$B:$B,"JL")</f>
        <v>70</v>
      </c>
      <c r="I9" s="46">
        <f>AVERAGEIFS('LISTE DOSSIERS CLOS 2021'!$H:$H,'LISTE DOSSIERS CLOS 2021'!$I:$I,"OUI",'LISTE DOSSIERS CLOS 2021'!$B:$B,"FC")</f>
        <v>77.666666666666671</v>
      </c>
      <c r="J9" s="39" t="e">
        <f>AVERAGEIFS('LISTE DOSSIERS CLOS 2022'!$H:$H,'LISTE DOSSIERS CLOS 2022'!$I:$I,"OUI",'LISTE DOSSIERS CLOS 2022'!$B:$B,"FC")</f>
        <v>#DIV/0!</v>
      </c>
      <c r="K9" s="46" t="e">
        <f>AVERAGE(C9,E9,G9,I9)</f>
        <v>#DIV/0!</v>
      </c>
      <c r="L9" s="39" t="e">
        <f>AVERAGE(D9,F9,H9,J9)</f>
        <v>#DIV/0!</v>
      </c>
    </row>
    <row r="10" spans="1:12" ht="15.75" thickBot="1" x14ac:dyDescent="0.3">
      <c r="A10" s="28"/>
      <c r="B10" s="28"/>
      <c r="C10" s="28"/>
      <c r="D10" s="51"/>
      <c r="E10" s="51"/>
      <c r="F10" s="51"/>
      <c r="G10" s="51"/>
      <c r="H10" s="51"/>
      <c r="I10" s="51"/>
      <c r="J10" s="51"/>
      <c r="K10" s="1"/>
    </row>
    <row r="11" spans="1:12" x14ac:dyDescent="0.25">
      <c r="B11" s="64" t="s">
        <v>46</v>
      </c>
      <c r="C11" s="79">
        <f>COUNTIFS('LISTE DOSSIERS CLOS 2021'!$K:$K,"OUI",'LISTE DOSSIERS CLOS 2021'!$B:$B,'STATISTIQUES GLOBALES'!C2)</f>
        <v>8</v>
      </c>
      <c r="D11" s="78">
        <f>COUNTIFS('LISTE DOSSIERS CLOS 2022'!$K:$K,"OUI",'LISTE DOSSIERS CLOS 2022'!$B:$B,'STATISTIQUES GLOBALES'!C2)</f>
        <v>5</v>
      </c>
      <c r="E11" s="55">
        <f>COUNTIFS('LISTE DOSSIERS CLOS 2021'!$K:$K,"OUI",'LISTE DOSSIERS CLOS 2021'!$B:$B,'STATISTIQUES GLOBALES'!E2)</f>
        <v>4</v>
      </c>
      <c r="F11" s="52">
        <f>COUNTIFS('LISTE DOSSIERS CLOS 2022'!$K:$K,"OUI",'LISTE DOSSIERS CLOS 2022'!$B:$B,'STATISTIQUES GLOBALES'!E2)</f>
        <v>0</v>
      </c>
      <c r="G11" s="55">
        <f>COUNTIFS('LISTE DOSSIERS CLOS 2021'!$K:$K,"OUI",'LISTE DOSSIERS CLOS 2021'!$B:$B,'STATISTIQUES GLOBALES'!G2)</f>
        <v>0</v>
      </c>
      <c r="H11" s="52">
        <f>COUNTIFS('LISTE DOSSIERS CLOS 2022'!$K:$K,"OUI",'LISTE DOSSIERS CLOS 2022'!$B:$B,'STATISTIQUES GLOBALES'!G2)</f>
        <v>4</v>
      </c>
      <c r="I11" s="55">
        <f>COUNTIFS('LISTE DOSSIERS CLOS 2021'!$K:$K,"OUI",'LISTE DOSSIERS CLOS 2021'!$B:$B,'STATISTIQUES GLOBALES'!I2)</f>
        <v>4</v>
      </c>
      <c r="J11" s="52">
        <f>COUNTIFS('LISTE DOSSIERS CLOS 2022'!$K:$K,"OUI",'LISTE DOSSIERS CLOS 2022'!$B:$B,'STATISTIQUES GLOBALES'!I2)</f>
        <v>0</v>
      </c>
      <c r="K11" s="55">
        <f>SUM(C11,E11,G11,I11)</f>
        <v>16</v>
      </c>
      <c r="L11" s="52">
        <f>SUM(D11,F11,H11,J11)</f>
        <v>9</v>
      </c>
    </row>
    <row r="12" spans="1:12" x14ac:dyDescent="0.25">
      <c r="B12" s="49" t="s">
        <v>47</v>
      </c>
      <c r="C12" s="44">
        <f>COUNTIFS('LISTE DOSSIERS CLOS 2021'!$K:$K,"NON",'LISTE DOSSIERS CLOS 2021'!$B:$B,'STATISTIQUES GLOBALES'!C2)</f>
        <v>7</v>
      </c>
      <c r="D12" s="38">
        <f>COUNTIFS('LISTE DOSSIERS CLOS 2022'!$K:$K,"NON",'LISTE DOSSIERS CLOS 2022'!$B:$B,'STATISTIQUES GLOBALES'!C2)</f>
        <v>5</v>
      </c>
      <c r="E12" s="36">
        <f>COUNTIFS('LISTE DOSSIERS CLOS 2021'!$K:$K,"NON",'LISTE DOSSIERS CLOS 2021'!$B:$B,'STATISTIQUES GLOBALES'!E2)</f>
        <v>2</v>
      </c>
      <c r="F12" s="38">
        <f>COUNTIFS('LISTE DOSSIERS CLOS 2022'!$K:$K,"NON",'LISTE DOSSIERS CLOS 2022'!$B:$B,'STATISTIQUES GLOBALES'!E2)</f>
        <v>1</v>
      </c>
      <c r="G12" s="36">
        <f>COUNTIFS('LISTE DOSSIERS CLOS 2021'!$K:$K,"NON",'LISTE DOSSIERS CLOS 2021'!$B:$B,'STATISTIQUES GLOBALES'!G2)</f>
        <v>1</v>
      </c>
      <c r="H12" s="38">
        <f>COUNTIFS('LISTE DOSSIERS CLOS 2022'!$K:$K,"NON",'LISTE DOSSIERS CLOS 2022'!$B:$B,'STATISTIQUES GLOBALES'!G2)</f>
        <v>2</v>
      </c>
      <c r="I12" s="36">
        <f>COUNTIFS('LISTE DOSSIERS CLOS 2021'!$K:$K,"NON",'LISTE DOSSIERS CLOS 2021'!$B:$B,'STATISTIQUES GLOBALES'!I2)</f>
        <v>2</v>
      </c>
      <c r="J12" s="38">
        <f>COUNTIFS('LISTE DOSSIERS CLOS 2022'!$K:$K,"NON",'LISTE DOSSIERS CLOS 2022'!$B:$B,'STATISTIQUES GLOBALES'!I2)</f>
        <v>2</v>
      </c>
      <c r="K12" s="45">
        <f>SUM(C12,E12,G12,I12)</f>
        <v>12</v>
      </c>
      <c r="L12" s="38">
        <f>SUM(D12,F12,H12,J12)</f>
        <v>10</v>
      </c>
    </row>
    <row r="13" spans="1:12" x14ac:dyDescent="0.25">
      <c r="B13" s="65" t="s">
        <v>48</v>
      </c>
      <c r="C13" s="76">
        <f>AVERAGEIFS('LISTE DOSSIERS CLOS 2021'!$H:$H,'LISTE DOSSIERS CLOS 2021'!$K:$K,"OUI",'LISTE DOSSIERS CLOS 2021'!$B:$B,"CS")</f>
        <v>96.375</v>
      </c>
      <c r="D13" s="53">
        <f>AVERAGEIFS('LISTE DOSSIERS CLOS 2022'!$H:$H,'LISTE DOSSIERS CLOS 2022'!$K:$K,"OUI",'LISTE DOSSIERS CLOS 2022'!$B:$B,"CS")</f>
        <v>109.6</v>
      </c>
      <c r="E13" s="36">
        <f>AVERAGEIFS('LISTE DOSSIERS CLOS 2021'!$H:$H,'LISTE DOSSIERS CLOS 2021'!$K:$K,"OUI",'LISTE DOSSIERS CLOS 2021'!$B:$B,"PAP")</f>
        <v>68.75</v>
      </c>
      <c r="F13" s="53" t="e">
        <f>AVERAGEIFS('LISTE DOSSIERS CLOS 2022'!$H:$H,'LISTE DOSSIERS CLOS 2022'!$K:$K,"OUI",'LISTE DOSSIERS CLOS 2022'!$B:$B,"PAP")</f>
        <v>#DIV/0!</v>
      </c>
      <c r="G13" s="56" t="e">
        <f>AVERAGEIFS('LISTE DOSSIERS CLOS 2021'!$H:$H,'LISTE DOSSIERS CLOS 2021'!$K:$K,"OUI",'LISTE DOSSIERS CLOS 2021'!$B:$B,"JL")</f>
        <v>#DIV/0!</v>
      </c>
      <c r="H13" s="53">
        <f>AVERAGEIFS('LISTE DOSSIERS CLOS 2022'!$H:$H,'LISTE DOSSIERS CLOS 2022'!$K:$K,"OUI",'LISTE DOSSIERS CLOS 2022'!$B:$B,"JL")</f>
        <v>104.75</v>
      </c>
      <c r="I13" s="56">
        <f>AVERAGEIFS('LISTE DOSSIERS CLOS 2021'!$H:$H,'LISTE DOSSIERS CLOS 2021'!$K:$K,"OUI",'LISTE DOSSIERS CLOS 2021'!$B:$B,"FC")</f>
        <v>201.5</v>
      </c>
      <c r="J13" s="53" t="e">
        <f>AVERAGEIFS('LISTE DOSSIERS CLOS 2022'!$H:$H,'LISTE DOSSIERS CLOS 2022'!$K:$K,"OUI",'LISTE DOSSIERS CLOS 2022'!$B:$B,"FC")</f>
        <v>#DIV/0!</v>
      </c>
      <c r="K13" s="36" t="e">
        <f>AVERAGE(C13,E13,G13,I13)</f>
        <v>#DIV/0!</v>
      </c>
      <c r="L13" s="38" t="e">
        <f>AVERAGE(D13,F13,H13,J13)</f>
        <v>#DIV/0!</v>
      </c>
    </row>
    <row r="14" spans="1:12" ht="15.75" thickBot="1" x14ac:dyDescent="0.3">
      <c r="B14" s="66" t="s">
        <v>49</v>
      </c>
      <c r="C14" s="77">
        <f>AVERAGEIFS('LISTE DOSSIERS CLOS 2021'!$H:$H,'LISTE DOSSIERS CLOS 2021'!$K:$K,"NON",'LISTE DOSSIERS CLOS 2021'!$B:$B,"CS")</f>
        <v>345.57142857142856</v>
      </c>
      <c r="D14" s="54">
        <f>AVERAGEIFS('LISTE DOSSIERS CLOS 2022'!$H:$H,'LISTE DOSSIERS CLOS 2022'!$K:$K,"NON",'LISTE DOSSIERS CLOS 2022'!$B:$B,"CS")</f>
        <v>157.19999999999999</v>
      </c>
      <c r="E14" s="63">
        <f>AVERAGEIFS('LISTE DOSSIERS CLOS 2021'!$H:$H,'LISTE DOSSIERS CLOS 2021'!$K:$K,"NON",'LISTE DOSSIERS CLOS 2021'!$B:$B,"PAP")</f>
        <v>89.5</v>
      </c>
      <c r="F14" s="54">
        <f>AVERAGEIFS('LISTE DOSSIERS CLOS 2022'!$H:$H,'LISTE DOSSIERS CLOS 2022'!$K:$K,"NON",'LISTE DOSSIERS CLOS 2022'!$B:$B,"PAP")</f>
        <v>106</v>
      </c>
      <c r="G14" s="57">
        <f>AVERAGEIFS('LISTE DOSSIERS CLOS 2021'!$H:$H,'LISTE DOSSIERS CLOS 2021'!$K:$K,"NON",'LISTE DOSSIERS CLOS 2021'!$B:$B,"JL")</f>
        <v>109</v>
      </c>
      <c r="H14" s="54">
        <f>AVERAGEIFS('LISTE DOSSIERS CLOS 2022'!$H:$H,'LISTE DOSSIERS CLOS 2022'!$K:$K,"NON",'LISTE DOSSIERS CLOS 2022'!$B:$B,"JL")</f>
        <v>288</v>
      </c>
      <c r="I14" s="57">
        <f>AVERAGEIFS('LISTE DOSSIERS CLOS 2021'!$H:$H,'LISTE DOSSIERS CLOS 2021'!$K:$K,"NON",'LISTE DOSSIERS CLOS 2021'!$B:$B,"FC")</f>
        <v>478</v>
      </c>
      <c r="J14" s="54">
        <f>AVERAGEIFS('LISTE DOSSIERS CLOS 2022'!$H:$H,'LISTE DOSSIERS CLOS 2022'!$K:$K,"NON",'LISTE DOSSIERS CLOS 2022'!$B:$B,"FC")</f>
        <v>278</v>
      </c>
      <c r="K14" s="63">
        <f>AVERAGE(C14,E14,G14,I14)</f>
        <v>255.51785714285714</v>
      </c>
      <c r="L14" s="39">
        <f>AVERAGE(D14,F14,H14,J14)</f>
        <v>207.3</v>
      </c>
    </row>
    <row r="15" spans="1:12" ht="15.75" thickBot="1" x14ac:dyDescent="0.3">
      <c r="C15" s="1"/>
      <c r="D15" s="17"/>
      <c r="E15" s="17"/>
      <c r="K15" s="1"/>
    </row>
    <row r="16" spans="1:12" x14ac:dyDescent="0.25">
      <c r="B16" s="64" t="s">
        <v>109</v>
      </c>
      <c r="C16" s="75">
        <f>COUNTIFS('LISTE DOSSIERS CLOS 2021'!$C:$C,"S",'LISTE DOSSIERS CLOS 2021'!$B:$B,'STATISTIQUES GLOBALES'!C2)</f>
        <v>2</v>
      </c>
      <c r="D16" s="58">
        <f>COUNTIFS('LISTE DOSSIERS CLOS 2022'!$C:$C,"S",'LISTE DOSSIERS CLOS 2022'!$B:$B,'STATISTIQUES GLOBALES'!C2)</f>
        <v>2</v>
      </c>
      <c r="E16" s="61">
        <f>COUNTIFS('LISTE DOSSIERS CLOS 2021'!$C:$C,"S",'LISTE DOSSIERS CLOS 2021'!$B:$B,'STATISTIQUES GLOBALES'!E2)</f>
        <v>0</v>
      </c>
      <c r="F16" s="58">
        <f>COUNTIFS('LISTE DOSSIERS CLOS 2022'!$C:$C,"S",'LISTE DOSSIERS CLOS 2022'!$B:$B,'STATISTIQUES GLOBALES'!E2)</f>
        <v>0</v>
      </c>
      <c r="G16" s="61">
        <f>COUNTIFS('LISTE DOSSIERS CLOS 2021'!$C:$C,"S",'LISTE DOSSIERS CLOS 2021'!$B:$B,'STATISTIQUES GLOBALES'!G2)</f>
        <v>0</v>
      </c>
      <c r="H16" s="58">
        <f>COUNTIFS('LISTE DOSSIERS CLOS 2022'!$C:$C,"S",'LISTE DOSSIERS CLOS 2022'!$B:$B,'STATISTIQUES GLOBALES'!G2)</f>
        <v>0</v>
      </c>
      <c r="I16" s="61">
        <f>COUNTIFS('LISTE DOSSIERS CLOS 2021'!$C:$C,"S",'LISTE DOSSIERS CLOS 2021'!$B:$B,'STATISTIQUES GLOBALES'!I2)</f>
        <v>0</v>
      </c>
      <c r="J16" s="58">
        <f>COUNTIFS('LISTE DOSSIERS CLOS 2022'!$C:$C,"S",'LISTE DOSSIERS CLOS 2022'!$B:$B,'STATISTIQUES GLOBALES'!I2)</f>
        <v>1</v>
      </c>
      <c r="K16" s="61">
        <f>SUM(C16,E16,G16,I16)</f>
        <v>2</v>
      </c>
      <c r="L16" s="58">
        <f>SUM(D16,F16,H16,J16)</f>
        <v>3</v>
      </c>
    </row>
    <row r="17" spans="2:12" x14ac:dyDescent="0.25">
      <c r="B17" s="49" t="s">
        <v>110</v>
      </c>
      <c r="C17" s="44">
        <f>AVERAGEIFS('LISTE DOSSIERS CLOS 2021'!$H:$H,'LISTE DOSSIERS CLOS 2021'!$C:$C,"S",'LISTE DOSSIERS CLOS 2021'!$B:$B,"CS")</f>
        <v>198.5</v>
      </c>
      <c r="D17" s="38">
        <f>AVERAGEIFS('LISTE DOSSIERS CLOS 2022'!$H:$H,'LISTE DOSSIERS CLOS 2022'!$C:$C,"S",'LISTE DOSSIERS CLOS 2022'!$B:$B,"CS")</f>
        <v>259</v>
      </c>
      <c r="E17" s="36" t="e">
        <f>AVERAGEIFS('LISTE DOSSIERS CLOS 2021'!$H:$H,'LISTE DOSSIERS CLOS 2021'!$C:$C,"S",'LISTE DOSSIERS CLOS 2021'!$B:$B,"PAP")</f>
        <v>#DIV/0!</v>
      </c>
      <c r="F17" s="38" t="e">
        <f>AVERAGEIFS('LISTE DOSSIERS CLOS 2022'!$H:$H,'LISTE DOSSIERS CLOS 2022'!$C:$C,"S",'LISTE DOSSIERS CLOS 2022'!$B:$B,"PAP")</f>
        <v>#DIV/0!</v>
      </c>
      <c r="G17" s="36" t="e">
        <f>AVERAGEIFS('LISTE DOSSIERS CLOS 2021'!$H:$H,'LISTE DOSSIERS CLOS 2021'!$C:$C,"S",'LISTE DOSSIERS CLOS 2021'!$B:$B,"JL")</f>
        <v>#DIV/0!</v>
      </c>
      <c r="H17" s="38" t="e">
        <f>AVERAGEIFS('LISTE DOSSIERS CLOS 2022'!$H:$H,'LISTE DOSSIERS CLOS 2022'!$C:$C,"S",'LISTE DOSSIERS CLOS 2022'!$B:$B,"JL")</f>
        <v>#DIV/0!</v>
      </c>
      <c r="I17" s="36" t="e">
        <f>AVERAGEIFS('LISTE DOSSIERS CLOS 2021'!$H:$H,'LISTE DOSSIERS CLOS 2021'!$C:$C,"S",'LISTE DOSSIERS CLOS 2021'!$B:$B,"FC")</f>
        <v>#DIV/0!</v>
      </c>
      <c r="J17" s="38">
        <f>AVERAGEIFS('LISTE DOSSIERS CLOS 2022'!$H:$H,'LISTE DOSSIERS CLOS 2022'!$C:$C,"S",'LISTE DOSSIERS CLOS 2022'!$B:$B,"FC")</f>
        <v>271</v>
      </c>
      <c r="K17" s="36" t="e">
        <f>AVERAGE(C17,I17)</f>
        <v>#DIV/0!</v>
      </c>
      <c r="L17" s="59" t="e">
        <f>AVERAGE(D17,H17,J17)</f>
        <v>#DIV/0!</v>
      </c>
    </row>
    <row r="18" spans="2:12" x14ac:dyDescent="0.25">
      <c r="B18" s="65" t="s">
        <v>111</v>
      </c>
      <c r="C18" s="76">
        <f>COUNTIFS('LISTE DOSSIERS CLOS 2021'!$C:$C,"S",'LISTE DOSSIERS CLOS 2021'!$B:$B,'STATISTIQUES GLOBALES'!C2,'LISTE DOSSIERS CLOS 2021'!$I:$I,"OUI")</f>
        <v>1</v>
      </c>
      <c r="D18" s="37">
        <f>COUNTIFS('LISTE DOSSIERS CLOS 2022'!$C:$C,"S",'LISTE DOSSIERS CLOS 2022'!$B:$B,'STATISTIQUES GLOBALES'!C2,'LISTE DOSSIERS CLOS 2022'!$I:$I,"OUI")</f>
        <v>0</v>
      </c>
      <c r="E18" s="35">
        <f>COUNTIFS('LISTE DOSSIERS CLOS 2021'!$C:$C,"S",'LISTE DOSSIERS CLOS 2021'!$B:$B,'STATISTIQUES GLOBALES'!E2,'LISTE DOSSIERS CLOS 2021'!$I:$I,"OUI")</f>
        <v>0</v>
      </c>
      <c r="F18" s="37">
        <f>COUNTIFS('LISTE DOSSIERS CLOS 2022'!$C:$C,"S",'LISTE DOSSIERS CLOS 2022'!$B:$B,'STATISTIQUES GLOBALES'!E2,'LISTE DOSSIERS CLOS 2022'!$I:$I,"OUI")</f>
        <v>0</v>
      </c>
      <c r="G18" s="35">
        <f>COUNTIFS('LISTE DOSSIERS CLOS 2021'!$C:$C,"S",'LISTE DOSSIERS CLOS 2021'!$B:$B,'STATISTIQUES GLOBALES'!G2,'LISTE DOSSIERS CLOS 2021'!$I:$I,"OUI")</f>
        <v>0</v>
      </c>
      <c r="H18" s="37">
        <f>COUNTIFS('LISTE DOSSIERS CLOS 2022'!$C:$C,"S",'LISTE DOSSIERS CLOS 2022'!$B:$B,'STATISTIQUES GLOBALES'!G2,'LISTE DOSSIERS CLOS 2022'!$I:$I,"OUI")</f>
        <v>0</v>
      </c>
      <c r="I18" s="35">
        <f>COUNTIFS('LISTE DOSSIERS CLOS 2021'!$C:$C,"S",'LISTE DOSSIERS CLOS 2021'!$B:$B,'STATISTIQUES GLOBALES'!I2,'LISTE DOSSIERS CLOS 2021'!$I:$I,"OUI")</f>
        <v>0</v>
      </c>
      <c r="J18" s="37">
        <f>COUNTIFS('LISTE DOSSIERS CLOS 2022'!$C:$C,"S",'LISTE DOSSIERS CLOS 2022'!$B:$B,'STATISTIQUES GLOBALES'!I2,'LISTE DOSSIERS CLOS 2022'!$I:$I,"OUI")</f>
        <v>0</v>
      </c>
      <c r="K18" s="35">
        <f t="shared" ref="K18:L20" si="2">SUM(C18,E18,G18,I18)</f>
        <v>1</v>
      </c>
      <c r="L18" s="37">
        <f t="shared" si="2"/>
        <v>0</v>
      </c>
    </row>
    <row r="19" spans="2:12" x14ac:dyDescent="0.25">
      <c r="B19" s="65" t="s">
        <v>112</v>
      </c>
      <c r="C19" s="76">
        <f>COUNTIFS('LISTE DOSSIERS CLOS 2021'!$C:$C,"S",'LISTE DOSSIERS CLOS 2021'!$B:$B,'STATISTIQUES GLOBALES'!C2,'LISTE DOSSIERS CLOS 2021'!$I:$I,"NON")</f>
        <v>1</v>
      </c>
      <c r="D19" s="37">
        <f>COUNTIFS('LISTE DOSSIERS CLOS 2022'!$C:$C,"S",'LISTE DOSSIERS CLOS 2022'!$B:$B,'STATISTIQUES GLOBALES'!C2,'LISTE DOSSIERS CLOS 2022'!$I:$I,"NON")</f>
        <v>2</v>
      </c>
      <c r="E19" s="35">
        <f>COUNTIFS('LISTE DOSSIERS CLOS 2021'!$C:$C,"S",'LISTE DOSSIERS CLOS 2021'!$B:$B,'STATISTIQUES GLOBALES'!E2,'LISTE DOSSIERS CLOS 2021'!$I:$I,"NON")</f>
        <v>0</v>
      </c>
      <c r="F19" s="37">
        <f>COUNTIFS('LISTE DOSSIERS CLOS 2022'!$C:$C,"S",'LISTE DOSSIERS CLOS 2022'!$B:$B,'STATISTIQUES GLOBALES'!E2,'LISTE DOSSIERS CLOS 2022'!$I:$I,"NON")</f>
        <v>0</v>
      </c>
      <c r="G19" s="35">
        <f>COUNTIFS('LISTE DOSSIERS CLOS 2021'!$C:$C,"S",'LISTE DOSSIERS CLOS 2021'!$B:$B,'STATISTIQUES GLOBALES'!G2,'LISTE DOSSIERS CLOS 2021'!$I:$I,"NON")</f>
        <v>0</v>
      </c>
      <c r="H19" s="37">
        <f>COUNTIFS('LISTE DOSSIERS CLOS 2022'!$C:$C,"S",'LISTE DOSSIERS CLOS 2022'!$B:$B,'STATISTIQUES GLOBALES'!G2,'LISTE DOSSIERS CLOS 2022'!$I:$I,"NON")</f>
        <v>0</v>
      </c>
      <c r="I19" s="35">
        <f>COUNTIFS('LISTE DOSSIERS CLOS 2021'!$C:$C,"S",'LISTE DOSSIERS CLOS 2021'!$B:$B,'STATISTIQUES GLOBALES'!I2,'LISTE DOSSIERS CLOS 2021'!$I:$I,"NON")</f>
        <v>0</v>
      </c>
      <c r="J19" s="37">
        <f>COUNTIFS('LISTE DOSSIERS CLOS 2022'!$C:$C,"S",'LISTE DOSSIERS CLOS 2022'!$B:$B,'STATISTIQUES GLOBALES'!I2,'LISTE DOSSIERS CLOS 2022'!$I:$I,"NON")</f>
        <v>1</v>
      </c>
      <c r="K19" s="35">
        <f t="shared" si="2"/>
        <v>1</v>
      </c>
      <c r="L19" s="37">
        <f t="shared" si="2"/>
        <v>3</v>
      </c>
    </row>
    <row r="20" spans="2:12" x14ac:dyDescent="0.25">
      <c r="B20" s="65" t="s">
        <v>113</v>
      </c>
      <c r="C20" s="76">
        <f>COUNTIFS('LISTE DOSSIERS CLOS 2021'!$C:$C,"S",'LISTE DOSSIERS CLOS 2021'!$B:$B,'STATISTIQUES GLOBALES'!C2,'LISTE DOSSIERS CLOS 2021'!$K:$K,"OUI")</f>
        <v>0</v>
      </c>
      <c r="D20" s="37">
        <f>COUNTIFS('LISTE DOSSIERS CLOS 2022'!$C:$C,"S",'LISTE DOSSIERS CLOS 2022'!$B:$B,'STATISTIQUES GLOBALES'!C2,'LISTE DOSSIERS CLOS 2022'!$K:$K,"OUI")</f>
        <v>0</v>
      </c>
      <c r="E20" s="35">
        <f>COUNTIFS('LISTE DOSSIERS CLOS 2021'!$C:$C,"S",'LISTE DOSSIERS CLOS 2021'!$B:$B,'STATISTIQUES GLOBALES'!E2,'LISTE DOSSIERS CLOS 2021'!$K:$K,"OUI")</f>
        <v>0</v>
      </c>
      <c r="F20" s="37">
        <f>COUNTIFS('LISTE DOSSIERS CLOS 2022'!$C:$C,"S",'LISTE DOSSIERS CLOS 2022'!$B:$B,'STATISTIQUES GLOBALES'!E2,'LISTE DOSSIERS CLOS 2022'!$K:$K,"OUI")</f>
        <v>0</v>
      </c>
      <c r="G20" s="35">
        <f>COUNTIFS('LISTE DOSSIERS CLOS 2021'!$C:$C,"S",'LISTE DOSSIERS CLOS 2021'!$B:$B,'STATISTIQUES GLOBALES'!G2,'LISTE DOSSIERS CLOS 2021'!$K:$K,"OUI")</f>
        <v>0</v>
      </c>
      <c r="H20" s="37">
        <f>COUNTIFS('LISTE DOSSIERS CLOS 2022'!$C:$C,"S",'LISTE DOSSIERS CLOS 2022'!$B:$B,'STATISTIQUES GLOBALES'!G2,'LISTE DOSSIERS CLOS 2022'!$K:$K,"OUI")</f>
        <v>0</v>
      </c>
      <c r="I20" s="35">
        <f>COUNTIFS('LISTE DOSSIERS CLOS 2021'!$C:$C,"S",'LISTE DOSSIERS CLOS 2021'!$B:$B,'STATISTIQUES GLOBALES'!I2,'LISTE DOSSIERS CLOS 2021'!$K:$K,"OUI")</f>
        <v>0</v>
      </c>
      <c r="J20" s="37">
        <f>COUNTIFS('LISTE DOSSIERS CLOS 2022'!$C:$C,"S",'LISTE DOSSIERS CLOS 2022'!$B:$B,'STATISTIQUES GLOBALES'!I2,'LISTE DOSSIERS CLOS 2022'!$K:$K,"OUI")</f>
        <v>0</v>
      </c>
      <c r="K20" s="35">
        <f t="shared" si="2"/>
        <v>0</v>
      </c>
      <c r="L20" s="37">
        <f t="shared" si="2"/>
        <v>0</v>
      </c>
    </row>
    <row r="21" spans="2:12" x14ac:dyDescent="0.25">
      <c r="B21" s="65" t="s">
        <v>114</v>
      </c>
      <c r="C21" s="76" t="e">
        <f>AVERAGEIFS('LISTE DOSSIERS CLOS 2021'!$H:$H,'LISTE DOSSIERS CLOS 2021'!$C:$C,"S",'LISTE DOSSIERS CLOS 2021'!$B:$B,"CS",'LISTE DOSSIERS CLOS 2021'!$K:$K,"OUI")</f>
        <v>#DIV/0!</v>
      </c>
      <c r="D21" s="38" t="e">
        <f>AVERAGEIFS('LISTE DOSSIERS CLOS 2022'!$H:$H,'LISTE DOSSIERS CLOS 2022'!$C:$C,"S",'LISTE DOSSIERS CLOS 2022'!$B:$B,"CS",'LISTE DOSSIERS CLOS 2022'!$K:$K,"OUI")</f>
        <v>#DIV/0!</v>
      </c>
      <c r="E21" s="35" t="e">
        <f>AVERAGEIFS('LISTE DOSSIERS CLOS 2021'!$H:$H,'LISTE DOSSIERS CLOS 2021'!$C:$C,"S",'LISTE DOSSIERS CLOS 2021'!$B:$B,"PAP",'LISTE DOSSIERS CLOS 2021'!$K:$K,"OUI")</f>
        <v>#DIV/0!</v>
      </c>
      <c r="F21" s="37" t="e">
        <f>AVERAGEIFS('LISTE DOSSIERS CLOS 2022'!$H:$H,'LISTE DOSSIERS CLOS 2022'!$C:$C,"S",'LISTE DOSSIERS CLOS 2022'!$B:$B,"PAP",'LISTE DOSSIERS CLOS 2022'!$K:$K,"OUI")</f>
        <v>#DIV/0!</v>
      </c>
      <c r="G21" s="35" t="e">
        <f>AVERAGEIFS('LISTE DOSSIERS CLOS 2021'!$H:$H,'LISTE DOSSIERS CLOS 2021'!$C:$C,"S",'LISTE DOSSIERS CLOS 2021'!$B:$B,"jl",'LISTE DOSSIERS CLOS 2021'!$K:$K,"OUI")</f>
        <v>#DIV/0!</v>
      </c>
      <c r="H21" s="37" t="e">
        <f>AVERAGEIFS('LISTE DOSSIERS CLOS 2022'!$H:$H,'LISTE DOSSIERS CLOS 2022'!$C:$C,"S",'LISTE DOSSIERS CLOS 2022'!$B:$B,"jl",'LISTE DOSSIERS CLOS 2022'!$K:$K,"OUI")</f>
        <v>#DIV/0!</v>
      </c>
      <c r="I21" s="36" t="e">
        <f>AVERAGEIFS('LISTE DOSSIERS CLOS 2021'!$H:$H,'LISTE DOSSIERS CLOS 2021'!$C:$C,"S",'LISTE DOSSIERS CLOS 2021'!$B:$B,"FC",'LISTE DOSSIERS CLOS 2021'!$K:$K,"OUI")</f>
        <v>#DIV/0!</v>
      </c>
      <c r="J21" s="38" t="e">
        <f>AVERAGEIFS('LISTE DOSSIERS CLOS 2022'!$H:$H,'LISTE DOSSIERS CLOS 2022'!$C:$C,"S",'LISTE DOSSIERS CLOS 2022'!$B:$B,"FC",'LISTE DOSSIERS CLOS 2022'!$K:$K,"OUI")</f>
        <v>#DIV/0!</v>
      </c>
      <c r="K21" s="36" t="e">
        <f>AVERAGE(I21)</f>
        <v>#DIV/0!</v>
      </c>
      <c r="L21" s="38" t="e">
        <f>AVERAGE(D21,J21)</f>
        <v>#DIV/0!</v>
      </c>
    </row>
    <row r="22" spans="2:12" x14ac:dyDescent="0.25">
      <c r="B22" s="65" t="s">
        <v>115</v>
      </c>
      <c r="C22" s="76">
        <f>COUNTIFS('LISTE DOSSIERS CLOS 2021'!$C:$C,"S",'LISTE DOSSIERS CLOS 2021'!$B:$B,'STATISTIQUES GLOBALES'!C2,'LISTE DOSSIERS CLOS 2021'!$K:$K,"NON")</f>
        <v>2</v>
      </c>
      <c r="D22" s="37">
        <f>COUNTIFS('LISTE DOSSIERS CLOS 2022'!$C:$C,"S",'LISTE DOSSIERS CLOS 2022'!$B:$B,'STATISTIQUES GLOBALES'!C2,'LISTE DOSSIERS CLOS 2022'!$K:$K,"NON")</f>
        <v>2</v>
      </c>
      <c r="E22" s="35">
        <f>COUNTIFS('LISTE DOSSIERS CLOS 2021'!$C:$C,"S",'LISTE DOSSIERS CLOS 2021'!$B:$B,'STATISTIQUES GLOBALES'!E2,'LISTE DOSSIERS CLOS 2021'!$K:$K,"NON")</f>
        <v>0</v>
      </c>
      <c r="F22" s="37">
        <f>COUNTIFS('LISTE DOSSIERS CLOS 2022'!$C:$C,"S",'LISTE DOSSIERS CLOS 2022'!$B:$B,'STATISTIQUES GLOBALES'!E2,'LISTE DOSSIERS CLOS 2022'!$K:$K,"NON")</f>
        <v>0</v>
      </c>
      <c r="G22" s="35">
        <f>COUNTIFS('LISTE DOSSIERS CLOS 2021'!$C:$C,"S",'LISTE DOSSIERS CLOS 2021'!$B:$B,'STATISTIQUES GLOBALES'!G2,'LISTE DOSSIERS CLOS 2021'!$K:$K,"NON")</f>
        <v>0</v>
      </c>
      <c r="H22" s="37">
        <f>COUNTIFS('LISTE DOSSIERS CLOS 2022'!$C:$C,"S",'LISTE DOSSIERS CLOS 2022'!$B:$B,'STATISTIQUES GLOBALES'!G2,'LISTE DOSSIERS CLOS 2022'!$K:$K,"NON")</f>
        <v>0</v>
      </c>
      <c r="I22" s="35">
        <f>COUNTIFS('LISTE DOSSIERS CLOS 2021'!$C:$C,"S",'LISTE DOSSIERS CLOS 2021'!$B:$B,'STATISTIQUES GLOBALES'!I2,'LISTE DOSSIERS CLOS 2021'!$K:$K,"NON")</f>
        <v>0</v>
      </c>
      <c r="J22" s="37">
        <f>COUNTIFS('LISTE DOSSIERS CLOS 2022'!$C:$C,"S",'LISTE DOSSIERS CLOS 2022'!$B:$B,'STATISTIQUES GLOBALES'!I2,'LISTE DOSSIERS CLOS 2022'!$K:$K,"NON")</f>
        <v>1</v>
      </c>
      <c r="K22" s="35">
        <f>SUM(C22,E22,G22,I22)</f>
        <v>2</v>
      </c>
      <c r="L22" s="37">
        <f>SUM(D22,F22,H22,J22)</f>
        <v>3</v>
      </c>
    </row>
    <row r="23" spans="2:12" ht="15.75" thickBot="1" x14ac:dyDescent="0.3">
      <c r="B23" s="66" t="s">
        <v>116</v>
      </c>
      <c r="C23" s="77">
        <f>AVERAGEIFS('LISTE DOSSIERS CLOS 2021'!$H:$H,'LISTE DOSSIERS CLOS 2021'!$C:$C,"S",'LISTE DOSSIERS CLOS 2021'!$B:$B,"CS",'LISTE DOSSIERS CLOS 2021'!$K:$K,"NON")</f>
        <v>198.5</v>
      </c>
      <c r="D23" s="60">
        <f>AVERAGEIFS('LISTE DOSSIERS CLOS 2022'!$H:$H,'LISTE DOSSIERS CLOS 2022'!$C:$C,"S",'LISTE DOSSIERS CLOS 2022'!$B:$B,"CS",'LISTE DOSSIERS CLOS 2022'!$K:$K,"NON")</f>
        <v>259</v>
      </c>
      <c r="E23" s="62" t="e">
        <f>AVERAGEIFS('LISTE DOSSIERS CLOS 2021'!$H:$H,'LISTE DOSSIERS CLOS 2021'!$C:$C,"S",'LISTE DOSSIERS CLOS 2021'!$B:$B,"PAP",'LISTE DOSSIERS CLOS 2021'!$K:$K,"NON")</f>
        <v>#DIV/0!</v>
      </c>
      <c r="F23" s="60" t="e">
        <f>AVERAGEIFS('LISTE DOSSIERS CLOS 2022'!$H:$H,'LISTE DOSSIERS CLOS 2022'!$C:$C,"S",'LISTE DOSSIERS CLOS 2022'!$B:$B,"PAP",'LISTE DOSSIERS CLOS 2022'!$K:$K,"NON")</f>
        <v>#DIV/0!</v>
      </c>
      <c r="G23" s="62" t="e">
        <f>AVERAGEIFS('LISTE DOSSIERS CLOS 2021'!$H:$H,'LISTE DOSSIERS CLOS 2021'!$C:$C,"S",'LISTE DOSSIERS CLOS 2021'!$B:$B,"jl",'LISTE DOSSIERS CLOS 2021'!$K:$K,"NON")</f>
        <v>#DIV/0!</v>
      </c>
      <c r="H23" s="39" t="e">
        <f>AVERAGEIFS('LISTE DOSSIERS CLOS 2022'!$H:$H,'LISTE DOSSIERS CLOS 2022'!$C:$C,"S",'LISTE DOSSIERS CLOS 2022'!$B:$B,"jl",'LISTE DOSSIERS CLOS 2022'!$K:$K,"NON")</f>
        <v>#DIV/0!</v>
      </c>
      <c r="I23" s="62" t="e">
        <f>AVERAGEIFS('LISTE DOSSIERS CLOS 2021'!$H:$H,'LISTE DOSSIERS CLOS 2021'!$C:$C,"S",'LISTE DOSSIERS CLOS 2021'!$B:$B,"FC",'LISTE DOSSIERS CLOS 2021'!$K:$K,"NON")</f>
        <v>#DIV/0!</v>
      </c>
      <c r="J23" s="39">
        <f>AVERAGEIFS('LISTE DOSSIERS CLOS 2022'!$H:$H,'LISTE DOSSIERS CLOS 2022'!$C:$C,"S",'LISTE DOSSIERS CLOS 2022'!$B:$B,"FC",'LISTE DOSSIERS CLOS 2022'!$K:$K,"NON")</f>
        <v>271</v>
      </c>
      <c r="K23" s="63">
        <f>AVERAGE(C23)</f>
        <v>198.5</v>
      </c>
      <c r="L23" s="39" t="e">
        <f>AVERAGE(D23,H23,J23)</f>
        <v>#DIV/0!</v>
      </c>
    </row>
    <row r="24" spans="2:12" ht="15.75" thickBot="1" x14ac:dyDescent="0.3">
      <c r="C24" s="1"/>
      <c r="D24" s="1"/>
      <c r="E24" s="1"/>
      <c r="F24" s="1"/>
      <c r="G24" s="1"/>
      <c r="H24" s="1"/>
      <c r="I24" s="1"/>
      <c r="J24" s="1"/>
      <c r="K24" s="1"/>
    </row>
    <row r="25" spans="2:12" x14ac:dyDescent="0.25">
      <c r="B25" s="64" t="s">
        <v>50</v>
      </c>
      <c r="C25" s="75">
        <f>COUNTIFS('LISTE DOSSIERS CLOS 2021'!$C:$C,"&lt;&gt;S",'LISTE DOSSIERS CLOS 2021'!$B:$B,'STATISTIQUES GLOBALES'!C2)</f>
        <v>13</v>
      </c>
      <c r="D25" s="58">
        <f>COUNTIFS('LISTE DOSSIERS CLOS 2022'!$C:$C,"&lt;&gt;S",'LISTE DOSSIERS CLOS 2022'!$B:$B,'STATISTIQUES GLOBALES'!C2)</f>
        <v>8</v>
      </c>
      <c r="E25" s="61">
        <f>COUNTIFS('LISTE DOSSIERS CLOS 2021'!$C:$C,"&lt;&gt;S",'LISTE DOSSIERS CLOS 2021'!$B:$B,'STATISTIQUES GLOBALES'!E2)</f>
        <v>6</v>
      </c>
      <c r="F25" s="58">
        <f>COUNTIFS('LISTE DOSSIERS CLOS 2022'!$C:$C,"&lt;&gt;S",'LISTE DOSSIERS CLOS 2022'!$B:$B,'STATISTIQUES GLOBALES'!E2)</f>
        <v>1</v>
      </c>
      <c r="G25" s="61">
        <f>COUNTIFS('LISTE DOSSIERS CLOS 2021'!$C:$C,"&lt;&gt;S",'LISTE DOSSIERS CLOS 2021'!$B:$B,'STATISTIQUES GLOBALES'!G2)</f>
        <v>1</v>
      </c>
      <c r="H25" s="58">
        <f>COUNTIFS('LISTE DOSSIERS CLOS 2022'!$C:$C,"&lt;&gt;S",'LISTE DOSSIERS CLOS 2022'!$B:$B,'STATISTIQUES GLOBALES'!G2)</f>
        <v>6</v>
      </c>
      <c r="I25" s="61">
        <f>COUNTIFS('LISTE DOSSIERS CLOS 2021'!$C:$C,"&lt;&gt;S",'LISTE DOSSIERS CLOS 2021'!$B:$B,'STATISTIQUES GLOBALES'!I2)</f>
        <v>6</v>
      </c>
      <c r="J25" s="58">
        <f>COUNTIFS('LISTE DOSSIERS CLOS 2022'!$C:$C,"&lt;&gt;S",'LISTE DOSSIERS CLOS 2022'!$B:$B,'STATISTIQUES GLOBALES'!I2)</f>
        <v>1</v>
      </c>
      <c r="K25" s="61">
        <f>SUM(C25,E25,G25,I25)</f>
        <v>26</v>
      </c>
      <c r="L25" s="58">
        <f>SUM(D25,F25,H25,J25)</f>
        <v>16</v>
      </c>
    </row>
    <row r="26" spans="2:12" x14ac:dyDescent="0.25">
      <c r="B26" s="49" t="s">
        <v>51</v>
      </c>
      <c r="C26" s="45">
        <f>AVERAGEIFS('LISTE DOSSIERS CLOS 2021'!$H:$H,'LISTE DOSSIERS CLOS 2021'!$C:$C,"&lt;&gt;S",'LISTE DOSSIERS CLOS 2021'!$B:$B,"CS")</f>
        <v>214.84615384615384</v>
      </c>
      <c r="D26" s="38">
        <f>AVERAGEIFS('LISTE DOSSIERS CLOS 2022'!$H:$H,'LISTE DOSSIERS CLOS 2022'!$C:$C,"&lt;&gt;S",'LISTE DOSSIERS CLOS 2022'!$B:$B,"CS")</f>
        <v>102</v>
      </c>
      <c r="E26" s="36">
        <f>AVERAGEIFS('LISTE DOSSIERS CLOS 2021'!$H:$H,'LISTE DOSSIERS CLOS 2021'!$C:$C,"&lt;&gt;S",'LISTE DOSSIERS CLOS 2021'!$B:$B,"PAP")</f>
        <v>75.666666666666671</v>
      </c>
      <c r="F26" s="38">
        <f>AVERAGEIFS('LISTE DOSSIERS CLOS 2022'!$H:$H,'LISTE DOSSIERS CLOS 2022'!$C:$C,"&lt;&gt;S",'LISTE DOSSIERS CLOS 2022'!$B:$B,"PAP")</f>
        <v>106</v>
      </c>
      <c r="G26" s="36">
        <f>AVERAGEIFS('LISTE DOSSIERS CLOS 2021'!$H:$H,'LISTE DOSSIERS CLOS 2021'!$C:$C,"&lt;&gt;S",'LISTE DOSSIERS CLOS 2021'!$B:$B,"JL")</f>
        <v>109</v>
      </c>
      <c r="H26" s="38">
        <f>AVERAGEIFS('LISTE DOSSIERS CLOS 2022'!$H:$H,'LISTE DOSSIERS CLOS 2022'!$C:$C,"&lt;&gt;S",'LISTE DOSSIERS CLOS 2022'!$B:$B,"JL")</f>
        <v>165.83333333333334</v>
      </c>
      <c r="I26" s="36">
        <f>AVERAGEIFS('LISTE DOSSIERS CLOS 2021'!$H:$H,'LISTE DOSSIERS CLOS 2021'!$C:$C,"&lt;&gt;S",'LISTE DOSSIERS CLOS 2021'!$B:$B,"FC")</f>
        <v>293.66666666666669</v>
      </c>
      <c r="J26" s="38">
        <f>AVERAGEIFS('LISTE DOSSIERS CLOS 2022'!$H:$H,'LISTE DOSSIERS CLOS 2022'!$C:$C,"&lt;&gt;S",'LISTE DOSSIERS CLOS 2022'!$B:$B,"FC")</f>
        <v>285</v>
      </c>
      <c r="K26" s="36">
        <f>AVERAGE(C26,E26,G26,I26)</f>
        <v>173.2948717948718</v>
      </c>
      <c r="L26" s="38">
        <f>AVERAGE(D26,F26,H26,J26)</f>
        <v>164.70833333333334</v>
      </c>
    </row>
    <row r="27" spans="2:12" x14ac:dyDescent="0.25">
      <c r="B27" s="65" t="s">
        <v>52</v>
      </c>
      <c r="C27" s="76">
        <f>COUNTIFS('LISTE DOSSIERS CLOS 2021'!$C:$C,"&lt;&gt;S",'LISTE DOSSIERS CLOS 2021'!$B:$B,'STATISTIQUES GLOBALES'!C2,'LISTE DOSSIERS CLOS 2021'!$I:$I,"OUI")</f>
        <v>8</v>
      </c>
      <c r="D27" s="37">
        <f>COUNTIFS('LISTE DOSSIERS CLOS 2022'!$C:$C,"&lt;&gt;S",'LISTE DOSSIERS CLOS 2022'!$B:$B,'STATISTIQUES GLOBALES'!C2,'LISTE DOSSIERS CLOS 2022'!$I:$I,"OUI")</f>
        <v>5</v>
      </c>
      <c r="E27" s="35">
        <f>COUNTIFS('LISTE DOSSIERS CLOS 2021'!$C:$C,"&lt;&gt;S",'LISTE DOSSIERS CLOS 2021'!$B:$B,'STATISTIQUES GLOBALES'!E2,'LISTE DOSSIERS CLOS 2021'!$I:$I,"OUI")</f>
        <v>4</v>
      </c>
      <c r="F27" s="37">
        <f>COUNTIFS('LISTE DOSSIERS CLOS 2022'!$C:$C,"&lt;&gt;S",'LISTE DOSSIERS CLOS 2022'!$B:$B,'STATISTIQUES GLOBALES'!E2,'LISTE DOSSIERS CLOS 2022'!$I:$I,"OUI")</f>
        <v>0</v>
      </c>
      <c r="G27" s="35">
        <f>COUNTIFS('LISTE DOSSIERS CLOS 2021'!$C:$C,"&lt;&gt;S",'LISTE DOSSIERS CLOS 2021'!$B:$B,'STATISTIQUES GLOBALES'!G2,'LISTE DOSSIERS CLOS 2021'!$I:$I,"OUI")</f>
        <v>0</v>
      </c>
      <c r="H27" s="37">
        <f>COUNTIFS('LISTE DOSSIERS CLOS 2022'!$C:$C,"&lt;&gt;S",'LISTE DOSSIERS CLOS 2022'!$B:$B,'STATISTIQUES GLOBALES'!G2,'LISTE DOSSIERS CLOS 2022'!$I:$I,"OUI")</f>
        <v>3</v>
      </c>
      <c r="I27" s="35">
        <f>COUNTIFS('LISTE DOSSIERS CLOS 2021'!$C:$C,"&lt;&gt;S",'LISTE DOSSIERS CLOS 2021'!$B:$B,'STATISTIQUES GLOBALES'!I2,'LISTE DOSSIERS CLOS 2021'!$I:$I,"OUI")</f>
        <v>3</v>
      </c>
      <c r="J27" s="37">
        <f>COUNTIFS('LISTE DOSSIERS CLOS 2022'!$C:$C,"&lt;&gt;S",'LISTE DOSSIERS CLOS 2022'!$B:$B,'STATISTIQUES GLOBALES'!I2,'LISTE DOSSIERS CLOS 2022'!$I:$I,"OUI")</f>
        <v>0</v>
      </c>
      <c r="K27" s="35">
        <f t="shared" ref="K27:L29" si="3">SUM(C27,E27,G27,I27)</f>
        <v>15</v>
      </c>
      <c r="L27" s="37">
        <f t="shared" si="3"/>
        <v>8</v>
      </c>
    </row>
    <row r="28" spans="2:12" x14ac:dyDescent="0.25">
      <c r="B28" s="65" t="s">
        <v>53</v>
      </c>
      <c r="C28" s="76">
        <f>COUNTIFS('LISTE DOSSIERS CLOS 2021'!$C:$C,"&lt;&gt;S",'LISTE DOSSIERS CLOS 2021'!$B:$B,'STATISTIQUES GLOBALES'!C2,'LISTE DOSSIERS CLOS 2021'!$I:$I,"NON")</f>
        <v>5</v>
      </c>
      <c r="D28" s="37">
        <f>COUNTIFS('LISTE DOSSIERS CLOS 2022'!$C:$C,"&lt;&gt;S",'LISTE DOSSIERS CLOS 2022'!$B:$B,'STATISTIQUES GLOBALES'!C2,'LISTE DOSSIERS CLOS 2022'!$I:$I,"NON")</f>
        <v>3</v>
      </c>
      <c r="E28" s="35">
        <f>COUNTIFS('LISTE DOSSIERS CLOS 2021'!$C:$C,"&lt;&gt;S",'LISTE DOSSIERS CLOS 2021'!$B:$B,'STATISTIQUES GLOBALES'!E2,'LISTE DOSSIERS CLOS 2021'!$I:$I,"NON")</f>
        <v>2</v>
      </c>
      <c r="F28" s="37">
        <f>COUNTIFS('LISTE DOSSIERS CLOS 2022'!$C:$C,"&lt;&gt;S",'LISTE DOSSIERS CLOS 2022'!$B:$B,'STATISTIQUES GLOBALES'!E2,'LISTE DOSSIERS CLOS 2022'!$I:$I,"NON")</f>
        <v>1</v>
      </c>
      <c r="G28" s="35">
        <f>COUNTIFS('LISTE DOSSIERS CLOS 2021'!$C:$C,"&lt;&gt;S",'LISTE DOSSIERS CLOS 2021'!$B:$B,'STATISTIQUES GLOBALES'!G2,'LISTE DOSSIERS CLOS 2021'!$I:$I,"NON")</f>
        <v>1</v>
      </c>
      <c r="H28" s="37">
        <f>COUNTIFS('LISTE DOSSIERS CLOS 2022'!$C:$C,"&lt;&gt;S",'LISTE DOSSIERS CLOS 2022'!$B:$B,'STATISTIQUES GLOBALES'!G2,'LISTE DOSSIERS CLOS 2022'!$I:$I,"NON")</f>
        <v>3</v>
      </c>
      <c r="I28" s="35">
        <f>COUNTIFS('LISTE DOSSIERS CLOS 2021'!$C:$C,"&lt;&gt;S",'LISTE DOSSIERS CLOS 2021'!$B:$B,'STATISTIQUES GLOBALES'!I2,'LISTE DOSSIERS CLOS 2021'!$I:$I,"NON")</f>
        <v>3</v>
      </c>
      <c r="J28" s="37">
        <f>COUNTIFS('LISTE DOSSIERS CLOS 2022'!$C:$C,"&lt;&gt;S",'LISTE DOSSIERS CLOS 2022'!$B:$B,'STATISTIQUES GLOBALES'!I2,'LISTE DOSSIERS CLOS 2022'!$I:$I,"NON")</f>
        <v>1</v>
      </c>
      <c r="K28" s="35">
        <f t="shared" si="3"/>
        <v>11</v>
      </c>
      <c r="L28" s="37">
        <f t="shared" si="3"/>
        <v>8</v>
      </c>
    </row>
    <row r="29" spans="2:12" x14ac:dyDescent="0.25">
      <c r="B29" s="65" t="s">
        <v>54</v>
      </c>
      <c r="C29" s="76">
        <f>COUNTIFS('LISTE DOSSIERS CLOS 2021'!$C:$C,"&lt;&gt;S",'LISTE DOSSIERS CLOS 2021'!$B:$B,'STATISTIQUES GLOBALES'!C2,'LISTE DOSSIERS CLOS 2021'!$K:$K,"OUI")</f>
        <v>8</v>
      </c>
      <c r="D29" s="37">
        <f>COUNTIFS('LISTE DOSSIERS CLOS 2022'!$C:$C,"&lt;&gt;S",'LISTE DOSSIERS CLOS 2022'!$B:$B,'STATISTIQUES GLOBALES'!C2,'LISTE DOSSIERS CLOS 2022'!$K:$K,"OUI")</f>
        <v>5</v>
      </c>
      <c r="E29" s="35">
        <f>COUNTIFS('LISTE DOSSIERS CLOS 2021'!$C:$C,"&lt;&gt;S",'LISTE DOSSIERS CLOS 2021'!$B:$B,'STATISTIQUES GLOBALES'!E2,'LISTE DOSSIERS CLOS 2021'!$K:$K,"OUI")</f>
        <v>4</v>
      </c>
      <c r="F29" s="37">
        <f>COUNTIFS('LISTE DOSSIERS CLOS 2022'!$C:$C,"&lt;&gt;S",'LISTE DOSSIERS CLOS 2022'!$B:$B,'STATISTIQUES GLOBALES'!E2,'LISTE DOSSIERS CLOS 2022'!$K:$K,"OUI")</f>
        <v>0</v>
      </c>
      <c r="G29" s="35">
        <f>COUNTIFS('LISTE DOSSIERS CLOS 2021'!$C:$C,"&lt;&gt;S",'LISTE DOSSIERS CLOS 2021'!$B:$B,'STATISTIQUES GLOBALES'!G2,'LISTE DOSSIERS CLOS 2021'!$K:$K,"OUI")</f>
        <v>0</v>
      </c>
      <c r="H29" s="37">
        <f>COUNTIFS('LISTE DOSSIERS CLOS 2022'!$C:$C,"&lt;&gt;S",'LISTE DOSSIERS CLOS 2022'!$B:$B,'STATISTIQUES GLOBALES'!G2,'LISTE DOSSIERS CLOS 2022'!$K:$K,"OUI")</f>
        <v>4</v>
      </c>
      <c r="I29" s="35">
        <f>COUNTIFS('LISTE DOSSIERS CLOS 2021'!$C:$C,"&lt;&gt;S",'LISTE DOSSIERS CLOS 2021'!$B:$B,'STATISTIQUES GLOBALES'!I2,'LISTE DOSSIERS CLOS 2021'!$K:$K,"OUI")</f>
        <v>4</v>
      </c>
      <c r="J29" s="37">
        <f>COUNTIFS('LISTE DOSSIERS CLOS 2022'!$C:$C,"&lt;&gt;S",'LISTE DOSSIERS CLOS 2022'!$B:$B,'STATISTIQUES GLOBALES'!I2,'LISTE DOSSIERS CLOS 2022'!$K:$K,"OUI")</f>
        <v>0</v>
      </c>
      <c r="K29" s="35">
        <f t="shared" si="3"/>
        <v>16</v>
      </c>
      <c r="L29" s="37">
        <f t="shared" si="3"/>
        <v>9</v>
      </c>
    </row>
    <row r="30" spans="2:12" x14ac:dyDescent="0.25">
      <c r="B30" s="65" t="s">
        <v>55</v>
      </c>
      <c r="C30" s="76">
        <f>AVERAGEIFS('LISTE DOSSIERS CLOS 2021'!$H:$H,'LISTE DOSSIERS CLOS 2021'!$C:$C,"&lt;&gt;S",'LISTE DOSSIERS CLOS 2021'!$B:$B,"CS",'LISTE DOSSIERS CLOS 2021'!$K:$K,"OUI")</f>
        <v>96.375</v>
      </c>
      <c r="D30" s="38">
        <f>AVERAGEIFS('LISTE DOSSIERS CLOS 2022'!$H:$H,'LISTE DOSSIERS CLOS 2022'!$C:$C,"&lt;&gt;S",'LISTE DOSSIERS CLOS 2022'!$B:$B,"CS",'LISTE DOSSIERS CLOS 2022'!$K:$K,"OUI")</f>
        <v>109.6</v>
      </c>
      <c r="E30" s="36">
        <f>AVERAGEIFS('LISTE DOSSIERS CLOS 2021'!$H:$H,'LISTE DOSSIERS CLOS 2021'!$C:$C,"&lt;&gt;S",'LISTE DOSSIERS CLOS 2021'!$B:$B,"PAP",'LISTE DOSSIERS CLOS 2021'!$K:$K,"OUI")</f>
        <v>68.75</v>
      </c>
      <c r="F30" s="38" t="e">
        <f>AVERAGEIFS('LISTE DOSSIERS CLOS 2022'!$H:$H,'LISTE DOSSIERS CLOS 2022'!$C:$C,"&lt;&gt;S",'LISTE DOSSIERS CLOS 2022'!$B:$B,"PAP",'LISTE DOSSIERS CLOS 2022'!$K:$K,"OUI")</f>
        <v>#DIV/0!</v>
      </c>
      <c r="G30" s="36" t="e">
        <f>AVERAGEIFS('LISTE DOSSIERS CLOS 2021'!$H:$H,'LISTE DOSSIERS CLOS 2021'!$C:$C,"&lt;&gt;S",'LISTE DOSSIERS CLOS 2021'!$B:$B,"jl",'LISTE DOSSIERS CLOS 2021'!$K:$K,"OUI")</f>
        <v>#DIV/0!</v>
      </c>
      <c r="H30" s="38">
        <f>AVERAGEIFS('LISTE DOSSIERS CLOS 2022'!$H:$H,'LISTE DOSSIERS CLOS 2022'!$C:$C,"&lt;&gt;S",'LISTE DOSSIERS CLOS 2022'!$B:$B,"jl",'LISTE DOSSIERS CLOS 2022'!$K:$K,"OUI")</f>
        <v>104.75</v>
      </c>
      <c r="I30" s="36">
        <f>AVERAGEIFS('LISTE DOSSIERS CLOS 2021'!$H:$H,'LISTE DOSSIERS CLOS 2021'!$C:$C,"&lt;&gt;S",'LISTE DOSSIERS CLOS 2021'!$B:$B,"FC",'LISTE DOSSIERS CLOS 2021'!$K:$K,"OUI")</f>
        <v>201.5</v>
      </c>
      <c r="J30" s="38" t="e">
        <f>AVERAGEIFS('LISTE DOSSIERS CLOS 2022'!$H:$H,'LISTE DOSSIERS CLOS 2022'!$C:$C,"&lt;&gt;S",'LISTE DOSSIERS CLOS 2022'!$B:$B,"FC",'LISTE DOSSIERS CLOS 2022'!$K:$K,"OUI")</f>
        <v>#DIV/0!</v>
      </c>
      <c r="K30" s="36" t="e">
        <f>AVERAGE(C30,E30,G30,I30)</f>
        <v>#DIV/0!</v>
      </c>
      <c r="L30" s="38" t="e">
        <f>AVERAGE(D30,F30,H30,J30)</f>
        <v>#DIV/0!</v>
      </c>
    </row>
    <row r="31" spans="2:12" x14ac:dyDescent="0.25">
      <c r="B31" s="65" t="s">
        <v>56</v>
      </c>
      <c r="C31" s="76">
        <f>COUNTIFS('LISTE DOSSIERS CLOS 2021'!$C:$C,"&lt;&gt;S",'LISTE DOSSIERS CLOS 2021'!$B:$B,'STATISTIQUES GLOBALES'!C2,'LISTE DOSSIERS CLOS 2021'!$K:$K,"NON")</f>
        <v>5</v>
      </c>
      <c r="D31" s="37">
        <f>COUNTIFS('LISTE DOSSIERS CLOS 2022'!$C:$C,"&lt;&gt;S",'LISTE DOSSIERS CLOS 2022'!$B:$B,'STATISTIQUES GLOBALES'!C2,'LISTE DOSSIERS CLOS 2022'!$K:$K,"NON")</f>
        <v>3</v>
      </c>
      <c r="E31" s="35">
        <f>COUNTIFS('LISTE DOSSIERS CLOS 2021'!$C:$C,"&lt;&gt;S",'LISTE DOSSIERS CLOS 2021'!$B:$B,'STATISTIQUES GLOBALES'!E2,'LISTE DOSSIERS CLOS 2021'!$K:$K,"NON")</f>
        <v>2</v>
      </c>
      <c r="F31" s="37">
        <f>COUNTIFS('LISTE DOSSIERS CLOS 2022'!$C:$C,"&lt;&gt;S",'LISTE DOSSIERS CLOS 2022'!$B:$B,'STATISTIQUES GLOBALES'!E2,'LISTE DOSSIERS CLOS 2022'!$K:$K,"NON")</f>
        <v>1</v>
      </c>
      <c r="G31" s="35">
        <f>COUNTIFS('LISTE DOSSIERS CLOS 2021'!$C:$C,"&lt;&gt;S",'LISTE DOSSIERS CLOS 2021'!$B:$B,'STATISTIQUES GLOBALES'!G2,'LISTE DOSSIERS CLOS 2021'!$K:$K,"NON")</f>
        <v>1</v>
      </c>
      <c r="H31" s="37">
        <f>COUNTIFS('LISTE DOSSIERS CLOS 2022'!$C:$C,"&lt;&gt;S",'LISTE DOSSIERS CLOS 2022'!$B:$B,'STATISTIQUES GLOBALES'!G2,'LISTE DOSSIERS CLOS 2022'!$K:$K,"NON")</f>
        <v>2</v>
      </c>
      <c r="I31" s="35">
        <f>COUNTIFS('LISTE DOSSIERS CLOS 2021'!$C:$C,"&lt;&gt;S",'LISTE DOSSIERS CLOS 2021'!$B:$B,'STATISTIQUES GLOBALES'!I2,'LISTE DOSSIERS CLOS 2021'!$K:$K,"NON")</f>
        <v>2</v>
      </c>
      <c r="J31" s="37">
        <f>COUNTIFS('LISTE DOSSIERS CLOS 2022'!$C:$C,"&lt;&gt;S",'LISTE DOSSIERS CLOS 2022'!$B:$B,'STATISTIQUES GLOBALES'!I2,'LISTE DOSSIERS CLOS 2022'!$K:$K,"NON")</f>
        <v>1</v>
      </c>
      <c r="K31" s="35">
        <f>SUM(C31,E31,G31,I31)</f>
        <v>10</v>
      </c>
      <c r="L31" s="37">
        <f>SUM(D31,F31,H31,J31)</f>
        <v>7</v>
      </c>
    </row>
    <row r="32" spans="2:12" ht="15.75" thickBot="1" x14ac:dyDescent="0.3">
      <c r="B32" s="66" t="s">
        <v>57</v>
      </c>
      <c r="C32" s="77">
        <f>AVERAGEIFS('LISTE DOSSIERS CLOS 2021'!$H:$H,'LISTE DOSSIERS CLOS 2021'!$C:$C,"&lt;&gt;S",'LISTE DOSSIERS CLOS 2021'!$B:$B,"CS",'LISTE DOSSIERS CLOS 2021'!$K:$K,"NON")</f>
        <v>404.4</v>
      </c>
      <c r="D32" s="39">
        <f>AVERAGEIFS('LISTE DOSSIERS CLOS 2022'!$H:$H,'LISTE DOSSIERS CLOS 2022'!$C:$C,"&lt;&gt;S",'LISTE DOSSIERS CLOS 2022'!$B:$B,"CS",'LISTE DOSSIERS CLOS 2022'!$K:$K,"NON")</f>
        <v>89.333333333333329</v>
      </c>
      <c r="E32" s="63">
        <f>AVERAGEIFS('LISTE DOSSIERS CLOS 2021'!$H:$H,'LISTE DOSSIERS CLOS 2021'!$C:$C,"&lt;&gt;S",'LISTE DOSSIERS CLOS 2021'!$B:$B,"PAP",'LISTE DOSSIERS CLOS 2021'!$K:$K,"NON")</f>
        <v>89.5</v>
      </c>
      <c r="F32" s="39">
        <f>AVERAGEIFS('LISTE DOSSIERS CLOS 2022'!$H:$H,'LISTE DOSSIERS CLOS 2022'!$C:$C,"&lt;&gt;S",'LISTE DOSSIERS CLOS 2022'!$B:$B,"PAP",'LISTE DOSSIERS CLOS 2022'!$K:$K,"NON")</f>
        <v>106</v>
      </c>
      <c r="G32" s="63">
        <f>AVERAGEIFS('LISTE DOSSIERS CLOS 2021'!$H:$H,'LISTE DOSSIERS CLOS 2021'!$C:$C,"&lt;&gt;S",'LISTE DOSSIERS CLOS 2021'!$B:$B,"jl",'LISTE DOSSIERS CLOS 2021'!$K:$K,"NON")</f>
        <v>109</v>
      </c>
      <c r="H32" s="39">
        <f>AVERAGEIFS('LISTE DOSSIERS CLOS 2022'!$H:$H,'LISTE DOSSIERS CLOS 2022'!$C:$C,"&lt;&gt;S",'LISTE DOSSIERS CLOS 2022'!$B:$B,"jl",'LISTE DOSSIERS CLOS 2022'!$K:$K,"NON")</f>
        <v>288</v>
      </c>
      <c r="I32" s="63">
        <f>AVERAGEIFS('LISTE DOSSIERS CLOS 2021'!$H:$H,'LISTE DOSSIERS CLOS 2021'!$C:$C,"&lt;&gt;S",'LISTE DOSSIERS CLOS 2021'!$B:$B,"FC",'LISTE DOSSIERS CLOS 2021'!$K:$K,"NON")</f>
        <v>478</v>
      </c>
      <c r="J32" s="39">
        <f>AVERAGEIFS('LISTE DOSSIERS CLOS 2022'!$H:$H,'LISTE DOSSIERS CLOS 2022'!$C:$C,"&lt;&gt;S",'LISTE DOSSIERS CLOS 2022'!$B:$B,"FC",'LISTE DOSSIERS CLOS 2022'!$K:$K,"NON")</f>
        <v>285</v>
      </c>
      <c r="K32" s="63">
        <f>AVERAGE(C32,E32,G32,I32)</f>
        <v>270.22500000000002</v>
      </c>
      <c r="L32" s="39">
        <f>AVERAGE(D32,F32,H32,J32)</f>
        <v>192.08333333333331</v>
      </c>
    </row>
  </sheetData>
  <mergeCells count="5">
    <mergeCell ref="C2:D2"/>
    <mergeCell ref="E2:F2"/>
    <mergeCell ref="G2:H2"/>
    <mergeCell ref="I2:J2"/>
    <mergeCell ref="K2:L2"/>
  </mergeCells>
  <pageMargins left="0.25" right="0.25" top="0.75" bottom="0.75" header="0.3" footer="0.3"/>
  <pageSetup paperSize="8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DOSSIERS CLOS 2021</vt:lpstr>
      <vt:lpstr>LISTE DOSSIERS CLOS 2022</vt:lpstr>
      <vt:lpstr>STATISTIQUES GLOBALES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BEAUMARD</dc:creator>
  <cp:lastModifiedBy>Audrey BEAUMARD</cp:lastModifiedBy>
  <cp:lastPrinted>2022-08-29T12:13:55Z</cp:lastPrinted>
  <dcterms:created xsi:type="dcterms:W3CDTF">2022-06-28T10:18:37Z</dcterms:created>
  <dcterms:modified xsi:type="dcterms:W3CDTF">2022-10-18T13:01:19Z</dcterms:modified>
</cp:coreProperties>
</file>