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4F169FC2-5ECB-4EC2-B9B6-7160937D8866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Notice" sheetId="1" r:id="rId1"/>
    <sheet name="Candidats" sheetId="2" r:id="rId2"/>
    <sheet name="Résultats" sheetId="6" r:id="rId3"/>
    <sheet name="Entretiens" sheetId="3" r:id="rId4"/>
    <sheet name="Synthèse" sheetId="4" r:id="rId5"/>
    <sheet name="Chiffrement" sheetId="5" r:id="rId6"/>
    <sheet name="GraphNoteglobale" sheetId="8" r:id="rId7"/>
    <sheet name="Performances candidats" sheetId="7" r:id="rId8"/>
    <sheet name="Tableau a ne pas toucher" sheetId="9" r:id="rId9"/>
  </sheets>
  <calcPr calcId="191029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9" l="1"/>
  <c r="A8" i="9"/>
  <c r="A7" i="9"/>
  <c r="A6" i="9"/>
  <c r="A5" i="9"/>
  <c r="A4" i="9"/>
  <c r="A3" i="9"/>
  <c r="B2" i="9"/>
  <c r="B9" i="9" s="1"/>
  <c r="A2" i="9"/>
  <c r="R22" i="4"/>
  <c r="B6" i="9" l="1"/>
  <c r="B3" i="9"/>
  <c r="B7" i="9"/>
  <c r="B4" i="9"/>
  <c r="B8" i="9"/>
  <c r="B5" i="9"/>
  <c r="C26" i="6" l="1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B26" i="6"/>
  <c r="F22" i="4"/>
  <c r="AG22" i="4"/>
  <c r="AG5" i="4" l="1"/>
  <c r="AO5" i="4" s="1"/>
  <c r="AG6" i="4"/>
  <c r="AO6" i="4" s="1"/>
  <c r="AG7" i="4"/>
  <c r="AO7" i="4" s="1"/>
  <c r="AG8" i="4"/>
  <c r="AO8" i="4" s="1"/>
  <c r="AG9" i="4"/>
  <c r="AO9" i="4" s="1"/>
  <c r="AG10" i="4"/>
  <c r="AO10" i="4" s="1"/>
  <c r="AG11" i="4"/>
  <c r="AO11" i="4" s="1"/>
  <c r="AG12" i="4"/>
  <c r="AO12" i="4" s="1"/>
  <c r="AG13" i="4"/>
  <c r="AO13" i="4" s="1"/>
  <c r="AG14" i="4"/>
  <c r="AO14" i="4" s="1"/>
  <c r="AG15" i="4"/>
  <c r="AO15" i="4" s="1"/>
  <c r="AG16" i="4"/>
  <c r="AO16" i="4" s="1"/>
  <c r="AG17" i="4"/>
  <c r="AO17" i="4" s="1"/>
  <c r="AG18" i="4"/>
  <c r="AO18" i="4" s="1"/>
  <c r="AG19" i="4"/>
  <c r="AO19" i="4" s="1"/>
  <c r="AG4" i="4"/>
  <c r="AO4" i="4" s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4" i="2"/>
  <c r="AB5" i="4"/>
  <c r="AB6" i="4"/>
  <c r="AB7" i="4"/>
  <c r="AB8" i="4"/>
  <c r="AB9" i="4"/>
  <c r="AB10" i="4"/>
  <c r="AB11" i="4"/>
  <c r="AB12" i="4"/>
  <c r="AB13" i="4"/>
  <c r="AB14" i="4"/>
  <c r="AB15" i="4"/>
  <c r="AB16" i="4"/>
  <c r="AB17" i="4"/>
  <c r="AB18" i="4"/>
  <c r="AB19" i="4"/>
  <c r="AB4" i="4"/>
  <c r="AC3" i="4" s="1"/>
  <c r="X5" i="4"/>
  <c r="X6" i="4"/>
  <c r="X7" i="4"/>
  <c r="X8" i="4"/>
  <c r="X9" i="4"/>
  <c r="X10" i="4"/>
  <c r="X11" i="4"/>
  <c r="X12" i="4"/>
  <c r="X13" i="4"/>
  <c r="X14" i="4"/>
  <c r="X15" i="4"/>
  <c r="X16" i="4"/>
  <c r="X17" i="4"/>
  <c r="X18" i="4"/>
  <c r="X19" i="4"/>
  <c r="X4" i="4"/>
  <c r="Y3" i="4" s="1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4" i="4"/>
  <c r="U3" i="4" s="1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4" i="4"/>
  <c r="Q3" i="4" s="1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4" i="4"/>
  <c r="M3" i="4" s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4" i="4"/>
  <c r="O22" i="4"/>
  <c r="L22" i="4"/>
  <c r="I22" i="4"/>
  <c r="B24" i="4"/>
  <c r="B23" i="4"/>
  <c r="B22" i="4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F20" i="2"/>
  <c r="J4" i="4"/>
  <c r="K4" i="4" s="1"/>
  <c r="Z19" i="4"/>
  <c r="AA19" i="4" s="1"/>
  <c r="Z18" i="4"/>
  <c r="AA18" i="4" s="1"/>
  <c r="Z17" i="4"/>
  <c r="AA17" i="4" s="1"/>
  <c r="Z16" i="4"/>
  <c r="AA16" i="4" s="1"/>
  <c r="Z15" i="4"/>
  <c r="AA15" i="4" s="1"/>
  <c r="Z14" i="4"/>
  <c r="AA14" i="4" s="1"/>
  <c r="Z13" i="4"/>
  <c r="AA13" i="4" s="1"/>
  <c r="Z12" i="4"/>
  <c r="AA12" i="4" s="1"/>
  <c r="Z11" i="4"/>
  <c r="AA11" i="4" s="1"/>
  <c r="Z10" i="4"/>
  <c r="AA10" i="4" s="1"/>
  <c r="Z9" i="4"/>
  <c r="AA9" i="4" s="1"/>
  <c r="Z8" i="4"/>
  <c r="AA8" i="4" s="1"/>
  <c r="Z7" i="4"/>
  <c r="AA7" i="4" s="1"/>
  <c r="Z6" i="4"/>
  <c r="AA6" i="4" s="1"/>
  <c r="Z5" i="4"/>
  <c r="AA5" i="4" s="1"/>
  <c r="Z4" i="4"/>
  <c r="AA4" i="4" s="1"/>
  <c r="N19" i="4"/>
  <c r="O19" i="4" s="1"/>
  <c r="N18" i="4"/>
  <c r="O18" i="4" s="1"/>
  <c r="N17" i="4"/>
  <c r="O17" i="4" s="1"/>
  <c r="N16" i="4"/>
  <c r="O16" i="4" s="1"/>
  <c r="N15" i="4"/>
  <c r="O15" i="4" s="1"/>
  <c r="N14" i="4"/>
  <c r="O14" i="4" s="1"/>
  <c r="N13" i="4"/>
  <c r="O13" i="4" s="1"/>
  <c r="N12" i="4"/>
  <c r="O12" i="4" s="1"/>
  <c r="N4" i="4"/>
  <c r="O4" i="4" s="1"/>
  <c r="N11" i="4"/>
  <c r="O11" i="4" s="1"/>
  <c r="N10" i="4"/>
  <c r="O10" i="4" s="1"/>
  <c r="N9" i="4"/>
  <c r="O9" i="4" s="1"/>
  <c r="N8" i="4"/>
  <c r="O8" i="4" s="1"/>
  <c r="N7" i="4"/>
  <c r="O7" i="4" s="1"/>
  <c r="N6" i="4"/>
  <c r="O6" i="4" s="1"/>
  <c r="N5" i="4"/>
  <c r="O5" i="4" s="1"/>
  <c r="J19" i="4"/>
  <c r="K19" i="4" s="1"/>
  <c r="J18" i="4"/>
  <c r="K18" i="4" s="1"/>
  <c r="J17" i="4"/>
  <c r="K17" i="4" s="1"/>
  <c r="J16" i="4"/>
  <c r="K16" i="4" s="1"/>
  <c r="J15" i="4"/>
  <c r="K15" i="4" s="1"/>
  <c r="J14" i="4"/>
  <c r="K14" i="4" s="1"/>
  <c r="J13" i="4"/>
  <c r="K13" i="4" s="1"/>
  <c r="J12" i="4"/>
  <c r="K12" i="4" s="1"/>
  <c r="J11" i="4"/>
  <c r="K11" i="4" s="1"/>
  <c r="J10" i="4"/>
  <c r="K10" i="4" s="1"/>
  <c r="J9" i="4"/>
  <c r="K9" i="4" s="1"/>
  <c r="J8" i="4"/>
  <c r="K8" i="4" s="1"/>
  <c r="J7" i="4"/>
  <c r="K7" i="4" s="1"/>
  <c r="J6" i="4"/>
  <c r="K6" i="4" s="1"/>
  <c r="J5" i="4"/>
  <c r="K5" i="4" s="1"/>
  <c r="F19" i="4"/>
  <c r="F18" i="4"/>
  <c r="F17" i="4"/>
  <c r="F16" i="4"/>
  <c r="F15" i="4"/>
  <c r="F14" i="4"/>
  <c r="G14" i="4" s="1"/>
  <c r="F13" i="4"/>
  <c r="G13" i="4" s="1"/>
  <c r="F12" i="4"/>
  <c r="G12" i="4" s="1"/>
  <c r="F11" i="4"/>
  <c r="G11" i="4" s="1"/>
  <c r="F10" i="4"/>
  <c r="G10" i="4" s="1"/>
  <c r="F9" i="4"/>
  <c r="G9" i="4" s="1"/>
  <c r="F8" i="4"/>
  <c r="G8" i="4" s="1"/>
  <c r="F7" i="4"/>
  <c r="G7" i="4" s="1"/>
  <c r="F6" i="4"/>
  <c r="G6" i="4" s="1"/>
  <c r="F5" i="4"/>
  <c r="G5" i="4" s="1"/>
  <c r="F4" i="4"/>
  <c r="G4" i="4" s="1"/>
  <c r="B19" i="4"/>
  <c r="B18" i="4"/>
  <c r="B17" i="4"/>
  <c r="B16" i="4"/>
  <c r="B15" i="4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4" i="2"/>
  <c r="G4" i="2" s="1"/>
  <c r="F33" i="3"/>
  <c r="E33" i="3"/>
  <c r="A5" i="4"/>
  <c r="A3" i="7" s="1"/>
  <c r="A6" i="4"/>
  <c r="A4" i="7" s="1"/>
  <c r="A7" i="4"/>
  <c r="A5" i="7" s="1"/>
  <c r="A8" i="4"/>
  <c r="A6" i="7" s="1"/>
  <c r="A9" i="4"/>
  <c r="A7" i="7" s="1"/>
  <c r="A10" i="4"/>
  <c r="A8" i="7" s="1"/>
  <c r="A11" i="4"/>
  <c r="A9" i="7" s="1"/>
  <c r="A12" i="4"/>
  <c r="A10" i="7" s="1"/>
  <c r="A13" i="4"/>
  <c r="A11" i="7" s="1"/>
  <c r="A14" i="4"/>
  <c r="A12" i="7" s="1"/>
  <c r="A15" i="4"/>
  <c r="A13" i="7" s="1"/>
  <c r="A16" i="4"/>
  <c r="A14" i="7" s="1"/>
  <c r="A17" i="4"/>
  <c r="A15" i="7" s="1"/>
  <c r="A18" i="4"/>
  <c r="A16" i="7" s="1"/>
  <c r="A19" i="4"/>
  <c r="A17" i="7" s="1"/>
  <c r="A4" i="4"/>
  <c r="A2" i="7" s="1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4" i="3"/>
  <c r="E13" i="4" l="1"/>
  <c r="E5" i="4"/>
  <c r="I13" i="4"/>
  <c r="I5" i="4"/>
  <c r="E12" i="4"/>
  <c r="I12" i="4"/>
  <c r="I11" i="4"/>
  <c r="E10" i="4"/>
  <c r="I10" i="4"/>
  <c r="E9" i="4"/>
  <c r="I9" i="4"/>
  <c r="E11" i="4"/>
  <c r="E8" i="4"/>
  <c r="I8" i="4"/>
  <c r="E7" i="4"/>
  <c r="I7" i="4"/>
  <c r="E14" i="4"/>
  <c r="E6" i="4"/>
  <c r="I14" i="4"/>
  <c r="I6" i="4"/>
  <c r="E3" i="4"/>
  <c r="E4" i="4"/>
  <c r="I3" i="4"/>
  <c r="I4" i="4"/>
  <c r="G19" i="4"/>
  <c r="F17" i="7" s="1"/>
  <c r="C19" i="4"/>
  <c r="D17" i="7" s="1"/>
  <c r="C18" i="4"/>
  <c r="D16" i="7" s="1"/>
  <c r="G17" i="4"/>
  <c r="F15" i="7" s="1"/>
  <c r="G18" i="4"/>
  <c r="I18" i="4" s="1"/>
  <c r="C17" i="4"/>
  <c r="E17" i="4"/>
  <c r="C16" i="4"/>
  <c r="E16" i="4" s="1"/>
  <c r="G16" i="4"/>
  <c r="G15" i="4"/>
  <c r="I15" i="4" s="1"/>
  <c r="C15" i="4"/>
  <c r="E15" i="4" s="1"/>
  <c r="M15" i="7"/>
  <c r="I15" i="7"/>
  <c r="G15" i="7"/>
  <c r="H15" i="7"/>
  <c r="C15" i="7"/>
  <c r="J15" i="7"/>
  <c r="D15" i="7"/>
  <c r="E15" i="7"/>
  <c r="J7" i="7"/>
  <c r="H7" i="7"/>
  <c r="F7" i="7"/>
  <c r="D7" i="7"/>
  <c r="C7" i="7"/>
  <c r="M7" i="7"/>
  <c r="I7" i="7"/>
  <c r="G7" i="7"/>
  <c r="E7" i="7"/>
  <c r="J6" i="7"/>
  <c r="H6" i="7"/>
  <c r="F6" i="7"/>
  <c r="D6" i="7"/>
  <c r="M6" i="7"/>
  <c r="I6" i="7"/>
  <c r="G6" i="7"/>
  <c r="E6" i="7"/>
  <c r="C6" i="7"/>
  <c r="M5" i="7"/>
  <c r="I5" i="7"/>
  <c r="G5" i="7"/>
  <c r="E5" i="7"/>
  <c r="C5" i="7"/>
  <c r="J5" i="7"/>
  <c r="H5" i="7"/>
  <c r="F5" i="7"/>
  <c r="D5" i="7"/>
  <c r="M4" i="7"/>
  <c r="I4" i="7"/>
  <c r="G4" i="7"/>
  <c r="E4" i="7"/>
  <c r="C4" i="7"/>
  <c r="J4" i="7"/>
  <c r="H4" i="7"/>
  <c r="F4" i="7"/>
  <c r="D4" i="7"/>
  <c r="M3" i="7"/>
  <c r="I3" i="7"/>
  <c r="G3" i="7"/>
  <c r="E3" i="7"/>
  <c r="J3" i="7"/>
  <c r="F3" i="7"/>
  <c r="D3" i="7"/>
  <c r="H3" i="7"/>
  <c r="C3" i="7"/>
  <c r="M2" i="7"/>
  <c r="I2" i="7"/>
  <c r="G2" i="7"/>
  <c r="E2" i="7"/>
  <c r="C2" i="7"/>
  <c r="J2" i="7"/>
  <c r="H2" i="7"/>
  <c r="F2" i="7"/>
  <c r="D2" i="7"/>
  <c r="M10" i="7"/>
  <c r="I10" i="7"/>
  <c r="G10" i="7"/>
  <c r="E10" i="7"/>
  <c r="C10" i="7"/>
  <c r="J10" i="7"/>
  <c r="H10" i="7"/>
  <c r="F10" i="7"/>
  <c r="D10" i="7"/>
  <c r="M17" i="7"/>
  <c r="I17" i="7"/>
  <c r="G17" i="7"/>
  <c r="E17" i="7"/>
  <c r="C17" i="7"/>
  <c r="J17" i="7"/>
  <c r="H17" i="7"/>
  <c r="J9" i="7"/>
  <c r="H9" i="7"/>
  <c r="F9" i="7"/>
  <c r="D9" i="7"/>
  <c r="M9" i="7"/>
  <c r="I9" i="7"/>
  <c r="G9" i="7"/>
  <c r="E9" i="7"/>
  <c r="C9" i="7"/>
  <c r="M16" i="7"/>
  <c r="I16" i="7"/>
  <c r="G16" i="7"/>
  <c r="E16" i="7"/>
  <c r="C16" i="7"/>
  <c r="J16" i="7"/>
  <c r="H16" i="7"/>
  <c r="J8" i="7"/>
  <c r="H8" i="7"/>
  <c r="F8" i="7"/>
  <c r="D8" i="7"/>
  <c r="M8" i="7"/>
  <c r="I8" i="7"/>
  <c r="G8" i="7"/>
  <c r="E8" i="7"/>
  <c r="C8" i="7"/>
  <c r="M14" i="7"/>
  <c r="E14" i="7"/>
  <c r="H14" i="7"/>
  <c r="C14" i="7"/>
  <c r="I14" i="7"/>
  <c r="G14" i="7"/>
  <c r="J14" i="7"/>
  <c r="J13" i="7"/>
  <c r="F13" i="7"/>
  <c r="G13" i="7"/>
  <c r="C13" i="7"/>
  <c r="H13" i="7"/>
  <c r="M13" i="7"/>
  <c r="I13" i="7"/>
  <c r="E13" i="7"/>
  <c r="H12" i="7"/>
  <c r="I12" i="7"/>
  <c r="M12" i="7"/>
  <c r="E12" i="7"/>
  <c r="G12" i="7"/>
  <c r="J12" i="7"/>
  <c r="C12" i="7"/>
  <c r="D12" i="7"/>
  <c r="F12" i="7"/>
  <c r="D11" i="7"/>
  <c r="H11" i="7"/>
  <c r="E11" i="7"/>
  <c r="I11" i="7"/>
  <c r="G11" i="7"/>
  <c r="J11" i="7"/>
  <c r="F11" i="7"/>
  <c r="C11" i="7"/>
  <c r="M11" i="7"/>
  <c r="T3" i="4"/>
  <c r="AB3" i="4"/>
  <c r="X3" i="4"/>
  <c r="L3" i="4"/>
  <c r="P3" i="4"/>
  <c r="D3" i="4"/>
  <c r="H3" i="4"/>
  <c r="AH8" i="4"/>
  <c r="AH7" i="4"/>
  <c r="AH6" i="4"/>
  <c r="AH5" i="4"/>
  <c r="AH4" i="4"/>
  <c r="AH16" i="4"/>
  <c r="AH15" i="4"/>
  <c r="AH17" i="4"/>
  <c r="AH14" i="4"/>
  <c r="AH9" i="4"/>
  <c r="AH13" i="4"/>
  <c r="AH12" i="4"/>
  <c r="AH19" i="4"/>
  <c r="AH11" i="4"/>
  <c r="AH18" i="4"/>
  <c r="AH10" i="4"/>
  <c r="AC4" i="4"/>
  <c r="AC19" i="4"/>
  <c r="AC11" i="4"/>
  <c r="M5" i="4"/>
  <c r="Q5" i="4"/>
  <c r="M4" i="4"/>
  <c r="AC18" i="4"/>
  <c r="AC10" i="4"/>
  <c r="AC17" i="4"/>
  <c r="AC9" i="4"/>
  <c r="AC12" i="4"/>
  <c r="AC16" i="4"/>
  <c r="AC8" i="4"/>
  <c r="AC15" i="4"/>
  <c r="AC7" i="4"/>
  <c r="AC14" i="4"/>
  <c r="AC6" i="4"/>
  <c r="AC13" i="4"/>
  <c r="AC5" i="4"/>
  <c r="M12" i="4"/>
  <c r="Q12" i="4"/>
  <c r="M19" i="4"/>
  <c r="M11" i="4"/>
  <c r="Q19" i="4"/>
  <c r="Q11" i="4"/>
  <c r="M18" i="4"/>
  <c r="M10" i="4"/>
  <c r="Q18" i="4"/>
  <c r="Q10" i="4"/>
  <c r="M17" i="4"/>
  <c r="M9" i="4"/>
  <c r="Q17" i="4"/>
  <c r="Q9" i="4"/>
  <c r="M16" i="4"/>
  <c r="M8" i="4"/>
  <c r="Q16" i="4"/>
  <c r="Q8" i="4"/>
  <c r="M15" i="4"/>
  <c r="M7" i="4"/>
  <c r="Q15" i="4"/>
  <c r="Q7" i="4"/>
  <c r="M14" i="4"/>
  <c r="M6" i="4"/>
  <c r="Q14" i="4"/>
  <c r="Q6" i="4"/>
  <c r="M13" i="4"/>
  <c r="Q13" i="4"/>
  <c r="Q4" i="4"/>
  <c r="I20" i="2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C2" i="6"/>
  <c r="D2" i="6"/>
  <c r="E2" i="6"/>
  <c r="E44" i="6" s="1" a="1"/>
  <c r="E44" i="6" s="1"/>
  <c r="F2" i="6"/>
  <c r="F44" i="6" s="1" a="1"/>
  <c r="F44" i="6" s="1"/>
  <c r="G2" i="6"/>
  <c r="G44" i="6" s="1" a="1"/>
  <c r="G44" i="6" s="1"/>
  <c r="H2" i="6"/>
  <c r="H44" i="6" s="1" a="1"/>
  <c r="H44" i="6" s="1"/>
  <c r="I2" i="6"/>
  <c r="J2" i="6"/>
  <c r="L2" i="6"/>
  <c r="M2" i="6"/>
  <c r="N2" i="6"/>
  <c r="O2" i="6"/>
  <c r="P2" i="6"/>
  <c r="Q2" i="6"/>
  <c r="R2" i="6"/>
  <c r="K2" i="6"/>
  <c r="I19" i="4" l="1"/>
  <c r="E19" i="4"/>
  <c r="E18" i="4"/>
  <c r="I17" i="4"/>
  <c r="F16" i="7"/>
  <c r="D14" i="7"/>
  <c r="F14" i="7"/>
  <c r="I16" i="4"/>
  <c r="D13" i="7"/>
  <c r="G17" i="2"/>
  <c r="R16" i="4"/>
  <c r="S16" i="4" s="1"/>
  <c r="K14" i="7" s="1"/>
  <c r="O44" i="6" a="1"/>
  <c r="O44" i="6" s="1"/>
  <c r="R14" i="4"/>
  <c r="S14" i="4" s="1"/>
  <c r="K12" i="7" s="1"/>
  <c r="M44" i="6" a="1"/>
  <c r="M44" i="6" s="1"/>
  <c r="V5" i="4"/>
  <c r="W5" i="4" s="1"/>
  <c r="D44" i="6" a="1"/>
  <c r="D44" i="6" s="1"/>
  <c r="R12" i="4"/>
  <c r="S12" i="4" s="1"/>
  <c r="K10" i="7" s="1"/>
  <c r="K44" i="6" a="1"/>
  <c r="K44" i="6" s="1"/>
  <c r="V11" i="4"/>
  <c r="W11" i="4" s="1"/>
  <c r="L9" i="7" s="1"/>
  <c r="J44" i="6" a="1"/>
  <c r="J44" i="6" s="1"/>
  <c r="R19" i="4"/>
  <c r="S19" i="4" s="1"/>
  <c r="K17" i="7" s="1"/>
  <c r="R44" i="6" a="1"/>
  <c r="R44" i="6" s="1"/>
  <c r="V10" i="4"/>
  <c r="W10" i="4" s="1"/>
  <c r="L8" i="7" s="1"/>
  <c r="I44" i="6" a="1"/>
  <c r="I44" i="6" s="1"/>
  <c r="V18" i="4"/>
  <c r="W18" i="4" s="1"/>
  <c r="Q44" i="6" a="1"/>
  <c r="Q44" i="6" s="1"/>
  <c r="V17" i="4"/>
  <c r="W17" i="4" s="1"/>
  <c r="P44" i="6" a="1"/>
  <c r="P44" i="6" s="1"/>
  <c r="R15" i="4"/>
  <c r="S15" i="4" s="1"/>
  <c r="K13" i="7" s="1"/>
  <c r="N44" i="6" a="1"/>
  <c r="N44" i="6" s="1"/>
  <c r="V13" i="4"/>
  <c r="W13" i="4" s="1"/>
  <c r="L44" i="6" a="1"/>
  <c r="L44" i="6" s="1"/>
  <c r="R4" i="4"/>
  <c r="S4" i="4" s="1"/>
  <c r="K2" i="7" s="1"/>
  <c r="C44" i="6" a="1"/>
  <c r="C44" i="6" s="1"/>
  <c r="R6" i="4"/>
  <c r="S6" i="4" s="1"/>
  <c r="K4" i="7" s="1"/>
  <c r="V8" i="4"/>
  <c r="W8" i="4" s="1"/>
  <c r="V9" i="4"/>
  <c r="W9" i="4" s="1"/>
  <c r="V7" i="4"/>
  <c r="W7" i="4" s="1"/>
  <c r="V19" i="4"/>
  <c r="W19" i="4" s="1"/>
  <c r="R17" i="4"/>
  <c r="S17" i="4" s="1"/>
  <c r="K15" i="7" s="1"/>
  <c r="V14" i="4"/>
  <c r="W14" i="4" s="1"/>
  <c r="V12" i="4"/>
  <c r="W12" i="4" s="1"/>
  <c r="L10" i="7" s="1"/>
  <c r="R11" i="4"/>
  <c r="S11" i="4" s="1"/>
  <c r="K9" i="7" s="1"/>
  <c r="R9" i="4"/>
  <c r="S9" i="4" s="1"/>
  <c r="K7" i="7" s="1"/>
  <c r="R8" i="4"/>
  <c r="S8" i="4" s="1"/>
  <c r="K6" i="7" s="1"/>
  <c r="V16" i="4"/>
  <c r="W16" i="4" s="1"/>
  <c r="R13" i="4"/>
  <c r="S13" i="4" s="1"/>
  <c r="K11" i="7" s="1"/>
  <c r="V15" i="4"/>
  <c r="W15" i="4" s="1"/>
  <c r="R18" i="4"/>
  <c r="S18" i="4" s="1"/>
  <c r="K16" i="7" s="1"/>
  <c r="R10" i="4"/>
  <c r="S10" i="4" s="1"/>
  <c r="R5" i="4"/>
  <c r="S5" i="4" s="1"/>
  <c r="K3" i="7" s="1"/>
  <c r="R7" i="4"/>
  <c r="S7" i="4" s="1"/>
  <c r="K5" i="7" s="1"/>
  <c r="V6" i="4"/>
  <c r="W6" i="4" s="1"/>
  <c r="B29" i="2"/>
  <c r="Y19" i="4" l="1"/>
  <c r="AK19" i="4"/>
  <c r="L17" i="7"/>
  <c r="Y18" i="4"/>
  <c r="L16" i="7"/>
  <c r="AK18" i="4"/>
  <c r="Y17" i="4"/>
  <c r="L15" i="7"/>
  <c r="AK17" i="4"/>
  <c r="Y16" i="4"/>
  <c r="L14" i="7"/>
  <c r="AK16" i="4"/>
  <c r="Y15" i="4"/>
  <c r="AK15" i="4"/>
  <c r="L13" i="7"/>
  <c r="Y5" i="4"/>
  <c r="L3" i="7"/>
  <c r="Y7" i="4"/>
  <c r="L5" i="7"/>
  <c r="U10" i="4"/>
  <c r="K8" i="7"/>
  <c r="Y8" i="4"/>
  <c r="L6" i="7"/>
  <c r="Y6" i="4"/>
  <c r="L4" i="7"/>
  <c r="Y9" i="4"/>
  <c r="L7" i="7"/>
  <c r="Y14" i="4"/>
  <c r="L12" i="7"/>
  <c r="AK14" i="4"/>
  <c r="Y13" i="4"/>
  <c r="L11" i="7"/>
  <c r="AK13" i="4"/>
  <c r="Y12" i="4"/>
  <c r="AK12" i="4"/>
  <c r="AK7" i="4"/>
  <c r="AK5" i="4"/>
  <c r="Y11" i="4"/>
  <c r="AK11" i="4"/>
  <c r="Y10" i="4"/>
  <c r="AK10" i="4"/>
  <c r="AK8" i="4"/>
  <c r="AK9" i="4"/>
  <c r="AK6" i="4"/>
  <c r="U12" i="4"/>
  <c r="U17" i="4"/>
  <c r="U4" i="4"/>
  <c r="U19" i="4"/>
  <c r="U14" i="4"/>
  <c r="U8" i="4"/>
  <c r="U15" i="4"/>
  <c r="U7" i="4"/>
  <c r="U9" i="4"/>
  <c r="U18" i="4"/>
  <c r="AD18" i="4" s="1"/>
  <c r="U13" i="4"/>
  <c r="U5" i="4"/>
  <c r="U11" i="4"/>
  <c r="U6" i="4"/>
  <c r="U16" i="4"/>
  <c r="A34" i="3" a="1"/>
  <c r="A34" i="3" s="1"/>
  <c r="A50" i="3" s="1"/>
  <c r="B25" i="4"/>
  <c r="H16" i="2"/>
  <c r="D33" i="3"/>
  <c r="H6" i="2"/>
  <c r="H14" i="2"/>
  <c r="H7" i="2"/>
  <c r="H15" i="2"/>
  <c r="H11" i="2"/>
  <c r="H12" i="2"/>
  <c r="H4" i="2"/>
  <c r="H13" i="2"/>
  <c r="H8" i="2"/>
  <c r="H9" i="2"/>
  <c r="H10" i="2"/>
  <c r="H5" i="2"/>
  <c r="G18" i="2"/>
  <c r="H17" i="2"/>
  <c r="S44" i="6"/>
  <c r="AD6" i="4" l="1"/>
  <c r="AP6" i="4" s="1"/>
  <c r="AD5" i="4"/>
  <c r="B3" i="7" s="1"/>
  <c r="AD19" i="4"/>
  <c r="AP19" i="4" s="1"/>
  <c r="AL19" i="4"/>
  <c r="AD17" i="4"/>
  <c r="AP17" i="4" s="1"/>
  <c r="AD16" i="4"/>
  <c r="AP16" i="4" s="1"/>
  <c r="AL16" i="4"/>
  <c r="AL18" i="4"/>
  <c r="AL17" i="4"/>
  <c r="B16" i="7"/>
  <c r="AP18" i="4"/>
  <c r="B14" i="7"/>
  <c r="AD15" i="4"/>
  <c r="B13" i="7" s="1"/>
  <c r="AD8" i="4"/>
  <c r="AP8" i="4" s="1"/>
  <c r="AD10" i="4"/>
  <c r="AP10" i="4" s="1"/>
  <c r="AD9" i="4"/>
  <c r="AP9" i="4" s="1"/>
  <c r="AD7" i="4"/>
  <c r="AP7" i="4" s="1"/>
  <c r="AD14" i="4"/>
  <c r="AD13" i="4"/>
  <c r="B11" i="7" s="1"/>
  <c r="AD12" i="4"/>
  <c r="AD22" i="4"/>
  <c r="AD11" i="4"/>
  <c r="AA22" i="4"/>
  <c r="X22" i="4"/>
  <c r="U22" i="4"/>
  <c r="T38" i="6"/>
  <c r="A26" i="3"/>
  <c r="G19" i="2"/>
  <c r="H19" i="2" s="1"/>
  <c r="H18" i="2"/>
  <c r="B35" i="6"/>
  <c r="V4" i="4"/>
  <c r="W4" i="4" s="1"/>
  <c r="L2" i="7" s="1"/>
  <c r="A32" i="2" l="1"/>
  <c r="B4" i="7"/>
  <c r="AP5" i="4"/>
  <c r="B17" i="7"/>
  <c r="B15" i="7"/>
  <c r="AP15" i="4"/>
  <c r="B6" i="7"/>
  <c r="B7" i="7"/>
  <c r="B8" i="7"/>
  <c r="B5" i="7"/>
  <c r="B12" i="7"/>
  <c r="AP14" i="4"/>
  <c r="AP13" i="4"/>
  <c r="AP11" i="4"/>
  <c r="B9" i="7"/>
  <c r="AP12" i="4"/>
  <c r="B10" i="7"/>
  <c r="Y4" i="4"/>
  <c r="AD4" i="4" s="1"/>
  <c r="B2" i="7" s="1"/>
  <c r="AK4" i="4"/>
  <c r="AL15" i="4" s="1"/>
  <c r="AL12" i="4" l="1"/>
  <c r="AL13" i="4"/>
  <c r="AL14" i="4"/>
  <c r="AP4" i="4"/>
  <c r="AL10" i="4"/>
  <c r="AL11" i="4"/>
  <c r="AL4" i="4"/>
  <c r="AL8" i="4"/>
  <c r="AL9" i="4"/>
  <c r="AL5" i="4"/>
  <c r="AL7" i="4"/>
  <c r="AL6" i="4"/>
  <c r="AF5" i="4" l="1"/>
  <c r="AN5" i="4" s="1"/>
  <c r="AQ5" i="4" s="1"/>
  <c r="AF12" i="4"/>
  <c r="AN12" i="4" s="1"/>
  <c r="AQ12" i="4" s="1"/>
  <c r="AF18" i="4"/>
  <c r="AN18" i="4" s="1"/>
  <c r="AQ18" i="4" s="1"/>
  <c r="AF19" i="4"/>
  <c r="AN19" i="4" s="1"/>
  <c r="AQ19" i="4" s="1"/>
  <c r="AF15" i="4"/>
  <c r="AN15" i="4" s="1"/>
  <c r="AQ15" i="4" s="1"/>
  <c r="AF17" i="4"/>
  <c r="AN17" i="4" s="1"/>
  <c r="AQ17" i="4" s="1"/>
  <c r="AF14" i="4"/>
  <c r="AN14" i="4" s="1"/>
  <c r="AQ14" i="4" s="1"/>
  <c r="AF16" i="4"/>
  <c r="AN16" i="4" s="1"/>
  <c r="AQ16" i="4" s="1"/>
  <c r="AF13" i="4"/>
  <c r="AN13" i="4" s="1"/>
  <c r="AQ13" i="4" s="1"/>
  <c r="AF4" i="4"/>
  <c r="AN4" i="4" s="1"/>
  <c r="AQ4" i="4" s="1"/>
  <c r="AF9" i="4"/>
  <c r="AN9" i="4" s="1"/>
  <c r="AQ9" i="4" s="1"/>
  <c r="AF7" i="4"/>
  <c r="AN7" i="4" s="1"/>
  <c r="AQ7" i="4" s="1"/>
  <c r="AF6" i="4"/>
  <c r="AN6" i="4" s="1"/>
  <c r="AQ6" i="4" s="1"/>
  <c r="AF11" i="4"/>
  <c r="AN11" i="4" s="1"/>
  <c r="AQ11" i="4" s="1"/>
  <c r="AF10" i="4"/>
  <c r="AN10" i="4" s="1"/>
  <c r="AQ10" i="4" s="1"/>
  <c r="AF8" i="4"/>
  <c r="AN8" i="4" s="1"/>
  <c r="AQ8" i="4" s="1"/>
  <c r="AI5" i="4" l="1"/>
  <c r="AI16" i="4"/>
  <c r="AI10" i="4"/>
  <c r="AI7" i="4"/>
  <c r="AI6" i="4"/>
  <c r="AI8" i="4"/>
  <c r="AI17" i="4"/>
  <c r="AI18" i="4"/>
  <c r="AI9" i="4"/>
  <c r="AI15" i="4"/>
  <c r="AI14" i="4"/>
  <c r="AI13" i="4"/>
  <c r="AI11" i="4"/>
  <c r="AI19" i="4"/>
  <c r="AI4" i="4"/>
  <c r="AI12" i="4"/>
  <c r="A31" i="4" l="1"/>
  <c r="E31" i="4" s="1"/>
  <c r="A32" i="4"/>
  <c r="C32" i="4" s="1"/>
  <c r="A30" i="4"/>
  <c r="C30" i="4" s="1"/>
  <c r="A36" i="4"/>
  <c r="C36" i="4" s="1"/>
  <c r="A37" i="4"/>
  <c r="C37" i="4" s="1"/>
  <c r="A34" i="4"/>
  <c r="C34" i="4" s="1"/>
  <c r="A41" i="4"/>
  <c r="C41" i="4" s="1"/>
  <c r="A29" i="4"/>
  <c r="E29" i="4" s="1"/>
  <c r="A33" i="4"/>
  <c r="C33" i="4" s="1"/>
  <c r="A43" i="4"/>
  <c r="E43" i="4" s="1"/>
  <c r="A44" i="4"/>
  <c r="E44" i="4" s="1"/>
  <c r="A39" i="4"/>
  <c r="C39" i="4" s="1"/>
  <c r="A38" i="4"/>
  <c r="C38" i="4" s="1"/>
  <c r="A42" i="4"/>
  <c r="C42" i="4" s="1"/>
  <c r="A40" i="4"/>
  <c r="C40" i="4" s="1"/>
  <c r="A35" i="4"/>
  <c r="E35" i="4" s="1"/>
  <c r="C31" i="4" l="1"/>
  <c r="E32" i="4"/>
  <c r="E36" i="4"/>
  <c r="E33" i="4"/>
  <c r="E40" i="4"/>
  <c r="E41" i="4"/>
  <c r="C29" i="4"/>
  <c r="E37" i="4"/>
  <c r="C43" i="4"/>
  <c r="C35" i="4"/>
  <c r="E30" i="4"/>
  <c r="C44" i="4"/>
  <c r="E38" i="4"/>
  <c r="E34" i="4"/>
  <c r="E39" i="4"/>
  <c r="E4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<sst xmlns="http://schemas.openxmlformats.org/spreadsheetml/2006/main" count="179" uniqueCount="137">
  <si>
    <t>Type de poste à pourvoir</t>
  </si>
  <si>
    <t>Nombre de postes disponibles</t>
  </si>
  <si>
    <t>Date de convocations</t>
  </si>
  <si>
    <t>Candidats</t>
  </si>
  <si>
    <t>Classement</t>
  </si>
  <si>
    <t>Epreuves de recrutement</t>
  </si>
  <si>
    <t>Echec a l'épreuve</t>
  </si>
  <si>
    <t>Epreuves</t>
  </si>
  <si>
    <t>Pondération GDB (auxiliaire)</t>
  </si>
  <si>
    <t>Pondération GDB (fixe)</t>
  </si>
  <si>
    <t>Note finale des candidats</t>
  </si>
  <si>
    <t xml:space="preserve">
Notation
Candidats</t>
  </si>
  <si>
    <t>Rang suite aux résultats</t>
  </si>
  <si>
    <t>Rang suite aux entretiens</t>
  </si>
  <si>
    <t>Rang final</t>
  </si>
  <si>
    <t>Type de postes</t>
  </si>
  <si>
    <t>GDB auxiliaire</t>
  </si>
  <si>
    <t>GDB fixe</t>
  </si>
  <si>
    <t>Statut de la phase 1</t>
  </si>
  <si>
    <t>Nombre de candidats selectionnés</t>
  </si>
  <si>
    <t>Points maximum</t>
  </si>
  <si>
    <t>Statut de la phase 2</t>
  </si>
  <si>
    <t>Recrutement (Phase 4)</t>
  </si>
  <si>
    <t>NB classement donnés</t>
  </si>
  <si>
    <t>NB Candidats</t>
  </si>
  <si>
    <t>NB doublons même avec les vides</t>
  </si>
  <si>
    <t>A masquer
Rouge ecart</t>
  </si>
  <si>
    <t>Référence ligne</t>
  </si>
  <si>
    <t>Résultat obtenu (mètres)</t>
  </si>
  <si>
    <t>Résultat obtenu (minutes)</t>
  </si>
  <si>
    <t>Résultat obtenu (nombres)</t>
  </si>
  <si>
    <t>Résultat obtenu (points)</t>
  </si>
  <si>
    <t>X.XX</t>
  </si>
  <si>
    <t>XX.XX</t>
  </si>
  <si>
    <t>Note attribuée (0 à 6)</t>
  </si>
  <si>
    <t>Réussite limite</t>
  </si>
  <si>
    <t>Réussite moyenne</t>
  </si>
  <si>
    <t>Réussite correcte</t>
  </si>
  <si>
    <t>Réussite bonne</t>
  </si>
  <si>
    <t>Réussite très bon</t>
  </si>
  <si>
    <t>Réussite excellent</t>
  </si>
  <si>
    <t>NA</t>
  </si>
  <si>
    <t>Informations recrutement</t>
  </si>
  <si>
    <t>Date de convocation</t>
  </si>
  <si>
    <t>Nombre de candidat convoqués</t>
  </si>
  <si>
    <t>Nombre de poste disponible</t>
  </si>
  <si>
    <t>Direction</t>
  </si>
  <si>
    <t>Examinateur</t>
  </si>
  <si>
    <t>Pondération du recrutement</t>
  </si>
  <si>
    <t>Nom sans date</t>
  </si>
  <si>
    <t>Classement provisoire ranking</t>
  </si>
  <si>
    <t>Validation de la direction</t>
  </si>
  <si>
    <t>Rappel candidats</t>
  </si>
  <si>
    <t>Valeur fixe</t>
  </si>
  <si>
    <t>Delais</t>
  </si>
  <si>
    <t>SI transfuge en fixe</t>
  </si>
  <si>
    <t>Classement provisoire décision final</t>
  </si>
  <si>
    <t>Classement provisoire nrag test</t>
  </si>
  <si>
    <t xml:space="preserve"> </t>
  </si>
  <si>
    <t>Étiquettes de lignes</t>
  </si>
  <si>
    <t>Total général</t>
  </si>
  <si>
    <t>Somme de Note globale des tests</t>
  </si>
  <si>
    <t>Statut de la phase 3</t>
  </si>
  <si>
    <t>Rang</t>
  </si>
  <si>
    <t>Rang évolutif</t>
  </si>
  <si>
    <t>Recrutement GDB (Phase 1)</t>
  </si>
  <si>
    <t>Recrutement GDB (Phase 2)</t>
  </si>
  <si>
    <t>Recrutement GDB (Phase 3)</t>
  </si>
  <si>
    <t>check1</t>
  </si>
  <si>
    <t>check2</t>
  </si>
  <si>
    <t>check3</t>
  </si>
  <si>
    <t>check4</t>
  </si>
  <si>
    <t>check5</t>
  </si>
  <si>
    <t>noms</t>
  </si>
  <si>
    <t>Validité minimum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</si>
  <si>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</si>
  <si>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</si>
  <si>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</si>
  <si>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</si>
  <si>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</si>
  <si>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</si>
  <si>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</si>
  <si>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</si>
  <si>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</si>
  <si>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</si>
  <si>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</si>
  <si>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</si>
  <si>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</si>
  <si>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</si>
  <si>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</si>
  <si>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</si>
  <si>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</si>
  <si>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</si>
  <si>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</si>
  <si>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</si>
  <si>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</si>
  <si>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Test22</t>
  </si>
  <si>
    <t>Test23</t>
  </si>
  <si>
    <t>Test24</t>
  </si>
  <si>
    <t>Test25</t>
  </si>
  <si>
    <t>Test26</t>
  </si>
  <si>
    <t>Test27</t>
  </si>
  <si>
    <t>Totaux</t>
  </si>
  <si>
    <t>Test28</t>
  </si>
  <si>
    <t>Test29</t>
  </si>
  <si>
    <t>Test30</t>
  </si>
  <si>
    <t>Test31</t>
  </si>
  <si>
    <t>Test32</t>
  </si>
  <si>
    <t>Examinateur1</t>
  </si>
  <si>
    <t>Examinateur2</t>
  </si>
  <si>
    <t>Examinateur3</t>
  </si>
  <si>
    <t>Check1</t>
  </si>
  <si>
    <t>Check2</t>
  </si>
  <si>
    <t>Check3</t>
  </si>
  <si>
    <t>Check4</t>
  </si>
  <si>
    <t>Check5</t>
  </si>
  <si>
    <t>Check6</t>
  </si>
  <si>
    <t>Check7</t>
  </si>
  <si>
    <t>Check8</t>
  </si>
  <si>
    <t>Check9</t>
  </si>
  <si>
    <t>1</t>
  </si>
  <si>
    <t>2</t>
  </si>
  <si>
    <t>3</t>
  </si>
  <si>
    <t>4</t>
  </si>
  <si>
    <t>5</t>
  </si>
  <si>
    <t>6</t>
  </si>
  <si>
    <t>7</t>
  </si>
  <si>
    <t>8</t>
  </si>
  <si>
    <t>Note globale1</t>
  </si>
  <si>
    <t>Performance 1</t>
  </si>
  <si>
    <t>Note2</t>
  </si>
  <si>
    <t>Performance2</t>
  </si>
  <si>
    <t>Note3</t>
  </si>
  <si>
    <t>Performance3</t>
  </si>
  <si>
    <t>Note4</t>
  </si>
  <si>
    <t>Performance4</t>
  </si>
  <si>
    <t>Note5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</si>
</sst>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;\-0;;@"/>
    <numFmt numFmtId="166" formatCode="0.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3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name val="Calibri"/>
      <family val="2"/>
    </font>
    <font>
      <sz val="11"/>
      <color theme="0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b/>
      <u/>
      <sz val="2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D867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</fills>
  <borders count="10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 diagonalDown="1"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 style="double">
        <color indexed="64"/>
      </diagonal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double">
        <color indexed="64"/>
      </bottom>
      <diagonal/>
    </border>
    <border>
      <left/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 diagonalDown="1">
      <left/>
      <right/>
      <top/>
      <bottom/>
      <diagonal style="medium">
        <color indexed="64"/>
      </diagonal>
    </border>
    <border diagonalUp="1">
      <left/>
      <right/>
      <top/>
      <bottom/>
      <diagonal style="medium">
        <color indexed="64"/>
      </diagonal>
    </border>
    <border>
      <left/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20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2" xfId="0" applyBorder="1"/>
    <xf numFmtId="0" fontId="2" fillId="0" borderId="14" xfId="0" applyFont="1" applyBorder="1" applyAlignment="1">
      <alignment vertical="center"/>
    </xf>
    <xf numFmtId="0" fontId="2" fillId="0" borderId="15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5" xfId="0" applyBorder="1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5" xfId="0" applyBorder="1"/>
    <xf numFmtId="0" fontId="0" fillId="0" borderId="36" xfId="0" applyBorder="1"/>
    <xf numFmtId="0" fontId="0" fillId="2" borderId="13" xfId="0" applyFill="1" applyBorder="1" applyAlignment="1">
      <alignment horizontal="center" textRotation="90"/>
    </xf>
    <xf numFmtId="0" fontId="0" fillId="3" borderId="33" xfId="0" applyFill="1" applyBorder="1" applyAlignment="1">
      <alignment horizontal="center" textRotation="90"/>
    </xf>
    <xf numFmtId="0" fontId="0" fillId="4" borderId="9" xfId="0" applyFill="1" applyBorder="1" applyAlignment="1">
      <alignment horizontal="center" textRotation="90"/>
    </xf>
    <xf numFmtId="0" fontId="0" fillId="0" borderId="37" xfId="0" applyBorder="1" applyAlignment="1">
      <alignment horizontal="center" vertical="top" wrapText="1"/>
    </xf>
    <xf numFmtId="9" fontId="0" fillId="0" borderId="10" xfId="1" applyFont="1" applyBorder="1"/>
    <xf numFmtId="9" fontId="0" fillId="0" borderId="11" xfId="1" applyFont="1" applyBorder="1"/>
    <xf numFmtId="0" fontId="0" fillId="0" borderId="8" xfId="0" applyBorder="1" applyAlignment="1">
      <alignment horizontal="center" vertical="center" textRotation="60"/>
    </xf>
    <xf numFmtId="0" fontId="0" fillId="0" borderId="0" xfId="0" applyFill="1"/>
    <xf numFmtId="0" fontId="9" fillId="0" borderId="51" xfId="0" applyFont="1" applyFill="1" applyBorder="1" applyAlignment="1">
      <alignment horizontal="center" vertical="center"/>
    </xf>
    <xf numFmtId="0" fontId="9" fillId="0" borderId="52" xfId="0" applyFont="1" applyFill="1" applyBorder="1" applyAlignment="1">
      <alignment horizontal="center" vertical="center"/>
    </xf>
    <xf numFmtId="0" fontId="9" fillId="0" borderId="53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2" fillId="0" borderId="52" xfId="0" applyFont="1" applyFill="1" applyBorder="1" applyAlignment="1">
      <alignment horizontal="center" vertical="center"/>
    </xf>
    <xf numFmtId="1" fontId="4" fillId="0" borderId="1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top"/>
    </xf>
    <xf numFmtId="0" fontId="0" fillId="0" borderId="1" xfId="0" applyFont="1" applyBorder="1"/>
    <xf numFmtId="0" fontId="5" fillId="0" borderId="0" xfId="0" applyFont="1" applyFill="1" applyBorder="1" applyAlignment="1">
      <alignment vertical="center"/>
    </xf>
    <xf numFmtId="0" fontId="11" fillId="0" borderId="0" xfId="0" applyFont="1"/>
    <xf numFmtId="0" fontId="11" fillId="0" borderId="0" xfId="0" applyFont="1" applyFill="1" applyBorder="1" applyAlignment="1">
      <alignment vertical="center"/>
    </xf>
    <xf numFmtId="0" fontId="7" fillId="0" borderId="12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0" fillId="0" borderId="0" xfId="0" applyFont="1" applyAlignment="1">
      <alignment vertical="center"/>
    </xf>
    <xf numFmtId="0" fontId="0" fillId="0" borderId="42" xfId="0" applyFill="1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38" xfId="0" applyBorder="1" applyAlignment="1">
      <alignment vertical="center"/>
    </xf>
    <xf numFmtId="0" fontId="0" fillId="0" borderId="8" xfId="0" applyBorder="1"/>
    <xf numFmtId="0" fontId="0" fillId="0" borderId="33" xfId="0" applyBorder="1" applyAlignment="1">
      <alignment horizontal="center" textRotation="60"/>
    </xf>
    <xf numFmtId="0" fontId="0" fillId="0" borderId="24" xfId="0" applyBorder="1" applyAlignment="1">
      <alignment horizontal="center" textRotation="60"/>
    </xf>
    <xf numFmtId="0" fontId="0" fillId="0" borderId="45" xfId="0" applyBorder="1" applyAlignment="1">
      <alignment horizontal="center" textRotation="60"/>
    </xf>
    <xf numFmtId="0" fontId="0" fillId="0" borderId="46" xfId="0" applyBorder="1" applyAlignment="1">
      <alignment horizontal="center" textRotation="60"/>
    </xf>
    <xf numFmtId="0" fontId="0" fillId="4" borderId="13" xfId="0" applyFill="1" applyBorder="1" applyAlignment="1">
      <alignment horizontal="center" textRotation="90"/>
    </xf>
    <xf numFmtId="0" fontId="0" fillId="0" borderId="60" xfId="0" applyFill="1" applyBorder="1" applyAlignment="1">
      <alignment horizontal="center" textRotation="90" wrapText="1"/>
    </xf>
    <xf numFmtId="0" fontId="0" fillId="0" borderId="45" xfId="0" applyFill="1" applyBorder="1" applyAlignment="1">
      <alignment horizontal="center" textRotation="90" wrapText="1"/>
    </xf>
    <xf numFmtId="0" fontId="0" fillId="0" borderId="62" xfId="0" applyFill="1" applyBorder="1" applyAlignment="1">
      <alignment horizontal="center" textRotation="90"/>
    </xf>
    <xf numFmtId="0" fontId="4" fillId="4" borderId="1" xfId="0" applyFont="1" applyFill="1" applyBorder="1" applyAlignment="1">
      <alignment horizontal="center" textRotation="90"/>
    </xf>
    <xf numFmtId="0" fontId="0" fillId="5" borderId="12" xfId="0" applyFill="1" applyBorder="1" applyAlignment="1">
      <alignment horizontal="center" textRotation="90"/>
    </xf>
    <xf numFmtId="0" fontId="10" fillId="6" borderId="24" xfId="0" applyFont="1" applyFill="1" applyBorder="1" applyAlignment="1">
      <alignment horizontal="center" textRotation="90"/>
    </xf>
    <xf numFmtId="0" fontId="0" fillId="0" borderId="64" xfId="0" applyBorder="1"/>
    <xf numFmtId="0" fontId="0" fillId="0" borderId="2" xfId="0" applyBorder="1"/>
    <xf numFmtId="0" fontId="0" fillId="0" borderId="20" xfId="0" applyBorder="1"/>
    <xf numFmtId="0" fontId="0" fillId="0" borderId="3" xfId="0" applyBorder="1"/>
    <xf numFmtId="0" fontId="0" fillId="0" borderId="6" xfId="0" applyBorder="1"/>
    <xf numFmtId="0" fontId="0" fillId="0" borderId="7" xfId="0" applyBorder="1"/>
    <xf numFmtId="0" fontId="8" fillId="0" borderId="0" xfId="0" applyFont="1" applyAlignment="1"/>
    <xf numFmtId="0" fontId="6" fillId="0" borderId="1" xfId="0" applyFont="1" applyBorder="1" applyAlignment="1"/>
    <xf numFmtId="49" fontId="0" fillId="0" borderId="0" xfId="0" applyNumberFormat="1" applyBorder="1"/>
    <xf numFmtId="0" fontId="8" fillId="0" borderId="0" xfId="0" applyFont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70" xfId="0" applyBorder="1" applyAlignment="1">
      <alignment horizontal="center" textRotation="60"/>
    </xf>
    <xf numFmtId="0" fontId="0" fillId="0" borderId="0" xfId="0" applyBorder="1" applyAlignment="1">
      <alignment horizontal="center" textRotation="60"/>
    </xf>
    <xf numFmtId="0" fontId="0" fillId="0" borderId="4" xfId="0" applyBorder="1" applyAlignment="1">
      <alignment horizontal="center" vertical="center" textRotation="60"/>
    </xf>
    <xf numFmtId="0" fontId="0" fillId="0" borderId="0" xfId="0" applyFill="1" applyBorder="1" applyAlignment="1">
      <alignment vertical="top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7" fillId="0" borderId="0" xfId="0" applyFont="1" applyFill="1" applyBorder="1" applyAlignment="1">
      <alignment vertical="center"/>
    </xf>
    <xf numFmtId="0" fontId="0" fillId="0" borderId="74" xfId="0" applyBorder="1"/>
    <xf numFmtId="0" fontId="0" fillId="8" borderId="10" xfId="0" applyFill="1" applyBorder="1" applyAlignment="1">
      <alignment horizontal="center" vertical="center" textRotation="90"/>
    </xf>
    <xf numFmtId="0" fontId="2" fillId="0" borderId="74" xfId="0" applyFont="1" applyBorder="1" applyAlignment="1">
      <alignment vertical="center"/>
    </xf>
    <xf numFmtId="0" fontId="9" fillId="0" borderId="8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75" xfId="0" applyBorder="1" applyAlignment="1">
      <alignment horizontal="left" vertical="center"/>
    </xf>
    <xf numFmtId="0" fontId="0" fillId="0" borderId="51" xfId="0" applyBorder="1" applyAlignment="1">
      <alignment horizontal="center" vertical="center"/>
    </xf>
    <xf numFmtId="0" fontId="0" fillId="0" borderId="63" xfId="0" applyFill="1" applyBorder="1" applyAlignment="1">
      <alignment horizontal="center" vertical="center"/>
    </xf>
    <xf numFmtId="0" fontId="0" fillId="0" borderId="79" xfId="0" applyFill="1" applyBorder="1" applyAlignment="1">
      <alignment horizontal="center" vertical="center"/>
    </xf>
    <xf numFmtId="0" fontId="0" fillId="0" borderId="55" xfId="0" applyBorder="1" applyAlignment="1">
      <alignment vertical="top"/>
    </xf>
    <xf numFmtId="0" fontId="0" fillId="0" borderId="56" xfId="0" applyBorder="1" applyAlignment="1">
      <alignment vertical="top"/>
    </xf>
    <xf numFmtId="0" fontId="0" fillId="0" borderId="57" xfId="0" applyBorder="1" applyAlignment="1">
      <alignment vertical="top"/>
    </xf>
    <xf numFmtId="0" fontId="0" fillId="0" borderId="83" xfId="0" applyBorder="1" applyAlignment="1">
      <alignment horizontal="center" vertical="center"/>
    </xf>
    <xf numFmtId="0" fontId="0" fillId="0" borderId="84" xfId="0" applyBorder="1" applyAlignment="1">
      <alignment horizontal="center" vertical="center"/>
    </xf>
    <xf numFmtId="0" fontId="0" fillId="0" borderId="85" xfId="0" applyBorder="1" applyAlignment="1">
      <alignment horizontal="center" vertical="center"/>
    </xf>
    <xf numFmtId="0" fontId="0" fillId="0" borderId="76" xfId="0" applyBorder="1" applyAlignment="1">
      <alignment horizontal="center" vertical="center"/>
    </xf>
    <xf numFmtId="0" fontId="0" fillId="2" borderId="77" xfId="0" applyFill="1" applyBorder="1" applyAlignment="1">
      <alignment horizontal="center" vertical="center"/>
    </xf>
    <xf numFmtId="0" fontId="0" fillId="4" borderId="78" xfId="0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4" borderId="77" xfId="0" applyFill="1" applyBorder="1" applyAlignment="1">
      <alignment horizontal="center" vertical="center"/>
    </xf>
    <xf numFmtId="0" fontId="0" fillId="0" borderId="75" xfId="0" applyFill="1" applyBorder="1" applyAlignment="1">
      <alignment horizontal="center" vertical="center"/>
    </xf>
    <xf numFmtId="0" fontId="0" fillId="0" borderId="77" xfId="0" applyFill="1" applyBorder="1" applyAlignment="1">
      <alignment horizontal="center" vertical="center"/>
    </xf>
    <xf numFmtId="164" fontId="0" fillId="2" borderId="77" xfId="0" applyNumberFormat="1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2" borderId="35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164" fontId="0" fillId="2" borderId="35" xfId="0" applyNumberFormat="1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2" borderId="66" xfId="0" applyFill="1" applyBorder="1" applyAlignment="1">
      <alignment horizontal="center" vertical="center"/>
    </xf>
    <xf numFmtId="0" fontId="0" fillId="4" borderId="59" xfId="0" applyFill="1" applyBorder="1" applyAlignment="1">
      <alignment horizontal="center" vertical="center"/>
    </xf>
    <xf numFmtId="0" fontId="0" fillId="2" borderId="67" xfId="0" applyFill="1" applyBorder="1" applyAlignment="1">
      <alignment horizontal="center" vertical="center"/>
    </xf>
    <xf numFmtId="0" fontId="0" fillId="4" borderId="66" xfId="0" applyFill="1" applyBorder="1" applyAlignment="1">
      <alignment horizontal="center" vertical="center"/>
    </xf>
    <xf numFmtId="0" fontId="0" fillId="0" borderId="58" xfId="0" applyFill="1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0" fontId="0" fillId="0" borderId="44" xfId="0" applyFill="1" applyBorder="1" applyAlignment="1">
      <alignment horizontal="center" vertical="center"/>
    </xf>
    <xf numFmtId="0" fontId="0" fillId="0" borderId="68" xfId="0" applyFill="1" applyBorder="1" applyAlignment="1">
      <alignment horizontal="center" vertical="center"/>
    </xf>
    <xf numFmtId="164" fontId="0" fillId="2" borderId="66" xfId="0" applyNumberFormat="1" applyFill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0" xfId="0" applyAlignment="1"/>
    <xf numFmtId="0" fontId="0" fillId="0" borderId="10" xfId="0" applyBorder="1" applyAlignment="1">
      <alignment horizontal="center" vertical="center"/>
    </xf>
    <xf numFmtId="9" fontId="0" fillId="0" borderId="28" xfId="1" applyNumberFormat="1" applyFont="1" applyBorder="1" applyAlignment="1">
      <alignment horizontal="center" vertical="center"/>
    </xf>
    <xf numFmtId="9" fontId="0" fillId="0" borderId="29" xfId="1" applyNumberFormat="1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9" fontId="0" fillId="0" borderId="30" xfId="1" applyNumberFormat="1" applyFont="1" applyBorder="1" applyAlignment="1">
      <alignment horizontal="center" vertical="center"/>
    </xf>
    <xf numFmtId="9" fontId="0" fillId="0" borderId="26" xfId="1" applyNumberFormat="1" applyFont="1" applyBorder="1" applyAlignment="1">
      <alignment horizontal="center" vertical="center"/>
    </xf>
    <xf numFmtId="9" fontId="0" fillId="0" borderId="27" xfId="1" applyNumberFormat="1" applyFont="1" applyBorder="1" applyAlignment="1">
      <alignment horizontal="center" vertical="center"/>
    </xf>
    <xf numFmtId="0" fontId="12" fillId="10" borderId="13" xfId="0" applyFont="1" applyFill="1" applyBorder="1" applyAlignment="1">
      <alignment horizontal="center" vertical="center"/>
    </xf>
    <xf numFmtId="9" fontId="0" fillId="11" borderId="71" xfId="1" applyNumberFormat="1" applyFont="1" applyFill="1" applyBorder="1" applyAlignment="1">
      <alignment horizontal="center" vertical="center"/>
    </xf>
    <xf numFmtId="9" fontId="0" fillId="0" borderId="72" xfId="1" applyNumberFormat="1" applyFont="1" applyBorder="1" applyAlignment="1">
      <alignment horizontal="center" vertical="center"/>
    </xf>
    <xf numFmtId="0" fontId="0" fillId="11" borderId="71" xfId="0" applyFont="1" applyFill="1" applyBorder="1" applyAlignment="1">
      <alignment horizontal="center" vertical="center"/>
    </xf>
    <xf numFmtId="0" fontId="0" fillId="0" borderId="71" xfId="0" applyFont="1" applyBorder="1" applyAlignment="1">
      <alignment horizontal="center" vertical="center"/>
    </xf>
    <xf numFmtId="0" fontId="0" fillId="11" borderId="73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2" borderId="32" xfId="0" applyFill="1" applyBorder="1" applyAlignment="1">
      <alignment horizontal="center" vertical="center"/>
    </xf>
    <xf numFmtId="0" fontId="0" fillId="2" borderId="82" xfId="0" applyFill="1" applyBorder="1" applyAlignment="1">
      <alignment horizontal="center" vertical="center"/>
    </xf>
    <xf numFmtId="0" fontId="0" fillId="0" borderId="79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0" fontId="0" fillId="0" borderId="63" xfId="0" applyNumberFormat="1" applyBorder="1" applyAlignment="1">
      <alignment horizontal="center" vertical="center"/>
    </xf>
    <xf numFmtId="0" fontId="0" fillId="0" borderId="68" xfId="0" applyNumberFormat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11" borderId="88" xfId="0" applyFont="1" applyFill="1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9" fontId="0" fillId="3" borderId="50" xfId="1" applyFont="1" applyFill="1" applyBorder="1" applyAlignment="1">
      <alignment horizontal="center" vertical="center"/>
    </xf>
    <xf numFmtId="9" fontId="0" fillId="3" borderId="31" xfId="1" applyFont="1" applyFill="1" applyBorder="1" applyAlignment="1">
      <alignment horizontal="center" vertical="center"/>
    </xf>
    <xf numFmtId="9" fontId="0" fillId="3" borderId="67" xfId="1" applyFont="1" applyFill="1" applyBorder="1" applyAlignment="1">
      <alignment horizontal="center" vertical="center"/>
    </xf>
    <xf numFmtId="9" fontId="0" fillId="0" borderId="5" xfId="0" applyNumberFormat="1" applyBorder="1"/>
    <xf numFmtId="9" fontId="0" fillId="0" borderId="7" xfId="0" applyNumberFormat="1" applyBorder="1"/>
    <xf numFmtId="0" fontId="0" fillId="0" borderId="10" xfId="0" applyBorder="1"/>
    <xf numFmtId="0" fontId="6" fillId="0" borderId="12" xfId="0" applyFont="1" applyBorder="1" applyAlignment="1"/>
    <xf numFmtId="1" fontId="0" fillId="0" borderId="0" xfId="0" applyNumberFormat="1"/>
    <xf numFmtId="0" fontId="0" fillId="0" borderId="0" xfId="0" applyAlignment="1">
      <alignment textRotation="90"/>
    </xf>
    <xf numFmtId="0" fontId="0" fillId="5" borderId="78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0" fillId="8" borderId="19" xfId="0" applyFill="1" applyBorder="1" applyAlignment="1">
      <alignment horizontal="left" vertical="center"/>
    </xf>
    <xf numFmtId="0" fontId="0" fillId="8" borderId="21" xfId="0" applyFill="1" applyBorder="1" applyAlignment="1">
      <alignment horizontal="left" vertical="center"/>
    </xf>
    <xf numFmtId="0" fontId="0" fillId="8" borderId="38" xfId="0" applyFill="1" applyBorder="1" applyAlignment="1">
      <alignment horizontal="left" vertical="center"/>
    </xf>
    <xf numFmtId="0" fontId="0" fillId="8" borderId="1" xfId="0" applyFill="1" applyBorder="1" applyAlignment="1">
      <alignment horizontal="center" textRotation="90"/>
    </xf>
    <xf numFmtId="0" fontId="4" fillId="9" borderId="3" xfId="0" applyFont="1" applyFill="1" applyBorder="1" applyAlignment="1">
      <alignment horizontal="center" textRotation="90"/>
    </xf>
    <xf numFmtId="0" fontId="4" fillId="9" borderId="75" xfId="0" applyFont="1" applyFill="1" applyBorder="1" applyAlignment="1">
      <alignment horizontal="center" vertical="center"/>
    </xf>
    <xf numFmtId="0" fontId="4" fillId="9" borderId="34" xfId="0" applyFont="1" applyFill="1" applyBorder="1" applyAlignment="1">
      <alignment horizontal="center" vertical="center"/>
    </xf>
    <xf numFmtId="0" fontId="4" fillId="9" borderId="58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4" fillId="4" borderId="58" xfId="0" applyFont="1" applyFill="1" applyBorder="1" applyAlignment="1">
      <alignment horizontal="center" vertical="center"/>
    </xf>
    <xf numFmtId="2" fontId="0" fillId="0" borderId="0" xfId="0" applyNumberFormat="1"/>
    <xf numFmtId="166" fontId="0" fillId="0" borderId="0" xfId="0" applyNumberFormat="1"/>
    <xf numFmtId="0" fontId="4" fillId="0" borderId="19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38" xfId="0" applyFont="1" applyFill="1" applyBorder="1" applyAlignment="1">
      <alignment horizontal="center"/>
    </xf>
    <xf numFmtId="49" fontId="0" fillId="0" borderId="2" xfId="0" applyNumberFormat="1" applyBorder="1"/>
    <xf numFmtId="49" fontId="0" fillId="0" borderId="34" xfId="0" applyNumberFormat="1" applyBorder="1"/>
    <xf numFmtId="49" fontId="0" fillId="0" borderId="58" xfId="0" applyNumberFormat="1" applyBorder="1"/>
    <xf numFmtId="0" fontId="0" fillId="0" borderId="4" xfId="0" applyBorder="1"/>
    <xf numFmtId="0" fontId="0" fillId="0" borderId="5" xfId="0" applyBorder="1"/>
    <xf numFmtId="2" fontId="0" fillId="0" borderId="10" xfId="0" applyNumberFormat="1" applyBorder="1"/>
    <xf numFmtId="0" fontId="0" fillId="0" borderId="0" xfId="0" pivotButton="1"/>
    <xf numFmtId="0" fontId="0" fillId="0" borderId="0" xfId="0" applyNumberFormat="1"/>
    <xf numFmtId="0" fontId="0" fillId="0" borderId="92" xfId="0" applyBorder="1"/>
    <xf numFmtId="0" fontId="0" fillId="0" borderId="34" xfId="0" applyBorder="1"/>
    <xf numFmtId="0" fontId="0" fillId="0" borderId="93" xfId="0" applyBorder="1"/>
    <xf numFmtId="0" fontId="0" fillId="0" borderId="58" xfId="0" applyBorder="1"/>
    <xf numFmtId="49" fontId="0" fillId="0" borderId="2" xfId="0" applyNumberFormat="1" applyBorder="1" applyAlignment="1" applyProtection="1">
      <alignment vertical="top"/>
      <protection locked="0"/>
    </xf>
    <xf numFmtId="14" fontId="0" fillId="0" borderId="19" xfId="0" applyNumberFormat="1" applyBorder="1" applyAlignment="1" applyProtection="1">
      <alignment vertical="top"/>
      <protection locked="0"/>
    </xf>
    <xf numFmtId="49" fontId="0" fillId="0" borderId="34" xfId="0" applyNumberFormat="1" applyBorder="1" applyAlignment="1" applyProtection="1">
      <alignment vertical="top"/>
      <protection locked="0"/>
    </xf>
    <xf numFmtId="14" fontId="0" fillId="0" borderId="21" xfId="0" applyNumberFormat="1" applyBorder="1" applyAlignment="1" applyProtection="1">
      <alignment vertical="top"/>
      <protection locked="0"/>
    </xf>
    <xf numFmtId="49" fontId="0" fillId="0" borderId="4" xfId="0" applyNumberFormat="1" applyBorder="1" applyProtection="1">
      <protection locked="0"/>
    </xf>
    <xf numFmtId="49" fontId="0" fillId="0" borderId="58" xfId="0" applyNumberFormat="1" applyBorder="1" applyAlignment="1" applyProtection="1">
      <alignment vertical="top"/>
      <protection locked="0"/>
    </xf>
    <xf numFmtId="14" fontId="0" fillId="0" borderId="38" xfId="0" applyNumberFormat="1" applyBorder="1" applyAlignment="1" applyProtection="1">
      <alignment vertical="top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4" fontId="0" fillId="0" borderId="21" xfId="0" applyNumberFormat="1" applyFont="1" applyFill="1" applyBorder="1" applyAlignment="1" applyProtection="1">
      <alignment horizontal="center" vertical="top"/>
      <protection locked="0"/>
    </xf>
    <xf numFmtId="0" fontId="0" fillId="0" borderId="21" xfId="0" applyNumberFormat="1" applyFont="1" applyFill="1" applyBorder="1" applyAlignment="1" applyProtection="1">
      <alignment horizontal="center" vertical="top"/>
      <protection locked="0"/>
    </xf>
    <xf numFmtId="0" fontId="0" fillId="0" borderId="40" xfId="0" applyNumberFormat="1" applyFont="1" applyFill="1" applyBorder="1" applyAlignment="1" applyProtection="1">
      <alignment horizontal="center" vertical="top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81" xfId="0" applyFill="1" applyBorder="1" applyAlignment="1" applyProtection="1">
      <alignment horizontal="center" vertical="center"/>
      <protection locked="0"/>
    </xf>
    <xf numFmtId="0" fontId="0" fillId="0" borderId="43" xfId="0" applyFill="1" applyBorder="1" applyAlignment="1" applyProtection="1">
      <alignment horizontal="center" vertical="center"/>
      <protection locked="0"/>
    </xf>
    <xf numFmtId="0" fontId="0" fillId="7" borderId="11" xfId="0" applyFont="1" applyFill="1" applyBorder="1" applyAlignment="1" applyProtection="1">
      <alignment horizontal="center" vertical="center"/>
      <protection locked="0"/>
    </xf>
    <xf numFmtId="0" fontId="0" fillId="7" borderId="1" xfId="0" applyFont="1" applyFill="1" applyBorder="1" applyAlignment="1" applyProtection="1">
      <alignment horizontal="center" vertical="center"/>
      <protection locked="0"/>
    </xf>
    <xf numFmtId="0" fontId="0" fillId="0" borderId="47" xfId="0" applyFill="1" applyBorder="1" applyAlignment="1" applyProtection="1">
      <alignment horizontal="center" vertical="center"/>
      <protection locked="0"/>
    </xf>
    <xf numFmtId="0" fontId="0" fillId="0" borderId="90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54" xfId="0" applyFill="1" applyBorder="1" applyAlignment="1" applyProtection="1">
      <alignment horizontal="center" vertical="center"/>
      <protection locked="0"/>
    </xf>
    <xf numFmtId="0" fontId="0" fillId="0" borderId="91" xfId="0" applyFill="1" applyBorder="1" applyAlignment="1" applyProtection="1">
      <alignment horizontal="center" vertical="center"/>
      <protection locked="0"/>
    </xf>
    <xf numFmtId="0" fontId="0" fillId="0" borderId="48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49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38" xfId="0" applyBorder="1" applyProtection="1">
      <protection locked="0"/>
    </xf>
    <xf numFmtId="0" fontId="0" fillId="0" borderId="78" xfId="0" applyBorder="1" applyAlignment="1" applyProtection="1">
      <alignment horizontal="center" vertical="center"/>
      <protection locked="0"/>
    </xf>
    <xf numFmtId="0" fontId="9" fillId="0" borderId="94" xfId="0" applyFont="1" applyFill="1" applyBorder="1" applyAlignment="1" applyProtection="1">
      <alignment horizontal="center" vertical="center"/>
      <protection locked="0"/>
    </xf>
    <xf numFmtId="0" fontId="9" fillId="0" borderId="23" xfId="0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41" xfId="0" applyFill="1" applyBorder="1" applyAlignment="1" applyProtection="1">
      <alignment horizontal="center" vertical="center"/>
      <protection locked="0"/>
    </xf>
    <xf numFmtId="0" fontId="0" fillId="0" borderId="21" xfId="0" applyFill="1" applyBorder="1" applyAlignment="1" applyProtection="1">
      <alignment horizontal="center" vertical="center"/>
      <protection locked="0"/>
    </xf>
    <xf numFmtId="0" fontId="4" fillId="0" borderId="0" xfId="0" applyFont="1" applyFill="1"/>
    <xf numFmtId="0" fontId="0" fillId="0" borderId="19" xfId="0" applyFill="1" applyBorder="1" applyAlignment="1" applyProtection="1">
      <alignment horizontal="center" vertical="center"/>
      <protection locked="0"/>
    </xf>
    <xf numFmtId="0" fontId="0" fillId="0" borderId="95" xfId="0" applyFill="1" applyBorder="1" applyAlignment="1" applyProtection="1">
      <alignment horizontal="center" vertical="center"/>
      <protection locked="0"/>
    </xf>
    <xf numFmtId="0" fontId="0" fillId="0" borderId="40" xfId="0" applyFill="1" applyBorder="1" applyAlignment="1" applyProtection="1">
      <alignment horizontal="center" vertical="center"/>
      <protection locked="0"/>
    </xf>
    <xf numFmtId="1" fontId="4" fillId="0" borderId="39" xfId="0" applyNumberFormat="1" applyFont="1" applyFill="1" applyBorder="1" applyAlignment="1">
      <alignment horizontal="center" vertical="center"/>
    </xf>
    <xf numFmtId="0" fontId="2" fillId="0" borderId="96" xfId="0" applyFont="1" applyFill="1" applyBorder="1" applyAlignment="1">
      <alignment horizontal="center" vertical="center"/>
    </xf>
    <xf numFmtId="0" fontId="2" fillId="0" borderId="97" xfId="0" applyFont="1" applyFill="1" applyBorder="1" applyAlignment="1" applyProtection="1">
      <alignment horizontal="center" vertical="center"/>
      <protection locked="0"/>
    </xf>
    <xf numFmtId="1" fontId="4" fillId="0" borderId="85" xfId="0" applyNumberFormat="1" applyFont="1" applyFill="1" applyBorder="1" applyAlignment="1">
      <alignment horizontal="center" vertical="center"/>
    </xf>
    <xf numFmtId="0" fontId="0" fillId="0" borderId="75" xfId="0" applyFill="1" applyBorder="1" applyAlignment="1" applyProtection="1">
      <alignment horizontal="center" vertical="center"/>
      <protection locked="0"/>
    </xf>
    <xf numFmtId="0" fontId="0" fillId="0" borderId="34" xfId="0" applyFill="1" applyBorder="1" applyAlignment="1" applyProtection="1">
      <alignment horizontal="center" vertical="center"/>
      <protection locked="0"/>
    </xf>
    <xf numFmtId="0" fontId="0" fillId="0" borderId="93" xfId="0" applyFill="1" applyBorder="1" applyAlignment="1" applyProtection="1">
      <alignment horizontal="center" vertical="center"/>
      <protection locked="0"/>
    </xf>
    <xf numFmtId="0" fontId="0" fillId="0" borderId="5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77" xfId="0" applyFill="1" applyBorder="1" applyAlignment="1" applyProtection="1">
      <alignment horizontal="center" vertical="center"/>
      <protection locked="0"/>
    </xf>
    <xf numFmtId="0" fontId="0" fillId="0" borderId="35" xfId="0" applyFill="1" applyBorder="1" applyAlignment="1" applyProtection="1">
      <alignment horizontal="center" vertical="center"/>
      <protection locked="0"/>
    </xf>
    <xf numFmtId="0" fontId="0" fillId="0" borderId="98" xfId="0" applyFill="1" applyBorder="1" applyAlignment="1" applyProtection="1">
      <alignment horizontal="center" vertical="center"/>
      <protection locked="0"/>
    </xf>
    <xf numFmtId="0" fontId="0" fillId="0" borderId="99" xfId="0" applyBorder="1" applyAlignment="1">
      <alignment horizontal="center" vertical="center"/>
    </xf>
    <xf numFmtId="0" fontId="2" fillId="0" borderId="36" xfId="0" applyFont="1" applyFill="1" applyBorder="1" applyAlignment="1">
      <alignment vertical="center"/>
    </xf>
    <xf numFmtId="0" fontId="9" fillId="0" borderId="100" xfId="0" applyFont="1" applyFill="1" applyBorder="1" applyAlignment="1">
      <alignment horizontal="center" vertical="center"/>
    </xf>
    <xf numFmtId="0" fontId="14" fillId="0" borderId="0" xfId="0" applyFont="1"/>
    <xf numFmtId="0" fontId="12" fillId="6" borderId="51" xfId="0" applyFont="1" applyFill="1" applyBorder="1" applyAlignment="1">
      <alignment horizontal="center" vertical="center"/>
    </xf>
    <xf numFmtId="0" fontId="12" fillId="6" borderId="52" xfId="0" applyFont="1" applyFill="1" applyBorder="1" applyAlignment="1">
      <alignment horizontal="center" vertical="center"/>
    </xf>
    <xf numFmtId="0" fontId="12" fillId="6" borderId="69" xfId="0" applyFont="1" applyFill="1" applyBorder="1" applyAlignment="1">
      <alignment horizontal="center" vertical="center"/>
    </xf>
    <xf numFmtId="0" fontId="0" fillId="0" borderId="92" xfId="0" applyFont="1" applyBorder="1"/>
    <xf numFmtId="0" fontId="0" fillId="0" borderId="34" xfId="0" applyFont="1" applyBorder="1"/>
    <xf numFmtId="0" fontId="0" fillId="0" borderId="93" xfId="0" applyFont="1" applyBorder="1"/>
    <xf numFmtId="0" fontId="0" fillId="0" borderId="19" xfId="0" applyFont="1" applyFill="1" applyBorder="1" applyAlignment="1" applyProtection="1">
      <alignment horizontal="center" vertical="top"/>
      <protection locked="0"/>
    </xf>
    <xf numFmtId="0" fontId="0" fillId="0" borderId="101" xfId="0" applyFont="1" applyBorder="1"/>
    <xf numFmtId="0" fontId="0" fillId="0" borderId="8" xfId="0" applyFont="1" applyFill="1" applyBorder="1"/>
    <xf numFmtId="0" fontId="0" fillId="0" borderId="1" xfId="0" applyFont="1" applyBorder="1" applyAlignment="1">
      <alignment horizontal="center"/>
    </xf>
    <xf numFmtId="0" fontId="13" fillId="7" borderId="86" xfId="0" applyFont="1" applyFill="1" applyBorder="1" applyAlignment="1"/>
    <xf numFmtId="165" fontId="0" fillId="7" borderId="87" xfId="0" applyNumberFormat="1" applyFill="1" applyBorder="1" applyAlignment="1"/>
    <xf numFmtId="0" fontId="0" fillId="0" borderId="12" xfId="0" applyBorder="1" applyAlignment="1">
      <alignment horizontal="center" vertical="center"/>
    </xf>
    <xf numFmtId="0" fontId="0" fillId="0" borderId="0" xfId="0" applyBorder="1" applyAlignment="1"/>
    <xf numFmtId="0" fontId="10" fillId="12" borderId="8" xfId="0" applyFont="1" applyFill="1" applyBorder="1" applyAlignment="1">
      <alignment horizontal="left" vertical="top" wrapText="1"/>
    </xf>
    <xf numFmtId="0" fontId="10" fillId="12" borderId="13" xfId="0" applyFont="1" applyFill="1" applyBorder="1" applyAlignment="1">
      <alignment horizontal="left" vertical="top" wrapText="1"/>
    </xf>
    <xf numFmtId="0" fontId="10" fillId="12" borderId="9" xfId="0" applyFont="1" applyFill="1" applyBorder="1" applyAlignment="1">
      <alignment horizontal="left" vertical="top" wrapText="1"/>
    </xf>
    <xf numFmtId="0" fontId="15" fillId="0" borderId="0" xfId="0" applyFont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0" borderId="34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0" fontId="0" fillId="0" borderId="58" xfId="0" applyNumberFormat="1" applyBorder="1" applyAlignment="1">
      <alignment horizontal="center" vertical="center"/>
    </xf>
    <xf numFmtId="0" fontId="0" fillId="0" borderId="59" xfId="0" applyNumberFormat="1" applyBorder="1" applyAlignment="1">
      <alignment horizontal="center" vertical="center"/>
    </xf>
    <xf numFmtId="0" fontId="0" fillId="0" borderId="75" xfId="0" applyNumberFormat="1" applyBorder="1" applyAlignment="1">
      <alignment horizontal="center" vertical="center"/>
    </xf>
    <xf numFmtId="0" fontId="0" fillId="0" borderId="78" xfId="0" applyNumberFormat="1" applyBorder="1" applyAlignment="1">
      <alignment horizontal="center" vertical="center"/>
    </xf>
    <xf numFmtId="0" fontId="13" fillId="7" borderId="2" xfId="0" applyFont="1" applyFill="1" applyBorder="1" applyAlignment="1">
      <alignment horizontal="center"/>
    </xf>
    <xf numFmtId="0" fontId="13" fillId="7" borderId="20" xfId="0" applyFont="1" applyFill="1" applyBorder="1" applyAlignment="1">
      <alignment horizontal="center"/>
    </xf>
    <xf numFmtId="165" fontId="0" fillId="7" borderId="6" xfId="0" applyNumberFormat="1" applyFill="1" applyBorder="1" applyAlignment="1">
      <alignment horizontal="center"/>
    </xf>
    <xf numFmtId="165" fontId="0" fillId="7" borderId="25" xfId="0" applyNumberFormat="1" applyFill="1" applyBorder="1" applyAlignment="1">
      <alignment horizontal="center"/>
    </xf>
    <xf numFmtId="165" fontId="0" fillId="7" borderId="7" xfId="0" applyNumberFormat="1" applyFill="1" applyBorder="1" applyAlignment="1">
      <alignment horizontal="center"/>
    </xf>
    <xf numFmtId="0" fontId="13" fillId="7" borderId="3" xfId="0" applyFont="1" applyFill="1" applyBorder="1" applyAlignment="1">
      <alignment horizontal="center"/>
    </xf>
    <xf numFmtId="0" fontId="8" fillId="0" borderId="0" xfId="0" applyFont="1" applyAlignment="1">
      <alignment horizontal="center" vertical="top"/>
    </xf>
    <xf numFmtId="0" fontId="4" fillId="4" borderId="8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14" fontId="0" fillId="0" borderId="75" xfId="0" applyNumberFormat="1" applyBorder="1" applyAlignment="1">
      <alignment horizontal="center"/>
    </xf>
    <xf numFmtId="14" fontId="0" fillId="0" borderId="77" xfId="0" applyNumberFormat="1" applyBorder="1" applyAlignment="1">
      <alignment horizontal="center"/>
    </xf>
    <xf numFmtId="14" fontId="0" fillId="0" borderId="78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7" borderId="6" xfId="0" applyFill="1" applyBorder="1" applyAlignment="1" applyProtection="1">
      <alignment horizontal="center"/>
      <protection locked="0"/>
    </xf>
    <xf numFmtId="0" fontId="0" fillId="7" borderId="25" xfId="0" applyFill="1" applyBorder="1" applyAlignment="1" applyProtection="1">
      <alignment horizontal="center"/>
      <protection locked="0"/>
    </xf>
    <xf numFmtId="0" fontId="0" fillId="7" borderId="7" xfId="0" applyFill="1" applyBorder="1" applyAlignment="1" applyProtection="1">
      <alignment horizontal="center"/>
      <protection locked="0"/>
    </xf>
    <xf numFmtId="14" fontId="0" fillId="0" borderId="92" xfId="0" applyNumberFormat="1" applyBorder="1" applyAlignment="1">
      <alignment horizontal="center"/>
    </xf>
    <xf numFmtId="14" fontId="0" fillId="0" borderId="94" xfId="0" applyNumberFormat="1" applyBorder="1" applyAlignment="1">
      <alignment horizontal="center"/>
    </xf>
    <xf numFmtId="14" fontId="0" fillId="0" borderId="34" xfId="0" applyNumberFormat="1" applyBorder="1" applyAlignment="1">
      <alignment horizontal="center"/>
    </xf>
    <xf numFmtId="14" fontId="0" fillId="0" borderId="23" xfId="0" applyNumberFormat="1" applyBorder="1" applyAlignment="1">
      <alignment horizontal="center"/>
    </xf>
    <xf numFmtId="14" fontId="0" fillId="0" borderId="58" xfId="0" applyNumberFormat="1" applyBorder="1" applyAlignment="1">
      <alignment horizontal="center"/>
    </xf>
    <xf numFmtId="14" fontId="0" fillId="0" borderId="59" xfId="0" applyNumberFormat="1" applyBorder="1" applyAlignment="1">
      <alignment horizontal="center"/>
    </xf>
  </cellXfs>
  <cellStyles count="2">
    <cellStyle name="Normal" xfId="0" builtinId="0"/>
    <cellStyle name="Pourcentage" xfId="1" builtinId="5"/>
  </cellStyles>
  <dxfs count="69">
    <dxf>
      <numFmt numFmtId="0" formatCode="General"/>
      <border diagonalUp="0" diagonalDown="0">
        <left style="medium">
          <color indexed="64"/>
        </left>
        <right/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2" formatCode="0.00"/>
      <border diagonalUp="0" diagonalDown="0">
        <left style="medium">
          <color indexed="64"/>
        </left>
        <right style="medium">
          <color indexed="64"/>
        </right>
        <vertical style="medium">
          <color indexed="64"/>
        </vertical>
      </border>
    </dxf>
    <dxf>
      <numFmt numFmtId="0" formatCode="General"/>
      <border diagonalUp="0" diagonalDown="0">
        <left/>
        <right style="medium">
          <color indexed="64"/>
        </right>
        <vertical style="medium">
          <color indexed="64"/>
        </vertic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 style="medium">
          <color indexed="64"/>
        </vertical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auto="1"/>
      </font>
      <fill>
        <patternFill>
          <bgColor theme="0" tint="-0.14996795556505021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39994506668294322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none">
          <bgColor auto="1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fgColor theme="0"/>
          <bgColor theme="0"/>
        </patternFill>
      </fill>
    </dxf>
    <dxf>
      <fill>
        <patternFill>
          <bgColor rgb="FFDD867F"/>
        </patternFill>
      </fill>
    </dxf>
    <dxf>
      <fill>
        <patternFill>
          <bgColor theme="9" tint="0.59996337778862885"/>
        </patternFill>
      </fill>
    </dxf>
    <dxf>
      <fill>
        <patternFill>
          <bgColor rgb="FFDD867F"/>
        </patternFill>
      </fill>
    </dxf>
    <dxf>
      <fill>
        <patternFill>
          <bgColor theme="9" tint="0.59996337778862885"/>
        </patternFill>
      </fill>
    </dxf>
    <dxf>
      <fill>
        <patternFill>
          <bgColor rgb="FFDD867F"/>
        </patternFill>
      </fill>
    </dxf>
    <dxf>
      <fill>
        <patternFill>
          <bgColor theme="0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/>
        </patternFill>
      </fill>
    </dxf>
    <dxf>
      <fill>
        <patternFill>
          <bgColor theme="9" tint="0.59996337778862885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ont>
        <color theme="0"/>
      </font>
      <fill>
        <patternFill>
          <bgColor theme="8" tint="0.59996337778862885"/>
        </patternFill>
      </fill>
    </dxf>
    <dxf>
      <fill>
        <patternFill>
          <bgColor rgb="FFDD867F"/>
        </patternFill>
      </fill>
    </dxf>
    <dxf>
      <fill>
        <patternFill>
          <bgColor rgb="FFDD867F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DD867F"/>
      <color rgb="FFFF7C80"/>
      <color rgb="FFFF3300"/>
      <color rgb="FFC3271B"/>
      <color rgb="FFE84A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 sz="2400"/>
              <a:t>Pondération appliquée</a:t>
            </a:r>
          </a:p>
        </c:rich>
      </c:tx>
      <c:layout>
        <c:manualLayout>
          <c:xMode val="edge"/>
          <c:yMode val="edge"/>
          <c:x val="0.16260704455939343"/>
          <c:y val="3.157202149880645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2461536972163344E-2"/>
          <c:y val="0.1317717953782149"/>
          <c:w val="0.95693701140544363"/>
          <c:h val="0.82952351383616907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2C06-4CE4-BCF3-571DF8D7670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2C06-4CE4-BCF3-571DF8D7670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2C06-4CE4-BCF3-571DF8D7670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7-2C06-4CE4-BCF3-571DF8D7670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9-2C06-4CE4-BCF3-571DF8D7670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B-2C06-4CE4-BCF3-571DF8D7670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D-2C06-4CE4-BCF3-571DF8D7670C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layout>
                    <c:manualLayout>
                      <c:w val="0.12555555555555556"/>
                      <c:h val="0.1184511347846225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2C06-4CE4-BCF3-571DF8D7670C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1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2C06-4CE4-BCF3-571DF8D7670C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2C06-4CE4-BCF3-571DF8D7670C}"/>
                </c:ext>
              </c:extLst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2C06-4CE4-BCF3-571DF8D7670C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2C06-4CE4-BCF3-571DF8D7670C}"/>
                </c:ext>
              </c:extLst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2C06-4CE4-BCF3-571DF8D7670C}"/>
                </c:ext>
              </c:extLst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2C06-4CE4-BCF3-571DF8D7670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0"/>
            <c:showBubbleSize val="0"/>
            <c:separator> 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a ne pas toucher'!$A$3:$A$9</c:f>
              <c:strCach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</c:strCache>
            </c:strRef>
          </c:cat>
          <c:val>
            <c:numRef>
              <c:f>'Tableau a ne pas toucher'!$B$3:$B$9</c:f>
              <c:numCache>
                <c:formatCode>0%</c:formatCode>
                <c:ptCount val="7"/>
                <c:pt idx="0">
                  <c:v>0.25</c:v>
                </c:pt>
                <c:pt idx="1">
                  <c:v>0.25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C06-4CE4-BCF3-571DF8D7670C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[test.xlsm]GraphNoteglobale!Tableau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Note globale par candidats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GraphNoteglobale!$B$1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GraphNoteglobale!$A$2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GraphNoteglobale!$B$2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B3BF-4242-B7E3-9FB35F3DA58C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70757624"/>
        <c:axId val="570754744"/>
      </c:barChart>
      <c:catAx>
        <c:axId val="5707576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70754744"/>
        <c:crosses val="autoZero"/>
        <c:auto val="1"/>
        <c:lblAlgn val="ctr"/>
        <c:lblOffset val="100"/>
        <c:noMultiLvlLbl val="0"/>
      </c:catAx>
      <c:valAx>
        <c:axId val="570754744"/>
        <c:scaling>
          <c:orientation val="minMax"/>
          <c:max val="6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07576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2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3173</xdr:colOff>
      <xdr:row>25</xdr:row>
      <xdr:rowOff>3247</xdr:rowOff>
    </xdr:from>
    <xdr:to>
      <xdr:col>21</xdr:col>
      <xdr:colOff>112568</xdr:colOff>
      <xdr:row>43</xdr:row>
      <xdr:rowOff>193746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50F7799-6670-4422-A1C6-B1F43ACFD1E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22</xdr:col>
      <xdr:colOff>103909</xdr:colOff>
      <xdr:row>25</xdr:row>
      <xdr:rowOff>0</xdr:rowOff>
    </xdr:from>
    <xdr:to>
      <xdr:col>35</xdr:col>
      <xdr:colOff>11906</xdr:colOff>
      <xdr:row>44</xdr:row>
      <xdr:rowOff>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913140FB-C245-4799-9EAA-300FD1105D1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4</xdr:col>
      <xdr:colOff>202696</xdr:colOff>
      <xdr:row>23</xdr:row>
      <xdr:rowOff>116333</xdr:rowOff>
    </xdr:from>
    <xdr:to>
      <xdr:col>6</xdr:col>
      <xdr:colOff>123826</xdr:colOff>
      <xdr:row>26</xdr:row>
      <xdr:rowOff>218571</xdr:rowOff>
    </xdr:to>
    <xdr:pic macro="[0]!Macro1">
      <xdr:nvPicPr>
        <xdr:cNvPr id="4" name="Graphique 3" descr="Répéter avec un remplissage uni">
          <a:extLst>
            <a:ext uri="{FF2B5EF4-FFF2-40B4-BE49-F238E27FC236}">
              <a16:creationId xmlns:a16="http://schemas.microsoft.com/office/drawing/2014/main" id="{6AC3EF4D-6698-2EF4-2809-86D739B599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3403096" y="7355333"/>
          <a:ext cx="683130" cy="683263"/>
        </a:xfrm>
        <a:prstGeom prst="rect">
          <a:avLst/>
        </a:prstGeom>
      </xdr:spPr>
    </xdr:pic>
    <xdr:clientData/>
  </xdr:twoCellAnchor>
  <xdr:twoCellAnchor>
    <xdr:from>
      <xdr:col>33</xdr:col>
      <xdr:colOff>559595</xdr:colOff>
      <xdr:row>19</xdr:row>
      <xdr:rowOff>244078</xdr:rowOff>
    </xdr:from>
    <xdr:to>
      <xdr:col>35</xdr:col>
      <xdr:colOff>177193</xdr:colOff>
      <xdr:row>21</xdr:row>
      <xdr:rowOff>88596</xdr:rowOff>
    </xdr:to>
    <xdr:sp macro="" textlink="">
      <xdr:nvSpPr>
        <xdr:cNvPr id="2" name="Triangle rectangle 1">
          <a:extLst>
            <a:ext uri="{FF2B5EF4-FFF2-40B4-BE49-F238E27FC236}">
              <a16:creationId xmlns:a16="http://schemas.microsoft.com/office/drawing/2014/main" id="{5CB5DC5A-063A-0E12-C351-C307169A79A2}"/>
            </a:ext>
          </a:extLst>
        </xdr:cNvPr>
        <xdr:cNvSpPr/>
      </xdr:nvSpPr>
      <xdr:spPr>
        <a:xfrm rot="10800000">
          <a:off x="14811376" y="6518672"/>
          <a:ext cx="1153505" cy="618424"/>
        </a:xfrm>
        <a:prstGeom prst="rtTriangl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33</xdr:col>
      <xdr:colOff>1058334</xdr:colOff>
      <xdr:row>20</xdr:row>
      <xdr:rowOff>106496</xdr:rowOff>
    </xdr:from>
    <xdr:to>
      <xdr:col>35</xdr:col>
      <xdr:colOff>194469</xdr:colOff>
      <xdr:row>22</xdr:row>
      <xdr:rowOff>64162</xdr:rowOff>
    </xdr:to>
    <xdr:sp macro="" textlink="">
      <xdr:nvSpPr>
        <xdr:cNvPr id="5" name="Triangle rectangle 4">
          <a:extLst>
            <a:ext uri="{FF2B5EF4-FFF2-40B4-BE49-F238E27FC236}">
              <a16:creationId xmlns:a16="http://schemas.microsoft.com/office/drawing/2014/main" id="{7FF2EC50-2B44-9437-B06D-0628920FFD3F}"/>
            </a:ext>
          </a:extLst>
        </xdr:cNvPr>
        <xdr:cNvSpPr/>
      </xdr:nvSpPr>
      <xdr:spPr>
        <a:xfrm flipH="1">
          <a:off x="15310115" y="6952590"/>
          <a:ext cx="672042" cy="362478"/>
        </a:xfrm>
        <a:prstGeom prst="rtTriangle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kaël BONY" refreshedDate="45197.569553009256" createdVersion="8" refreshedVersion="8" minRefreshableVersion="3" recordCount="16" xr:uid="{CC74E7C7-BF64-469A-84A5-25E572275CE7}">
  <cacheSource type="worksheet">
    <worksheetSource name="Tableau1"/>
  </cacheSource>
  <cacheFields count="13">
    <cacheField name="Candidats" numFmtId="0">
      <sharedItems count="32">
        <s v=""/>
        <s v="tum" u="1"/>
        <s v="Badet Fabrice" u="1"/>
        <s v="Maggialetti Gemma" u="1"/>
        <s v="gggsgsgs" u="1"/>
        <s v="mettraux" u="1"/>
        <s v="stucki" u="1"/>
        <s v="Beboy" u="1"/>
        <s v="juju" u="1"/>
        <s v="nd" u="1"/>
        <s v="Eyer" u="1"/>
        <s v="Bony" u="1"/>
        <s v="zuzu" u="1"/>
        <s v="Nadia" u="1"/>
        <s v="ti" u="1"/>
        <s v="tam" u="1"/>
        <s v="mossaz" u="1"/>
        <s v="guu" u="1"/>
        <s v="hu" u="1"/>
        <s v="tim" u="1"/>
        <s v="tu" u="1"/>
        <s v="Bonvin" u="1"/>
        <s v="tom" u="1"/>
        <s v="Bony Mickael" u="1"/>
        <s v="tong" u="1"/>
        <s v="Maggiletti" u="1"/>
        <s v="too" u="1"/>
        <s v="Badet" u="1"/>
        <s v="Francis" u="1"/>
        <s v="ne" u="1"/>
        <s v="Bob" u="1"/>
        <s v="fellay" u="1"/>
      </sharedItems>
    </cacheField>
    <cacheField name="Note globale des tests" numFmtId="2">
      <sharedItems/>
    </cacheField>
    <cacheField name="Performance natation" numFmtId="0">
      <sharedItems/>
    </cacheField>
    <cacheField name="Note natation" numFmtId="0">
      <sharedItems/>
    </cacheField>
    <cacheField name="Performance parcours sss" numFmtId="0">
      <sharedItems/>
    </cacheField>
    <cacheField name="Note parcours sss" numFmtId="0">
      <sharedItems/>
    </cacheField>
    <cacheField name="Performance apnée" numFmtId="0">
      <sharedItems/>
    </cacheField>
    <cacheField name="Note apnée" numFmtId="0">
      <sharedItems/>
    </cacheField>
    <cacheField name="Performance assiettes" numFmtId="0">
      <sharedItems/>
    </cacheField>
    <cacheField name="Note assiettes" numFmtId="0">
      <sharedItems/>
    </cacheField>
    <cacheField name="Note P.max / mise a l'abri" numFmtId="0">
      <sharedItems/>
    </cacheField>
    <cacheField name="Note Bls Aed" numFmtId="0">
      <sharedItems/>
    </cacheField>
    <cacheField name="Note théorique" numFmtId="0">
      <sharedItems/>
    </cacheField>
  </cacheFields>
  <extLst>
    <ext xmlns:x14="http://schemas.microsoft.com/office/spreadsheetml/2009/9/main" uri="{725AE2AE-9491-48be-B2B4-4EB974FC3084}">
      <x14:pivotCacheDefinition pivotCacheId="122929049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  <r>
    <x v="0"/>
    <s v=""/>
    <s v=""/>
    <s v=""/>
    <s v="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76AA6A-AA25-4D54-86DA-BE0F3E3D2301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7">
  <location ref="A1:B2" firstHeaderRow="1" firstDataRow="1" firstDataCol="1"/>
  <pivotFields count="13">
    <pivotField axis="axisRow" showAll="0" measureFilter="1">
      <items count="33">
        <item x="0"/>
        <item m="1" x="27"/>
        <item m="1" x="21"/>
        <item m="1" x="11"/>
        <item m="1" x="10"/>
        <item m="1" x="31"/>
        <item m="1" x="25"/>
        <item m="1" x="5"/>
        <item m="1" x="16"/>
        <item m="1" x="6"/>
        <item m="1" x="30"/>
        <item m="1" x="13"/>
        <item m="1" x="8"/>
        <item m="1" x="4"/>
        <item m="1" x="18"/>
        <item m="1" x="7"/>
        <item m="1" x="28"/>
        <item m="1" x="19"/>
        <item m="1" x="22"/>
        <item m="1" x="24"/>
        <item m="1" x="2"/>
        <item m="1" x="23"/>
        <item m="1" x="3"/>
        <item m="1" x="1"/>
        <item m="1" x="15"/>
        <item m="1" x="29"/>
        <item m="1" x="9"/>
        <item m="1" x="12"/>
        <item m="1" x="20"/>
        <item m="1" x="14"/>
        <item m="1" x="26"/>
        <item m="1" x="1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">
    <i t="grand">
      <x/>
    </i>
  </rowItems>
  <colItems count="1">
    <i/>
  </colItems>
  <dataFields count="1">
    <dataField name="Somme de Note globale des tests" fld="1" baseField="0" baseItem="0"/>
  </dataFields>
  <chartFormats count="3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NotEqual" evalOrder="-1" id="5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2228F4B-DC14-4AD5-9C9A-F869714A8D22}" name="Tableau3" displayName="Tableau3" ref="A1:I10" totalsRowShown="0" headerRowDxfId="28" dataDxfId="26" headerRowBorderDxfId="27" tableBorderDxfId="25">
  <autoFilter ref="A1:I10" xr:uid="{06F02916-1C92-465A-9EB3-83155C2531D8}"/>
  <tableColumns count="9">
    <tableColumn id="1" xr3:uid="{B999DC7C-9A58-4C84-BFDE-39CFCE6CA650}" name="Epreuves de recrutement" dataDxfId="24"/>
    <tableColumn id="2" xr3:uid="{C3877D10-4B08-4525-ACA0-7761D6AAA18C}" name="1" dataDxfId="23"/>
    <tableColumn id="3" xr3:uid="{32ED5EF9-E566-4CD7-8C9C-044B8458FF33}" name="2" dataDxfId="22"/>
    <tableColumn id="4" xr3:uid="{B0A5AF46-0618-427B-9B7C-41EC459B6229}" name="3" dataDxfId="21"/>
    <tableColumn id="5" xr3:uid="{ECE6F365-4BAC-45FD-8ACC-1E5B715ACB1D}" name="4" dataDxfId="20"/>
    <tableColumn id="6" xr3:uid="{E9E3165B-E477-4A24-B9FE-17EC87439C6F}" name="5" dataDxfId="19"/>
    <tableColumn id="7" xr3:uid="{60AB281E-DE4D-45AD-9087-9EE3729E60B6}" name="6" dataDxfId="18"/>
    <tableColumn id="8" xr3:uid="{2747F301-F346-4396-8D23-97DC4B6675A0}" name="7" dataDxfId="17"/>
    <tableColumn id="9" xr3:uid="{B403D7D2-4632-4B07-8327-81B1E4A6C27D}" name="8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0FAB212-0BCD-4E72-A910-82C325D378E1}" name="Tableau1" displayName="Tableau1" ref="A1:M17" totalsRowShown="0" headerRowDxfId="15" headerRowBorderDxfId="14" tableBorderDxfId="13">
  <autoFilter ref="A1:M17" xr:uid="{20FAB212-0BCD-4E72-A910-82C325D378E1}"/>
  <tableColumns count="13">
    <tableColumn id="1" xr3:uid="{F0764EBC-3D3E-4609-BA5D-CD897B812E52}" name="Candidats" dataDxfId="12">
      <calculatedColumnFormula>IF(Synthèse!A4&lt;&gt;"",Synthèse!A4,"")</calculatedColumnFormula>
    </tableColumn>
    <tableColumn id="2" xr3:uid="{293C7291-50AD-4435-9C70-E2B8F5649618}" name="Note globale1" dataDxfId="11">
      <calculatedColumnFormula>IF(Tableau1[[#This Row],[Candidats]]="","",Synthèse!AD4)</calculatedColumnFormula>
    </tableColumn>
    <tableColumn id="3" xr3:uid="{31B5C222-547A-46E1-B934-1E337E9AAE49}" name="Performance 1" dataDxfId="10">
      <calculatedColumnFormula>IF(Tableau1[[#This Row],[Candidats]]="","",Synthèse!B4)</calculatedColumnFormula>
    </tableColumn>
    <tableColumn id="4" xr3:uid="{7CB48DC5-729C-4D41-9CD9-3668A328973A}" name="Note2" dataDxfId="9">
      <calculatedColumnFormula>IF(Tableau1[[#This Row],[Candidats]]="","",Synthèse!C4)</calculatedColumnFormula>
    </tableColumn>
    <tableColumn id="5" xr3:uid="{7155B020-E486-4AE0-9903-15AAF9F3A995}" name="Performance2" dataDxfId="8">
      <calculatedColumnFormula>IF(Tableau1[[#This Row],[Candidats]]="","",Synthèse!F4)</calculatedColumnFormula>
    </tableColumn>
    <tableColumn id="6" xr3:uid="{DBD27954-30EC-480C-A27E-054259E7E6A6}" name="Note3" dataDxfId="7">
      <calculatedColumnFormula>IF(Tableau1[[#This Row],[Candidats]]="","",Synthèse!G4)</calculatedColumnFormula>
    </tableColumn>
    <tableColumn id="7" xr3:uid="{A30868E8-0B12-4AE9-98DE-D5B4EAC73798}" name="Performance3" dataDxfId="6">
      <calculatedColumnFormula>IF(Tableau1[[#This Row],[Candidats]]="","",Synthèse!J4)</calculatedColumnFormula>
    </tableColumn>
    <tableColumn id="8" xr3:uid="{90D269FA-F418-4721-85A0-FBAD10B94464}" name="Note4" dataDxfId="5">
      <calculatedColumnFormula>IF(Tableau1[[#This Row],[Candidats]]="","",Synthèse!K4)</calculatedColumnFormula>
    </tableColumn>
    <tableColumn id="9" xr3:uid="{8B299842-0BA3-4C0B-8D85-1705D4ABC691}" name="Performance4" dataDxfId="4">
      <calculatedColumnFormula>IF(Tableau1[[#This Row],[Candidats]]="","",Synthèse!N4)</calculatedColumnFormula>
    </tableColumn>
    <tableColumn id="10" xr3:uid="{AF1EEA77-BDC5-4FD8-A521-D9EA68EF8C0C}" name="Note5" dataDxfId="3">
      <calculatedColumnFormula>IF(Tableau1[[#This Row],[Candidats]]="","",Synthèse!O4)</calculatedColumnFormula>
    </tableColumn>
    <tableColumn id="11" xr3:uid="{4907EA6C-3506-4DA0-8E47-518B3FEADFDA}" name="6" dataDxfId="2">
      <calculatedColumnFormula>IF(Tableau1[[#This Row],[Candidats]]="","",Synthèse!S4)</calculatedColumnFormula>
    </tableColumn>
    <tableColumn id="12" xr3:uid="{B463C874-457E-46A2-B967-2E06B55BB4C1}" name="7" dataDxfId="1">
      <calculatedColumnFormula>IF(Tableau1[[#This Row],[Candidats]]="","",Synthèse!W4)</calculatedColumnFormula>
    </tableColumn>
    <tableColumn id="13" xr3:uid="{E1CEF99D-AE9B-4FE3-9C06-D77F864CC01C}" name="8" dataDxfId="0">
      <calculatedColumnFormula>IF(Tableau1[[#This Row],[Candidats]]="","",Synthèse!AA4)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C00000"/>
  </sheetPr>
  <dimension ref="A1:L11"/>
  <sheetViews>
    <sheetView workbookViewId="0">
      <selection activeCell="D27" sqref="D27"/>
    </sheetView>
  </sheetViews>
  <sheetFormatPr baseColWidth="10" defaultColWidth="9.140625" defaultRowHeight="15" x14ac:dyDescent="0.25"/>
  <cols>
    <col min="12" max="12" width="38.28515625" customWidth="1"/>
  </cols>
  <sheetData>
    <row r="1" spans="1:12" ht="26.25" x14ac:dyDescent="0.4">
      <c r="A1" s="245"/>
    </row>
    <row r="2" spans="1:12" ht="26.25" x14ac:dyDescent="0.4">
      <c r="A2" s="245"/>
    </row>
    <row r="10" spans="1:12" ht="15.75" thickBot="1" x14ac:dyDescent="0.3"/>
    <row r="11" spans="1:12" ht="72.75" customHeight="1" thickBot="1" x14ac:dyDescent="0.3">
      <c r="A11" s="260"/>
      <c r="B11" s="261"/>
      <c r="C11" s="261"/>
      <c r="D11" s="261"/>
      <c r="E11" s="261"/>
      <c r="F11" s="261"/>
      <c r="G11" s="261"/>
      <c r="H11" s="261"/>
      <c r="I11" s="261"/>
      <c r="J11" s="261"/>
      <c r="K11" s="261"/>
      <c r="L11" s="262"/>
    </row>
  </sheetData>
  <mergeCells count="1">
    <mergeCell ref="A11:L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06E3-A825-47D6-BC1C-999101EACB1C}">
  <dimension ref="A1:L38"/>
  <sheetViews>
    <sheetView tabSelected="1" workbookViewId="0">
      <selection activeCell="A4" sqref="A4"/>
    </sheetView>
  </sheetViews>
  <sheetFormatPr baseColWidth="10" defaultRowHeight="15" x14ac:dyDescent="0.25"/>
  <cols>
    <col min="1" max="1" width="41" bestFit="1" customWidth="1"/>
    <col min="2" max="2" width="37.7109375" customWidth="1"/>
    <col min="3" max="4" width="20.7109375" customWidth="1"/>
    <col min="5" max="5" width="30.7109375" hidden="1" customWidth="1"/>
    <col min="6" max="6" width="11.7109375" hidden="1" customWidth="1"/>
    <col min="7" max="7" width="10" hidden="1" customWidth="1"/>
    <col min="8" max="8" width="19.5703125" hidden="1" customWidth="1"/>
    <col min="9" max="9" width="14" hidden="1" customWidth="1"/>
  </cols>
  <sheetData>
    <row r="1" spans="1:12" ht="36" x14ac:dyDescent="0.55000000000000004">
      <c r="A1" s="263" t="s">
        <v>65</v>
      </c>
      <c r="B1" s="263"/>
      <c r="C1" s="62"/>
      <c r="D1" s="65"/>
    </row>
    <row r="2" spans="1:12" ht="35.1" customHeight="1" thickBot="1" x14ac:dyDescent="0.3">
      <c r="E2" t="s">
        <v>27</v>
      </c>
      <c r="F2" s="73" t="s">
        <v>26</v>
      </c>
      <c r="I2" t="s">
        <v>49</v>
      </c>
    </row>
    <row r="3" spans="1:12" ht="21" customHeight="1" thickBot="1" x14ac:dyDescent="0.4">
      <c r="A3" s="63" t="s">
        <v>73</v>
      </c>
      <c r="B3" s="157" t="s">
        <v>74</v>
      </c>
      <c r="E3" s="64"/>
      <c r="F3">
        <v>1</v>
      </c>
    </row>
    <row r="4" spans="1:12" ht="15" customHeight="1" x14ac:dyDescent="0.25">
      <c r="A4" s="191"/>
      <c r="B4" s="192"/>
      <c r="C4" s="31"/>
      <c r="D4" s="31"/>
      <c r="E4">
        <v>1</v>
      </c>
      <c r="F4">
        <f>IF(A4=0,0,1)</f>
        <v>0</v>
      </c>
      <c r="G4">
        <f>F4</f>
        <v>0</v>
      </c>
      <c r="H4">
        <f>IF(OR(G4=$B$29,G4=E4),0,1)</f>
        <v>0</v>
      </c>
      <c r="I4" s="158">
        <f ca="1">IF(AND($A4&lt;&gt;0,$B4&lt;TODAY()),1,0)</f>
        <v>0</v>
      </c>
      <c r="L4" s="226"/>
    </row>
    <row r="5" spans="1:12" ht="15" customHeight="1" x14ac:dyDescent="0.25">
      <c r="A5" s="193"/>
      <c r="B5" s="194"/>
      <c r="C5" s="31"/>
      <c r="D5" s="31"/>
      <c r="E5">
        <v>2</v>
      </c>
      <c r="F5">
        <f t="shared" ref="F5:F20" si="0">IF(A5=0,0,1)</f>
        <v>0</v>
      </c>
      <c r="G5">
        <f>SUM($F5+$G4)</f>
        <v>0</v>
      </c>
      <c r="H5">
        <f t="shared" ref="H5:H19" si="1">IF(OR(G5=$B$29,G5=E5),0,1)</f>
        <v>0</v>
      </c>
      <c r="I5" s="158">
        <f t="shared" ref="I5:I19" ca="1" si="2">IF(AND($A5&lt;&gt;0,$B5&lt;TODAY()),1,0)</f>
        <v>0</v>
      </c>
      <c r="L5" s="33"/>
    </row>
    <row r="6" spans="1:12" ht="15" customHeight="1" x14ac:dyDescent="0.25">
      <c r="A6" s="193"/>
      <c r="B6" s="194"/>
      <c r="C6" s="31"/>
      <c r="D6" s="31"/>
      <c r="E6">
        <v>3</v>
      </c>
      <c r="F6">
        <f t="shared" si="0"/>
        <v>0</v>
      </c>
      <c r="G6">
        <f t="shared" ref="G6:G19" si="3">SUM($F6+$G5)</f>
        <v>0</v>
      </c>
      <c r="H6">
        <f t="shared" si="1"/>
        <v>0</v>
      </c>
      <c r="I6" s="158">
        <f t="shared" ca="1" si="2"/>
        <v>0</v>
      </c>
      <c r="L6" s="33"/>
    </row>
    <row r="7" spans="1:12" ht="15" customHeight="1" x14ac:dyDescent="0.25">
      <c r="A7" s="195"/>
      <c r="B7" s="194"/>
      <c r="C7" s="64"/>
      <c r="D7" s="64"/>
      <c r="E7">
        <v>4</v>
      </c>
      <c r="F7">
        <f t="shared" si="0"/>
        <v>0</v>
      </c>
      <c r="G7">
        <f t="shared" si="3"/>
        <v>0</v>
      </c>
      <c r="H7">
        <f t="shared" si="1"/>
        <v>0</v>
      </c>
      <c r="I7" s="158">
        <f t="shared" ca="1" si="2"/>
        <v>0</v>
      </c>
      <c r="K7" s="31"/>
    </row>
    <row r="8" spans="1:12" ht="15" customHeight="1" x14ac:dyDescent="0.25">
      <c r="A8" s="193"/>
      <c r="B8" s="194"/>
      <c r="C8" s="31"/>
      <c r="D8" s="31"/>
      <c r="E8">
        <v>5</v>
      </c>
      <c r="F8">
        <f t="shared" si="0"/>
        <v>0</v>
      </c>
      <c r="G8">
        <f t="shared" si="3"/>
        <v>0</v>
      </c>
      <c r="H8">
        <f t="shared" si="1"/>
        <v>0</v>
      </c>
      <c r="I8" s="158">
        <f t="shared" ca="1" si="2"/>
        <v>0</v>
      </c>
      <c r="K8" s="31"/>
    </row>
    <row r="9" spans="1:12" ht="15" customHeight="1" x14ac:dyDescent="0.25">
      <c r="A9" s="193"/>
      <c r="B9" s="194"/>
      <c r="C9" s="31"/>
      <c r="D9" s="31"/>
      <c r="E9">
        <v>6</v>
      </c>
      <c r="F9">
        <f>IF(A9=0,0,1)</f>
        <v>0</v>
      </c>
      <c r="G9">
        <f t="shared" si="3"/>
        <v>0</v>
      </c>
      <c r="H9">
        <f t="shared" si="1"/>
        <v>0</v>
      </c>
      <c r="I9" s="158">
        <f t="shared" ca="1" si="2"/>
        <v>0</v>
      </c>
      <c r="K9" s="31"/>
    </row>
    <row r="10" spans="1:12" ht="15" customHeight="1" x14ac:dyDescent="0.25">
      <c r="A10" s="193"/>
      <c r="B10" s="194"/>
      <c r="C10" s="31"/>
      <c r="D10" s="31"/>
      <c r="E10">
        <v>7</v>
      </c>
      <c r="F10">
        <f t="shared" si="0"/>
        <v>0</v>
      </c>
      <c r="G10">
        <f t="shared" si="3"/>
        <v>0</v>
      </c>
      <c r="H10">
        <f t="shared" si="1"/>
        <v>0</v>
      </c>
      <c r="I10" s="158">
        <f t="shared" ca="1" si="2"/>
        <v>0</v>
      </c>
      <c r="K10" s="31"/>
    </row>
    <row r="11" spans="1:12" ht="15" customHeight="1" x14ac:dyDescent="0.25">
      <c r="A11" s="193"/>
      <c r="B11" s="194"/>
      <c r="C11" s="31"/>
      <c r="D11" s="31"/>
      <c r="E11">
        <v>8</v>
      </c>
      <c r="F11">
        <f>IF(A11=0,0,1)</f>
        <v>0</v>
      </c>
      <c r="G11">
        <f t="shared" si="3"/>
        <v>0</v>
      </c>
      <c r="H11">
        <f t="shared" si="1"/>
        <v>0</v>
      </c>
      <c r="I11" s="158">
        <f t="shared" ca="1" si="2"/>
        <v>0</v>
      </c>
      <c r="K11" s="31"/>
    </row>
    <row r="12" spans="1:12" ht="15" customHeight="1" x14ac:dyDescent="0.25">
      <c r="A12" s="193"/>
      <c r="B12" s="194"/>
      <c r="C12" s="31"/>
      <c r="D12" s="31"/>
      <c r="E12">
        <v>9</v>
      </c>
      <c r="F12">
        <f t="shared" si="0"/>
        <v>0</v>
      </c>
      <c r="G12">
        <f t="shared" si="3"/>
        <v>0</v>
      </c>
      <c r="H12">
        <f t="shared" si="1"/>
        <v>0</v>
      </c>
      <c r="I12" s="158">
        <f t="shared" ca="1" si="2"/>
        <v>0</v>
      </c>
      <c r="K12" s="31"/>
    </row>
    <row r="13" spans="1:12" ht="15" customHeight="1" x14ac:dyDescent="0.25">
      <c r="A13" s="193"/>
      <c r="B13" s="194"/>
      <c r="C13" s="31"/>
      <c r="D13" s="31"/>
      <c r="E13">
        <v>10</v>
      </c>
      <c r="F13">
        <f t="shared" si="0"/>
        <v>0</v>
      </c>
      <c r="G13">
        <f t="shared" si="3"/>
        <v>0</v>
      </c>
      <c r="H13">
        <f t="shared" si="1"/>
        <v>0</v>
      </c>
      <c r="I13" s="158">
        <f t="shared" ca="1" si="2"/>
        <v>0</v>
      </c>
      <c r="K13" s="31"/>
    </row>
    <row r="14" spans="1:12" ht="15" customHeight="1" x14ac:dyDescent="0.25">
      <c r="A14" s="193"/>
      <c r="B14" s="194"/>
      <c r="C14" s="31"/>
      <c r="D14" s="31"/>
      <c r="E14">
        <v>11</v>
      </c>
      <c r="F14">
        <f t="shared" si="0"/>
        <v>0</v>
      </c>
      <c r="G14">
        <f t="shared" si="3"/>
        <v>0</v>
      </c>
      <c r="H14">
        <f t="shared" si="1"/>
        <v>0</v>
      </c>
      <c r="I14" s="158">
        <f t="shared" ca="1" si="2"/>
        <v>0</v>
      </c>
      <c r="K14" s="31"/>
    </row>
    <row r="15" spans="1:12" ht="15" customHeight="1" x14ac:dyDescent="0.25">
      <c r="A15" s="193"/>
      <c r="B15" s="194"/>
      <c r="C15" s="31"/>
      <c r="D15" s="31"/>
      <c r="E15">
        <v>12</v>
      </c>
      <c r="F15">
        <f t="shared" si="0"/>
        <v>0</v>
      </c>
      <c r="G15">
        <f t="shared" si="3"/>
        <v>0</v>
      </c>
      <c r="H15">
        <f t="shared" si="1"/>
        <v>0</v>
      </c>
      <c r="I15" s="158">
        <f t="shared" ca="1" si="2"/>
        <v>0</v>
      </c>
      <c r="K15" s="31"/>
    </row>
    <row r="16" spans="1:12" ht="15" customHeight="1" x14ac:dyDescent="0.25">
      <c r="A16" s="193"/>
      <c r="B16" s="194"/>
      <c r="C16" s="31"/>
      <c r="D16" s="31"/>
      <c r="E16">
        <v>13</v>
      </c>
      <c r="F16">
        <f t="shared" si="0"/>
        <v>0</v>
      </c>
      <c r="G16">
        <f t="shared" si="3"/>
        <v>0</v>
      </c>
      <c r="H16">
        <f t="shared" si="1"/>
        <v>0</v>
      </c>
      <c r="I16" s="158">
        <f t="shared" ca="1" si="2"/>
        <v>0</v>
      </c>
    </row>
    <row r="17" spans="1:9" ht="15" customHeight="1" x14ac:dyDescent="0.25">
      <c r="A17" s="193"/>
      <c r="B17" s="194"/>
      <c r="C17" s="31"/>
      <c r="D17" s="31"/>
      <c r="E17">
        <v>14</v>
      </c>
      <c r="F17">
        <f t="shared" si="0"/>
        <v>0</v>
      </c>
      <c r="G17">
        <f t="shared" si="3"/>
        <v>0</v>
      </c>
      <c r="H17">
        <f t="shared" si="1"/>
        <v>0</v>
      </c>
      <c r="I17" s="158">
        <f t="shared" ca="1" si="2"/>
        <v>0</v>
      </c>
    </row>
    <row r="18" spans="1:9" ht="15" customHeight="1" x14ac:dyDescent="0.25">
      <c r="A18" s="193"/>
      <c r="B18" s="194"/>
      <c r="C18" s="31"/>
      <c r="D18" s="31"/>
      <c r="E18">
        <v>15</v>
      </c>
      <c r="F18">
        <f t="shared" si="0"/>
        <v>0</v>
      </c>
      <c r="G18">
        <f t="shared" si="3"/>
        <v>0</v>
      </c>
      <c r="H18">
        <f t="shared" si="1"/>
        <v>0</v>
      </c>
      <c r="I18" s="158">
        <f t="shared" ca="1" si="2"/>
        <v>0</v>
      </c>
    </row>
    <row r="19" spans="1:9" ht="15" customHeight="1" thickBot="1" x14ac:dyDescent="0.3">
      <c r="A19" s="196"/>
      <c r="B19" s="197"/>
      <c r="C19" s="31"/>
      <c r="D19" s="31"/>
      <c r="E19">
        <v>16</v>
      </c>
      <c r="F19">
        <f t="shared" si="0"/>
        <v>0</v>
      </c>
      <c r="G19">
        <f t="shared" si="3"/>
        <v>0</v>
      </c>
      <c r="H19">
        <f t="shared" si="1"/>
        <v>0</v>
      </c>
      <c r="I19" s="158">
        <f t="shared" ca="1" si="2"/>
        <v>0</v>
      </c>
    </row>
    <row r="20" spans="1:9" ht="15.75" thickBot="1" x14ac:dyDescent="0.3">
      <c r="A20" s="70"/>
      <c r="B20" s="2"/>
      <c r="E20" s="70"/>
      <c r="F20">
        <f t="shared" si="0"/>
        <v>0</v>
      </c>
      <c r="I20" s="158">
        <f ca="1">SUM(I4:I19)</f>
        <v>0</v>
      </c>
    </row>
    <row r="21" spans="1:9" ht="15.75" thickBot="1" x14ac:dyDescent="0.3">
      <c r="A21" s="32" t="s">
        <v>0</v>
      </c>
      <c r="B21" s="198" t="s">
        <v>17</v>
      </c>
    </row>
    <row r="22" spans="1:9" x14ac:dyDescent="0.25">
      <c r="A22" s="249" t="s">
        <v>1</v>
      </c>
      <c r="B22" s="252"/>
    </row>
    <row r="23" spans="1:9" x14ac:dyDescent="0.25">
      <c r="A23" s="250" t="s">
        <v>2</v>
      </c>
      <c r="B23" s="199"/>
    </row>
    <row r="24" spans="1:9" x14ac:dyDescent="0.25">
      <c r="A24" s="250" t="s">
        <v>68</v>
      </c>
      <c r="B24" s="200"/>
    </row>
    <row r="25" spans="1:9" x14ac:dyDescent="0.25">
      <c r="A25" s="250" t="s">
        <v>69</v>
      </c>
      <c r="B25" s="200"/>
    </row>
    <row r="26" spans="1:9" x14ac:dyDescent="0.25">
      <c r="A26" s="250" t="s">
        <v>70</v>
      </c>
      <c r="B26" s="200"/>
    </row>
    <row r="27" spans="1:9" x14ac:dyDescent="0.25">
      <c r="A27" s="251" t="s">
        <v>71</v>
      </c>
      <c r="B27" s="201"/>
    </row>
    <row r="28" spans="1:9" ht="15.75" thickBot="1" x14ac:dyDescent="0.3">
      <c r="A28" s="253" t="s">
        <v>72</v>
      </c>
      <c r="B28" s="201"/>
    </row>
    <row r="29" spans="1:9" ht="15.75" thickBot="1" x14ac:dyDescent="0.3">
      <c r="A29" s="254" t="s">
        <v>19</v>
      </c>
      <c r="B29" s="255">
        <f>COUNTA(A4:A19)</f>
        <v>0</v>
      </c>
    </row>
    <row r="30" spans="1:9" ht="18" customHeight="1" thickBot="1" x14ac:dyDescent="0.3"/>
    <row r="31" spans="1:9" ht="21" customHeight="1" x14ac:dyDescent="0.25">
      <c r="A31" s="264" t="s">
        <v>18</v>
      </c>
      <c r="B31" s="265"/>
      <c r="C31" s="74"/>
      <c r="D31" s="71"/>
    </row>
    <row r="32" spans="1:9" ht="58.5" customHeight="1" thickBot="1" x14ac:dyDescent="0.3">
      <c r="A32" s="266" t="str">
        <f ca="1">IF(OR(B29=0,B21=0,B22=0,B23=0,B24=0,B25=0,B26=0,B27=0,B28=0,SUM(H4:H19)&lt;&gt;0,I20&lt;&gt;0,B23&lt;TODAY()),"Incomplète","Complète")</f>
        <v>Incomplète</v>
      </c>
      <c r="B32" s="267"/>
      <c r="C32" s="33"/>
      <c r="D32" s="72"/>
    </row>
    <row r="33" spans="2:4" ht="15" customHeight="1" x14ac:dyDescent="0.25">
      <c r="B33" s="33"/>
      <c r="C33" s="33"/>
      <c r="D33" s="72"/>
    </row>
    <row r="34" spans="2:4" ht="15" customHeight="1" x14ac:dyDescent="0.25">
      <c r="B34" s="33"/>
      <c r="C34" s="33"/>
      <c r="D34" s="72"/>
    </row>
    <row r="35" spans="2:4" ht="15" customHeight="1" x14ac:dyDescent="0.25">
      <c r="B35" s="33"/>
      <c r="C35" s="33"/>
      <c r="D35" s="72"/>
    </row>
    <row r="36" spans="2:4" ht="15" customHeight="1" x14ac:dyDescent="0.25">
      <c r="B36" s="33"/>
      <c r="C36" s="33"/>
      <c r="D36" s="72"/>
    </row>
    <row r="37" spans="2:4" ht="15" customHeight="1" x14ac:dyDescent="0.25"/>
    <row r="38" spans="2:4" ht="15" customHeight="1" x14ac:dyDescent="0.25"/>
  </sheetData>
  <sheetProtection algorithmName="SHA-512" hashValue="z5TAhK0dYyYsbleJv2eZsTA9CpN7TpTyqvlRQGm66bAuv/HE3gOqaNkxf/zFXjWB/2+kYVGPRL1IfekgoWzd8A==" saltValue="M38aSf5x40IvLckeCLu6wA==" spinCount="100000" sheet="1" objects="1" scenarios="1"/>
  <mergeCells count="3">
    <mergeCell ref="A1:B1"/>
    <mergeCell ref="A31:B31"/>
    <mergeCell ref="A32:B32"/>
  </mergeCells>
  <conditionalFormatting sqref="A31:A32">
    <cfRule type="expression" dxfId="68" priority="11">
      <formula>$A$32="Complète"</formula>
    </cfRule>
    <cfRule type="expression" dxfId="67" priority="16" stopIfTrue="1">
      <formula>$A$32="Incomplète"</formula>
    </cfRule>
  </conditionalFormatting>
  <conditionalFormatting sqref="B21:B28">
    <cfRule type="expression" dxfId="66" priority="21">
      <formula>$B21=0</formula>
    </cfRule>
  </conditionalFormatting>
  <conditionalFormatting sqref="E3">
    <cfRule type="expression" dxfId="65" priority="10">
      <formula>$E3="Auxiliaire"</formula>
    </cfRule>
  </conditionalFormatting>
  <conditionalFormatting sqref="A4:A19">
    <cfRule type="expression" dxfId="64" priority="4">
      <formula>SUM($F4-$F3)&gt;0</formula>
    </cfRule>
  </conditionalFormatting>
  <conditionalFormatting sqref="A4:B19">
    <cfRule type="expression" dxfId="63" priority="5" stopIfTrue="1">
      <formula>$A$4=0</formula>
    </cfRule>
  </conditionalFormatting>
  <conditionalFormatting sqref="B4:B19">
    <cfRule type="expression" dxfId="62" priority="2">
      <formula>AND($B4&lt;=TODAY(),$B4&lt;&gt;0)</formula>
    </cfRule>
    <cfRule type="expression" dxfId="61" priority="3">
      <formula>AND($A4&lt;&gt;0,$B4="")</formula>
    </cfRule>
  </conditionalFormatting>
  <conditionalFormatting sqref="B23">
    <cfRule type="expression" dxfId="60" priority="1">
      <formula>$B$23&lt;TODAY()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Width="0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262765-DD8D-4729-A394-A773F7A97677}">
          <x14:formula1>
            <xm:f>Chiffrement!$J$2:$J$3</xm:f>
          </x14:formula1>
          <xm:sqref>B21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B6A63C-9B59-46EE-B8EC-AA17D0500E41}">
  <sheetPr>
    <tabColor theme="4" tint="0.39997558519241921"/>
  </sheetPr>
  <dimension ref="A1:Y46"/>
  <sheetViews>
    <sheetView topLeftCell="A16" zoomScaleNormal="100" workbookViewId="0">
      <selection activeCell="X31" sqref="X31"/>
    </sheetView>
  </sheetViews>
  <sheetFormatPr baseColWidth="10" defaultRowHeight="39" x14ac:dyDescent="0.6"/>
  <cols>
    <col min="1" max="1" width="58" bestFit="1" customWidth="1"/>
    <col min="2" max="2" width="6.140625" bestFit="1" customWidth="1"/>
    <col min="3" max="18" width="5.7109375" customWidth="1"/>
    <col min="19" max="19" width="1.7109375" customWidth="1"/>
    <col min="20" max="20" width="33.28515625" style="34" customWidth="1"/>
    <col min="21" max="22" width="10.7109375" customWidth="1"/>
  </cols>
  <sheetData>
    <row r="1" spans="1:21" ht="35.1" customHeight="1" thickBot="1" x14ac:dyDescent="0.3">
      <c r="A1" s="270" t="s">
        <v>66</v>
      </c>
      <c r="B1" s="270"/>
      <c r="C1" s="270"/>
      <c r="D1" s="270"/>
      <c r="E1" s="270"/>
      <c r="F1" s="270"/>
      <c r="G1" s="270"/>
      <c r="H1" s="270"/>
      <c r="I1" s="270"/>
      <c r="J1" s="270"/>
      <c r="K1" s="270"/>
      <c r="L1" s="270"/>
      <c r="M1" s="270"/>
      <c r="N1" s="270"/>
      <c r="O1" s="270"/>
      <c r="P1" s="270"/>
      <c r="Q1" s="270"/>
      <c r="R1" s="270"/>
      <c r="S1" s="270"/>
      <c r="T1" s="270"/>
      <c r="U1" s="38"/>
    </row>
    <row r="2" spans="1:21" ht="116.25" customHeight="1" thickBot="1" x14ac:dyDescent="0.65">
      <c r="A2" s="23" t="s">
        <v>3</v>
      </c>
      <c r="B2" s="46" t="s">
        <v>20</v>
      </c>
      <c r="C2" s="47" t="str">
        <f>IF(Candidats!A4=0,"",Candidats!A4)</f>
        <v/>
      </c>
      <c r="D2" s="45" t="str">
        <f>IF(Candidats!A5=0,"",Candidats!A5)</f>
        <v/>
      </c>
      <c r="E2" s="45" t="str">
        <f>IF(Candidats!A6=0,"",Candidats!A6)</f>
        <v/>
      </c>
      <c r="F2" s="45" t="str">
        <f>IF(Candidats!A7=0,"",Candidats!A7)</f>
        <v/>
      </c>
      <c r="G2" s="45" t="str">
        <f>IF(Candidats!A8=0,"",Candidats!A8)</f>
        <v/>
      </c>
      <c r="H2" s="45" t="str">
        <f>IF(Candidats!A9=0,"",Candidats!A9)</f>
        <v/>
      </c>
      <c r="I2" s="45" t="str">
        <f>IF(Candidats!A10=0,"",Candidats!A10)</f>
        <v/>
      </c>
      <c r="J2" s="67" t="str">
        <f>IF(Candidats!A11=0,"",Candidats!A11)</f>
        <v/>
      </c>
      <c r="K2" s="45" t="str">
        <f>IF(Candidats!A12=0,"",Candidats!A12)</f>
        <v/>
      </c>
      <c r="L2" s="45" t="str">
        <f>IF(Candidats!A13=0,"",Candidats!A13)</f>
        <v/>
      </c>
      <c r="M2" s="45" t="str">
        <f>IF(Candidats!A14=0,"",Candidats!A14)</f>
        <v/>
      </c>
      <c r="N2" s="45" t="str">
        <f>IF(Candidats!A15=0,"",Candidats!A15)</f>
        <v/>
      </c>
      <c r="O2" s="45" t="str">
        <f>IF(Candidats!A16=0,"",Candidats!A16)</f>
        <v/>
      </c>
      <c r="P2" s="45" t="str">
        <f>IF(Candidats!A17=0,"",Candidats!A17)</f>
        <v/>
      </c>
      <c r="Q2" s="45" t="str">
        <f>IF(Candidats!A18=0,"",Candidats!A18)</f>
        <v/>
      </c>
      <c r="R2" s="48" t="str">
        <f>IF(Candidats!A19=0,"",Candidats!A19)</f>
        <v/>
      </c>
    </row>
    <row r="3" spans="1:21" ht="9.9499999999999993" customHeight="1" thickBot="1" x14ac:dyDescent="0.65">
      <c r="A3" s="69"/>
      <c r="B3" s="68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</row>
    <row r="4" spans="1:21" ht="21" customHeight="1" thickBot="1" x14ac:dyDescent="0.65">
      <c r="A4" s="271">
        <v>1</v>
      </c>
      <c r="B4" s="272"/>
      <c r="C4" s="272"/>
      <c r="D4" s="272"/>
      <c r="E4" s="272"/>
      <c r="F4" s="272"/>
      <c r="G4" s="272"/>
      <c r="H4" s="272"/>
      <c r="I4" s="272"/>
      <c r="J4" s="272"/>
      <c r="K4" s="272"/>
      <c r="L4" s="272"/>
      <c r="M4" s="272"/>
      <c r="N4" s="272"/>
      <c r="O4" s="272"/>
      <c r="P4" s="272"/>
      <c r="Q4" s="272"/>
      <c r="R4" s="273"/>
    </row>
    <row r="5" spans="1:21" s="79" customFormat="1" ht="15" customHeight="1" x14ac:dyDescent="0.25">
      <c r="A5" s="81" t="s">
        <v>75</v>
      </c>
      <c r="B5" s="82">
        <v>2</v>
      </c>
      <c r="C5" s="202"/>
      <c r="D5" s="202"/>
      <c r="E5" s="202"/>
      <c r="F5" s="202"/>
      <c r="G5" s="202"/>
      <c r="H5" s="202"/>
      <c r="I5" s="223"/>
      <c r="J5" s="219"/>
      <c r="K5" s="202"/>
      <c r="L5" s="202"/>
      <c r="M5" s="202"/>
      <c r="N5" s="202"/>
      <c r="O5" s="202"/>
      <c r="P5" s="202"/>
      <c r="Q5" s="202"/>
      <c r="R5" s="223"/>
      <c r="T5" s="80"/>
    </row>
    <row r="6" spans="1:21" ht="15" customHeight="1" x14ac:dyDescent="0.6">
      <c r="A6" s="77" t="s">
        <v>76</v>
      </c>
      <c r="B6" s="78">
        <v>2</v>
      </c>
      <c r="C6" s="203"/>
      <c r="D6" s="203"/>
      <c r="E6" s="203"/>
      <c r="F6" s="203"/>
      <c r="G6" s="203"/>
      <c r="H6" s="203"/>
      <c r="I6" s="224"/>
      <c r="J6" s="220"/>
      <c r="K6" s="203"/>
      <c r="L6" s="203"/>
      <c r="M6" s="203"/>
      <c r="N6" s="203"/>
      <c r="O6" s="203"/>
      <c r="P6" s="203"/>
      <c r="Q6" s="203"/>
      <c r="R6" s="224"/>
    </row>
    <row r="7" spans="1:21" ht="15" customHeight="1" x14ac:dyDescent="0.6">
      <c r="A7" s="77" t="s">
        <v>77</v>
      </c>
      <c r="B7" s="78">
        <v>2</v>
      </c>
      <c r="C7" s="203"/>
      <c r="D7" s="203"/>
      <c r="E7" s="203"/>
      <c r="F7" s="203"/>
      <c r="G7" s="203"/>
      <c r="H7" s="203"/>
      <c r="I7" s="224"/>
      <c r="J7" s="220"/>
      <c r="K7" s="203"/>
      <c r="L7" s="203"/>
      <c r="M7" s="203"/>
      <c r="N7" s="203"/>
      <c r="O7" s="203"/>
      <c r="P7" s="203"/>
      <c r="Q7" s="203"/>
      <c r="R7" s="224"/>
    </row>
    <row r="8" spans="1:21" ht="15" customHeight="1" x14ac:dyDescent="0.6">
      <c r="A8" s="7" t="s">
        <v>78</v>
      </c>
      <c r="B8" s="26">
        <v>2</v>
      </c>
      <c r="C8" s="204"/>
      <c r="D8" s="204"/>
      <c r="E8" s="204"/>
      <c r="F8" s="204"/>
      <c r="G8" s="204"/>
      <c r="H8" s="204"/>
      <c r="I8" s="225"/>
      <c r="J8" s="221"/>
      <c r="K8" s="204"/>
      <c r="L8" s="204"/>
      <c r="M8" s="204"/>
      <c r="N8" s="204"/>
      <c r="O8" s="204"/>
      <c r="P8" s="204"/>
      <c r="Q8" s="204"/>
      <c r="R8" s="225"/>
    </row>
    <row r="9" spans="1:21" ht="15" customHeight="1" x14ac:dyDescent="0.6">
      <c r="A9" s="7" t="s">
        <v>79</v>
      </c>
      <c r="B9" s="26">
        <v>2</v>
      </c>
      <c r="C9" s="204"/>
      <c r="D9" s="204"/>
      <c r="E9" s="204"/>
      <c r="F9" s="204"/>
      <c r="G9" s="204"/>
      <c r="H9" s="204"/>
      <c r="I9" s="225"/>
      <c r="J9" s="221"/>
      <c r="K9" s="204"/>
      <c r="L9" s="204"/>
      <c r="M9" s="204"/>
      <c r="N9" s="204"/>
      <c r="O9" s="204"/>
      <c r="P9" s="204"/>
      <c r="Q9" s="204"/>
      <c r="R9" s="225"/>
    </row>
    <row r="10" spans="1:21" ht="15" customHeight="1" x14ac:dyDescent="0.6">
      <c r="A10" s="7" t="s">
        <v>80</v>
      </c>
      <c r="B10" s="26">
        <v>2</v>
      </c>
      <c r="C10" s="204"/>
      <c r="D10" s="204"/>
      <c r="E10" s="204"/>
      <c r="F10" s="204"/>
      <c r="G10" s="204"/>
      <c r="H10" s="204"/>
      <c r="I10" s="225"/>
      <c r="J10" s="221"/>
      <c r="K10" s="204"/>
      <c r="L10" s="204"/>
      <c r="M10" s="204"/>
      <c r="N10" s="204"/>
      <c r="O10" s="204"/>
      <c r="P10" s="204"/>
      <c r="Q10" s="204"/>
      <c r="R10" s="225"/>
    </row>
    <row r="11" spans="1:21" ht="15" customHeight="1" x14ac:dyDescent="0.6">
      <c r="A11" s="7" t="s">
        <v>81</v>
      </c>
      <c r="B11" s="26">
        <v>2</v>
      </c>
      <c r="C11" s="204"/>
      <c r="D11" s="204"/>
      <c r="E11" s="204"/>
      <c r="F11" s="204"/>
      <c r="G11" s="204"/>
      <c r="H11" s="204"/>
      <c r="I11" s="225"/>
      <c r="J11" s="221"/>
      <c r="K11" s="204"/>
      <c r="L11" s="204"/>
      <c r="M11" s="204"/>
      <c r="N11" s="204"/>
      <c r="O11" s="204"/>
      <c r="P11" s="204"/>
      <c r="Q11" s="204"/>
      <c r="R11" s="225"/>
    </row>
    <row r="12" spans="1:21" ht="15" customHeight="1" thickBot="1" x14ac:dyDescent="0.65">
      <c r="A12" s="7" t="s">
        <v>82</v>
      </c>
      <c r="B12" s="26">
        <v>2</v>
      </c>
      <c r="C12" s="204"/>
      <c r="D12" s="204"/>
      <c r="E12" s="204"/>
      <c r="F12" s="204"/>
      <c r="G12" s="204"/>
      <c r="H12" s="204"/>
      <c r="I12" s="225"/>
      <c r="J12" s="221"/>
      <c r="K12" s="204"/>
      <c r="L12" s="204"/>
      <c r="M12" s="204"/>
      <c r="N12" s="204"/>
      <c r="O12" s="204"/>
      <c r="P12" s="204"/>
      <c r="Q12" s="204"/>
      <c r="R12" s="225"/>
    </row>
    <row r="13" spans="1:21" ht="15" customHeight="1" thickBot="1" x14ac:dyDescent="0.3">
      <c r="A13" s="7" t="s">
        <v>83</v>
      </c>
      <c r="B13" s="26">
        <v>2</v>
      </c>
      <c r="C13" s="204"/>
      <c r="D13" s="204"/>
      <c r="E13" s="204"/>
      <c r="F13" s="204"/>
      <c r="G13" s="204"/>
      <c r="H13" s="204"/>
      <c r="I13" s="225"/>
      <c r="J13" s="221"/>
      <c r="K13" s="204"/>
      <c r="L13" s="204"/>
      <c r="M13" s="204"/>
      <c r="N13" s="204"/>
      <c r="O13" s="204"/>
      <c r="P13" s="204"/>
      <c r="Q13" s="204"/>
      <c r="R13" s="225"/>
      <c r="T13" s="146" t="s">
        <v>108</v>
      </c>
    </row>
    <row r="14" spans="1:21" ht="15" customHeight="1" thickBot="1" x14ac:dyDescent="0.3">
      <c r="A14" s="7" t="s">
        <v>84</v>
      </c>
      <c r="B14" s="26">
        <v>4</v>
      </c>
      <c r="C14" s="204"/>
      <c r="D14" s="204"/>
      <c r="E14" s="204"/>
      <c r="F14" s="204"/>
      <c r="G14" s="204"/>
      <c r="H14" s="204"/>
      <c r="I14" s="225"/>
      <c r="J14" s="221"/>
      <c r="K14" s="204"/>
      <c r="L14" s="204"/>
      <c r="M14" s="204"/>
      <c r="N14" s="204"/>
      <c r="O14" s="204"/>
      <c r="P14" s="204"/>
      <c r="Q14" s="204"/>
      <c r="R14" s="225"/>
      <c r="T14" s="205"/>
    </row>
    <row r="15" spans="1:21" ht="15" customHeight="1" thickBot="1" x14ac:dyDescent="0.3">
      <c r="A15" s="243" t="s">
        <v>85</v>
      </c>
      <c r="B15" s="244">
        <v>4</v>
      </c>
      <c r="C15" s="204"/>
      <c r="D15" s="204"/>
      <c r="E15" s="204"/>
      <c r="F15" s="204"/>
      <c r="G15" s="204"/>
      <c r="H15" s="204"/>
      <c r="I15" s="225"/>
      <c r="J15" s="221"/>
      <c r="K15" s="204"/>
      <c r="L15" s="204"/>
      <c r="M15" s="204"/>
      <c r="N15" s="204"/>
      <c r="O15" s="204"/>
      <c r="P15" s="204"/>
      <c r="Q15" s="204"/>
      <c r="R15" s="225"/>
      <c r="T15" s="147"/>
    </row>
    <row r="16" spans="1:21" ht="15" customHeight="1" thickBot="1" x14ac:dyDescent="0.3">
      <c r="A16" s="7" t="s">
        <v>86</v>
      </c>
      <c r="B16" s="26">
        <v>2</v>
      </c>
      <c r="C16" s="204"/>
      <c r="D16" s="204"/>
      <c r="E16" s="204"/>
      <c r="F16" s="204"/>
      <c r="G16" s="204"/>
      <c r="H16" s="204"/>
      <c r="I16" s="225"/>
      <c r="J16" s="221"/>
      <c r="K16" s="204"/>
      <c r="L16" s="204"/>
      <c r="M16" s="204"/>
      <c r="N16" s="204"/>
      <c r="O16" s="204"/>
      <c r="P16" s="204"/>
      <c r="Q16" s="204"/>
      <c r="R16" s="225"/>
      <c r="T16" s="148" t="s">
        <v>109</v>
      </c>
    </row>
    <row r="17" spans="1:25" ht="15" customHeight="1" thickBot="1" x14ac:dyDescent="0.3">
      <c r="A17" s="7" t="s">
        <v>87</v>
      </c>
      <c r="B17" s="26">
        <v>2</v>
      </c>
      <c r="C17" s="204"/>
      <c r="D17" s="204"/>
      <c r="E17" s="204"/>
      <c r="F17" s="204"/>
      <c r="G17" s="204"/>
      <c r="H17" s="204"/>
      <c r="I17" s="225"/>
      <c r="J17" s="221"/>
      <c r="K17" s="204"/>
      <c r="L17" s="204"/>
      <c r="M17" s="204"/>
      <c r="N17" s="204"/>
      <c r="O17" s="204"/>
      <c r="P17" s="204"/>
      <c r="Q17" s="204"/>
      <c r="R17" s="225"/>
      <c r="T17" s="206"/>
    </row>
    <row r="18" spans="1:25" ht="15" customHeight="1" thickBot="1" x14ac:dyDescent="0.3">
      <c r="A18" s="7" t="s">
        <v>88</v>
      </c>
      <c r="B18" s="26">
        <v>2</v>
      </c>
      <c r="C18" s="204"/>
      <c r="D18" s="204"/>
      <c r="E18" s="204"/>
      <c r="F18" s="204"/>
      <c r="G18" s="204"/>
      <c r="H18" s="204"/>
      <c r="I18" s="225"/>
      <c r="J18" s="222"/>
      <c r="K18" s="204"/>
      <c r="L18" s="204"/>
      <c r="M18" s="204"/>
      <c r="N18" s="204"/>
      <c r="O18" s="204"/>
      <c r="P18" s="204"/>
      <c r="Q18" s="204"/>
      <c r="R18" s="225"/>
      <c r="T18" s="147"/>
    </row>
    <row r="19" spans="1:25" ht="15" customHeight="1" thickBot="1" x14ac:dyDescent="0.3">
      <c r="A19" s="7" t="s">
        <v>89</v>
      </c>
      <c r="B19" s="29">
        <v>2</v>
      </c>
      <c r="C19" s="204"/>
      <c r="D19" s="204"/>
      <c r="E19" s="204"/>
      <c r="F19" s="204"/>
      <c r="G19" s="204"/>
      <c r="H19" s="204"/>
      <c r="I19" s="225"/>
      <c r="J19" s="222"/>
      <c r="K19" s="204"/>
      <c r="L19" s="204"/>
      <c r="M19" s="204"/>
      <c r="N19" s="204"/>
      <c r="O19" s="204"/>
      <c r="P19" s="204"/>
      <c r="Q19" s="204"/>
      <c r="R19" s="225"/>
      <c r="T19" s="146" t="s">
        <v>110</v>
      </c>
    </row>
    <row r="20" spans="1:25" ht="15" customHeight="1" thickBot="1" x14ac:dyDescent="0.3">
      <c r="A20" s="7" t="s">
        <v>90</v>
      </c>
      <c r="B20" s="29">
        <v>2</v>
      </c>
      <c r="C20" s="204"/>
      <c r="D20" s="204"/>
      <c r="E20" s="204"/>
      <c r="F20" s="204"/>
      <c r="G20" s="204"/>
      <c r="H20" s="204"/>
      <c r="I20" s="225"/>
      <c r="J20" s="222"/>
      <c r="K20" s="204"/>
      <c r="L20" s="204"/>
      <c r="M20" s="204"/>
      <c r="N20" s="204"/>
      <c r="O20" s="204"/>
      <c r="P20" s="204"/>
      <c r="Q20" s="204"/>
      <c r="R20" s="225"/>
      <c r="T20" s="205"/>
    </row>
    <row r="21" spans="1:25" ht="15" customHeight="1" x14ac:dyDescent="0.6">
      <c r="A21" s="7" t="s">
        <v>91</v>
      </c>
      <c r="B21" s="29">
        <v>4</v>
      </c>
      <c r="C21" s="204"/>
      <c r="D21" s="204"/>
      <c r="E21" s="204"/>
      <c r="F21" s="204"/>
      <c r="G21" s="204"/>
      <c r="H21" s="204"/>
      <c r="I21" s="225"/>
      <c r="J21" s="222"/>
      <c r="K21" s="204"/>
      <c r="L21" s="204"/>
      <c r="M21" s="204"/>
      <c r="N21" s="204"/>
      <c r="O21" s="204"/>
      <c r="P21" s="204"/>
      <c r="Q21" s="204"/>
      <c r="R21" s="225"/>
    </row>
    <row r="22" spans="1:25" ht="15" customHeight="1" x14ac:dyDescent="0.6">
      <c r="A22" s="7" t="s">
        <v>92</v>
      </c>
      <c r="B22" s="29">
        <v>2</v>
      </c>
      <c r="C22" s="204"/>
      <c r="D22" s="204"/>
      <c r="E22" s="204"/>
      <c r="F22" s="204"/>
      <c r="G22" s="204"/>
      <c r="H22" s="204"/>
      <c r="I22" s="225"/>
      <c r="J22" s="222"/>
      <c r="K22" s="204"/>
      <c r="L22" s="204"/>
      <c r="M22" s="204"/>
      <c r="N22" s="204"/>
      <c r="O22" s="204"/>
      <c r="P22" s="204"/>
      <c r="Q22" s="204"/>
      <c r="R22" s="225"/>
    </row>
    <row r="23" spans="1:25" ht="15" customHeight="1" x14ac:dyDescent="0.6">
      <c r="A23" s="7" t="s">
        <v>93</v>
      </c>
      <c r="B23" s="29">
        <v>6</v>
      </c>
      <c r="C23" s="204"/>
      <c r="D23" s="204"/>
      <c r="E23" s="204"/>
      <c r="F23" s="204"/>
      <c r="G23" s="204"/>
      <c r="H23" s="204"/>
      <c r="I23" s="225"/>
      <c r="J23" s="222"/>
      <c r="K23" s="204"/>
      <c r="L23" s="204"/>
      <c r="M23" s="204"/>
      <c r="N23" s="204"/>
      <c r="O23" s="204"/>
      <c r="P23" s="204"/>
      <c r="Q23" s="204"/>
      <c r="R23" s="225"/>
    </row>
    <row r="24" spans="1:25" ht="15" customHeight="1" x14ac:dyDescent="0.6">
      <c r="A24" s="7" t="s">
        <v>94</v>
      </c>
      <c r="B24" s="29">
        <v>6</v>
      </c>
      <c r="C24" s="204"/>
      <c r="D24" s="204"/>
      <c r="E24" s="204"/>
      <c r="F24" s="204"/>
      <c r="G24" s="204"/>
      <c r="H24" s="204"/>
      <c r="I24" s="225"/>
      <c r="J24" s="222"/>
      <c r="K24" s="204"/>
      <c r="L24" s="204"/>
      <c r="M24" s="204"/>
      <c r="N24" s="204"/>
      <c r="O24" s="204"/>
      <c r="P24" s="204"/>
      <c r="Q24" s="204"/>
      <c r="R24" s="225"/>
    </row>
    <row r="25" spans="1:25" ht="15" customHeight="1" thickBot="1" x14ac:dyDescent="0.65">
      <c r="A25" s="8" t="s">
        <v>95</v>
      </c>
      <c r="B25" s="231">
        <v>6</v>
      </c>
      <c r="C25" s="228"/>
      <c r="D25" s="228"/>
      <c r="E25" s="228"/>
      <c r="F25" s="228"/>
      <c r="G25" s="228"/>
      <c r="H25" s="228"/>
      <c r="I25" s="229"/>
      <c r="J25" s="232"/>
      <c r="K25" s="228"/>
      <c r="L25" s="228"/>
      <c r="M25" s="228"/>
      <c r="N25" s="228"/>
      <c r="O25" s="228"/>
      <c r="P25" s="228"/>
      <c r="Q25" s="228"/>
      <c r="R25" s="229"/>
    </row>
    <row r="26" spans="1:25" ht="15" customHeight="1" thickTop="1" thickBot="1" x14ac:dyDescent="0.65">
      <c r="A26" s="9" t="s">
        <v>102</v>
      </c>
      <c r="B26" s="233">
        <f>SUM(B5:B25)</f>
        <v>60</v>
      </c>
      <c r="C26" s="30">
        <f t="shared" ref="C26:R26" si="0">SUM(C5:C25)</f>
        <v>0</v>
      </c>
      <c r="D26" s="30">
        <f t="shared" si="0"/>
        <v>0</v>
      </c>
      <c r="E26" s="30">
        <f t="shared" si="0"/>
        <v>0</v>
      </c>
      <c r="F26" s="30">
        <f t="shared" si="0"/>
        <v>0</v>
      </c>
      <c r="G26" s="30">
        <f t="shared" si="0"/>
        <v>0</v>
      </c>
      <c r="H26" s="30">
        <f t="shared" si="0"/>
        <v>0</v>
      </c>
      <c r="I26" s="30">
        <f t="shared" si="0"/>
        <v>0</v>
      </c>
      <c r="J26" s="30">
        <f t="shared" si="0"/>
        <v>0</v>
      </c>
      <c r="K26" s="30">
        <f t="shared" si="0"/>
        <v>0</v>
      </c>
      <c r="L26" s="30">
        <f t="shared" si="0"/>
        <v>0</v>
      </c>
      <c r="M26" s="30">
        <f t="shared" si="0"/>
        <v>0</v>
      </c>
      <c r="N26" s="30">
        <f t="shared" si="0"/>
        <v>0</v>
      </c>
      <c r="O26" s="30">
        <f t="shared" si="0"/>
        <v>0</v>
      </c>
      <c r="P26" s="30">
        <f t="shared" si="0"/>
        <v>0</v>
      </c>
      <c r="Q26" s="30">
        <f t="shared" si="0"/>
        <v>0</v>
      </c>
      <c r="R26" s="230">
        <f t="shared" si="0"/>
        <v>0</v>
      </c>
    </row>
    <row r="27" spans="1:25" ht="9.9499999999999993" customHeight="1" thickBot="1" x14ac:dyDescent="0.65">
      <c r="A27" s="10"/>
      <c r="B27" s="3"/>
    </row>
    <row r="28" spans="1:25" ht="21" customHeight="1" thickBot="1" x14ac:dyDescent="0.65">
      <c r="A28" s="271">
        <v>2</v>
      </c>
      <c r="B28" s="272"/>
      <c r="C28" s="272"/>
      <c r="D28" s="272"/>
      <c r="E28" s="272"/>
      <c r="F28" s="272"/>
      <c r="G28" s="272"/>
      <c r="H28" s="272"/>
      <c r="I28" s="272"/>
      <c r="J28" s="272"/>
      <c r="K28" s="272"/>
      <c r="L28" s="272"/>
      <c r="M28" s="272"/>
      <c r="N28" s="272"/>
      <c r="O28" s="272"/>
      <c r="P28" s="272"/>
      <c r="Q28" s="272"/>
      <c r="R28" s="273"/>
    </row>
    <row r="29" spans="1:25" ht="15" customHeight="1" x14ac:dyDescent="0.6">
      <c r="A29" s="6" t="s">
        <v>96</v>
      </c>
      <c r="B29" s="25">
        <v>10</v>
      </c>
      <c r="C29" s="234"/>
      <c r="D29" s="227"/>
      <c r="E29" s="239"/>
      <c r="F29" s="227"/>
      <c r="G29" s="239"/>
      <c r="H29" s="227"/>
      <c r="I29" s="239"/>
      <c r="J29" s="227"/>
      <c r="K29" s="239"/>
      <c r="L29" s="227"/>
      <c r="M29" s="239"/>
      <c r="N29" s="227"/>
      <c r="O29" s="239"/>
      <c r="P29" s="227"/>
      <c r="Q29" s="239"/>
      <c r="R29" s="227"/>
    </row>
    <row r="30" spans="1:25" ht="15" customHeight="1" x14ac:dyDescent="0.6">
      <c r="A30" s="7" t="s">
        <v>97</v>
      </c>
      <c r="B30" s="26">
        <v>10</v>
      </c>
      <c r="C30" s="235"/>
      <c r="D30" s="225"/>
      <c r="E30" s="240"/>
      <c r="F30" s="225"/>
      <c r="G30" s="240"/>
      <c r="H30" s="225"/>
      <c r="I30" s="240"/>
      <c r="J30" s="225"/>
      <c r="K30" s="240"/>
      <c r="L30" s="225"/>
      <c r="M30" s="240"/>
      <c r="N30" s="225"/>
      <c r="O30" s="240"/>
      <c r="P30" s="225"/>
      <c r="Q30" s="240"/>
      <c r="R30" s="225"/>
      <c r="Y30" s="24"/>
    </row>
    <row r="31" spans="1:25" ht="15" customHeight="1" x14ac:dyDescent="0.6">
      <c r="A31" s="7" t="s">
        <v>98</v>
      </c>
      <c r="B31" s="26">
        <v>10</v>
      </c>
      <c r="C31" s="235"/>
      <c r="D31" s="225"/>
      <c r="E31" s="240"/>
      <c r="F31" s="225"/>
      <c r="G31" s="240"/>
      <c r="H31" s="225"/>
      <c r="I31" s="240"/>
      <c r="J31" s="225"/>
      <c r="K31" s="240"/>
      <c r="L31" s="225"/>
      <c r="M31" s="240"/>
      <c r="N31" s="225"/>
      <c r="O31" s="240"/>
      <c r="P31" s="225"/>
      <c r="Q31" s="240"/>
      <c r="R31" s="225"/>
    </row>
    <row r="32" spans="1:25" ht="15" customHeight="1" x14ac:dyDescent="0.6">
      <c r="A32" s="7" t="s">
        <v>99</v>
      </c>
      <c r="B32" s="26">
        <v>10</v>
      </c>
      <c r="C32" s="235"/>
      <c r="D32" s="225"/>
      <c r="E32" s="240"/>
      <c r="F32" s="225"/>
      <c r="G32" s="240"/>
      <c r="H32" s="225"/>
      <c r="I32" s="240"/>
      <c r="J32" s="225"/>
      <c r="K32" s="240"/>
      <c r="L32" s="225"/>
      <c r="M32" s="240"/>
      <c r="N32" s="225"/>
      <c r="O32" s="240"/>
      <c r="P32" s="225"/>
      <c r="Q32" s="240"/>
      <c r="R32" s="225"/>
    </row>
    <row r="33" spans="1:22" ht="15" customHeight="1" x14ac:dyDescent="0.6">
      <c r="A33" s="7" t="s">
        <v>100</v>
      </c>
      <c r="B33" s="26">
        <v>10</v>
      </c>
      <c r="C33" s="235"/>
      <c r="D33" s="225"/>
      <c r="E33" s="240"/>
      <c r="F33" s="225"/>
      <c r="G33" s="240"/>
      <c r="H33" s="225"/>
      <c r="I33" s="240"/>
      <c r="J33" s="225"/>
      <c r="K33" s="240"/>
      <c r="L33" s="225"/>
      <c r="M33" s="240"/>
      <c r="N33" s="225"/>
      <c r="O33" s="240"/>
      <c r="P33" s="225"/>
      <c r="Q33" s="240"/>
      <c r="R33" s="225"/>
    </row>
    <row r="34" spans="1:22" ht="15" customHeight="1" thickBot="1" x14ac:dyDescent="0.65">
      <c r="A34" s="7" t="s">
        <v>101</v>
      </c>
      <c r="B34" s="27">
        <v>10</v>
      </c>
      <c r="C34" s="236"/>
      <c r="D34" s="229"/>
      <c r="E34" s="241"/>
      <c r="F34" s="229"/>
      <c r="G34" s="241"/>
      <c r="H34" s="229"/>
      <c r="I34" s="241"/>
      <c r="J34" s="229"/>
      <c r="K34" s="241"/>
      <c r="L34" s="229"/>
      <c r="M34" s="241"/>
      <c r="N34" s="229"/>
      <c r="O34" s="241"/>
      <c r="P34" s="229"/>
      <c r="Q34" s="241"/>
      <c r="R34" s="229"/>
    </row>
    <row r="35" spans="1:22" ht="15" customHeight="1" thickTop="1" thickBot="1" x14ac:dyDescent="0.65">
      <c r="A35" s="9" t="s">
        <v>102</v>
      </c>
      <c r="B35" s="28">
        <f>SUM(B29:B34)</f>
        <v>60</v>
      </c>
      <c r="C35" s="237">
        <f t="shared" ref="C35:R35" si="1">SUM(C29:C34)</f>
        <v>0</v>
      </c>
      <c r="D35" s="238">
        <f t="shared" si="1"/>
        <v>0</v>
      </c>
      <c r="E35" s="242">
        <f t="shared" si="1"/>
        <v>0</v>
      </c>
      <c r="F35" s="238">
        <f t="shared" si="1"/>
        <v>0</v>
      </c>
      <c r="G35" s="242">
        <f t="shared" si="1"/>
        <v>0</v>
      </c>
      <c r="H35" s="238">
        <f t="shared" si="1"/>
        <v>0</v>
      </c>
      <c r="I35" s="242">
        <f t="shared" si="1"/>
        <v>0</v>
      </c>
      <c r="J35" s="238">
        <f t="shared" si="1"/>
        <v>0</v>
      </c>
      <c r="K35" s="242">
        <f t="shared" si="1"/>
        <v>0</v>
      </c>
      <c r="L35" s="238">
        <f t="shared" si="1"/>
        <v>0</v>
      </c>
      <c r="M35" s="242">
        <f t="shared" si="1"/>
        <v>0</v>
      </c>
      <c r="N35" s="238">
        <f t="shared" si="1"/>
        <v>0</v>
      </c>
      <c r="O35" s="242">
        <f t="shared" si="1"/>
        <v>0</v>
      </c>
      <c r="P35" s="238">
        <f t="shared" si="1"/>
        <v>0</v>
      </c>
      <c r="Q35" s="242">
        <f t="shared" si="1"/>
        <v>0</v>
      </c>
      <c r="R35" s="238">
        <f t="shared" si="1"/>
        <v>0</v>
      </c>
    </row>
    <row r="36" spans="1:22" ht="9.9499999999999993" customHeight="1" thickBot="1" x14ac:dyDescent="0.65">
      <c r="A36" s="10"/>
      <c r="B36" s="10"/>
    </row>
    <row r="37" spans="1:22" ht="21" customHeight="1" thickBot="1" x14ac:dyDescent="0.4">
      <c r="A37" s="271">
        <v>3</v>
      </c>
      <c r="B37" s="272"/>
      <c r="C37" s="274"/>
      <c r="D37" s="274"/>
      <c r="E37" s="274"/>
      <c r="F37" s="274"/>
      <c r="G37" s="274"/>
      <c r="H37" s="274"/>
      <c r="I37" s="274"/>
      <c r="J37" s="274"/>
      <c r="K37" s="274"/>
      <c r="L37" s="274"/>
      <c r="M37" s="274"/>
      <c r="N37" s="274"/>
      <c r="O37" s="274"/>
      <c r="P37" s="274"/>
      <c r="Q37" s="274"/>
      <c r="R37" s="275"/>
      <c r="T37" s="36" t="s">
        <v>21</v>
      </c>
      <c r="U37" s="37"/>
      <c r="V37" s="37"/>
    </row>
    <row r="38" spans="1:22" ht="15" customHeight="1" thickBot="1" x14ac:dyDescent="0.3">
      <c r="A38" s="87" t="s">
        <v>103</v>
      </c>
      <c r="B38" s="88" t="s">
        <v>33</v>
      </c>
      <c r="C38" s="207"/>
      <c r="D38" s="208"/>
      <c r="E38" s="207"/>
      <c r="F38" s="207"/>
      <c r="G38" s="207"/>
      <c r="H38" s="207"/>
      <c r="I38" s="207"/>
      <c r="J38" s="207"/>
      <c r="K38" s="207"/>
      <c r="L38" s="207"/>
      <c r="M38" s="207"/>
      <c r="N38" s="207"/>
      <c r="O38" s="207"/>
      <c r="P38" s="207"/>
      <c r="Q38" s="207"/>
      <c r="R38" s="209"/>
      <c r="T38" s="268" t="str">
        <f>IF(AND(S44=0,T14&lt;&gt;"",T17&lt;&gt;"",T20&lt;&gt;""),"Complète","Incomplète")</f>
        <v>Incomplète</v>
      </c>
      <c r="U38" s="33"/>
      <c r="V38" s="33"/>
    </row>
    <row r="39" spans="1:22" ht="15" customHeight="1" thickTop="1" thickBot="1" x14ac:dyDescent="0.3">
      <c r="A39" s="86" t="s">
        <v>104</v>
      </c>
      <c r="B39" s="89" t="s">
        <v>32</v>
      </c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  <c r="N39" s="210"/>
      <c r="O39" s="210"/>
      <c r="P39" s="210"/>
      <c r="Q39" s="210"/>
      <c r="R39" s="211"/>
      <c r="T39" s="268"/>
      <c r="U39" s="33"/>
      <c r="V39" s="33"/>
    </row>
    <row r="40" spans="1:22" ht="15" customHeight="1" thickTop="1" thickBot="1" x14ac:dyDescent="0.3">
      <c r="A40" s="86" t="s">
        <v>105</v>
      </c>
      <c r="B40" s="89">
        <v>100</v>
      </c>
      <c r="C40" s="212"/>
      <c r="D40" s="212"/>
      <c r="E40" s="212"/>
      <c r="F40" s="212"/>
      <c r="G40" s="212"/>
      <c r="H40" s="212"/>
      <c r="I40" s="212"/>
      <c r="J40" s="212"/>
      <c r="K40" s="212"/>
      <c r="L40" s="212"/>
      <c r="M40" s="212"/>
      <c r="N40" s="212"/>
      <c r="O40" s="212"/>
      <c r="P40" s="212"/>
      <c r="Q40" s="212"/>
      <c r="R40" s="213"/>
      <c r="T40" s="268"/>
      <c r="U40" s="33"/>
      <c r="V40" s="33"/>
    </row>
    <row r="41" spans="1:22" ht="15" customHeight="1" thickTop="1" thickBot="1" x14ac:dyDescent="0.3">
      <c r="A41" s="86" t="s">
        <v>106</v>
      </c>
      <c r="B41" s="89">
        <v>10</v>
      </c>
      <c r="C41" s="210"/>
      <c r="D41" s="210"/>
      <c r="E41" s="210"/>
      <c r="F41" s="210"/>
      <c r="G41" s="210"/>
      <c r="H41" s="210"/>
      <c r="I41" s="210"/>
      <c r="J41" s="210"/>
      <c r="K41" s="210"/>
      <c r="L41" s="210"/>
      <c r="M41" s="210"/>
      <c r="N41" s="210"/>
      <c r="O41" s="210"/>
      <c r="P41" s="210"/>
      <c r="Q41" s="210"/>
      <c r="R41" s="211"/>
      <c r="T41" s="268"/>
      <c r="U41" s="33"/>
      <c r="V41" s="33"/>
    </row>
    <row r="42" spans="1:22" ht="15" customHeight="1" thickTop="1" thickBot="1" x14ac:dyDescent="0.3">
      <c r="A42" s="85" t="s">
        <v>107</v>
      </c>
      <c r="B42" s="90">
        <v>60</v>
      </c>
      <c r="C42" s="214"/>
      <c r="D42" s="214"/>
      <c r="E42" s="214"/>
      <c r="F42" s="214"/>
      <c r="G42" s="214"/>
      <c r="H42" s="214"/>
      <c r="I42" s="214"/>
      <c r="J42" s="214"/>
      <c r="K42" s="214"/>
      <c r="L42" s="214"/>
      <c r="M42" s="214"/>
      <c r="N42" s="214"/>
      <c r="O42" s="214"/>
      <c r="P42" s="214"/>
      <c r="Q42" s="214"/>
      <c r="R42" s="215"/>
      <c r="T42" s="269"/>
      <c r="U42" s="33"/>
      <c r="V42" s="33"/>
    </row>
    <row r="43" spans="1:22" ht="15" customHeight="1" x14ac:dyDescent="0.25">
      <c r="T43" s="35"/>
      <c r="U43" s="33"/>
      <c r="V43" s="33"/>
    </row>
    <row r="44" spans="1:22" ht="15" hidden="1" customHeight="1" x14ac:dyDescent="0.25">
      <c r="C44" cm="1">
        <f t="array" ref="C44">IF(AND(C2&lt;&gt;"",C6:C25&lt;&gt;"",C29:C34&lt;&gt;"",C38:C42&lt;&gt;""),1,0)</f>
        <v>0</v>
      </c>
      <c r="D44" cm="1">
        <f t="array" ref="D44">IF(AND(D2&lt;&gt;"",D6:D25&lt;&gt;"",D29:D34&lt;&gt;"",D38:D42&lt;&gt;""),1,0)</f>
        <v>0</v>
      </c>
      <c r="E44" cm="1">
        <f t="array" ref="E44">IF(AND(E2&lt;&gt;"",E6:E25&lt;&gt;"",E29:E34&lt;&gt;"",E38:E42&lt;&gt;""),1,0)</f>
        <v>0</v>
      </c>
      <c r="F44" cm="1">
        <f t="array" ref="F44">IF(AND(F2&lt;&gt;"",F6:F25&lt;&gt;"",F29:F34&lt;&gt;"",F38:F42&lt;&gt;""),1,0)</f>
        <v>0</v>
      </c>
      <c r="G44" cm="1">
        <f t="array" ref="G44">IF(AND(G2&lt;&gt;"",G6:G25&lt;&gt;"",G29:G34&lt;&gt;"",G38:G42&lt;&gt;""),1,0)</f>
        <v>0</v>
      </c>
      <c r="H44" cm="1">
        <f t="array" ref="H44">IF(AND(H2&lt;&gt;"",H6:H25&lt;&gt;"",H29:H34&lt;&gt;"",H38:H42&lt;&gt;""),1,0)</f>
        <v>0</v>
      </c>
      <c r="I44" cm="1">
        <f t="array" ref="I44">IF(AND(I2&lt;&gt;"",I6:I25&lt;&gt;"",I29:I34&lt;&gt;"",I38:I42&lt;&gt;""),1,0)</f>
        <v>0</v>
      </c>
      <c r="J44" cm="1">
        <f t="array" ref="J44">IF(AND(J2&lt;&gt;"",J6:J25&lt;&gt;"",J29:J34&lt;&gt;"",J38:J42&lt;&gt;""),1,0)</f>
        <v>0</v>
      </c>
      <c r="K44" cm="1">
        <f t="array" ref="K44">IF(AND(K2&lt;&gt;"",K6:K25&lt;&gt;"",K29:K34&lt;&gt;"",K38:K42&lt;&gt;""),1,0)</f>
        <v>0</v>
      </c>
      <c r="L44" cm="1">
        <f t="array" ref="L44">IF(AND(L2&lt;&gt;"",L6:L25&lt;&gt;"",L29:L34&lt;&gt;"",L38:L42&lt;&gt;""),1,0)</f>
        <v>0</v>
      </c>
      <c r="M44" cm="1">
        <f t="array" ref="M44">IF(AND(M2&lt;&gt;"",M6:M25&lt;&gt;"",M29:M34&lt;&gt;"",M38:M42&lt;&gt;""),1,0)</f>
        <v>0</v>
      </c>
      <c r="N44" cm="1">
        <f t="array" ref="N44">IF(AND(N2&lt;&gt;"",N6:N25&lt;&gt;"",N29:N34&lt;&gt;"",N38:N42&lt;&gt;""),1,0)</f>
        <v>0</v>
      </c>
      <c r="O44" cm="1">
        <f t="array" ref="O44">IF(AND(O2&lt;&gt;"",O6:O25&lt;&gt;"",O29:O34&lt;&gt;"",O38:O42&lt;&gt;""),1,0)</f>
        <v>0</v>
      </c>
      <c r="P44" cm="1">
        <f t="array" ref="P44">IF(AND(P2&lt;&gt;"",P6:P25&lt;&gt;"",P29:P34&lt;&gt;"",P38:P42&lt;&gt;""),1,0)</f>
        <v>0</v>
      </c>
      <c r="Q44" cm="1">
        <f t="array" ref="Q44">IF(AND(Q2&lt;&gt;"",Q6:Q25&lt;&gt;"",Q29:Q34&lt;&gt;"",Q38:Q42&lt;&gt;""),1,0)</f>
        <v>0</v>
      </c>
      <c r="R44" cm="1">
        <f t="array" ref="R44">IF(AND(R2&lt;&gt;"",R6:R25&lt;&gt;"",R29:R34&lt;&gt;"",R38:R42&lt;&gt;""),1,0)</f>
        <v>0</v>
      </c>
      <c r="S44">
        <f>SUM(C44:R44)-Candidats!B29</f>
        <v>0</v>
      </c>
      <c r="T44" s="35"/>
      <c r="U44" s="33"/>
      <c r="V44" s="33"/>
    </row>
    <row r="45" spans="1:22" ht="46.5" x14ac:dyDescent="0.25">
      <c r="T45" s="35"/>
      <c r="U45" s="33"/>
      <c r="V45" s="33"/>
    </row>
    <row r="46" spans="1:22" ht="15.75" customHeight="1" x14ac:dyDescent="0.25">
      <c r="T46" s="35"/>
      <c r="U46" s="33"/>
      <c r="V46" s="33"/>
    </row>
  </sheetData>
  <sheetProtection algorithmName="SHA-512" hashValue="OkyABTY+xOlGQD4j8xtChjToZngJgi49H3rQLaoMibjW0VHAUfCP70e+YdhhdM+RqofmfyxhWxQpcc0eK8DAnQ==" saltValue="aZhqZxOxvW3/wgmYAQRFGw==" spinCount="100000" sheet="1" objects="1" scenarios="1"/>
  <mergeCells count="5">
    <mergeCell ref="T38:T42"/>
    <mergeCell ref="A1:T1"/>
    <mergeCell ref="A4:R4"/>
    <mergeCell ref="A28:R28"/>
    <mergeCell ref="A37:R37"/>
  </mergeCells>
  <phoneticPr fontId="3" type="noConversion"/>
  <conditionalFormatting sqref="T37:T42">
    <cfRule type="expression" dxfId="59" priority="5">
      <formula>$T$38="Incomplète"</formula>
    </cfRule>
  </conditionalFormatting>
  <conditionalFormatting sqref="T37:T38">
    <cfRule type="expression" dxfId="58" priority="4">
      <formula>$T$38="Complète"</formula>
    </cfRule>
  </conditionalFormatting>
  <conditionalFormatting sqref="C5:R25 C29:R34 C38:R42">
    <cfRule type="expression" dxfId="57" priority="6">
      <formula>C5&lt;&gt;""</formula>
    </cfRule>
  </conditionalFormatting>
  <conditionalFormatting sqref="T14">
    <cfRule type="expression" dxfId="56" priority="3">
      <formula>$T$14&lt;&gt;""</formula>
    </cfRule>
  </conditionalFormatting>
  <conditionalFormatting sqref="T17">
    <cfRule type="expression" dxfId="55" priority="2">
      <formula>$T$17&lt;&gt;""</formula>
    </cfRule>
  </conditionalFormatting>
  <conditionalFormatting sqref="T20">
    <cfRule type="expression" dxfId="54" priority="1">
      <formula>$T$20&lt;&gt;""</formula>
    </cfRule>
  </conditionalFormatting>
  <conditionalFormatting sqref="C38:R42 C29:R34 C5:R25">
    <cfRule type="expression" dxfId="53" priority="7">
      <formula>C$2&lt;&gt;""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9710B-A53E-471E-B94D-8B9A7D955865}">
  <sheetPr>
    <tabColor rgb="FFFFC000"/>
    <pageSetUpPr fitToPage="1"/>
  </sheetPr>
  <dimension ref="A1:G50"/>
  <sheetViews>
    <sheetView workbookViewId="0">
      <selection activeCell="A22" sqref="A22:B22"/>
    </sheetView>
  </sheetViews>
  <sheetFormatPr baseColWidth="10" defaultRowHeight="15" x14ac:dyDescent="0.25"/>
  <cols>
    <col min="1" max="1" width="66.7109375" customWidth="1"/>
    <col min="2" max="2" width="22" customWidth="1"/>
    <col min="3" max="3" width="35.7109375" customWidth="1"/>
    <col min="4" max="4" width="12.7109375" bestFit="1" customWidth="1"/>
    <col min="5" max="5" width="21.28515625" bestFit="1" customWidth="1"/>
    <col min="6" max="6" width="31.5703125" bestFit="1" customWidth="1"/>
  </cols>
  <sheetData>
    <row r="1" spans="1:7" ht="36" x14ac:dyDescent="0.55000000000000004">
      <c r="A1" s="263" t="s">
        <v>67</v>
      </c>
      <c r="B1" s="276"/>
      <c r="C1" s="62"/>
      <c r="D1" s="62"/>
      <c r="E1" s="62"/>
      <c r="F1" s="62"/>
      <c r="G1" s="62"/>
    </row>
    <row r="2" spans="1:7" ht="15.75" thickBot="1" x14ac:dyDescent="0.3"/>
    <row r="3" spans="1:7" ht="15.75" thickBot="1" x14ac:dyDescent="0.3">
      <c r="A3" s="44" t="s">
        <v>3</v>
      </c>
      <c r="B3" s="1" t="s">
        <v>4</v>
      </c>
    </row>
    <row r="4" spans="1:7" x14ac:dyDescent="0.25">
      <c r="A4" s="41" t="str">
        <f>IF(Candidats!A4=0,"",Candidats!A4)</f>
        <v/>
      </c>
      <c r="B4" s="216"/>
    </row>
    <row r="5" spans="1:7" x14ac:dyDescent="0.25">
      <c r="A5" s="42" t="str">
        <f>IF(Candidats!A5=0,"",Candidats!A5)</f>
        <v/>
      </c>
      <c r="B5" s="217"/>
    </row>
    <row r="6" spans="1:7" x14ac:dyDescent="0.25">
      <c r="A6" s="42" t="str">
        <f>IF(Candidats!A6=0,"",Candidats!A6)</f>
        <v/>
      </c>
      <c r="B6" s="217"/>
    </row>
    <row r="7" spans="1:7" x14ac:dyDescent="0.25">
      <c r="A7" s="42" t="str">
        <f>IF(Candidats!A7=0,"",Candidats!A7)</f>
        <v/>
      </c>
      <c r="B7" s="217"/>
    </row>
    <row r="8" spans="1:7" x14ac:dyDescent="0.25">
      <c r="A8" s="42" t="str">
        <f>IF(Candidats!A8=0,"",Candidats!A8)</f>
        <v/>
      </c>
      <c r="B8" s="217"/>
    </row>
    <row r="9" spans="1:7" x14ac:dyDescent="0.25">
      <c r="A9" s="42" t="str">
        <f>IF(Candidats!A9=0,"",Candidats!A9)</f>
        <v/>
      </c>
      <c r="B9" s="217"/>
    </row>
    <row r="10" spans="1:7" x14ac:dyDescent="0.25">
      <c r="A10" s="42" t="str">
        <f>IF(Candidats!A10=0,"",Candidats!A10)</f>
        <v/>
      </c>
      <c r="B10" s="217"/>
    </row>
    <row r="11" spans="1:7" x14ac:dyDescent="0.25">
      <c r="A11" s="42" t="str">
        <f>IF(Candidats!A11=0,"",Candidats!A11)</f>
        <v/>
      </c>
      <c r="B11" s="217"/>
    </row>
    <row r="12" spans="1:7" x14ac:dyDescent="0.25">
      <c r="A12" s="42" t="str">
        <f>IF(Candidats!A12=0,"",Candidats!A12)</f>
        <v/>
      </c>
      <c r="B12" s="217"/>
    </row>
    <row r="13" spans="1:7" x14ac:dyDescent="0.25">
      <c r="A13" s="42" t="str">
        <f>IF(Candidats!A13=0,"",Candidats!A13)</f>
        <v/>
      </c>
      <c r="B13" s="217"/>
    </row>
    <row r="14" spans="1:7" x14ac:dyDescent="0.25">
      <c r="A14" s="42" t="str">
        <f>IF(Candidats!A14=0,"",Candidats!A14)</f>
        <v/>
      </c>
      <c r="B14" s="217"/>
    </row>
    <row r="15" spans="1:7" x14ac:dyDescent="0.25">
      <c r="A15" s="42" t="str">
        <f>IF(Candidats!A15=0,"",Candidats!A15)</f>
        <v/>
      </c>
      <c r="B15" s="217"/>
    </row>
    <row r="16" spans="1:7" x14ac:dyDescent="0.25">
      <c r="A16" s="42" t="str">
        <f>IF(Candidats!A16=0,"",Candidats!A16)</f>
        <v/>
      </c>
      <c r="B16" s="217"/>
    </row>
    <row r="17" spans="1:6" x14ac:dyDescent="0.25">
      <c r="A17" s="42" t="str">
        <f>IF(Candidats!A17=0,"",Candidats!A17)</f>
        <v/>
      </c>
      <c r="B17" s="217"/>
    </row>
    <row r="18" spans="1:6" x14ac:dyDescent="0.25">
      <c r="A18" s="42" t="str">
        <f>IF(Candidats!A18=0,"",Candidats!A18)</f>
        <v/>
      </c>
      <c r="B18" s="217"/>
    </row>
    <row r="19" spans="1:6" ht="15.75" thickBot="1" x14ac:dyDescent="0.3">
      <c r="A19" s="43" t="str">
        <f>IF(Candidats!A19=0,"",Candidats!A19)</f>
        <v/>
      </c>
      <c r="B19" s="218"/>
    </row>
    <row r="21" spans="1:6" ht="15.75" thickBot="1" x14ac:dyDescent="0.3"/>
    <row r="22" spans="1:6" ht="15.75" thickBot="1" x14ac:dyDescent="0.3">
      <c r="A22" s="281" t="s">
        <v>47</v>
      </c>
      <c r="B22" s="282"/>
    </row>
    <row r="23" spans="1:6" ht="15.75" thickBot="1" x14ac:dyDescent="0.3">
      <c r="A23" s="283"/>
      <c r="B23" s="284"/>
    </row>
    <row r="24" spans="1:6" ht="15.75" thickBot="1" x14ac:dyDescent="0.3"/>
    <row r="25" spans="1:6" ht="21" x14ac:dyDescent="0.35">
      <c r="A25" s="277" t="s">
        <v>62</v>
      </c>
      <c r="B25" s="278"/>
    </row>
    <row r="26" spans="1:6" ht="15" customHeight="1" x14ac:dyDescent="0.25">
      <c r="A26" s="279" t="str">
        <f>IF(AND(D33=E33,E33=F33,(A50=0),A23&lt;&gt;0),"Complète","Incomplète")</f>
        <v>Incomplète</v>
      </c>
      <c r="B26" s="280"/>
    </row>
    <row r="27" spans="1:6" ht="15" customHeight="1" x14ac:dyDescent="0.25">
      <c r="A27" s="279"/>
      <c r="B27" s="280"/>
    </row>
    <row r="28" spans="1:6" ht="15" customHeight="1" x14ac:dyDescent="0.25">
      <c r="A28" s="279"/>
      <c r="B28" s="280"/>
    </row>
    <row r="29" spans="1:6" ht="15" customHeight="1" x14ac:dyDescent="0.25">
      <c r="A29" s="279"/>
      <c r="B29" s="280"/>
    </row>
    <row r="30" spans="1:6" ht="15.75" customHeight="1" thickBot="1" x14ac:dyDescent="0.3">
      <c r="A30" s="266"/>
      <c r="B30" s="267"/>
    </row>
    <row r="32" spans="1:6" hidden="1" x14ac:dyDescent="0.25">
      <c r="D32" s="57" t="s">
        <v>24</v>
      </c>
      <c r="E32" s="58" t="s">
        <v>23</v>
      </c>
      <c r="F32" s="59" t="s">
        <v>25</v>
      </c>
    </row>
    <row r="33" spans="1:6" ht="15.75" hidden="1" thickBot="1" x14ac:dyDescent="0.3">
      <c r="D33" s="60">
        <f>Candidats!B29</f>
        <v>0</v>
      </c>
      <c r="E33" s="11">
        <f>COUNTA(B4:B19)</f>
        <v>0</v>
      </c>
      <c r="F33" s="61">
        <f>COUNTA(_xlfn.UNIQUE(B4:B19))-IF(COUNTBLANK(B4:B19)=0,0,1)</f>
        <v>0</v>
      </c>
    </row>
    <row r="34" spans="1:6" hidden="1" x14ac:dyDescent="0.25">
      <c r="A34" cm="1">
        <f t="array" ref="A34:A49">IF((B4:B19)&gt;Candidats!B29,1,0)</f>
        <v>0</v>
      </c>
    </row>
    <row r="35" spans="1:6" hidden="1" x14ac:dyDescent="0.25">
      <c r="A35">
        <v>0</v>
      </c>
    </row>
    <row r="36" spans="1:6" hidden="1" x14ac:dyDescent="0.25">
      <c r="A36">
        <v>0</v>
      </c>
    </row>
    <row r="37" spans="1:6" hidden="1" x14ac:dyDescent="0.25">
      <c r="A37">
        <v>0</v>
      </c>
    </row>
    <row r="38" spans="1:6" hidden="1" x14ac:dyDescent="0.25">
      <c r="A38">
        <v>0</v>
      </c>
    </row>
    <row r="39" spans="1:6" hidden="1" x14ac:dyDescent="0.25">
      <c r="A39">
        <v>0</v>
      </c>
    </row>
    <row r="40" spans="1:6" hidden="1" x14ac:dyDescent="0.25">
      <c r="A40">
        <v>0</v>
      </c>
    </row>
    <row r="41" spans="1:6" hidden="1" x14ac:dyDescent="0.25">
      <c r="A41">
        <v>0</v>
      </c>
    </row>
    <row r="42" spans="1:6" hidden="1" x14ac:dyDescent="0.25">
      <c r="A42">
        <v>0</v>
      </c>
    </row>
    <row r="43" spans="1:6" hidden="1" x14ac:dyDescent="0.25">
      <c r="A43">
        <v>0</v>
      </c>
    </row>
    <row r="44" spans="1:6" hidden="1" x14ac:dyDescent="0.25">
      <c r="A44">
        <v>0</v>
      </c>
    </row>
    <row r="45" spans="1:6" hidden="1" x14ac:dyDescent="0.25">
      <c r="A45">
        <v>0</v>
      </c>
    </row>
    <row r="46" spans="1:6" hidden="1" x14ac:dyDescent="0.25">
      <c r="A46">
        <v>0</v>
      </c>
    </row>
    <row r="47" spans="1:6" hidden="1" x14ac:dyDescent="0.25">
      <c r="A47">
        <v>0</v>
      </c>
    </row>
    <row r="48" spans="1:6" hidden="1" x14ac:dyDescent="0.25">
      <c r="A48">
        <v>0</v>
      </c>
    </row>
    <row r="49" spans="1:1" hidden="1" x14ac:dyDescent="0.25">
      <c r="A49">
        <v>0</v>
      </c>
    </row>
    <row r="50" spans="1:1" hidden="1" x14ac:dyDescent="0.25">
      <c r="A50">
        <f>SUM(_xlfn.ANCHORARRAY(A34))</f>
        <v>0</v>
      </c>
    </row>
  </sheetData>
  <sheetProtection algorithmName="SHA-512" hashValue="U52WD8Um3yig4MZwiIeM/PKUM2Jep4k86a39J6ClXue0uXwGKNvxfGlLLVNYeJlVUofeOpzaZRht9RnXVj9GTw==" saltValue="RXGgBI1sFe2SDa/Amvb2Eg==" spinCount="100000" sheet="1" objects="1" scenarios="1"/>
  <mergeCells count="5">
    <mergeCell ref="A1:B1"/>
    <mergeCell ref="A25:B25"/>
    <mergeCell ref="A26:B30"/>
    <mergeCell ref="A22:B22"/>
    <mergeCell ref="A23:B23"/>
  </mergeCells>
  <conditionalFormatting sqref="B4:B19">
    <cfRule type="duplicateValues" dxfId="52" priority="5"/>
    <cfRule type="expression" dxfId="51" priority="6">
      <formula>$B4&lt;&gt;""</formula>
    </cfRule>
    <cfRule type="expression" dxfId="50" priority="7">
      <formula>$A4&lt;&gt;""</formula>
    </cfRule>
  </conditionalFormatting>
  <conditionalFormatting sqref="A25:A26">
    <cfRule type="expression" dxfId="49" priority="3">
      <formula>$A$26="Complète"</formula>
    </cfRule>
    <cfRule type="expression" dxfId="48" priority="4">
      <formula>$A$26="Incomplète"</formula>
    </cfRule>
  </conditionalFormatting>
  <conditionalFormatting sqref="A23:B23">
    <cfRule type="expression" dxfId="47" priority="1">
      <formula>$A$23&lt;&gt;0</formula>
    </cfRule>
  </conditionalFormatting>
  <pageMargins left="0.7" right="0.7" top="0.75" bottom="0.75" header="0.3" footer="0.3"/>
  <pageSetup paperSize="9" scale="98" fitToHeight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0E82DB4B-234D-4695-B777-7E44CBE3E2BA}">
            <xm:f>$B4&gt;Candidats!$B$29</xm:f>
            <x14:dxf>
              <fill>
                <patternFill>
                  <bgColor rgb="FFDD867F"/>
                </patternFill>
              </fill>
            </x14:dxf>
          </x14:cfRule>
          <xm:sqref>B4:B19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F7C957-5D9B-493A-947D-FD5D49BABC70}">
  <sheetPr>
    <pageSetUpPr fitToPage="1"/>
  </sheetPr>
  <dimension ref="A1:AX45"/>
  <sheetViews>
    <sheetView topLeftCell="A17" zoomScale="110" zoomScaleNormal="110" workbookViewId="0">
      <selection activeCell="R24" sqref="R24"/>
    </sheetView>
  </sheetViews>
  <sheetFormatPr baseColWidth="10" defaultRowHeight="15" x14ac:dyDescent="0.25"/>
  <cols>
    <col min="1" max="1" width="30.85546875" customWidth="1"/>
    <col min="2" max="33" width="5.7109375" customWidth="1"/>
    <col min="34" max="34" width="17.28515625" customWidth="1"/>
    <col min="35" max="35" width="5.7109375" customWidth="1"/>
    <col min="37" max="43" width="11.42578125" hidden="1" customWidth="1"/>
  </cols>
  <sheetData>
    <row r="1" spans="1:43" ht="60" customHeight="1" thickBot="1" x14ac:dyDescent="0.3">
      <c r="A1" s="297" t="s">
        <v>22</v>
      </c>
      <c r="B1" s="297"/>
      <c r="C1" s="297"/>
      <c r="D1" s="297"/>
      <c r="E1" s="297"/>
      <c r="F1" s="297"/>
      <c r="G1" s="297"/>
      <c r="H1" s="297"/>
      <c r="I1" s="297"/>
      <c r="J1" s="297"/>
      <c r="K1" s="297"/>
      <c r="L1" s="297"/>
      <c r="M1" s="297"/>
      <c r="N1" s="297"/>
      <c r="O1" s="297"/>
      <c r="P1" s="297"/>
      <c r="Q1" s="297"/>
      <c r="R1" s="297"/>
      <c r="S1" s="297"/>
      <c r="T1" s="297"/>
      <c r="U1" s="297"/>
      <c r="V1" s="297"/>
      <c r="W1" s="297"/>
      <c r="X1" s="297"/>
      <c r="Y1" s="297"/>
      <c r="Z1" s="297"/>
      <c r="AA1" s="297"/>
      <c r="AB1" s="297"/>
      <c r="AC1" s="297"/>
      <c r="AD1" s="297"/>
      <c r="AE1" s="297"/>
      <c r="AF1" s="297"/>
      <c r="AG1" s="297"/>
      <c r="AH1" s="297"/>
      <c r="AI1" s="297"/>
    </row>
    <row r="2" spans="1:43" ht="15.75" thickBot="1" x14ac:dyDescent="0.3">
      <c r="A2" s="4" t="s">
        <v>7</v>
      </c>
      <c r="B2" s="298">
        <v>1</v>
      </c>
      <c r="C2" s="299"/>
      <c r="D2" s="299"/>
      <c r="E2" s="300"/>
      <c r="F2" s="298">
        <v>2</v>
      </c>
      <c r="G2" s="299"/>
      <c r="H2" s="299"/>
      <c r="I2" s="300"/>
      <c r="J2" s="298">
        <v>3</v>
      </c>
      <c r="K2" s="299"/>
      <c r="L2" s="299"/>
      <c r="M2" s="300"/>
      <c r="N2" s="298">
        <v>4</v>
      </c>
      <c r="O2" s="299"/>
      <c r="P2" s="299"/>
      <c r="Q2" s="300"/>
      <c r="R2" s="298">
        <v>5</v>
      </c>
      <c r="S2" s="299"/>
      <c r="T2" s="299"/>
      <c r="U2" s="300"/>
      <c r="V2" s="298">
        <v>6</v>
      </c>
      <c r="W2" s="299"/>
      <c r="X2" s="299"/>
      <c r="Y2" s="300"/>
      <c r="Z2" s="298">
        <v>7</v>
      </c>
      <c r="AA2" s="299"/>
      <c r="AB2" s="299"/>
      <c r="AC2" s="300"/>
      <c r="AD2" s="11"/>
      <c r="AE2" s="2"/>
    </row>
    <row r="3" spans="1:43" ht="177" thickBot="1" x14ac:dyDescent="0.3">
      <c r="A3" s="20" t="s">
        <v>11</v>
      </c>
      <c r="B3" s="50" t="s">
        <v>29</v>
      </c>
      <c r="C3" s="17" t="s">
        <v>34</v>
      </c>
      <c r="D3" s="18" t="str">
        <f>IF(B24="GDB fixe",CONCATENATE("Pondération de l'épreuve (",Chiffrement!B2*100,"%)"),CONCATENATE("Pondération de l'épreuve (",Chiffrement!B3*100,"%)"))</f>
        <v>Pondération de l'épreuve (25%)</v>
      </c>
      <c r="E3" s="19" t="str">
        <f>CONCATENATE("Résultat obtenu (0 à ",D4*6,")")</f>
        <v>Résultat obtenu (0 à 1.5)</v>
      </c>
      <c r="F3" s="51" t="s">
        <v>29</v>
      </c>
      <c r="G3" s="17" t="s">
        <v>34</v>
      </c>
      <c r="H3" s="18" t="str">
        <f>IF(B24="GDB fixe",CONCATENATE("Pondération de l'épreuve (",Chiffrement!C2*100,"%)"),CONCATENATE("Pondération de l'épreuve (",Chiffrement!C3*100,"%)"))</f>
        <v>Pondération de l'épreuve (25%)</v>
      </c>
      <c r="I3" s="19" t="str">
        <f>CONCATENATE("Résultat obtenu (0 à ",H4*6,")")</f>
        <v>Résultat obtenu (0 à 1.5)</v>
      </c>
      <c r="J3" s="51" t="s">
        <v>28</v>
      </c>
      <c r="K3" s="17" t="s">
        <v>34</v>
      </c>
      <c r="L3" s="18" t="str">
        <f>IF(B24="GDB fixe",CONCATENATE("Pondération de l'épreuve (",Chiffrement!D2*100,"%)"),CONCATENATE("Pondération de l'épreuve (",Chiffrement!D3*100,"%)"))</f>
        <v>Pondération de l'épreuve (10%)</v>
      </c>
      <c r="M3" s="19" t="str">
        <f>CONCATENATE("Résultat obtenu (0 à ",L4*6,")")</f>
        <v>Résultat obtenu (0 à 0.6)</v>
      </c>
      <c r="N3" s="51" t="s">
        <v>30</v>
      </c>
      <c r="O3" s="17" t="s">
        <v>34</v>
      </c>
      <c r="P3" s="18" t="str">
        <f>IF(B24="GDB fixe",CONCATENATE("Pondération de l'épreuve (",Chiffrement!E2*100,"%)"),CONCATENATE("Pondération de l'épreuve (",Chiffrement!E3*100,"%)"))</f>
        <v>Pondération de l'épreuve (10%)</v>
      </c>
      <c r="Q3" s="19" t="str">
        <f>CONCATENATE("Résultat obtenu (0 à ",P4*6,")")</f>
        <v>Résultat obtenu (0 à 0.6)</v>
      </c>
      <c r="R3" s="51" t="s">
        <v>31</v>
      </c>
      <c r="S3" s="17" t="s">
        <v>34</v>
      </c>
      <c r="T3" s="18" t="str">
        <f>IF(B24="GDB fixe",CONCATENATE("Pondération de l'épreuve (",Chiffrement!F2*100,"%)"),CONCATENATE("Pondération de l'épreuve (",Chiffrement!F3*100,"%)"))</f>
        <v>Pondération de l'épreuve (10%)</v>
      </c>
      <c r="U3" s="19" t="str">
        <f>CONCATENATE("Résultat obtenu (0 à ",T4*6,")")</f>
        <v>Résultat obtenu (0 à 0.6)</v>
      </c>
      <c r="V3" s="51" t="s">
        <v>31</v>
      </c>
      <c r="W3" s="17" t="s">
        <v>34</v>
      </c>
      <c r="X3" s="18" t="str">
        <f>IF(B24="GDB fixe",CONCATENATE("Pondération de l'épreuve (",Chiffrement!G2*100,"%)"),CONCATENATE("Pondération de l'épreuve (",Chiffrement!G3*100,"%)"))</f>
        <v>Pondération de l'épreuve (10%)</v>
      </c>
      <c r="Y3" s="19" t="str">
        <f>CONCATENATE("Résultat obtenu (0 à ",X4*6,")")</f>
        <v>Résultat obtenu (0 à 0.6)</v>
      </c>
      <c r="Z3" s="52" t="s">
        <v>31</v>
      </c>
      <c r="AA3" s="17" t="s">
        <v>34</v>
      </c>
      <c r="AB3" s="18" t="str">
        <f>IF(B24="GDB fixe",CONCATENATE("Pondération de l'épreuve (",Chiffrement!H2*100,"%)"),CONCATENATE("Pondération de l'épreuve (",Chiffrement!H3*100,"%)"))</f>
        <v>Pondération de l'épreuve (10%)</v>
      </c>
      <c r="AC3" s="49" t="str">
        <f>CONCATENATE("Résultat obtenu (0 à ",AB4*6,")")</f>
        <v>Résultat obtenu (0 à 0.6)</v>
      </c>
      <c r="AD3" s="55" t="s">
        <v>10</v>
      </c>
      <c r="AE3" s="76"/>
      <c r="AF3" s="53" t="s">
        <v>12</v>
      </c>
      <c r="AG3" s="167" t="s">
        <v>13</v>
      </c>
      <c r="AH3" s="166" t="s">
        <v>52</v>
      </c>
      <c r="AI3" s="54" t="s">
        <v>14</v>
      </c>
      <c r="AL3" s="159" t="s">
        <v>55</v>
      </c>
      <c r="AM3" t="s">
        <v>53</v>
      </c>
      <c r="AN3" s="159" t="s">
        <v>50</v>
      </c>
      <c r="AP3" s="159" t="s">
        <v>57</v>
      </c>
      <c r="AQ3" s="159" t="s">
        <v>56</v>
      </c>
    </row>
    <row r="4" spans="1:43" x14ac:dyDescent="0.25">
      <c r="A4" s="5" t="str">
        <f>IF(Candidats!A4=0,"",Candidats!A4)</f>
        <v/>
      </c>
      <c r="B4" s="91">
        <f>Résultats!C38</f>
        <v>0</v>
      </c>
      <c r="C4" s="137">
        <f>_xlfn.XLOOKUP($B4,Chiffrement!$B$4:$B$10,Chiffrement!$I$4:$I$10,,-1)</f>
        <v>6</v>
      </c>
      <c r="D4" s="151">
        <f>IF(Candidats!$B$21="GDB fixe",Chiffrement!$B$2,Chiffrement!$B$3)</f>
        <v>0.25</v>
      </c>
      <c r="E4" s="93">
        <f>IF(B4=0,0,C4*D4)</f>
        <v>0</v>
      </c>
      <c r="F4" s="139">
        <f>Résultats!C39</f>
        <v>0</v>
      </c>
      <c r="G4" s="137">
        <f>_xlfn.XLOOKUP($F4,Chiffrement!$C$4:$C$10,Chiffrement!$I$4:$I$10,,-1)</f>
        <v>6</v>
      </c>
      <c r="H4" s="151">
        <f>IF(Candidats!$B$21="GDB fixe",Chiffrement!$C$2,Chiffrement!$C$3)</f>
        <v>0.25</v>
      </c>
      <c r="I4" s="95">
        <f>IF(F4=0,0,G4*H4)</f>
        <v>0</v>
      </c>
      <c r="J4" s="96">
        <f>Résultats!C40</f>
        <v>0</v>
      </c>
      <c r="K4" s="137">
        <f>INDEX(Chiffrement!$I$4:$I$10,MATCH($J4,Chiffrement!$D$4:$D$10,1))</f>
        <v>0</v>
      </c>
      <c r="L4" s="151">
        <f>IF(Candidats!$B$21="GDB fixe",Chiffrement!$D$2,Chiffrement!$D$3)</f>
        <v>0.1</v>
      </c>
      <c r="M4" s="93">
        <f>K4*L4</f>
        <v>0</v>
      </c>
      <c r="N4" s="97">
        <f>Résultats!C41</f>
        <v>0</v>
      </c>
      <c r="O4" s="137">
        <f>INDEX(Chiffrement!$I$4:$I$10,MATCH($N4,Chiffrement!$E$4:$E$10,1))</f>
        <v>0</v>
      </c>
      <c r="P4" s="151">
        <f>IF(Candidats!$B$21="GDB fixe",Chiffrement!$E$2,Chiffrement!$E$3)</f>
        <v>0.1</v>
      </c>
      <c r="Q4" s="93">
        <f>O4*P4</f>
        <v>0</v>
      </c>
      <c r="R4" s="97">
        <f>Résultats!C35</f>
        <v>0</v>
      </c>
      <c r="S4" s="94">
        <f>R4/10</f>
        <v>0</v>
      </c>
      <c r="T4" s="151">
        <f>IF(Candidats!$B$21="GDB fixe",Chiffrement!$F$2,Chiffrement!$F$3)</f>
        <v>0.1</v>
      </c>
      <c r="U4" s="93">
        <f>S4*T4</f>
        <v>0</v>
      </c>
      <c r="V4" s="39">
        <f>Résultats!C26</f>
        <v>0</v>
      </c>
      <c r="W4" s="92">
        <f>V4/10</f>
        <v>0</v>
      </c>
      <c r="X4" s="151">
        <f>IF(Candidats!$B$21="GDB fixe",Chiffrement!$G$2,Chiffrement!$G$3)</f>
        <v>0.1</v>
      </c>
      <c r="Y4" s="93">
        <f>W4*X4</f>
        <v>0</v>
      </c>
      <c r="Z4" s="84">
        <f>Résultats!C42</f>
        <v>0</v>
      </c>
      <c r="AA4" s="98">
        <f>Z4/10</f>
        <v>0</v>
      </c>
      <c r="AB4" s="151">
        <f>IF(Candidats!$B$21="GDB fixe",Chiffrement!$H$2,Chiffrement!$H$3)</f>
        <v>0.1</v>
      </c>
      <c r="AC4" s="95">
        <f>AA4*AB4</f>
        <v>0</v>
      </c>
      <c r="AD4" s="246">
        <f>E4+I4+M4+Q4+U4+Y4+AC4</f>
        <v>0</v>
      </c>
      <c r="AE4" s="99"/>
      <c r="AF4" s="171">
        <f>RANK(AP4,$AP$4:$AP$19,0)</f>
        <v>1</v>
      </c>
      <c r="AG4" s="168">
        <f>Entretiens!B4</f>
        <v>0</v>
      </c>
      <c r="AH4" s="163" t="str">
        <f>$A4</f>
        <v/>
      </c>
      <c r="AI4" s="160">
        <f>RANK($AQ4,$AQ$4:$AQ$19,1)</f>
        <v>1</v>
      </c>
      <c r="AK4" t="str">
        <f>IF(A4="","",SUM(C4*Chiffrement!$B$2,G4*Chiffrement!$C$2,K4*Chiffrement!$D$2,O4*Chiffrement!$E$2,S4*Chiffrement!$F$2,W4*Chiffrement!$G$2,AA4*Chiffrement!$H$2))</f>
        <v/>
      </c>
      <c r="AL4" t="e">
        <f t="shared" ref="AL4:AL19" si="0">RANK($AK4,$AK$4:$AK$19,0)</f>
        <v>#VALUE!</v>
      </c>
      <c r="AM4">
        <v>1E-3</v>
      </c>
      <c r="AN4" s="174">
        <f>IF($A4="",40,AVERAGE(AF4,AG4)+0)</f>
        <v>40</v>
      </c>
      <c r="AO4" s="175">
        <f>$AM$4*$AG4</f>
        <v>0</v>
      </c>
      <c r="AP4" s="175">
        <f>IF($A4="",0,$AD4)</f>
        <v>0</v>
      </c>
      <c r="AQ4" s="175">
        <f>$AN4+$AO4</f>
        <v>40</v>
      </c>
    </row>
    <row r="5" spans="1:43" x14ac:dyDescent="0.25">
      <c r="A5" s="15" t="str">
        <f>IF(Candidats!A5=0,"",Candidats!A5)</f>
        <v/>
      </c>
      <c r="B5" s="100">
        <f>Résultats!D38</f>
        <v>0</v>
      </c>
      <c r="C5" s="101">
        <f>_xlfn.XLOOKUP($B5,Chiffrement!$B$4:$B$10,Chiffrement!$I$4:$I$10,,-1)</f>
        <v>6</v>
      </c>
      <c r="D5" s="152">
        <f>IF(Candidats!$B$21="GDB fixe",Chiffrement!$B$2,Chiffrement!$B$3)</f>
        <v>0.25</v>
      </c>
      <c r="E5" s="102">
        <f t="shared" ref="E5:E19" si="1">IF(B5=0,0,C5*D5)</f>
        <v>0</v>
      </c>
      <c r="F5" s="140">
        <f>Résultats!D39</f>
        <v>0</v>
      </c>
      <c r="G5" s="103">
        <f>_xlfn.XLOOKUP($F5,Chiffrement!$C$4:$C$10,Chiffrement!$I$4:$I$10,,-1)</f>
        <v>6</v>
      </c>
      <c r="H5" s="152">
        <f>IF(Candidats!$B$21="GDB fixe",Chiffrement!$C$2,Chiffrement!$C$3)</f>
        <v>0.25</v>
      </c>
      <c r="I5" s="104">
        <f t="shared" ref="I5:I19" si="2">IF(F5=0,0,G5*H5)</f>
        <v>0</v>
      </c>
      <c r="J5" s="105">
        <f>Résultats!D40</f>
        <v>0</v>
      </c>
      <c r="K5" s="103">
        <f>INDEX(Chiffrement!$I$4:$I$10,MATCH($J5,Chiffrement!$D$4:$D$10,1))</f>
        <v>0</v>
      </c>
      <c r="L5" s="152">
        <f>IF(Candidats!$B$21="GDB fixe",Chiffrement!$D$2,Chiffrement!$D$3)</f>
        <v>0.1</v>
      </c>
      <c r="M5" s="102">
        <f t="shared" ref="M5:M19" si="3">K5*L5</f>
        <v>0</v>
      </c>
      <c r="N5" s="106">
        <f>Résultats!D41</f>
        <v>0</v>
      </c>
      <c r="O5" s="103">
        <f>INDEX(Chiffrement!$I$4:$I$10,MATCH($N5,Chiffrement!$E$4:$E$10,1))</f>
        <v>0</v>
      </c>
      <c r="P5" s="152">
        <f>IF(Candidats!$B$21="GDB fixe",Chiffrement!$E$2,Chiffrement!$E$3)</f>
        <v>0.1</v>
      </c>
      <c r="Q5" s="102">
        <f t="shared" ref="Q5:Q19" si="4">O5*P5</f>
        <v>0</v>
      </c>
      <c r="R5" s="106">
        <f>Résultats!D35</f>
        <v>0</v>
      </c>
      <c r="S5" s="103">
        <f t="shared" ref="S5:S19" si="5">R5/10</f>
        <v>0</v>
      </c>
      <c r="T5" s="152">
        <f>IF(Candidats!$B$21="GDB fixe",Chiffrement!$F$2,Chiffrement!$F$3)</f>
        <v>0.1</v>
      </c>
      <c r="U5" s="102">
        <f t="shared" ref="U5:U19" si="6">S5*T5</f>
        <v>0</v>
      </c>
      <c r="V5" s="40">
        <f>Résultats!D26</f>
        <v>0</v>
      </c>
      <c r="W5" s="101">
        <f t="shared" ref="W5:W19" si="7">V5/10</f>
        <v>0</v>
      </c>
      <c r="X5" s="152">
        <f>IF(Candidats!$B$21="GDB fixe",Chiffrement!$G$2,Chiffrement!$G$3)</f>
        <v>0.1</v>
      </c>
      <c r="Y5" s="102">
        <f t="shared" ref="Y5:Y19" si="8">W5*X5</f>
        <v>0</v>
      </c>
      <c r="Z5" s="83">
        <f>Résultats!D42</f>
        <v>0</v>
      </c>
      <c r="AA5" s="107">
        <f t="shared" ref="AA5:AA19" si="9">Z5/10</f>
        <v>0</v>
      </c>
      <c r="AB5" s="152">
        <f>IF(Candidats!$B$21="GDB fixe",Chiffrement!$H$2,Chiffrement!$H$3)</f>
        <v>0.1</v>
      </c>
      <c r="AC5" s="104">
        <f t="shared" ref="AC5:AC19" si="10">AA5*AB5</f>
        <v>0</v>
      </c>
      <c r="AD5" s="247">
        <f t="shared" ref="AD5:AD19" si="11">E5+I5+M5+Q5+U5+Y5+AC5</f>
        <v>0</v>
      </c>
      <c r="AE5" s="99"/>
      <c r="AF5" s="172">
        <f t="shared" ref="AF5:AF19" si="12">RANK(AP5,$AP$4:$AP$19,0)</f>
        <v>1</v>
      </c>
      <c r="AG5" s="169">
        <f>Entretiens!B5</f>
        <v>0</v>
      </c>
      <c r="AH5" s="164" t="str">
        <f t="shared" ref="AH5:AH19" si="13">$A5</f>
        <v/>
      </c>
      <c r="AI5" s="161">
        <f t="shared" ref="AI5:AI19" si="14">RANK($AQ5,$AQ$4:$AQ$19,1)</f>
        <v>1</v>
      </c>
      <c r="AK5" t="str">
        <f>IF(A5="","",SUM(C5*Chiffrement!$B$2,G5*Chiffrement!$C$2,K5*Chiffrement!$D$2,O5*Chiffrement!$E$2,S5*Chiffrement!$F$2,W5*Chiffrement!$G$2,AA5*Chiffrement!$H$2))</f>
        <v/>
      </c>
      <c r="AL5" t="e">
        <f t="shared" si="0"/>
        <v>#VALUE!</v>
      </c>
      <c r="AN5" s="174">
        <f t="shared" ref="AN5:AN19" si="15">IF($A5="",40,AVERAGE(AF5,AG5))</f>
        <v>40</v>
      </c>
      <c r="AO5" s="175">
        <f t="shared" ref="AO5:AO19" si="16">$AM$4*$AG5</f>
        <v>0</v>
      </c>
      <c r="AP5" s="175">
        <f t="shared" ref="AP5:AP19" si="17">IF($A5="",0,$AD5)</f>
        <v>0</v>
      </c>
      <c r="AQ5" s="175">
        <f t="shared" ref="AQ5:AQ19" si="18">$AN5+$AO5</f>
        <v>40</v>
      </c>
    </row>
    <row r="6" spans="1:43" x14ac:dyDescent="0.25">
      <c r="A6" s="16" t="str">
        <f>IF(Candidats!A6=0,"",Candidats!A6)</f>
        <v/>
      </c>
      <c r="B6" s="100">
        <f>Résultats!E38</f>
        <v>0</v>
      </c>
      <c r="C6" s="101">
        <f>_xlfn.XLOOKUP($B6,Chiffrement!$B$4:$B$10,Chiffrement!$I$4:$I$10,,-1)</f>
        <v>6</v>
      </c>
      <c r="D6" s="152">
        <f>IF(Candidats!$B$21="GDB fixe",Chiffrement!$B$2,Chiffrement!$B$3)</f>
        <v>0.25</v>
      </c>
      <c r="E6" s="102">
        <f t="shared" si="1"/>
        <v>0</v>
      </c>
      <c r="F6" s="141">
        <f>Résultats!E39</f>
        <v>0</v>
      </c>
      <c r="G6" s="103">
        <f>_xlfn.XLOOKUP($F6,Chiffrement!$C$4:$C$10,Chiffrement!$I$4:$I$10,,-1)</f>
        <v>6</v>
      </c>
      <c r="H6" s="152">
        <f>IF(Candidats!$B$21="GDB fixe",Chiffrement!$C$2,Chiffrement!$C$3)</f>
        <v>0.25</v>
      </c>
      <c r="I6" s="104">
        <f t="shared" si="2"/>
        <v>0</v>
      </c>
      <c r="J6" s="108">
        <f>Résultats!E40</f>
        <v>0</v>
      </c>
      <c r="K6" s="103">
        <f>INDEX(Chiffrement!$I$4:$I$10,MATCH($J6,Chiffrement!$D$4:$D$10,1))</f>
        <v>0</v>
      </c>
      <c r="L6" s="152">
        <f>IF(Candidats!$B$21="GDB fixe",Chiffrement!$D$2,Chiffrement!$D$3)</f>
        <v>0.1</v>
      </c>
      <c r="M6" s="102">
        <f t="shared" si="3"/>
        <v>0</v>
      </c>
      <c r="N6" s="106">
        <f>Résultats!E41</f>
        <v>0</v>
      </c>
      <c r="O6" s="138">
        <f>INDEX(Chiffrement!$I$4:$I$10,MATCH($N6,Chiffrement!$E$4:$E$10,1))</f>
        <v>0</v>
      </c>
      <c r="P6" s="152">
        <f>IF(Candidats!$B$21="GDB fixe",Chiffrement!$E$2,Chiffrement!$E$3)</f>
        <v>0.1</v>
      </c>
      <c r="Q6" s="102">
        <f t="shared" si="4"/>
        <v>0</v>
      </c>
      <c r="R6" s="106">
        <f>Résultats!E35</f>
        <v>0</v>
      </c>
      <c r="S6" s="103">
        <f t="shared" si="5"/>
        <v>0</v>
      </c>
      <c r="T6" s="152">
        <f>IF(Candidats!$B$21="GDB fixe",Chiffrement!$F$2,Chiffrement!$F$3)</f>
        <v>0.1</v>
      </c>
      <c r="U6" s="102">
        <f t="shared" si="6"/>
        <v>0</v>
      </c>
      <c r="V6" s="40">
        <f>Résultats!E26</f>
        <v>0</v>
      </c>
      <c r="W6" s="101">
        <f t="shared" si="7"/>
        <v>0</v>
      </c>
      <c r="X6" s="152">
        <f>IF(Candidats!$B$21="GDB fixe",Chiffrement!$G$2,Chiffrement!$G$3)</f>
        <v>0.1</v>
      </c>
      <c r="Y6" s="102">
        <f t="shared" si="8"/>
        <v>0</v>
      </c>
      <c r="Z6" s="83">
        <f>Résultats!E42</f>
        <v>0</v>
      </c>
      <c r="AA6" s="107">
        <f t="shared" si="9"/>
        <v>0</v>
      </c>
      <c r="AB6" s="152">
        <f>IF(Candidats!$B$21="GDB fixe",Chiffrement!$H$2,Chiffrement!$H$3)</f>
        <v>0.1</v>
      </c>
      <c r="AC6" s="104">
        <f t="shared" si="10"/>
        <v>0</v>
      </c>
      <c r="AD6" s="247">
        <f t="shared" si="11"/>
        <v>0</v>
      </c>
      <c r="AE6" s="99"/>
      <c r="AF6" s="172">
        <f t="shared" si="12"/>
        <v>1</v>
      </c>
      <c r="AG6" s="169">
        <f>Entretiens!B6</f>
        <v>0</v>
      </c>
      <c r="AH6" s="164" t="str">
        <f t="shared" si="13"/>
        <v/>
      </c>
      <c r="AI6" s="161">
        <f t="shared" si="14"/>
        <v>1</v>
      </c>
      <c r="AK6" t="str">
        <f>IF(A6="","",SUM(C6*Chiffrement!$B$2,G6*Chiffrement!$C$2,K6*Chiffrement!$D$2,O6*Chiffrement!$E$2,S6*Chiffrement!$F$2,W6*Chiffrement!$G$2,AA6*Chiffrement!$H$2))</f>
        <v/>
      </c>
      <c r="AL6" t="e">
        <f t="shared" si="0"/>
        <v>#VALUE!</v>
      </c>
      <c r="AN6" s="174">
        <f t="shared" si="15"/>
        <v>40</v>
      </c>
      <c r="AO6" s="175">
        <f t="shared" si="16"/>
        <v>0</v>
      </c>
      <c r="AP6" s="175">
        <f t="shared" si="17"/>
        <v>0</v>
      </c>
      <c r="AQ6" s="175">
        <f t="shared" si="18"/>
        <v>40</v>
      </c>
    </row>
    <row r="7" spans="1:43" x14ac:dyDescent="0.25">
      <c r="A7" s="15" t="str">
        <f>IF(Candidats!A7=0,"",Candidats!A7)</f>
        <v/>
      </c>
      <c r="B7" s="100">
        <f>Résultats!F38</f>
        <v>0</v>
      </c>
      <c r="C7" s="101">
        <f>_xlfn.XLOOKUP($B7,Chiffrement!$B$4:$B$10,Chiffrement!$I$4:$I$10,,-1)</f>
        <v>6</v>
      </c>
      <c r="D7" s="152">
        <f>IF(Candidats!$B$21="GDB fixe",Chiffrement!$B$2,Chiffrement!$B$3)</f>
        <v>0.25</v>
      </c>
      <c r="E7" s="102">
        <f t="shared" si="1"/>
        <v>0</v>
      </c>
      <c r="F7" s="141">
        <f>Résultats!F39</f>
        <v>0</v>
      </c>
      <c r="G7" s="103">
        <f>_xlfn.XLOOKUP($F7,Chiffrement!$C$4:$C$10,Chiffrement!$I$4:$I$10,,-1)</f>
        <v>6</v>
      </c>
      <c r="H7" s="152">
        <f>IF(Candidats!$B$21="GDB fixe",Chiffrement!$C$2,Chiffrement!$C$3)</f>
        <v>0.25</v>
      </c>
      <c r="I7" s="104">
        <f t="shared" si="2"/>
        <v>0</v>
      </c>
      <c r="J7" s="108">
        <f>Résultats!F40</f>
        <v>0</v>
      </c>
      <c r="K7" s="103">
        <f>INDEX(Chiffrement!$I$4:$I$10,MATCH($J7,Chiffrement!$D$4:$D$10,1))</f>
        <v>0</v>
      </c>
      <c r="L7" s="152">
        <f>IF(Candidats!$B$21="GDB fixe",Chiffrement!$D$2,Chiffrement!$D$3)</f>
        <v>0.1</v>
      </c>
      <c r="M7" s="102">
        <f t="shared" si="3"/>
        <v>0</v>
      </c>
      <c r="N7" s="106">
        <f>Résultats!F41</f>
        <v>0</v>
      </c>
      <c r="O7" s="103">
        <f>INDEX(Chiffrement!$I$4:$I$10,MATCH($N7,Chiffrement!$E$4:$E$10,1))</f>
        <v>0</v>
      </c>
      <c r="P7" s="152">
        <f>IF(Candidats!$B$21="GDB fixe",Chiffrement!$E$2,Chiffrement!$E$3)</f>
        <v>0.1</v>
      </c>
      <c r="Q7" s="102">
        <f t="shared" si="4"/>
        <v>0</v>
      </c>
      <c r="R7" s="106">
        <f>Résultats!F35</f>
        <v>0</v>
      </c>
      <c r="S7" s="103">
        <f t="shared" si="5"/>
        <v>0</v>
      </c>
      <c r="T7" s="152">
        <f>IF(Candidats!$B$21="GDB fixe",Chiffrement!$F$2,Chiffrement!$F$3)</f>
        <v>0.1</v>
      </c>
      <c r="U7" s="102">
        <f t="shared" si="6"/>
        <v>0</v>
      </c>
      <c r="V7" s="40">
        <f>Résultats!F26</f>
        <v>0</v>
      </c>
      <c r="W7" s="101">
        <f t="shared" si="7"/>
        <v>0</v>
      </c>
      <c r="X7" s="152">
        <f>IF(Candidats!$B$21="GDB fixe",Chiffrement!$G$2,Chiffrement!$G$3)</f>
        <v>0.1</v>
      </c>
      <c r="Y7" s="102">
        <f t="shared" si="8"/>
        <v>0</v>
      </c>
      <c r="Z7" s="83">
        <f>Résultats!F42</f>
        <v>0</v>
      </c>
      <c r="AA7" s="107">
        <f t="shared" si="9"/>
        <v>0</v>
      </c>
      <c r="AB7" s="152">
        <f>IF(Candidats!$B$21="GDB fixe",Chiffrement!$H$2,Chiffrement!$H$3)</f>
        <v>0.1</v>
      </c>
      <c r="AC7" s="104">
        <f t="shared" si="10"/>
        <v>0</v>
      </c>
      <c r="AD7" s="247">
        <f t="shared" si="11"/>
        <v>0</v>
      </c>
      <c r="AE7" s="99"/>
      <c r="AF7" s="172">
        <f t="shared" si="12"/>
        <v>1</v>
      </c>
      <c r="AG7" s="169">
        <f>Entretiens!B7</f>
        <v>0</v>
      </c>
      <c r="AH7" s="164" t="str">
        <f t="shared" si="13"/>
        <v/>
      </c>
      <c r="AI7" s="161">
        <f t="shared" si="14"/>
        <v>1</v>
      </c>
      <c r="AK7" t="str">
        <f>IF(A7="","",SUM(C7*Chiffrement!$B$2,G7*Chiffrement!$C$2,K7*Chiffrement!$D$2,O7*Chiffrement!$E$2,S7*Chiffrement!$F$2,W7*Chiffrement!$G$2,AA7*Chiffrement!$H$2))</f>
        <v/>
      </c>
      <c r="AL7" t="e">
        <f t="shared" si="0"/>
        <v>#VALUE!</v>
      </c>
      <c r="AN7" s="174">
        <f t="shared" si="15"/>
        <v>40</v>
      </c>
      <c r="AO7" s="175">
        <f t="shared" si="16"/>
        <v>0</v>
      </c>
      <c r="AP7" s="175">
        <f t="shared" si="17"/>
        <v>0</v>
      </c>
      <c r="AQ7" s="175">
        <f t="shared" si="18"/>
        <v>40</v>
      </c>
    </row>
    <row r="8" spans="1:43" x14ac:dyDescent="0.25">
      <c r="A8" s="16" t="str">
        <f>IF(Candidats!A8=0,"",Candidats!A8)</f>
        <v/>
      </c>
      <c r="B8" s="100">
        <f>Résultats!G38</f>
        <v>0</v>
      </c>
      <c r="C8" s="101">
        <f>_xlfn.XLOOKUP($B8,Chiffrement!$B$4:$B$10,Chiffrement!$I$4:$I$10,,-1)</f>
        <v>6</v>
      </c>
      <c r="D8" s="152">
        <f>IF(Candidats!$B$21="GDB fixe",Chiffrement!$B$2,Chiffrement!$B$3)</f>
        <v>0.25</v>
      </c>
      <c r="E8" s="102">
        <f t="shared" si="1"/>
        <v>0</v>
      </c>
      <c r="F8" s="141">
        <f>Résultats!G39</f>
        <v>0</v>
      </c>
      <c r="G8" s="103">
        <f>_xlfn.XLOOKUP($F8,Chiffrement!$C$4:$C$10,Chiffrement!$I$4:$I$10,,-1)</f>
        <v>6</v>
      </c>
      <c r="H8" s="152">
        <f>IF(Candidats!$B$21="GDB fixe",Chiffrement!$C$2,Chiffrement!$C$3)</f>
        <v>0.25</v>
      </c>
      <c r="I8" s="104">
        <f t="shared" si="2"/>
        <v>0</v>
      </c>
      <c r="J8" s="108">
        <f>Résultats!G40</f>
        <v>0</v>
      </c>
      <c r="K8" s="103">
        <f>INDEX(Chiffrement!$I$4:$I$10,MATCH($J8,Chiffrement!$D$4:$D$10,1))</f>
        <v>0</v>
      </c>
      <c r="L8" s="152">
        <f>IF(Candidats!$B$21="GDB fixe",Chiffrement!$D$2,Chiffrement!$D$3)</f>
        <v>0.1</v>
      </c>
      <c r="M8" s="102">
        <f t="shared" si="3"/>
        <v>0</v>
      </c>
      <c r="N8" s="106">
        <f>Résultats!G41</f>
        <v>0</v>
      </c>
      <c r="O8" s="103">
        <f>INDEX(Chiffrement!$I$4:$I$10,MATCH($N8,Chiffrement!$E$4:$E$10,1))</f>
        <v>0</v>
      </c>
      <c r="P8" s="152">
        <f>IF(Candidats!$B$21="GDB fixe",Chiffrement!$E$2,Chiffrement!$E$3)</f>
        <v>0.1</v>
      </c>
      <c r="Q8" s="102">
        <f t="shared" si="4"/>
        <v>0</v>
      </c>
      <c r="R8" s="106">
        <f>Résultats!G35</f>
        <v>0</v>
      </c>
      <c r="S8" s="103">
        <f t="shared" si="5"/>
        <v>0</v>
      </c>
      <c r="T8" s="152">
        <f>IF(Candidats!$B$21="GDB fixe",Chiffrement!$F$2,Chiffrement!$F$3)</f>
        <v>0.1</v>
      </c>
      <c r="U8" s="102">
        <f t="shared" si="6"/>
        <v>0</v>
      </c>
      <c r="V8" s="40">
        <f>Résultats!G26</f>
        <v>0</v>
      </c>
      <c r="W8" s="101">
        <f t="shared" si="7"/>
        <v>0</v>
      </c>
      <c r="X8" s="152">
        <f>IF(Candidats!$B$21="GDB fixe",Chiffrement!$G$2,Chiffrement!$G$3)</f>
        <v>0.1</v>
      </c>
      <c r="Y8" s="102">
        <f t="shared" si="8"/>
        <v>0</v>
      </c>
      <c r="Z8" s="83">
        <f>Résultats!G42</f>
        <v>0</v>
      </c>
      <c r="AA8" s="107">
        <f t="shared" si="9"/>
        <v>0</v>
      </c>
      <c r="AB8" s="152">
        <f>IF(Candidats!$B$21="GDB fixe",Chiffrement!$H$2,Chiffrement!$H$3)</f>
        <v>0.1</v>
      </c>
      <c r="AC8" s="104">
        <f t="shared" si="10"/>
        <v>0</v>
      </c>
      <c r="AD8" s="247">
        <f t="shared" si="11"/>
        <v>0</v>
      </c>
      <c r="AE8" s="99"/>
      <c r="AF8" s="172">
        <f t="shared" si="12"/>
        <v>1</v>
      </c>
      <c r="AG8" s="169">
        <f>Entretiens!B8</f>
        <v>0</v>
      </c>
      <c r="AH8" s="164" t="str">
        <f t="shared" si="13"/>
        <v/>
      </c>
      <c r="AI8" s="161">
        <f t="shared" si="14"/>
        <v>1</v>
      </c>
      <c r="AK8" t="str">
        <f>IF(A8="","",SUM(C8*Chiffrement!$B$2,G8*Chiffrement!$C$2,K8*Chiffrement!$D$2,O8*Chiffrement!$E$2,S8*Chiffrement!$F$2,W8*Chiffrement!$G$2,AA8*Chiffrement!$H$2))</f>
        <v/>
      </c>
      <c r="AL8" t="e">
        <f t="shared" si="0"/>
        <v>#VALUE!</v>
      </c>
      <c r="AN8" s="174">
        <f t="shared" si="15"/>
        <v>40</v>
      </c>
      <c r="AO8" s="175">
        <f t="shared" si="16"/>
        <v>0</v>
      </c>
      <c r="AP8" s="175">
        <f t="shared" si="17"/>
        <v>0</v>
      </c>
      <c r="AQ8" s="175">
        <f t="shared" si="18"/>
        <v>40</v>
      </c>
    </row>
    <row r="9" spans="1:43" x14ac:dyDescent="0.25">
      <c r="A9" s="15" t="str">
        <f>IF(Candidats!A9=0,"",Candidats!A9)</f>
        <v/>
      </c>
      <c r="B9" s="100">
        <f>Résultats!H38</f>
        <v>0</v>
      </c>
      <c r="C9" s="101">
        <f>_xlfn.XLOOKUP($B9,Chiffrement!$B$4:$B$10,Chiffrement!$I$4:$I$10,,-1)</f>
        <v>6</v>
      </c>
      <c r="D9" s="152">
        <f>IF(Candidats!$B$21="GDB fixe",Chiffrement!$B$2,Chiffrement!$B$3)</f>
        <v>0.25</v>
      </c>
      <c r="E9" s="102">
        <f t="shared" si="1"/>
        <v>0</v>
      </c>
      <c r="F9" s="141">
        <f>Résultats!H39</f>
        <v>0</v>
      </c>
      <c r="G9" s="103">
        <f>_xlfn.XLOOKUP($F9,Chiffrement!$C$4:$C$10,Chiffrement!$I$4:$I$10,,-1)</f>
        <v>6</v>
      </c>
      <c r="H9" s="152">
        <f>IF(Candidats!$B$21="GDB fixe",Chiffrement!$C$2,Chiffrement!$C$3)</f>
        <v>0.25</v>
      </c>
      <c r="I9" s="104">
        <f t="shared" si="2"/>
        <v>0</v>
      </c>
      <c r="J9" s="108">
        <f>Résultats!H40</f>
        <v>0</v>
      </c>
      <c r="K9" s="103">
        <f>INDEX(Chiffrement!$I$4:$I$10,MATCH($J9,Chiffrement!$D$4:$D$10,1))</f>
        <v>0</v>
      </c>
      <c r="L9" s="152">
        <f>IF(Candidats!$B$21="GDB fixe",Chiffrement!$D$2,Chiffrement!$D$3)</f>
        <v>0.1</v>
      </c>
      <c r="M9" s="102">
        <f t="shared" si="3"/>
        <v>0</v>
      </c>
      <c r="N9" s="106">
        <f>Résultats!H41</f>
        <v>0</v>
      </c>
      <c r="O9" s="103">
        <f>INDEX(Chiffrement!$I$4:$I$10,MATCH($N9,Chiffrement!$E$4:$E$10,1))</f>
        <v>0</v>
      </c>
      <c r="P9" s="152">
        <f>IF(Candidats!$B$21="GDB fixe",Chiffrement!$E$2,Chiffrement!$E$3)</f>
        <v>0.1</v>
      </c>
      <c r="Q9" s="102">
        <f t="shared" si="4"/>
        <v>0</v>
      </c>
      <c r="R9" s="106">
        <f>Résultats!H35</f>
        <v>0</v>
      </c>
      <c r="S9" s="103">
        <f t="shared" si="5"/>
        <v>0</v>
      </c>
      <c r="T9" s="152">
        <f>IF(Candidats!$B$21="GDB fixe",Chiffrement!$F$2,Chiffrement!$F$3)</f>
        <v>0.1</v>
      </c>
      <c r="U9" s="102">
        <f t="shared" si="6"/>
        <v>0</v>
      </c>
      <c r="V9" s="40">
        <f>Résultats!H26</f>
        <v>0</v>
      </c>
      <c r="W9" s="101">
        <f t="shared" si="7"/>
        <v>0</v>
      </c>
      <c r="X9" s="152">
        <f>IF(Candidats!$B$21="GDB fixe",Chiffrement!$G$2,Chiffrement!$G$3)</f>
        <v>0.1</v>
      </c>
      <c r="Y9" s="102">
        <f t="shared" si="8"/>
        <v>0</v>
      </c>
      <c r="Z9" s="83">
        <f>Résultats!H42</f>
        <v>0</v>
      </c>
      <c r="AA9" s="107">
        <f t="shared" si="9"/>
        <v>0</v>
      </c>
      <c r="AB9" s="152">
        <f>IF(Candidats!$B$21="GDB fixe",Chiffrement!$H$2,Chiffrement!$H$3)</f>
        <v>0.1</v>
      </c>
      <c r="AC9" s="104">
        <f t="shared" si="10"/>
        <v>0</v>
      </c>
      <c r="AD9" s="247">
        <f t="shared" si="11"/>
        <v>0</v>
      </c>
      <c r="AE9" s="99"/>
      <c r="AF9" s="172">
        <f t="shared" si="12"/>
        <v>1</v>
      </c>
      <c r="AG9" s="169">
        <f>Entretiens!B9</f>
        <v>0</v>
      </c>
      <c r="AH9" s="164" t="str">
        <f t="shared" si="13"/>
        <v/>
      </c>
      <c r="AI9" s="161">
        <f t="shared" si="14"/>
        <v>1</v>
      </c>
      <c r="AK9" t="str">
        <f>IF(A9="","",SUM(C9*Chiffrement!$B$2,G9*Chiffrement!$C$2,K9*Chiffrement!$D$2,O9*Chiffrement!$E$2,S9*Chiffrement!$F$2,W9*Chiffrement!$G$2,AA9*Chiffrement!$H$2))</f>
        <v/>
      </c>
      <c r="AL9" t="e">
        <f t="shared" si="0"/>
        <v>#VALUE!</v>
      </c>
      <c r="AN9" s="174">
        <f t="shared" si="15"/>
        <v>40</v>
      </c>
      <c r="AO9" s="175">
        <f t="shared" si="16"/>
        <v>0</v>
      </c>
      <c r="AP9" s="175">
        <f t="shared" si="17"/>
        <v>0</v>
      </c>
      <c r="AQ9" s="175">
        <f t="shared" si="18"/>
        <v>40</v>
      </c>
    </row>
    <row r="10" spans="1:43" x14ac:dyDescent="0.25">
      <c r="A10" s="16" t="str">
        <f>IF(Candidats!A10=0,"",Candidats!A10)</f>
        <v/>
      </c>
      <c r="B10" s="100">
        <f>Résultats!I38</f>
        <v>0</v>
      </c>
      <c r="C10" s="101">
        <f>_xlfn.XLOOKUP($B10,Chiffrement!$B$4:$B$10,Chiffrement!$I$4:$I$10,,-1)</f>
        <v>6</v>
      </c>
      <c r="D10" s="152">
        <f>IF(Candidats!$B$21="GDB fixe",Chiffrement!$B$2,Chiffrement!$B$3)</f>
        <v>0.25</v>
      </c>
      <c r="E10" s="102">
        <f t="shared" si="1"/>
        <v>0</v>
      </c>
      <c r="F10" s="141">
        <f>Résultats!I39</f>
        <v>0</v>
      </c>
      <c r="G10" s="103">
        <f>_xlfn.XLOOKUP($F10,Chiffrement!$C$4:$C$10,Chiffrement!$I$4:$I$10,,-1)</f>
        <v>6</v>
      </c>
      <c r="H10" s="152">
        <f>IF(Candidats!$B$21="GDB fixe",Chiffrement!$C$2,Chiffrement!$C$3)</f>
        <v>0.25</v>
      </c>
      <c r="I10" s="104">
        <f t="shared" si="2"/>
        <v>0</v>
      </c>
      <c r="J10" s="108">
        <f>Résultats!I40</f>
        <v>0</v>
      </c>
      <c r="K10" s="103">
        <f>INDEX(Chiffrement!$I$4:$I$10,MATCH($J10,Chiffrement!$D$4:$D$10,1))</f>
        <v>0</v>
      </c>
      <c r="L10" s="152">
        <f>IF(Candidats!$B$21="GDB fixe",Chiffrement!$D$2,Chiffrement!$D$3)</f>
        <v>0.1</v>
      </c>
      <c r="M10" s="102">
        <f t="shared" si="3"/>
        <v>0</v>
      </c>
      <c r="N10" s="106">
        <f>Résultats!I41</f>
        <v>0</v>
      </c>
      <c r="O10" s="103">
        <f>INDEX(Chiffrement!$I$4:$I$10,MATCH($N10,Chiffrement!$E$4:$E$10,1))</f>
        <v>0</v>
      </c>
      <c r="P10" s="152">
        <f>IF(Candidats!$B$21="GDB fixe",Chiffrement!$E$2,Chiffrement!$E$3)</f>
        <v>0.1</v>
      </c>
      <c r="Q10" s="102">
        <f t="shared" si="4"/>
        <v>0</v>
      </c>
      <c r="R10" s="106">
        <f>Résultats!I35</f>
        <v>0</v>
      </c>
      <c r="S10" s="103">
        <f t="shared" si="5"/>
        <v>0</v>
      </c>
      <c r="T10" s="152">
        <f>IF(Candidats!$B$21="GDB fixe",Chiffrement!$F$2,Chiffrement!$F$3)</f>
        <v>0.1</v>
      </c>
      <c r="U10" s="102">
        <f t="shared" si="6"/>
        <v>0</v>
      </c>
      <c r="V10" s="40">
        <f>Résultats!I26</f>
        <v>0</v>
      </c>
      <c r="W10" s="101">
        <f t="shared" si="7"/>
        <v>0</v>
      </c>
      <c r="X10" s="152">
        <f>IF(Candidats!$B$21="GDB fixe",Chiffrement!$G$2,Chiffrement!$G$3)</f>
        <v>0.1</v>
      </c>
      <c r="Y10" s="102">
        <f t="shared" si="8"/>
        <v>0</v>
      </c>
      <c r="Z10" s="83">
        <f>Résultats!I42</f>
        <v>0</v>
      </c>
      <c r="AA10" s="107">
        <f t="shared" si="9"/>
        <v>0</v>
      </c>
      <c r="AB10" s="152">
        <f>IF(Candidats!$B$21="GDB fixe",Chiffrement!$H$2,Chiffrement!$H$3)</f>
        <v>0.1</v>
      </c>
      <c r="AC10" s="104">
        <f t="shared" si="10"/>
        <v>0</v>
      </c>
      <c r="AD10" s="247">
        <f t="shared" si="11"/>
        <v>0</v>
      </c>
      <c r="AE10" s="99"/>
      <c r="AF10" s="172">
        <f t="shared" si="12"/>
        <v>1</v>
      </c>
      <c r="AG10" s="169">
        <f>Entretiens!B10</f>
        <v>0</v>
      </c>
      <c r="AH10" s="164" t="str">
        <f t="shared" si="13"/>
        <v/>
      </c>
      <c r="AI10" s="161">
        <f t="shared" si="14"/>
        <v>1</v>
      </c>
      <c r="AK10" t="str">
        <f>IF(A10="","",SUM(C10*Chiffrement!$B$2,G10*Chiffrement!$C$2,K10*Chiffrement!$D$2,O10*Chiffrement!$E$2,S10*Chiffrement!$F$2,W10*Chiffrement!$G$2,AA10*Chiffrement!$H$2))</f>
        <v/>
      </c>
      <c r="AL10" t="e">
        <f t="shared" si="0"/>
        <v>#VALUE!</v>
      </c>
      <c r="AN10" s="174">
        <f t="shared" si="15"/>
        <v>40</v>
      </c>
      <c r="AO10" s="175">
        <f t="shared" si="16"/>
        <v>0</v>
      </c>
      <c r="AP10" s="175">
        <f t="shared" si="17"/>
        <v>0</v>
      </c>
      <c r="AQ10" s="175">
        <f t="shared" si="18"/>
        <v>40</v>
      </c>
    </row>
    <row r="11" spans="1:43" x14ac:dyDescent="0.25">
      <c r="A11" s="15" t="str">
        <f>IF(Candidats!A11=0,"",Candidats!A11)</f>
        <v/>
      </c>
      <c r="B11" s="100">
        <f>Résultats!J38</f>
        <v>0</v>
      </c>
      <c r="C11" s="101">
        <f>_xlfn.XLOOKUP($B11,Chiffrement!$B$4:$B$10,Chiffrement!$I$4:$I$10,,-1)</f>
        <v>6</v>
      </c>
      <c r="D11" s="152">
        <f>IF(Candidats!$B$21="GDB fixe",Chiffrement!$B$2,Chiffrement!$B$3)</f>
        <v>0.25</v>
      </c>
      <c r="E11" s="102">
        <f t="shared" si="1"/>
        <v>0</v>
      </c>
      <c r="F11" s="141">
        <f>Résultats!J39</f>
        <v>0</v>
      </c>
      <c r="G11" s="103">
        <f>_xlfn.XLOOKUP($F11,Chiffrement!$C$4:$C$10,Chiffrement!$I$4:$I$10,,-1)</f>
        <v>6</v>
      </c>
      <c r="H11" s="152">
        <f>IF(Candidats!$B$21="GDB fixe",Chiffrement!$C$2,Chiffrement!$C$3)</f>
        <v>0.25</v>
      </c>
      <c r="I11" s="104">
        <f t="shared" si="2"/>
        <v>0</v>
      </c>
      <c r="J11" s="108">
        <f>Résultats!J40</f>
        <v>0</v>
      </c>
      <c r="K11" s="103">
        <f>INDEX(Chiffrement!$I$4:$I$10,MATCH($J11,Chiffrement!$D$4:$D$10,1))</f>
        <v>0</v>
      </c>
      <c r="L11" s="152">
        <f>IF(Candidats!$B$21="GDB fixe",Chiffrement!$D$2,Chiffrement!$D$3)</f>
        <v>0.1</v>
      </c>
      <c r="M11" s="102">
        <f t="shared" si="3"/>
        <v>0</v>
      </c>
      <c r="N11" s="106">
        <f>Résultats!J41</f>
        <v>0</v>
      </c>
      <c r="O11" s="103">
        <f>INDEX(Chiffrement!$I$4:$I$10,MATCH($N11,Chiffrement!$E$4:$E$10,1))</f>
        <v>0</v>
      </c>
      <c r="P11" s="152">
        <f>IF(Candidats!$B$21="GDB fixe",Chiffrement!$E$2,Chiffrement!$E$3)</f>
        <v>0.1</v>
      </c>
      <c r="Q11" s="102">
        <f t="shared" si="4"/>
        <v>0</v>
      </c>
      <c r="R11" s="106">
        <f>Résultats!J35</f>
        <v>0</v>
      </c>
      <c r="S11" s="103">
        <f t="shared" si="5"/>
        <v>0</v>
      </c>
      <c r="T11" s="152">
        <f>IF(Candidats!$B$21="GDB fixe",Chiffrement!$F$2,Chiffrement!$F$3)</f>
        <v>0.1</v>
      </c>
      <c r="U11" s="102">
        <f t="shared" si="6"/>
        <v>0</v>
      </c>
      <c r="V11" s="40">
        <f>Résultats!J26</f>
        <v>0</v>
      </c>
      <c r="W11" s="101">
        <f t="shared" si="7"/>
        <v>0</v>
      </c>
      <c r="X11" s="152">
        <f>IF(Candidats!$B$21="GDB fixe",Chiffrement!$G$2,Chiffrement!$G$3)</f>
        <v>0.1</v>
      </c>
      <c r="Y11" s="102">
        <f t="shared" si="8"/>
        <v>0</v>
      </c>
      <c r="Z11" s="83">
        <f>Résultats!J42</f>
        <v>0</v>
      </c>
      <c r="AA11" s="107">
        <f t="shared" si="9"/>
        <v>0</v>
      </c>
      <c r="AB11" s="152">
        <f>IF(Candidats!$B$21="GDB fixe",Chiffrement!$H$2,Chiffrement!$H$3)</f>
        <v>0.1</v>
      </c>
      <c r="AC11" s="104">
        <f t="shared" si="10"/>
        <v>0</v>
      </c>
      <c r="AD11" s="247">
        <f t="shared" si="11"/>
        <v>0</v>
      </c>
      <c r="AE11" s="99"/>
      <c r="AF11" s="172">
        <f t="shared" si="12"/>
        <v>1</v>
      </c>
      <c r="AG11" s="169">
        <f>Entretiens!B11</f>
        <v>0</v>
      </c>
      <c r="AH11" s="164" t="str">
        <f t="shared" si="13"/>
        <v/>
      </c>
      <c r="AI11" s="161">
        <f t="shared" si="14"/>
        <v>1</v>
      </c>
      <c r="AK11" t="str">
        <f>IF(A11="","",SUM(C11*Chiffrement!$B$2,G11*Chiffrement!$C$2,K11*Chiffrement!$D$2,O11*Chiffrement!$E$2,S11*Chiffrement!$F$2,W11*Chiffrement!$G$2,AA11*Chiffrement!$H$2))</f>
        <v/>
      </c>
      <c r="AL11" t="e">
        <f t="shared" si="0"/>
        <v>#VALUE!</v>
      </c>
      <c r="AN11" s="174">
        <f t="shared" si="15"/>
        <v>40</v>
      </c>
      <c r="AO11" s="175">
        <f t="shared" si="16"/>
        <v>0</v>
      </c>
      <c r="AP11" s="175">
        <f t="shared" si="17"/>
        <v>0</v>
      </c>
      <c r="AQ11" s="175">
        <f t="shared" si="18"/>
        <v>40</v>
      </c>
    </row>
    <row r="12" spans="1:43" x14ac:dyDescent="0.25">
      <c r="A12" s="16" t="str">
        <f>IF(Candidats!A12=0,"",Candidats!A12)</f>
        <v/>
      </c>
      <c r="B12" s="100">
        <f>Résultats!K38</f>
        <v>0</v>
      </c>
      <c r="C12" s="101">
        <f>_xlfn.XLOOKUP($B12,Chiffrement!$B$4:$B$10,Chiffrement!$I$4:$I$10,,-1)</f>
        <v>6</v>
      </c>
      <c r="D12" s="152">
        <f>IF(Candidats!$B$21="GDB fixe",Chiffrement!$B$2,Chiffrement!$B$3)</f>
        <v>0.25</v>
      </c>
      <c r="E12" s="102">
        <f t="shared" si="1"/>
        <v>0</v>
      </c>
      <c r="F12" s="141">
        <f>Résultats!K39</f>
        <v>0</v>
      </c>
      <c r="G12" s="103">
        <f>_xlfn.XLOOKUP($F12,Chiffrement!$C$4:$C$10,Chiffrement!$I$4:$I$10,,-1)</f>
        <v>6</v>
      </c>
      <c r="H12" s="152">
        <f>IF(Candidats!$B$21="GDB fixe",Chiffrement!$C$2,Chiffrement!$C$3)</f>
        <v>0.25</v>
      </c>
      <c r="I12" s="104">
        <f t="shared" si="2"/>
        <v>0</v>
      </c>
      <c r="J12" s="108">
        <f>Résultats!K40</f>
        <v>0</v>
      </c>
      <c r="K12" s="103">
        <f>INDEX(Chiffrement!$I$4:$I$10,MATCH($J12,Chiffrement!$D$4:$D$10,1))</f>
        <v>0</v>
      </c>
      <c r="L12" s="152">
        <f>IF(Candidats!$B$21="GDB fixe",Chiffrement!$D$2,Chiffrement!$D$3)</f>
        <v>0.1</v>
      </c>
      <c r="M12" s="102">
        <f t="shared" si="3"/>
        <v>0</v>
      </c>
      <c r="N12" s="106">
        <f>Résultats!K41</f>
        <v>0</v>
      </c>
      <c r="O12" s="103">
        <f>INDEX(Chiffrement!$I$4:$I$10,MATCH($N12,Chiffrement!$E$4:$E$10,1))</f>
        <v>0</v>
      </c>
      <c r="P12" s="152">
        <f>IF(Candidats!$B$21="GDB fixe",Chiffrement!$E$2,Chiffrement!$E$3)</f>
        <v>0.1</v>
      </c>
      <c r="Q12" s="102">
        <f t="shared" si="4"/>
        <v>0</v>
      </c>
      <c r="R12" s="106">
        <f>Résultats!K35</f>
        <v>0</v>
      </c>
      <c r="S12" s="103">
        <f t="shared" si="5"/>
        <v>0</v>
      </c>
      <c r="T12" s="152">
        <f>IF(Candidats!$B$21="GDB fixe",Chiffrement!$F$2,Chiffrement!$F$3)</f>
        <v>0.1</v>
      </c>
      <c r="U12" s="102">
        <f t="shared" si="6"/>
        <v>0</v>
      </c>
      <c r="V12" s="40">
        <f>Résultats!K26</f>
        <v>0</v>
      </c>
      <c r="W12" s="101">
        <f t="shared" si="7"/>
        <v>0</v>
      </c>
      <c r="X12" s="152">
        <f>IF(Candidats!$B$21="GDB fixe",Chiffrement!$G$2,Chiffrement!$G$3)</f>
        <v>0.1</v>
      </c>
      <c r="Y12" s="102">
        <f t="shared" si="8"/>
        <v>0</v>
      </c>
      <c r="Z12" s="83">
        <f>Résultats!K42</f>
        <v>0</v>
      </c>
      <c r="AA12" s="107">
        <f t="shared" si="9"/>
        <v>0</v>
      </c>
      <c r="AB12" s="152">
        <f>IF(Candidats!$B$21="GDB fixe",Chiffrement!$H$2,Chiffrement!$H$3)</f>
        <v>0.1</v>
      </c>
      <c r="AC12" s="104">
        <f t="shared" si="10"/>
        <v>0</v>
      </c>
      <c r="AD12" s="247">
        <f t="shared" si="11"/>
        <v>0</v>
      </c>
      <c r="AE12" s="99"/>
      <c r="AF12" s="172">
        <f t="shared" si="12"/>
        <v>1</v>
      </c>
      <c r="AG12" s="169">
        <f>Entretiens!B12</f>
        <v>0</v>
      </c>
      <c r="AH12" s="164" t="str">
        <f t="shared" si="13"/>
        <v/>
      </c>
      <c r="AI12" s="161">
        <f t="shared" si="14"/>
        <v>1</v>
      </c>
      <c r="AK12" t="str">
        <f>IF(A12="","",SUM(C12*Chiffrement!$B$2,G12*Chiffrement!$C$2,K12*Chiffrement!$D$2,O12*Chiffrement!$E$2,S12*Chiffrement!$F$2,W12*Chiffrement!$G$2,AA12*Chiffrement!$H$2))</f>
        <v/>
      </c>
      <c r="AL12" t="e">
        <f t="shared" si="0"/>
        <v>#VALUE!</v>
      </c>
      <c r="AN12" s="174">
        <f t="shared" si="15"/>
        <v>40</v>
      </c>
      <c r="AO12" s="175">
        <f t="shared" si="16"/>
        <v>0</v>
      </c>
      <c r="AP12" s="175">
        <f t="shared" si="17"/>
        <v>0</v>
      </c>
      <c r="AQ12" s="175">
        <f t="shared" si="18"/>
        <v>40</v>
      </c>
    </row>
    <row r="13" spans="1:43" x14ac:dyDescent="0.25">
      <c r="A13" s="15" t="str">
        <f>IF(Candidats!A13=0,"",Candidats!A13)</f>
        <v/>
      </c>
      <c r="B13" s="100">
        <f>Résultats!L38</f>
        <v>0</v>
      </c>
      <c r="C13" s="101">
        <f>_xlfn.XLOOKUP($B13,Chiffrement!$B$4:$B$10,Chiffrement!$I$4:$I$10,,-1)</f>
        <v>6</v>
      </c>
      <c r="D13" s="152">
        <f>IF(Candidats!$B$21="GDB fixe",Chiffrement!$B$2,Chiffrement!$B$3)</f>
        <v>0.25</v>
      </c>
      <c r="E13" s="102">
        <f t="shared" si="1"/>
        <v>0</v>
      </c>
      <c r="F13" s="141">
        <f>Résultats!L39</f>
        <v>0</v>
      </c>
      <c r="G13" s="103">
        <f>_xlfn.XLOOKUP($F13,Chiffrement!$C$4:$C$10,Chiffrement!$I$4:$I$10,,-1)</f>
        <v>6</v>
      </c>
      <c r="H13" s="152">
        <f>IF(Candidats!$B$21="GDB fixe",Chiffrement!$C$2,Chiffrement!$C$3)</f>
        <v>0.25</v>
      </c>
      <c r="I13" s="104">
        <f t="shared" si="2"/>
        <v>0</v>
      </c>
      <c r="J13" s="108">
        <f>Résultats!L40</f>
        <v>0</v>
      </c>
      <c r="K13" s="103">
        <f>INDEX(Chiffrement!$I$4:$I$10,MATCH($J13,Chiffrement!$D$4:$D$10,1))</f>
        <v>0</v>
      </c>
      <c r="L13" s="152">
        <f>IF(Candidats!$B$21="GDB fixe",Chiffrement!$D$2,Chiffrement!$D$3)</f>
        <v>0.1</v>
      </c>
      <c r="M13" s="102">
        <f t="shared" si="3"/>
        <v>0</v>
      </c>
      <c r="N13" s="106">
        <f>Résultats!L41</f>
        <v>0</v>
      </c>
      <c r="O13" s="103">
        <f>INDEX(Chiffrement!$I$4:$I$10,MATCH($N13,Chiffrement!$E$4:$E$10,1))</f>
        <v>0</v>
      </c>
      <c r="P13" s="152">
        <f>IF(Candidats!$B$21="GDB fixe",Chiffrement!$E$2,Chiffrement!$E$3)</f>
        <v>0.1</v>
      </c>
      <c r="Q13" s="102">
        <f t="shared" si="4"/>
        <v>0</v>
      </c>
      <c r="R13" s="106">
        <f>Résultats!L35</f>
        <v>0</v>
      </c>
      <c r="S13" s="103">
        <f t="shared" si="5"/>
        <v>0</v>
      </c>
      <c r="T13" s="152">
        <f>IF(Candidats!$B$21="GDB fixe",Chiffrement!$F$2,Chiffrement!$F$3)</f>
        <v>0.1</v>
      </c>
      <c r="U13" s="102">
        <f t="shared" si="6"/>
        <v>0</v>
      </c>
      <c r="V13" s="40">
        <f>Résultats!L26</f>
        <v>0</v>
      </c>
      <c r="W13" s="101">
        <f t="shared" si="7"/>
        <v>0</v>
      </c>
      <c r="X13" s="152">
        <f>IF(Candidats!$B$21="GDB fixe",Chiffrement!$G$2,Chiffrement!$G$3)</f>
        <v>0.1</v>
      </c>
      <c r="Y13" s="102">
        <f t="shared" si="8"/>
        <v>0</v>
      </c>
      <c r="Z13" s="83">
        <f>Résultats!L42</f>
        <v>0</v>
      </c>
      <c r="AA13" s="107">
        <f t="shared" si="9"/>
        <v>0</v>
      </c>
      <c r="AB13" s="152">
        <f>IF(Candidats!$B$21="GDB fixe",Chiffrement!$H$2,Chiffrement!$H$3)</f>
        <v>0.1</v>
      </c>
      <c r="AC13" s="104">
        <f t="shared" si="10"/>
        <v>0</v>
      </c>
      <c r="AD13" s="247">
        <f t="shared" si="11"/>
        <v>0</v>
      </c>
      <c r="AE13" s="99"/>
      <c r="AF13" s="172">
        <f t="shared" si="12"/>
        <v>1</v>
      </c>
      <c r="AG13" s="169">
        <f>Entretiens!B13</f>
        <v>0</v>
      </c>
      <c r="AH13" s="164" t="str">
        <f t="shared" si="13"/>
        <v/>
      </c>
      <c r="AI13" s="161">
        <f t="shared" si="14"/>
        <v>1</v>
      </c>
      <c r="AK13" t="str">
        <f>IF(A13="","",SUM(C13*Chiffrement!$B$2,G13*Chiffrement!$C$2,K13*Chiffrement!$D$2,O13*Chiffrement!$E$2,S13*Chiffrement!$F$2,W13*Chiffrement!$G$2,AA13*Chiffrement!$H$2))</f>
        <v/>
      </c>
      <c r="AL13" t="e">
        <f t="shared" si="0"/>
        <v>#VALUE!</v>
      </c>
      <c r="AN13" s="174">
        <f t="shared" si="15"/>
        <v>40</v>
      </c>
      <c r="AO13" s="175">
        <f t="shared" si="16"/>
        <v>0</v>
      </c>
      <c r="AP13" s="175">
        <f t="shared" si="17"/>
        <v>0</v>
      </c>
      <c r="AQ13" s="175">
        <f t="shared" si="18"/>
        <v>40</v>
      </c>
    </row>
    <row r="14" spans="1:43" x14ac:dyDescent="0.25">
      <c r="A14" s="16" t="str">
        <f>IF(Candidats!A14=0,"",Candidats!A14)</f>
        <v/>
      </c>
      <c r="B14" s="100">
        <f>Résultats!M38</f>
        <v>0</v>
      </c>
      <c r="C14" s="101">
        <f>_xlfn.XLOOKUP($B14,Chiffrement!$B$4:$B$10,Chiffrement!$I$4:$I$10,,-1)</f>
        <v>6</v>
      </c>
      <c r="D14" s="152">
        <f>IF(Candidats!$B$21="GDB fixe",Chiffrement!$B$2,Chiffrement!$B$3)</f>
        <v>0.25</v>
      </c>
      <c r="E14" s="102">
        <f t="shared" si="1"/>
        <v>0</v>
      </c>
      <c r="F14" s="141">
        <f>Résultats!M39</f>
        <v>0</v>
      </c>
      <c r="G14" s="103">
        <f>_xlfn.XLOOKUP($F14,Chiffrement!$C$4:$C$10,Chiffrement!$I$4:$I$10,,-1)</f>
        <v>6</v>
      </c>
      <c r="H14" s="152">
        <f>IF(Candidats!$B$21="GDB fixe",Chiffrement!$C$2,Chiffrement!$C$3)</f>
        <v>0.25</v>
      </c>
      <c r="I14" s="104">
        <f t="shared" si="2"/>
        <v>0</v>
      </c>
      <c r="J14" s="108">
        <f>Résultats!M40</f>
        <v>0</v>
      </c>
      <c r="K14" s="103">
        <f>INDEX(Chiffrement!$I$4:$I$10,MATCH($J14,Chiffrement!$D$4:$D$10,1))</f>
        <v>0</v>
      </c>
      <c r="L14" s="152">
        <f>IF(Candidats!$B$21="GDB fixe",Chiffrement!$D$2,Chiffrement!$D$3)</f>
        <v>0.1</v>
      </c>
      <c r="M14" s="102">
        <f t="shared" si="3"/>
        <v>0</v>
      </c>
      <c r="N14" s="106">
        <f>Résultats!M41</f>
        <v>0</v>
      </c>
      <c r="O14" s="103">
        <f>INDEX(Chiffrement!$I$4:$I$10,MATCH($N14,Chiffrement!$E$4:$E$10,1))</f>
        <v>0</v>
      </c>
      <c r="P14" s="152">
        <f>IF(Candidats!$B$21="GDB fixe",Chiffrement!$E$2,Chiffrement!$E$3)</f>
        <v>0.1</v>
      </c>
      <c r="Q14" s="102">
        <f t="shared" si="4"/>
        <v>0</v>
      </c>
      <c r="R14" s="106">
        <f>Résultats!M35</f>
        <v>0</v>
      </c>
      <c r="S14" s="103">
        <f t="shared" si="5"/>
        <v>0</v>
      </c>
      <c r="T14" s="152">
        <f>IF(Candidats!$B$21="GDB fixe",Chiffrement!$F$2,Chiffrement!$F$3)</f>
        <v>0.1</v>
      </c>
      <c r="U14" s="102">
        <f t="shared" si="6"/>
        <v>0</v>
      </c>
      <c r="V14" s="40">
        <f>Résultats!M26</f>
        <v>0</v>
      </c>
      <c r="W14" s="101">
        <f t="shared" si="7"/>
        <v>0</v>
      </c>
      <c r="X14" s="152">
        <f>IF(Candidats!$B$21="GDB fixe",Chiffrement!$G$2,Chiffrement!$G$3)</f>
        <v>0.1</v>
      </c>
      <c r="Y14" s="102">
        <f t="shared" si="8"/>
        <v>0</v>
      </c>
      <c r="Z14" s="83">
        <f>Résultats!M42</f>
        <v>0</v>
      </c>
      <c r="AA14" s="107">
        <f t="shared" si="9"/>
        <v>0</v>
      </c>
      <c r="AB14" s="152">
        <f>IF(Candidats!$B$21="GDB fixe",Chiffrement!$H$2,Chiffrement!$H$3)</f>
        <v>0.1</v>
      </c>
      <c r="AC14" s="104">
        <f t="shared" si="10"/>
        <v>0</v>
      </c>
      <c r="AD14" s="247">
        <f t="shared" si="11"/>
        <v>0</v>
      </c>
      <c r="AE14" s="99"/>
      <c r="AF14" s="172">
        <f t="shared" si="12"/>
        <v>1</v>
      </c>
      <c r="AG14" s="169">
        <f>Entretiens!B14</f>
        <v>0</v>
      </c>
      <c r="AH14" s="164" t="str">
        <f t="shared" si="13"/>
        <v/>
      </c>
      <c r="AI14" s="161">
        <f t="shared" si="14"/>
        <v>1</v>
      </c>
      <c r="AK14" t="str">
        <f>IF(A14="","",SUM(C14*Chiffrement!$B$2,G14*Chiffrement!$C$2,K14*Chiffrement!$D$2,O14*Chiffrement!$E$2,S14*Chiffrement!$F$2,W14*Chiffrement!$G$2,AA14*Chiffrement!$H$2))</f>
        <v/>
      </c>
      <c r="AL14" t="e">
        <f t="shared" si="0"/>
        <v>#VALUE!</v>
      </c>
      <c r="AN14" s="174">
        <f t="shared" si="15"/>
        <v>40</v>
      </c>
      <c r="AO14" s="175">
        <f t="shared" si="16"/>
        <v>0</v>
      </c>
      <c r="AP14" s="175">
        <f t="shared" si="17"/>
        <v>0</v>
      </c>
      <c r="AQ14" s="175">
        <f t="shared" si="18"/>
        <v>40</v>
      </c>
    </row>
    <row r="15" spans="1:43" x14ac:dyDescent="0.25">
      <c r="A15" s="15" t="str">
        <f>IF(Candidats!A15=0,"",Candidats!A15)</f>
        <v/>
      </c>
      <c r="B15" s="100">
        <f>Résultats!N38</f>
        <v>0</v>
      </c>
      <c r="C15" s="101">
        <f>_xlfn.XLOOKUP($B15,Chiffrement!$B$4:$B$10,Chiffrement!$I$4:$I$10,,-1)</f>
        <v>6</v>
      </c>
      <c r="D15" s="152">
        <f>IF(Candidats!$B$21="GDB fixe",Chiffrement!$B$2,Chiffrement!$B$3)</f>
        <v>0.25</v>
      </c>
      <c r="E15" s="102">
        <f t="shared" si="1"/>
        <v>0</v>
      </c>
      <c r="F15" s="141">
        <f>Résultats!N39</f>
        <v>0</v>
      </c>
      <c r="G15" s="103">
        <f>_xlfn.XLOOKUP($F15,Chiffrement!$C$4:$C$10,Chiffrement!$I$4:$I$10,,-1)</f>
        <v>6</v>
      </c>
      <c r="H15" s="152">
        <f>IF(Candidats!$B$21="GDB fixe",Chiffrement!$C$2,Chiffrement!$C$3)</f>
        <v>0.25</v>
      </c>
      <c r="I15" s="104">
        <f t="shared" si="2"/>
        <v>0</v>
      </c>
      <c r="J15" s="108">
        <f>Résultats!N40</f>
        <v>0</v>
      </c>
      <c r="K15" s="103">
        <f>INDEX(Chiffrement!$I$4:$I$10,MATCH($J15,Chiffrement!$D$4:$D$10,1))</f>
        <v>0</v>
      </c>
      <c r="L15" s="152">
        <f>IF(Candidats!$B$21="GDB fixe",Chiffrement!$D$2,Chiffrement!$D$3)</f>
        <v>0.1</v>
      </c>
      <c r="M15" s="102">
        <f t="shared" si="3"/>
        <v>0</v>
      </c>
      <c r="N15" s="106">
        <f>Résultats!N41</f>
        <v>0</v>
      </c>
      <c r="O15" s="103">
        <f>INDEX(Chiffrement!$I$4:$I$10,MATCH($N15,Chiffrement!$E$4:$E$10,1))</f>
        <v>0</v>
      </c>
      <c r="P15" s="152">
        <f>IF(Candidats!$B$21="GDB fixe",Chiffrement!$E$2,Chiffrement!$E$3)</f>
        <v>0.1</v>
      </c>
      <c r="Q15" s="102">
        <f t="shared" si="4"/>
        <v>0</v>
      </c>
      <c r="R15" s="106">
        <f>Résultats!N35</f>
        <v>0</v>
      </c>
      <c r="S15" s="103">
        <f t="shared" si="5"/>
        <v>0</v>
      </c>
      <c r="T15" s="152">
        <f>IF(Candidats!$B$21="GDB fixe",Chiffrement!$F$2,Chiffrement!$F$3)</f>
        <v>0.1</v>
      </c>
      <c r="U15" s="102">
        <f t="shared" si="6"/>
        <v>0</v>
      </c>
      <c r="V15" s="40">
        <f>Résultats!N26</f>
        <v>0</v>
      </c>
      <c r="W15" s="101">
        <f t="shared" si="7"/>
        <v>0</v>
      </c>
      <c r="X15" s="152">
        <f>IF(Candidats!$B$21="GDB fixe",Chiffrement!$G$2,Chiffrement!$G$3)</f>
        <v>0.1</v>
      </c>
      <c r="Y15" s="102">
        <f t="shared" si="8"/>
        <v>0</v>
      </c>
      <c r="Z15" s="83">
        <f>Résultats!N42</f>
        <v>0</v>
      </c>
      <c r="AA15" s="107">
        <f t="shared" si="9"/>
        <v>0</v>
      </c>
      <c r="AB15" s="152">
        <f>IF(Candidats!$B$21="GDB fixe",Chiffrement!$H$2,Chiffrement!$H$3)</f>
        <v>0.1</v>
      </c>
      <c r="AC15" s="104">
        <f t="shared" si="10"/>
        <v>0</v>
      </c>
      <c r="AD15" s="247">
        <f t="shared" si="11"/>
        <v>0</v>
      </c>
      <c r="AE15" s="99"/>
      <c r="AF15" s="172">
        <f t="shared" si="12"/>
        <v>1</v>
      </c>
      <c r="AG15" s="169">
        <f>Entretiens!B15</f>
        <v>0</v>
      </c>
      <c r="AH15" s="164" t="str">
        <f t="shared" si="13"/>
        <v/>
      </c>
      <c r="AI15" s="161">
        <f t="shared" si="14"/>
        <v>1</v>
      </c>
      <c r="AK15" t="str">
        <f>IF(A15="","",SUM(C15*Chiffrement!$B$2,G15*Chiffrement!$C$2,K15*Chiffrement!$D$2,O15*Chiffrement!$E$2,S15*Chiffrement!$F$2,W15*Chiffrement!$G$2,AA15*Chiffrement!$H$2))</f>
        <v/>
      </c>
      <c r="AL15" t="e">
        <f t="shared" si="0"/>
        <v>#VALUE!</v>
      </c>
      <c r="AN15" s="174">
        <f t="shared" si="15"/>
        <v>40</v>
      </c>
      <c r="AO15" s="175">
        <f t="shared" si="16"/>
        <v>0</v>
      </c>
      <c r="AP15" s="175">
        <f t="shared" si="17"/>
        <v>0</v>
      </c>
      <c r="AQ15" s="175">
        <f t="shared" si="18"/>
        <v>40</v>
      </c>
    </row>
    <row r="16" spans="1:43" x14ac:dyDescent="0.25">
      <c r="A16" s="16" t="str">
        <f>IF(Candidats!A16=0,"",Candidats!A16)</f>
        <v/>
      </c>
      <c r="B16" s="100">
        <f>Résultats!O38</f>
        <v>0</v>
      </c>
      <c r="C16" s="101">
        <f>_xlfn.XLOOKUP($B16,Chiffrement!$B$4:$B$10,Chiffrement!$I$4:$I$10,,-1)</f>
        <v>6</v>
      </c>
      <c r="D16" s="152">
        <f>IF(Candidats!$B$21="GDB fixe",Chiffrement!$B$2,Chiffrement!$B$3)</f>
        <v>0.25</v>
      </c>
      <c r="E16" s="102">
        <f t="shared" si="1"/>
        <v>0</v>
      </c>
      <c r="F16" s="141">
        <f>Résultats!O39</f>
        <v>0</v>
      </c>
      <c r="G16" s="103">
        <f>_xlfn.XLOOKUP($F16,Chiffrement!$C$4:$C$10,Chiffrement!$I$4:$I$10,,-1)</f>
        <v>6</v>
      </c>
      <c r="H16" s="152">
        <f>IF(Candidats!$B$21="GDB fixe",Chiffrement!$C$2,Chiffrement!$C$3)</f>
        <v>0.25</v>
      </c>
      <c r="I16" s="104">
        <f t="shared" si="2"/>
        <v>0</v>
      </c>
      <c r="J16" s="108">
        <f>Résultats!O40</f>
        <v>0</v>
      </c>
      <c r="K16" s="103">
        <f>INDEX(Chiffrement!$I$4:$I$10,MATCH($J16,Chiffrement!$D$4:$D$10,1))</f>
        <v>0</v>
      </c>
      <c r="L16" s="152">
        <f>IF(Candidats!$B$21="GDB fixe",Chiffrement!$D$2,Chiffrement!$D$3)</f>
        <v>0.1</v>
      </c>
      <c r="M16" s="102">
        <f t="shared" si="3"/>
        <v>0</v>
      </c>
      <c r="N16" s="106">
        <f>Résultats!O41</f>
        <v>0</v>
      </c>
      <c r="O16" s="103">
        <f>INDEX(Chiffrement!$I$4:$I$10,MATCH($N16,Chiffrement!$E$4:$E$10,1))</f>
        <v>0</v>
      </c>
      <c r="P16" s="152">
        <f>IF(Candidats!$B$21="GDB fixe",Chiffrement!$E$2,Chiffrement!$E$3)</f>
        <v>0.1</v>
      </c>
      <c r="Q16" s="102">
        <f t="shared" si="4"/>
        <v>0</v>
      </c>
      <c r="R16" s="106">
        <f>Résultats!O35</f>
        <v>0</v>
      </c>
      <c r="S16" s="103">
        <f t="shared" si="5"/>
        <v>0</v>
      </c>
      <c r="T16" s="152">
        <f>IF(Candidats!$B$21="GDB fixe",Chiffrement!$F$2,Chiffrement!$F$3)</f>
        <v>0.1</v>
      </c>
      <c r="U16" s="102">
        <f t="shared" si="6"/>
        <v>0</v>
      </c>
      <c r="V16" s="40">
        <f>Résultats!O26</f>
        <v>0</v>
      </c>
      <c r="W16" s="101">
        <f t="shared" si="7"/>
        <v>0</v>
      </c>
      <c r="X16" s="152">
        <f>IF(Candidats!$B$21="GDB fixe",Chiffrement!$G$2,Chiffrement!$G$3)</f>
        <v>0.1</v>
      </c>
      <c r="Y16" s="102">
        <f t="shared" si="8"/>
        <v>0</v>
      </c>
      <c r="Z16" s="83">
        <f>Résultats!O42</f>
        <v>0</v>
      </c>
      <c r="AA16" s="107">
        <f t="shared" si="9"/>
        <v>0</v>
      </c>
      <c r="AB16" s="152">
        <f>IF(Candidats!$B$21="GDB fixe",Chiffrement!$H$2,Chiffrement!$H$3)</f>
        <v>0.1</v>
      </c>
      <c r="AC16" s="104">
        <f t="shared" si="10"/>
        <v>0</v>
      </c>
      <c r="AD16" s="247">
        <f t="shared" si="11"/>
        <v>0</v>
      </c>
      <c r="AE16" s="99"/>
      <c r="AF16" s="172">
        <f t="shared" si="12"/>
        <v>1</v>
      </c>
      <c r="AG16" s="169">
        <f>Entretiens!B16</f>
        <v>0</v>
      </c>
      <c r="AH16" s="164" t="str">
        <f t="shared" si="13"/>
        <v/>
      </c>
      <c r="AI16" s="161">
        <f t="shared" si="14"/>
        <v>1</v>
      </c>
      <c r="AK16" t="str">
        <f>IF(A16="","",SUM(C16*Chiffrement!$B$2,G16*Chiffrement!$C$2,K16*Chiffrement!$D$2,O16*Chiffrement!$E$2,S16*Chiffrement!$F$2,W16*Chiffrement!$G$2,AA16*Chiffrement!$H$2))</f>
        <v/>
      </c>
      <c r="AL16" t="e">
        <f t="shared" si="0"/>
        <v>#VALUE!</v>
      </c>
      <c r="AN16" s="174">
        <f t="shared" si="15"/>
        <v>40</v>
      </c>
      <c r="AO16" s="175">
        <f t="shared" si="16"/>
        <v>0</v>
      </c>
      <c r="AP16" s="175">
        <f t="shared" si="17"/>
        <v>0</v>
      </c>
      <c r="AQ16" s="175">
        <f t="shared" si="18"/>
        <v>40</v>
      </c>
    </row>
    <row r="17" spans="1:50" x14ac:dyDescent="0.25">
      <c r="A17" s="15" t="str">
        <f>IF(Candidats!A17=0,"",Candidats!A17)</f>
        <v/>
      </c>
      <c r="B17" s="100">
        <f>Résultats!P38</f>
        <v>0</v>
      </c>
      <c r="C17" s="101">
        <f>_xlfn.XLOOKUP($B17,Chiffrement!$B$4:$B$10,Chiffrement!$I$4:$I$10,,-1)</f>
        <v>6</v>
      </c>
      <c r="D17" s="152">
        <f>IF(Candidats!$B$21="GDB fixe",Chiffrement!$B$2,Chiffrement!$B$3)</f>
        <v>0.25</v>
      </c>
      <c r="E17" s="102">
        <f t="shared" si="1"/>
        <v>0</v>
      </c>
      <c r="F17" s="141">
        <f>Résultats!P39</f>
        <v>0</v>
      </c>
      <c r="G17" s="103">
        <f>_xlfn.XLOOKUP($F17,Chiffrement!$C$4:$C$10,Chiffrement!$I$4:$I$10,,-1)</f>
        <v>6</v>
      </c>
      <c r="H17" s="152">
        <f>IF(Candidats!$B$21="GDB fixe",Chiffrement!$C$2,Chiffrement!$C$3)</f>
        <v>0.25</v>
      </c>
      <c r="I17" s="104">
        <f t="shared" si="2"/>
        <v>0</v>
      </c>
      <c r="J17" s="108">
        <f>Résultats!P40</f>
        <v>0</v>
      </c>
      <c r="K17" s="103">
        <f>INDEX(Chiffrement!$I$4:$I$10,MATCH($J17,Chiffrement!$D$4:$D$10,1))</f>
        <v>0</v>
      </c>
      <c r="L17" s="152">
        <f>IF(Candidats!$B$21="GDB fixe",Chiffrement!$D$2,Chiffrement!$D$3)</f>
        <v>0.1</v>
      </c>
      <c r="M17" s="102">
        <f t="shared" si="3"/>
        <v>0</v>
      </c>
      <c r="N17" s="106">
        <f>Résultats!P41</f>
        <v>0</v>
      </c>
      <c r="O17" s="103">
        <f>INDEX(Chiffrement!$I$4:$I$10,MATCH($N17,Chiffrement!$E$4:$E$10,1))</f>
        <v>0</v>
      </c>
      <c r="P17" s="152">
        <f>IF(Candidats!$B$21="GDB fixe",Chiffrement!$E$2,Chiffrement!$E$3)</f>
        <v>0.1</v>
      </c>
      <c r="Q17" s="102">
        <f t="shared" si="4"/>
        <v>0</v>
      </c>
      <c r="R17" s="106">
        <f>Résultats!P35</f>
        <v>0</v>
      </c>
      <c r="S17" s="103">
        <f t="shared" si="5"/>
        <v>0</v>
      </c>
      <c r="T17" s="152">
        <f>IF(Candidats!$B$21="GDB fixe",Chiffrement!$F$2,Chiffrement!$F$3)</f>
        <v>0.1</v>
      </c>
      <c r="U17" s="102">
        <f t="shared" si="6"/>
        <v>0</v>
      </c>
      <c r="V17" s="40">
        <f>Résultats!P26</f>
        <v>0</v>
      </c>
      <c r="W17" s="101">
        <f t="shared" si="7"/>
        <v>0</v>
      </c>
      <c r="X17" s="152">
        <f>IF(Candidats!$B$21="GDB fixe",Chiffrement!$G$2,Chiffrement!$G$3)</f>
        <v>0.1</v>
      </c>
      <c r="Y17" s="102">
        <f t="shared" si="8"/>
        <v>0</v>
      </c>
      <c r="Z17" s="83">
        <f>Résultats!P42</f>
        <v>0</v>
      </c>
      <c r="AA17" s="107">
        <f t="shared" si="9"/>
        <v>0</v>
      </c>
      <c r="AB17" s="152">
        <f>IF(Candidats!$B$21="GDB fixe",Chiffrement!$H$2,Chiffrement!$H$3)</f>
        <v>0.1</v>
      </c>
      <c r="AC17" s="104">
        <f t="shared" si="10"/>
        <v>0</v>
      </c>
      <c r="AD17" s="247">
        <f t="shared" si="11"/>
        <v>0</v>
      </c>
      <c r="AE17" s="99"/>
      <c r="AF17" s="172">
        <f t="shared" si="12"/>
        <v>1</v>
      </c>
      <c r="AG17" s="169">
        <f>Entretiens!B17</f>
        <v>0</v>
      </c>
      <c r="AH17" s="164" t="str">
        <f t="shared" si="13"/>
        <v/>
      </c>
      <c r="AI17" s="161">
        <f t="shared" si="14"/>
        <v>1</v>
      </c>
      <c r="AK17" t="str">
        <f>IF(A17="","",SUM(C17*Chiffrement!$B$2,G17*Chiffrement!$C$2,K17*Chiffrement!$D$2,O17*Chiffrement!$E$2,S17*Chiffrement!$F$2,W17*Chiffrement!$G$2,AA17*Chiffrement!$H$2))</f>
        <v/>
      </c>
      <c r="AL17" t="e">
        <f t="shared" si="0"/>
        <v>#VALUE!</v>
      </c>
      <c r="AN17" s="174">
        <f t="shared" si="15"/>
        <v>40</v>
      </c>
      <c r="AO17" s="175">
        <f t="shared" si="16"/>
        <v>0</v>
      </c>
      <c r="AP17" s="175">
        <f t="shared" si="17"/>
        <v>0</v>
      </c>
      <c r="AQ17" s="175">
        <f t="shared" si="18"/>
        <v>40</v>
      </c>
    </row>
    <row r="18" spans="1:50" x14ac:dyDescent="0.25">
      <c r="A18" s="75" t="str">
        <f>IF(Candidats!A18=0,"",Candidats!A18)</f>
        <v/>
      </c>
      <c r="B18" s="100">
        <f>Résultats!Q38</f>
        <v>0</v>
      </c>
      <c r="C18" s="101">
        <f>_xlfn.XLOOKUP($B18,Chiffrement!$B$4:$B$10,Chiffrement!$I$4:$I$10,,-1)</f>
        <v>6</v>
      </c>
      <c r="D18" s="152">
        <f>IF(Candidats!$B$21="GDB fixe",Chiffrement!$B$2,Chiffrement!$B$3)</f>
        <v>0.25</v>
      </c>
      <c r="E18" s="102">
        <f t="shared" si="1"/>
        <v>0</v>
      </c>
      <c r="F18" s="141">
        <f>Résultats!Q39</f>
        <v>0</v>
      </c>
      <c r="G18" s="103">
        <f>_xlfn.XLOOKUP($F18,Chiffrement!$C$4:$C$10,Chiffrement!$I$4:$I$10,,-1)</f>
        <v>6</v>
      </c>
      <c r="H18" s="152">
        <f>IF(Candidats!$B$21="GDB fixe",Chiffrement!$C$2,Chiffrement!$C$3)</f>
        <v>0.25</v>
      </c>
      <c r="I18" s="104">
        <f t="shared" si="2"/>
        <v>0</v>
      </c>
      <c r="J18" s="108">
        <f>Résultats!Q40</f>
        <v>0</v>
      </c>
      <c r="K18" s="103">
        <f>INDEX(Chiffrement!$I$4:$I$10,MATCH($J18,Chiffrement!$D$4:$D$10,1))</f>
        <v>0</v>
      </c>
      <c r="L18" s="152">
        <f>IF(Candidats!$B$21="GDB fixe",Chiffrement!$D$2,Chiffrement!$D$3)</f>
        <v>0.1</v>
      </c>
      <c r="M18" s="102">
        <f t="shared" si="3"/>
        <v>0</v>
      </c>
      <c r="N18" s="106">
        <f>Résultats!Q41</f>
        <v>0</v>
      </c>
      <c r="O18" s="103">
        <f>INDEX(Chiffrement!$I$4:$I$10,MATCH($N18,Chiffrement!$E$4:$E$10,1))</f>
        <v>0</v>
      </c>
      <c r="P18" s="152">
        <f>IF(Candidats!$B$21="GDB fixe",Chiffrement!$E$2,Chiffrement!$E$3)</f>
        <v>0.1</v>
      </c>
      <c r="Q18" s="102">
        <f t="shared" si="4"/>
        <v>0</v>
      </c>
      <c r="R18" s="106">
        <f>Résultats!Q35</f>
        <v>0</v>
      </c>
      <c r="S18" s="103">
        <f t="shared" si="5"/>
        <v>0</v>
      </c>
      <c r="T18" s="152">
        <f>IF(Candidats!$B$21="GDB fixe",Chiffrement!$F$2,Chiffrement!$F$3)</f>
        <v>0.1</v>
      </c>
      <c r="U18" s="102">
        <f t="shared" si="6"/>
        <v>0</v>
      </c>
      <c r="V18" s="40">
        <f>Résultats!Q26</f>
        <v>0</v>
      </c>
      <c r="W18" s="101">
        <f t="shared" si="7"/>
        <v>0</v>
      </c>
      <c r="X18" s="152">
        <f>IF(Candidats!$B$21="GDB fixe",Chiffrement!$G$2,Chiffrement!$G$3)</f>
        <v>0.1</v>
      </c>
      <c r="Y18" s="102">
        <f t="shared" si="8"/>
        <v>0</v>
      </c>
      <c r="Z18" s="83">
        <f>Résultats!Q42</f>
        <v>0</v>
      </c>
      <c r="AA18" s="107">
        <f t="shared" si="9"/>
        <v>0</v>
      </c>
      <c r="AB18" s="152">
        <f>IF(Candidats!$B$21="GDB fixe",Chiffrement!$H$2,Chiffrement!$H$3)</f>
        <v>0.1</v>
      </c>
      <c r="AC18" s="104">
        <f t="shared" si="10"/>
        <v>0</v>
      </c>
      <c r="AD18" s="247">
        <f t="shared" si="11"/>
        <v>0</v>
      </c>
      <c r="AE18" s="99"/>
      <c r="AF18" s="172">
        <f t="shared" si="12"/>
        <v>1</v>
      </c>
      <c r="AG18" s="169">
        <f>Entretiens!B18</f>
        <v>0</v>
      </c>
      <c r="AH18" s="164" t="str">
        <f t="shared" si="13"/>
        <v/>
      </c>
      <c r="AI18" s="161">
        <f t="shared" si="14"/>
        <v>1</v>
      </c>
      <c r="AK18" t="str">
        <f>IF(A18="","",SUM(C18*Chiffrement!$B$2,G18*Chiffrement!$C$2,K18*Chiffrement!$D$2,O18*Chiffrement!$E$2,S18*Chiffrement!$F$2,W18*Chiffrement!$G$2,AA18*Chiffrement!$H$2))</f>
        <v/>
      </c>
      <c r="AL18" t="e">
        <f t="shared" si="0"/>
        <v>#VALUE!</v>
      </c>
      <c r="AN18" s="174">
        <f t="shared" si="15"/>
        <v>40</v>
      </c>
      <c r="AO18" s="175">
        <f t="shared" si="16"/>
        <v>0</v>
      </c>
      <c r="AP18" s="175">
        <f t="shared" si="17"/>
        <v>0</v>
      </c>
      <c r="AQ18" s="175">
        <f t="shared" si="18"/>
        <v>40</v>
      </c>
    </row>
    <row r="19" spans="1:50" ht="15.75" thickBot="1" x14ac:dyDescent="0.3">
      <c r="A19" s="56" t="str">
        <f>IF(Candidats!A19=0,"",Candidats!A19)</f>
        <v/>
      </c>
      <c r="B19" s="109">
        <f>Résultats!R38</f>
        <v>0</v>
      </c>
      <c r="C19" s="110">
        <f>_xlfn.XLOOKUP($B19,Chiffrement!$B$4:$B$10,Chiffrement!$I$4:$I$10,,-1)</f>
        <v>6</v>
      </c>
      <c r="D19" s="153">
        <f>IF(Candidats!$B$21="GDB fixe",Chiffrement!$B$2,Chiffrement!$B$3)</f>
        <v>0.25</v>
      </c>
      <c r="E19" s="111">
        <f t="shared" si="1"/>
        <v>0</v>
      </c>
      <c r="F19" s="142">
        <f>Résultats!R39</f>
        <v>0</v>
      </c>
      <c r="G19" s="112">
        <f>_xlfn.XLOOKUP($F19,Chiffrement!$C$4:$C$10,Chiffrement!$I$4:$I$10,,-1)</f>
        <v>6</v>
      </c>
      <c r="H19" s="153">
        <f>IF(Candidats!$B$21="GDB fixe",Chiffrement!$C$2,Chiffrement!$C$3)</f>
        <v>0.25</v>
      </c>
      <c r="I19" s="113">
        <f t="shared" si="2"/>
        <v>0</v>
      </c>
      <c r="J19" s="114">
        <f>Résultats!R40</f>
        <v>0</v>
      </c>
      <c r="K19" s="112">
        <f>INDEX(Chiffrement!$I$4:$I$10,MATCH($J19,Chiffrement!$D$4:$D$10,1))</f>
        <v>0</v>
      </c>
      <c r="L19" s="153">
        <f>IF(Candidats!$B$21="GDB fixe",Chiffrement!$D$2,Chiffrement!$D$3)</f>
        <v>0.1</v>
      </c>
      <c r="M19" s="111">
        <f t="shared" si="3"/>
        <v>0</v>
      </c>
      <c r="N19" s="115">
        <f>Résultats!R41</f>
        <v>0</v>
      </c>
      <c r="O19" s="112">
        <f>INDEX(Chiffrement!$I$4:$I$10,MATCH($N19,Chiffrement!$E$4:$E$10,1))</f>
        <v>0</v>
      </c>
      <c r="P19" s="153">
        <f>IF(Candidats!$B$21="GDB fixe",Chiffrement!$E$2,Chiffrement!$E$3)</f>
        <v>0.1</v>
      </c>
      <c r="Q19" s="111">
        <f t="shared" si="4"/>
        <v>0</v>
      </c>
      <c r="R19" s="115">
        <f>Résultats!R35</f>
        <v>0</v>
      </c>
      <c r="S19" s="112">
        <f t="shared" si="5"/>
        <v>0</v>
      </c>
      <c r="T19" s="153">
        <f>IF(Candidats!$B$21="GDB fixe",Chiffrement!$F$2,Chiffrement!$F$3)</f>
        <v>0.1</v>
      </c>
      <c r="U19" s="111">
        <f t="shared" si="6"/>
        <v>0</v>
      </c>
      <c r="V19" s="116">
        <f>Résultats!R26</f>
        <v>0</v>
      </c>
      <c r="W19" s="110">
        <f t="shared" si="7"/>
        <v>0</v>
      </c>
      <c r="X19" s="153">
        <f>IF(Candidats!$B$21="GDB fixe",Chiffrement!$G$2,Chiffrement!$G$3)</f>
        <v>0.1</v>
      </c>
      <c r="Y19" s="111">
        <f t="shared" si="8"/>
        <v>0</v>
      </c>
      <c r="Z19" s="117">
        <f>Résultats!R42</f>
        <v>0</v>
      </c>
      <c r="AA19" s="118">
        <f t="shared" si="9"/>
        <v>0</v>
      </c>
      <c r="AB19" s="153">
        <f>IF(Candidats!$B$21="GDB fixe",Chiffrement!$H$2,Chiffrement!$H$3)</f>
        <v>0.1</v>
      </c>
      <c r="AC19" s="113">
        <f t="shared" si="10"/>
        <v>0</v>
      </c>
      <c r="AD19" s="248">
        <f t="shared" si="11"/>
        <v>0</v>
      </c>
      <c r="AE19" s="99"/>
      <c r="AF19" s="173">
        <f t="shared" si="12"/>
        <v>1</v>
      </c>
      <c r="AG19" s="170">
        <f>Entretiens!B19</f>
        <v>0</v>
      </c>
      <c r="AH19" s="165" t="str">
        <f t="shared" si="13"/>
        <v/>
      </c>
      <c r="AI19" s="162">
        <f t="shared" si="14"/>
        <v>1</v>
      </c>
      <c r="AK19" t="str">
        <f>IF(A19="","",SUM(C19*Chiffrement!$B$2,G19*Chiffrement!$C$2,K19*Chiffrement!$D$2,O19*Chiffrement!$E$2,S19*Chiffrement!$F$2,W19*Chiffrement!$G$2,AA19*Chiffrement!$H$2))</f>
        <v/>
      </c>
      <c r="AL19" t="e">
        <f t="shared" si="0"/>
        <v>#VALUE!</v>
      </c>
      <c r="AN19" s="174">
        <f t="shared" si="15"/>
        <v>40</v>
      </c>
      <c r="AO19" s="175">
        <f t="shared" si="16"/>
        <v>0</v>
      </c>
      <c r="AP19" s="175">
        <f t="shared" si="17"/>
        <v>0</v>
      </c>
      <c r="AQ19" s="175">
        <f t="shared" si="18"/>
        <v>40</v>
      </c>
    </row>
    <row r="20" spans="1:50" ht="45" customHeight="1" thickBot="1" x14ac:dyDescent="0.3"/>
    <row r="21" spans="1:50" ht="15.75" thickBot="1" x14ac:dyDescent="0.3">
      <c r="A21" s="281" t="s">
        <v>42</v>
      </c>
      <c r="B21" s="301"/>
      <c r="C21" s="301"/>
      <c r="D21" s="282"/>
      <c r="F21" s="291" t="s">
        <v>111</v>
      </c>
      <c r="G21" s="292"/>
      <c r="H21" s="296"/>
      <c r="I21" s="291" t="s">
        <v>112</v>
      </c>
      <c r="J21" s="292"/>
      <c r="K21" s="296"/>
      <c r="L21" s="291" t="s">
        <v>113</v>
      </c>
      <c r="M21" s="292"/>
      <c r="N21" s="296"/>
      <c r="O21" s="291" t="s">
        <v>114</v>
      </c>
      <c r="P21" s="292"/>
      <c r="Q21" s="296"/>
      <c r="R21" s="291" t="s">
        <v>115</v>
      </c>
      <c r="S21" s="292"/>
      <c r="T21" s="296"/>
      <c r="U21" s="291" t="s">
        <v>116</v>
      </c>
      <c r="V21" s="292"/>
      <c r="W21" s="296"/>
      <c r="X21" s="291" t="s">
        <v>117</v>
      </c>
      <c r="Y21" s="292"/>
      <c r="Z21" s="296"/>
      <c r="AA21" s="291" t="s">
        <v>118</v>
      </c>
      <c r="AB21" s="292"/>
      <c r="AC21" s="296"/>
      <c r="AD21" s="291" t="s">
        <v>119</v>
      </c>
      <c r="AE21" s="292"/>
      <c r="AF21" s="296"/>
      <c r="AG21" s="291" t="s">
        <v>46</v>
      </c>
      <c r="AH21" s="292"/>
      <c r="AI21" s="256"/>
    </row>
    <row r="22" spans="1:50" ht="15.75" thickBot="1" x14ac:dyDescent="0.3">
      <c r="A22" s="187" t="s">
        <v>43</v>
      </c>
      <c r="B22" s="302">
        <f>Candidats!B23</f>
        <v>0</v>
      </c>
      <c r="C22" s="303"/>
      <c r="D22" s="304"/>
      <c r="F22" s="293">
        <f>Candidats!B24</f>
        <v>0</v>
      </c>
      <c r="G22" s="294"/>
      <c r="H22" s="295"/>
      <c r="I22" s="293">
        <f>Candidats!B25</f>
        <v>0</v>
      </c>
      <c r="J22" s="294"/>
      <c r="K22" s="295"/>
      <c r="L22" s="293">
        <f>Candidats!B26</f>
        <v>0</v>
      </c>
      <c r="M22" s="294"/>
      <c r="N22" s="295"/>
      <c r="O22" s="293">
        <f>Candidats!B27</f>
        <v>0</v>
      </c>
      <c r="P22" s="294"/>
      <c r="Q22" s="295"/>
      <c r="R22" s="293">
        <f>Candidats!B28</f>
        <v>0</v>
      </c>
      <c r="S22" s="294"/>
      <c r="T22" s="295"/>
      <c r="U22" s="293">
        <f>IF(AND(Résultats!S44=0,Résultats!T14&lt;&gt;"",Résultats!T17&lt;&gt;"",Résultats!T20&lt;&gt;""),Résultats!T14,0)</f>
        <v>0</v>
      </c>
      <c r="V22" s="294"/>
      <c r="W22" s="295"/>
      <c r="X22" s="293">
        <f>IF(AND(Résultats!S44=0,Résultats!T14&lt;&gt;"",Résultats!T17&lt;&gt;"",Résultats!T20&lt;&gt;""),Résultats!T17,0)</f>
        <v>0</v>
      </c>
      <c r="Y22" s="294"/>
      <c r="Z22" s="295"/>
      <c r="AA22" s="293">
        <f>IF(AND(Résultats!S44=0,Résultats!T14&lt;&gt;"",Résultats!T17&lt;&gt;"",Résultats!T20&lt;&gt;""),Résultats!T20,0)</f>
        <v>0</v>
      </c>
      <c r="AB22" s="294"/>
      <c r="AC22" s="295"/>
      <c r="AD22" s="293">
        <f>IF(AND(Entretiens!D33=Entretiens!E33,Entretiens!E33=Entretiens!F33,(Entretiens!A50=0),Entretiens!A23&lt;&gt;0),Entretiens!A23,0)</f>
        <v>0</v>
      </c>
      <c r="AE22" s="294"/>
      <c r="AF22" s="295"/>
      <c r="AG22" s="293">
        <f>B26</f>
        <v>0</v>
      </c>
      <c r="AH22" s="294"/>
      <c r="AI22" s="257"/>
    </row>
    <row r="23" spans="1:50" x14ac:dyDescent="0.25">
      <c r="A23" s="188" t="s">
        <v>45</v>
      </c>
      <c r="B23" s="305">
        <f>Candidats!B22</f>
        <v>0</v>
      </c>
      <c r="C23" s="306"/>
      <c r="D23" s="307"/>
    </row>
    <row r="24" spans="1:50" x14ac:dyDescent="0.25">
      <c r="A24" s="188" t="s">
        <v>0</v>
      </c>
      <c r="B24" s="308" t="str">
        <f>Candidats!B21</f>
        <v>GDB fixe</v>
      </c>
      <c r="C24" s="309"/>
      <c r="D24" s="310"/>
    </row>
    <row r="25" spans="1:50" x14ac:dyDescent="0.25">
      <c r="A25" s="189" t="s">
        <v>44</v>
      </c>
      <c r="B25" s="305">
        <f>Candidats!B29</f>
        <v>0</v>
      </c>
      <c r="C25" s="306"/>
      <c r="D25" s="307"/>
    </row>
    <row r="26" spans="1:50" ht="15.75" thickBot="1" x14ac:dyDescent="0.3">
      <c r="A26" s="190" t="s">
        <v>51</v>
      </c>
      <c r="B26" s="311"/>
      <c r="C26" s="312"/>
      <c r="D26" s="313"/>
    </row>
    <row r="27" spans="1:50" ht="45" customHeight="1" thickBot="1" x14ac:dyDescent="0.3"/>
    <row r="28" spans="1:50" ht="15.75" thickBot="1" x14ac:dyDescent="0.3">
      <c r="A28" s="44" t="s">
        <v>3</v>
      </c>
      <c r="B28" s="258" t="s">
        <v>63</v>
      </c>
      <c r="C28" s="281" t="s">
        <v>54</v>
      </c>
      <c r="D28" s="282"/>
      <c r="E28" s="281" t="s">
        <v>64</v>
      </c>
      <c r="F28" s="282"/>
      <c r="G28" s="259"/>
    </row>
    <row r="29" spans="1:50" x14ac:dyDescent="0.25">
      <c r="A29" s="179" t="str">
        <f t="shared" ref="A29:A44" si="19">_xlfn.IFNA(_xlfn.XLOOKUP($B29,$AI$4:$AI$19,$A$4:$A$19,,0),"")</f>
        <v/>
      </c>
      <c r="B29" s="176">
        <v>1</v>
      </c>
      <c r="C29" s="314" t="str">
        <f>_xlfn.IFNA(VLOOKUP(A29,Candidats!A$3:B$19,2,0),"")</f>
        <v/>
      </c>
      <c r="D29" s="315"/>
      <c r="E29" s="289" t="e">
        <f t="shared" ref="E29:E44" si="20">VLOOKUP($A29,$AH$4:$AL$19,5,0)</f>
        <v>#VALUE!</v>
      </c>
      <c r="F29" s="290"/>
      <c r="AU29" s="64"/>
      <c r="AV29" s="64"/>
      <c r="AW29" s="2"/>
      <c r="AX29" s="2"/>
    </row>
    <row r="30" spans="1:50" x14ac:dyDescent="0.25">
      <c r="A30" s="180" t="str">
        <f t="shared" si="19"/>
        <v/>
      </c>
      <c r="B30" s="177">
        <v>2</v>
      </c>
      <c r="C30" s="316" t="str">
        <f>_xlfn.IFNA(VLOOKUP(A30,Candidats!A$3:B$19,2,0),"")</f>
        <v/>
      </c>
      <c r="D30" s="317"/>
      <c r="E30" s="285" t="e">
        <f t="shared" si="20"/>
        <v>#VALUE!</v>
      </c>
      <c r="F30" s="286"/>
      <c r="AU30" s="64"/>
      <c r="AV30" s="64"/>
      <c r="AW30" s="2"/>
      <c r="AX30" s="2"/>
    </row>
    <row r="31" spans="1:50" x14ac:dyDescent="0.25">
      <c r="A31" s="180" t="str">
        <f t="shared" si="19"/>
        <v/>
      </c>
      <c r="B31" s="177">
        <v>3</v>
      </c>
      <c r="C31" s="316" t="str">
        <f>_xlfn.IFNA(VLOOKUP(A31,Candidats!A$3:B$19,2,0),"")</f>
        <v/>
      </c>
      <c r="D31" s="317"/>
      <c r="E31" s="285" t="e">
        <f t="shared" si="20"/>
        <v>#VALUE!</v>
      </c>
      <c r="F31" s="286"/>
      <c r="AU31" s="64"/>
      <c r="AV31" s="64"/>
      <c r="AW31" s="2"/>
      <c r="AX31" s="2"/>
    </row>
    <row r="32" spans="1:50" x14ac:dyDescent="0.25">
      <c r="A32" s="180" t="str">
        <f t="shared" si="19"/>
        <v/>
      </c>
      <c r="B32" s="177">
        <v>4</v>
      </c>
      <c r="C32" s="316" t="str">
        <f>_xlfn.IFNA(VLOOKUP(A32,Candidats!A$3:B$19,2,0),"")</f>
        <v/>
      </c>
      <c r="D32" s="317"/>
      <c r="E32" s="285" t="e">
        <f t="shared" si="20"/>
        <v>#VALUE!</v>
      </c>
      <c r="F32" s="286"/>
      <c r="AU32" s="64"/>
      <c r="AV32" s="64"/>
      <c r="AW32" s="2"/>
      <c r="AX32" s="2"/>
    </row>
    <row r="33" spans="1:50" x14ac:dyDescent="0.25">
      <c r="A33" s="180" t="str">
        <f t="shared" si="19"/>
        <v/>
      </c>
      <c r="B33" s="177">
        <v>5</v>
      </c>
      <c r="C33" s="316" t="str">
        <f>_xlfn.IFNA(VLOOKUP(A33,Candidats!A$3:B$19,2,0),"")</f>
        <v/>
      </c>
      <c r="D33" s="317"/>
      <c r="E33" s="285" t="e">
        <f t="shared" si="20"/>
        <v>#VALUE!</v>
      </c>
      <c r="F33" s="286"/>
      <c r="AU33" s="64"/>
      <c r="AV33" s="64"/>
      <c r="AW33" s="2"/>
      <c r="AX33" s="2"/>
    </row>
    <row r="34" spans="1:50" x14ac:dyDescent="0.25">
      <c r="A34" s="180" t="str">
        <f t="shared" si="19"/>
        <v/>
      </c>
      <c r="B34" s="177">
        <v>6</v>
      </c>
      <c r="C34" s="316" t="str">
        <f>_xlfn.IFNA(VLOOKUP(A34,Candidats!A$3:B$19,2,0),"")</f>
        <v/>
      </c>
      <c r="D34" s="317"/>
      <c r="E34" s="285" t="e">
        <f t="shared" si="20"/>
        <v>#VALUE!</v>
      </c>
      <c r="F34" s="286"/>
      <c r="AU34" s="64"/>
      <c r="AV34" s="64"/>
      <c r="AW34" s="2"/>
      <c r="AX34" s="2"/>
    </row>
    <row r="35" spans="1:50" x14ac:dyDescent="0.25">
      <c r="A35" s="180" t="str">
        <f t="shared" si="19"/>
        <v/>
      </c>
      <c r="B35" s="177">
        <v>7</v>
      </c>
      <c r="C35" s="316" t="str">
        <f>_xlfn.IFNA(VLOOKUP(A35,Candidats!A$3:B$19,2,0),"")</f>
        <v/>
      </c>
      <c r="D35" s="317"/>
      <c r="E35" s="285" t="e">
        <f t="shared" si="20"/>
        <v>#VALUE!</v>
      </c>
      <c r="F35" s="286"/>
      <c r="AB35" s="14"/>
      <c r="AC35" s="12"/>
      <c r="AU35" s="64"/>
      <c r="AV35" s="64"/>
      <c r="AW35" s="2"/>
      <c r="AX35" s="2"/>
    </row>
    <row r="36" spans="1:50" x14ac:dyDescent="0.25">
      <c r="A36" s="180" t="str">
        <f t="shared" si="19"/>
        <v/>
      </c>
      <c r="B36" s="177">
        <v>8</v>
      </c>
      <c r="C36" s="316" t="str">
        <f>_xlfn.IFNA(VLOOKUP(A36,Candidats!A$3:B$19,2,0),"")</f>
        <v/>
      </c>
      <c r="D36" s="317"/>
      <c r="E36" s="285" t="e">
        <f t="shared" si="20"/>
        <v>#VALUE!</v>
      </c>
      <c r="F36" s="286"/>
      <c r="AB36" s="14"/>
      <c r="AC36" s="13"/>
      <c r="AU36" s="64"/>
      <c r="AV36" s="64"/>
      <c r="AW36" s="2"/>
      <c r="AX36" s="2"/>
    </row>
    <row r="37" spans="1:50" x14ac:dyDescent="0.25">
      <c r="A37" s="180" t="str">
        <f t="shared" si="19"/>
        <v/>
      </c>
      <c r="B37" s="177">
        <v>9</v>
      </c>
      <c r="C37" s="316" t="str">
        <f>_xlfn.IFNA(VLOOKUP(A37,Candidats!A$3:B$19,2,0),"")</f>
        <v/>
      </c>
      <c r="D37" s="317"/>
      <c r="E37" s="285" t="e">
        <f t="shared" si="20"/>
        <v>#VALUE!</v>
      </c>
      <c r="F37" s="286"/>
      <c r="AB37" s="14"/>
      <c r="AC37" s="13"/>
      <c r="AU37" s="64"/>
      <c r="AV37" s="64"/>
      <c r="AW37" s="2"/>
      <c r="AX37" s="2"/>
    </row>
    <row r="38" spans="1:50" x14ac:dyDescent="0.25">
      <c r="A38" s="180" t="str">
        <f t="shared" si="19"/>
        <v/>
      </c>
      <c r="B38" s="177">
        <v>10</v>
      </c>
      <c r="C38" s="316" t="str">
        <f>_xlfn.IFNA(VLOOKUP(A38,Candidats!A$3:B$19,2,0),"")</f>
        <v/>
      </c>
      <c r="D38" s="317"/>
      <c r="E38" s="285" t="e">
        <f t="shared" si="20"/>
        <v>#VALUE!</v>
      </c>
      <c r="F38" s="286"/>
      <c r="AB38" s="14"/>
      <c r="AC38" s="13"/>
    </row>
    <row r="39" spans="1:50" x14ac:dyDescent="0.25">
      <c r="A39" s="180" t="str">
        <f t="shared" si="19"/>
        <v/>
      </c>
      <c r="B39" s="177">
        <v>11</v>
      </c>
      <c r="C39" s="316" t="str">
        <f>_xlfn.IFNA(VLOOKUP(A39,Candidats!A$3:B$19,2,0),"")</f>
        <v/>
      </c>
      <c r="D39" s="317"/>
      <c r="E39" s="285" t="e">
        <f t="shared" si="20"/>
        <v>#VALUE!</v>
      </c>
      <c r="F39" s="286"/>
      <c r="AB39" s="14"/>
      <c r="AC39" s="13"/>
    </row>
    <row r="40" spans="1:50" x14ac:dyDescent="0.25">
      <c r="A40" s="180" t="str">
        <f t="shared" si="19"/>
        <v/>
      </c>
      <c r="B40" s="177">
        <v>12</v>
      </c>
      <c r="C40" s="316" t="str">
        <f>_xlfn.IFNA(VLOOKUP(A40,Candidats!A$3:B$19,2,0),"")</f>
        <v/>
      </c>
      <c r="D40" s="317"/>
      <c r="E40" s="285" t="e">
        <f t="shared" si="20"/>
        <v>#VALUE!</v>
      </c>
      <c r="F40" s="286"/>
      <c r="AB40" s="14"/>
      <c r="AC40" s="13"/>
    </row>
    <row r="41" spans="1:50" x14ac:dyDescent="0.25">
      <c r="A41" s="180" t="str">
        <f t="shared" si="19"/>
        <v/>
      </c>
      <c r="B41" s="177">
        <v>13</v>
      </c>
      <c r="C41" s="316" t="str">
        <f>_xlfn.IFNA(VLOOKUP(A41,Candidats!A$3:B$19,2,0),"")</f>
        <v/>
      </c>
      <c r="D41" s="317"/>
      <c r="E41" s="285" t="e">
        <f t="shared" si="20"/>
        <v>#VALUE!</v>
      </c>
      <c r="F41" s="286"/>
      <c r="AB41" s="14"/>
      <c r="AC41" s="13"/>
    </row>
    <row r="42" spans="1:50" x14ac:dyDescent="0.25">
      <c r="A42" s="180" t="str">
        <f t="shared" si="19"/>
        <v/>
      </c>
      <c r="B42" s="177">
        <v>14</v>
      </c>
      <c r="C42" s="316" t="str">
        <f>_xlfn.IFNA(VLOOKUP(A42,Candidats!A$3:B$19,2,0),"")</f>
        <v/>
      </c>
      <c r="D42" s="317"/>
      <c r="E42" s="285" t="e">
        <f t="shared" si="20"/>
        <v>#VALUE!</v>
      </c>
      <c r="F42" s="286"/>
    </row>
    <row r="43" spans="1:50" x14ac:dyDescent="0.25">
      <c r="A43" s="180" t="str">
        <f t="shared" si="19"/>
        <v/>
      </c>
      <c r="B43" s="177">
        <v>15</v>
      </c>
      <c r="C43" s="316" t="str">
        <f>_xlfn.IFNA(VLOOKUP(A43,Candidats!A$3:B$19,2,0),"")</f>
        <v/>
      </c>
      <c r="D43" s="317"/>
      <c r="E43" s="285" t="e">
        <f t="shared" si="20"/>
        <v>#VALUE!</v>
      </c>
      <c r="F43" s="286"/>
    </row>
    <row r="44" spans="1:50" ht="15.75" thickBot="1" x14ac:dyDescent="0.3">
      <c r="A44" s="181" t="str">
        <f t="shared" si="19"/>
        <v/>
      </c>
      <c r="B44" s="178">
        <v>16</v>
      </c>
      <c r="C44" s="318" t="str">
        <f>_xlfn.IFNA(VLOOKUP(A44,Candidats!A$3:B$19,2,0),"")</f>
        <v/>
      </c>
      <c r="D44" s="319"/>
      <c r="E44" s="287" t="e">
        <f t="shared" si="20"/>
        <v>#VALUE!</v>
      </c>
      <c r="F44" s="288"/>
    </row>
    <row r="45" spans="1:50" x14ac:dyDescent="0.25">
      <c r="A45" s="2"/>
      <c r="B45" s="2"/>
      <c r="C45" s="2"/>
    </row>
  </sheetData>
  <sheetProtection algorithmName="SHA-512" hashValue="V6h4ab+v/KMclN03J9TH/C8df66bxBkEGnA9iYRtVrpfdKO7auJQBM+Lr5VTY6kZvIuodY+J2HMplwLsXvIDRQ==" saltValue="8a6fUIR3WeLDzxLWmYIpKg==" spinCount="100000" sheet="1" objects="1" scenarios="1"/>
  <mergeCells count="68">
    <mergeCell ref="C44:D44"/>
    <mergeCell ref="C39:D39"/>
    <mergeCell ref="C40:D40"/>
    <mergeCell ref="C41:D41"/>
    <mergeCell ref="C42:D42"/>
    <mergeCell ref="C43:D43"/>
    <mergeCell ref="C34:D34"/>
    <mergeCell ref="C35:D35"/>
    <mergeCell ref="C36:D36"/>
    <mergeCell ref="C37:D37"/>
    <mergeCell ref="C38:D38"/>
    <mergeCell ref="C29:D29"/>
    <mergeCell ref="C30:D30"/>
    <mergeCell ref="C31:D31"/>
    <mergeCell ref="C32:D32"/>
    <mergeCell ref="C33:D33"/>
    <mergeCell ref="B23:D23"/>
    <mergeCell ref="B24:D24"/>
    <mergeCell ref="B25:D25"/>
    <mergeCell ref="B26:D26"/>
    <mergeCell ref="C28:D28"/>
    <mergeCell ref="X22:Z22"/>
    <mergeCell ref="F22:H22"/>
    <mergeCell ref="F21:H21"/>
    <mergeCell ref="A21:D21"/>
    <mergeCell ref="B22:D22"/>
    <mergeCell ref="I22:K22"/>
    <mergeCell ref="L22:N22"/>
    <mergeCell ref="O22:Q22"/>
    <mergeCell ref="R22:T22"/>
    <mergeCell ref="U22:W22"/>
    <mergeCell ref="A1:AI1"/>
    <mergeCell ref="N2:Q2"/>
    <mergeCell ref="V2:Y2"/>
    <mergeCell ref="Z2:AC2"/>
    <mergeCell ref="F2:I2"/>
    <mergeCell ref="R2:U2"/>
    <mergeCell ref="J2:M2"/>
    <mergeCell ref="B2:E2"/>
    <mergeCell ref="E30:F30"/>
    <mergeCell ref="E28:F28"/>
    <mergeCell ref="E29:F29"/>
    <mergeCell ref="E31:F31"/>
    <mergeCell ref="AG21:AH21"/>
    <mergeCell ref="AG22:AH22"/>
    <mergeCell ref="AD22:AF22"/>
    <mergeCell ref="AA21:AC21"/>
    <mergeCell ref="AD21:AF21"/>
    <mergeCell ref="O21:Q21"/>
    <mergeCell ref="L21:N21"/>
    <mergeCell ref="I21:K21"/>
    <mergeCell ref="R21:T21"/>
    <mergeCell ref="U21:W21"/>
    <mergeCell ref="X21:Z21"/>
    <mergeCell ref="AA22:AC22"/>
    <mergeCell ref="E32:F32"/>
    <mergeCell ref="E33:F33"/>
    <mergeCell ref="E34:F34"/>
    <mergeCell ref="E35:F35"/>
    <mergeCell ref="E36:F36"/>
    <mergeCell ref="E42:F42"/>
    <mergeCell ref="E43:F43"/>
    <mergeCell ref="E44:F44"/>
    <mergeCell ref="E37:F37"/>
    <mergeCell ref="E38:F38"/>
    <mergeCell ref="E39:F39"/>
    <mergeCell ref="E40:F40"/>
    <mergeCell ref="E41:F41"/>
  </mergeCells>
  <phoneticPr fontId="3" type="noConversion"/>
  <conditionalFormatting sqref="A4:AI19">
    <cfRule type="expression" dxfId="45" priority="23">
      <formula>$A4=""</formula>
    </cfRule>
  </conditionalFormatting>
  <conditionalFormatting sqref="F21:H22">
    <cfRule type="expression" dxfId="44" priority="21">
      <formula>$F$22&lt;&gt;0</formula>
    </cfRule>
  </conditionalFormatting>
  <conditionalFormatting sqref="I21:K22">
    <cfRule type="expression" dxfId="43" priority="20">
      <formula>$I$22&lt;&gt;0</formula>
    </cfRule>
  </conditionalFormatting>
  <conditionalFormatting sqref="O21:Q22 R21:AF21">
    <cfRule type="expression" dxfId="42" priority="18">
      <formula>$O$22&lt;&gt;0</formula>
    </cfRule>
  </conditionalFormatting>
  <conditionalFormatting sqref="U22">
    <cfRule type="expression" dxfId="41" priority="17">
      <formula>$U$22&lt;&gt;0</formula>
    </cfRule>
  </conditionalFormatting>
  <conditionalFormatting sqref="X22">
    <cfRule type="expression" dxfId="40" priority="16">
      <formula>$X$22&lt;&gt;0</formula>
    </cfRule>
  </conditionalFormatting>
  <conditionalFormatting sqref="AA22">
    <cfRule type="expression" dxfId="39" priority="14">
      <formula>$AA$22&lt;&gt;0</formula>
    </cfRule>
  </conditionalFormatting>
  <conditionalFormatting sqref="AD22">
    <cfRule type="expression" dxfId="38" priority="12">
      <formula>$AD$22&lt;&gt;0</formula>
    </cfRule>
  </conditionalFormatting>
  <conditionalFormatting sqref="B26">
    <cfRule type="expression" dxfId="37" priority="11">
      <formula>$B$26&lt;&gt;""</formula>
    </cfRule>
  </conditionalFormatting>
  <conditionalFormatting sqref="AG21:AG22 AI21:AI22">
    <cfRule type="expression" dxfId="36" priority="10">
      <formula>$AG$22&lt;&gt;0</formula>
    </cfRule>
  </conditionalFormatting>
  <conditionalFormatting sqref="B29:B44">
    <cfRule type="expression" dxfId="35" priority="1">
      <formula>$A29=""</formula>
    </cfRule>
    <cfRule type="expression" dxfId="34" priority="9">
      <formula>$A29&lt;&gt;""</formula>
    </cfRule>
  </conditionalFormatting>
  <conditionalFormatting sqref="L21:N22">
    <cfRule type="expression" dxfId="33" priority="19">
      <formula>$L$22&lt;&gt;0</formula>
    </cfRule>
  </conditionalFormatting>
  <conditionalFormatting sqref="R22:T22">
    <cfRule type="expression" dxfId="32" priority="6">
      <formula>$R$22&lt;&gt;0</formula>
    </cfRule>
  </conditionalFormatting>
  <conditionalFormatting sqref="E29:E44">
    <cfRule type="expression" dxfId="31" priority="5">
      <formula>$A29=""</formula>
    </cfRule>
  </conditionalFormatting>
  <conditionalFormatting sqref="E28:E44">
    <cfRule type="expression" dxfId="30" priority="4">
      <formula>$B$24="GDB fixe"</formula>
    </cfRule>
  </conditionalFormatting>
  <conditionalFormatting sqref="E28">
    <cfRule type="expression" dxfId="29" priority="3">
      <formula>$B$24="GDB fixe"</formula>
    </cfRule>
  </conditionalFormatting>
  <pageMargins left="0.7" right="0.7" top="0.75" bottom="0.75" header="0.3" footer="0.3"/>
  <pageSetup paperSize="8" scale="77" orientation="landscape" r:id="rId1"/>
  <ignoredErrors>
    <ignoredError sqref="F6" formula="1"/>
    <ignoredError sqref="W13 W14:W19 W10:W12 S19 S12 S10:S11 S13:S18 G10:G19 S5:S9 S4 V4:W4 V5:W9 AL4:AL19 E29:F44" evalError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8AC389-9133-49D1-9DF1-B378FBCF40EE}">
  <dimension ref="A1:L12"/>
  <sheetViews>
    <sheetView workbookViewId="0">
      <selection activeCell="C14" sqref="C14"/>
    </sheetView>
  </sheetViews>
  <sheetFormatPr baseColWidth="10" defaultRowHeight="15" x14ac:dyDescent="0.25"/>
  <cols>
    <col min="1" max="1" width="27.7109375" customWidth="1"/>
    <col min="2" max="9" width="20.7109375" customWidth="1"/>
    <col min="10" max="10" width="14.28515625" hidden="1" customWidth="1"/>
    <col min="11" max="11" width="13.42578125" hidden="1" customWidth="1"/>
  </cols>
  <sheetData>
    <row r="1" spans="1:12" ht="15.75" thickBot="1" x14ac:dyDescent="0.3">
      <c r="A1" s="4" t="s">
        <v>5</v>
      </c>
      <c r="B1" s="66" t="s">
        <v>120</v>
      </c>
      <c r="C1" s="4" t="s">
        <v>121</v>
      </c>
      <c r="D1" s="128" t="s">
        <v>122</v>
      </c>
      <c r="E1" s="4" t="s">
        <v>123</v>
      </c>
      <c r="F1" s="4" t="s">
        <v>124</v>
      </c>
      <c r="G1" s="66" t="s">
        <v>125</v>
      </c>
      <c r="H1" s="4" t="s">
        <v>126</v>
      </c>
      <c r="I1" s="134" t="s">
        <v>127</v>
      </c>
      <c r="J1" s="1" t="s">
        <v>15</v>
      </c>
    </row>
    <row r="2" spans="1:12" x14ac:dyDescent="0.25">
      <c r="A2" s="121" t="s">
        <v>9</v>
      </c>
      <c r="B2" s="122">
        <v>0.25</v>
      </c>
      <c r="C2" s="123">
        <v>0.25</v>
      </c>
      <c r="D2" s="129">
        <v>0.1</v>
      </c>
      <c r="E2" s="123">
        <v>0.1</v>
      </c>
      <c r="F2" s="123">
        <v>0.1</v>
      </c>
      <c r="G2" s="122">
        <v>0.1</v>
      </c>
      <c r="H2" s="123">
        <v>0.1</v>
      </c>
      <c r="I2" s="3" t="s">
        <v>41</v>
      </c>
      <c r="J2" s="21" t="s">
        <v>17</v>
      </c>
      <c r="K2" t="s">
        <v>17</v>
      </c>
    </row>
    <row r="3" spans="1:12" ht="15.75" thickBot="1" x14ac:dyDescent="0.3">
      <c r="A3" s="124" t="s">
        <v>8</v>
      </c>
      <c r="B3" s="125">
        <v>0.05</v>
      </c>
      <c r="C3" s="126">
        <v>0.15</v>
      </c>
      <c r="D3" s="130">
        <v>0.05</v>
      </c>
      <c r="E3" s="126">
        <v>0.05</v>
      </c>
      <c r="F3" s="126">
        <v>0.2</v>
      </c>
      <c r="G3" s="127">
        <v>0.25</v>
      </c>
      <c r="H3" s="126">
        <v>0.25</v>
      </c>
      <c r="I3" s="150" t="s">
        <v>41</v>
      </c>
      <c r="J3" s="22" t="s">
        <v>16</v>
      </c>
      <c r="K3" t="s">
        <v>16</v>
      </c>
    </row>
    <row r="4" spans="1:12" ht="15.75" thickTop="1" x14ac:dyDescent="0.25">
      <c r="A4" s="121" t="s">
        <v>6</v>
      </c>
      <c r="B4" s="136">
        <v>13</v>
      </c>
      <c r="C4" s="119">
        <v>2</v>
      </c>
      <c r="D4" s="149">
        <v>0</v>
      </c>
      <c r="E4" s="121">
        <v>0</v>
      </c>
      <c r="F4" s="121" t="s">
        <v>41</v>
      </c>
      <c r="G4" s="121" t="s">
        <v>41</v>
      </c>
      <c r="H4" s="121" t="s">
        <v>41</v>
      </c>
      <c r="I4" s="121">
        <v>0</v>
      </c>
      <c r="L4" s="143"/>
    </row>
    <row r="5" spans="1:12" x14ac:dyDescent="0.25">
      <c r="A5" s="121" t="s">
        <v>35</v>
      </c>
      <c r="B5" s="136">
        <v>11</v>
      </c>
      <c r="C5" s="121">
        <v>1.5</v>
      </c>
      <c r="D5" s="132">
        <v>20</v>
      </c>
      <c r="E5" s="121">
        <v>5</v>
      </c>
      <c r="F5" s="121" t="s">
        <v>41</v>
      </c>
      <c r="G5" s="121" t="s">
        <v>41</v>
      </c>
      <c r="H5" s="121" t="s">
        <v>41</v>
      </c>
      <c r="I5" s="121">
        <v>1</v>
      </c>
      <c r="L5" s="144"/>
    </row>
    <row r="6" spans="1:12" x14ac:dyDescent="0.25">
      <c r="A6" s="121" t="s">
        <v>36</v>
      </c>
      <c r="B6" s="136">
        <v>10</v>
      </c>
      <c r="C6" s="121">
        <v>1.4</v>
      </c>
      <c r="D6" s="131">
        <v>24</v>
      </c>
      <c r="E6" s="121">
        <v>6</v>
      </c>
      <c r="F6" s="121" t="s">
        <v>41</v>
      </c>
      <c r="G6" s="121" t="s">
        <v>41</v>
      </c>
      <c r="H6" s="121" t="s">
        <v>41</v>
      </c>
      <c r="I6" s="121">
        <v>2</v>
      </c>
      <c r="L6" s="144"/>
    </row>
    <row r="7" spans="1:12" x14ac:dyDescent="0.25">
      <c r="A7" s="121" t="s">
        <v>37</v>
      </c>
      <c r="B7" s="136">
        <v>9</v>
      </c>
      <c r="C7" s="121">
        <v>1.3</v>
      </c>
      <c r="D7" s="132">
        <v>29</v>
      </c>
      <c r="E7" s="121">
        <v>7</v>
      </c>
      <c r="F7" s="121" t="s">
        <v>41</v>
      </c>
      <c r="G7" s="121" t="s">
        <v>41</v>
      </c>
      <c r="H7" s="121" t="s">
        <v>41</v>
      </c>
      <c r="I7" s="121">
        <v>3</v>
      </c>
      <c r="L7" s="144"/>
    </row>
    <row r="8" spans="1:12" x14ac:dyDescent="0.25">
      <c r="A8" s="121" t="s">
        <v>38</v>
      </c>
      <c r="B8" s="136">
        <v>8</v>
      </c>
      <c r="C8" s="121">
        <v>1.2</v>
      </c>
      <c r="D8" s="131">
        <v>34</v>
      </c>
      <c r="E8" s="121">
        <v>8</v>
      </c>
      <c r="F8" s="121" t="s">
        <v>41</v>
      </c>
      <c r="G8" s="121" t="s">
        <v>41</v>
      </c>
      <c r="H8" s="121" t="s">
        <v>41</v>
      </c>
      <c r="I8" s="121">
        <v>4</v>
      </c>
      <c r="L8" s="144"/>
    </row>
    <row r="9" spans="1:12" x14ac:dyDescent="0.25">
      <c r="A9" s="121" t="s">
        <v>39</v>
      </c>
      <c r="B9" s="136">
        <v>7</v>
      </c>
      <c r="C9" s="121">
        <v>1.1000000000000001</v>
      </c>
      <c r="D9" s="132">
        <v>40</v>
      </c>
      <c r="E9" s="121">
        <v>9</v>
      </c>
      <c r="F9" s="121" t="s">
        <v>41</v>
      </c>
      <c r="G9" s="121" t="s">
        <v>41</v>
      </c>
      <c r="H9" s="121" t="s">
        <v>41</v>
      </c>
      <c r="I9" s="121">
        <v>5</v>
      </c>
      <c r="L9" s="144"/>
    </row>
    <row r="10" spans="1:12" ht="15.75" thickBot="1" x14ac:dyDescent="0.3">
      <c r="A10" s="121" t="s">
        <v>40</v>
      </c>
      <c r="B10" s="136">
        <v>0</v>
      </c>
      <c r="C10" s="119">
        <v>0</v>
      </c>
      <c r="D10" s="133">
        <v>50</v>
      </c>
      <c r="E10" s="121">
        <v>10</v>
      </c>
      <c r="F10" s="121" t="s">
        <v>41</v>
      </c>
      <c r="G10" s="121" t="s">
        <v>41</v>
      </c>
      <c r="H10" s="121" t="s">
        <v>41</v>
      </c>
      <c r="I10" s="135">
        <v>6</v>
      </c>
      <c r="L10" s="143"/>
    </row>
    <row r="12" spans="1:12" x14ac:dyDescent="0.25">
      <c r="A12" s="120"/>
      <c r="B12" s="120"/>
      <c r="C12" s="120"/>
      <c r="D12" s="120"/>
      <c r="E12" s="120"/>
      <c r="F12" s="120"/>
      <c r="G12" s="120"/>
      <c r="H12" s="120"/>
    </row>
  </sheetData>
  <sheetProtection algorithmName="SHA-512" hashValue="E7RJcAOzFJCt/7FwzIokCpB3ymYaNF0P2EHZVe5f8GUXakMMPQJ9ieXm5nT6MzbtCy0vu1BrPY952JBIiXj4Zg==" saltValue="F1l7wEZhA4cVRjDgq+wFCg==" spinCount="100000" sheet="1" objects="1" scenarios="1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4DC221-5815-4D96-9360-AF4F619C2D84}">
  <dimension ref="A1:B2"/>
  <sheetViews>
    <sheetView workbookViewId="0">
      <selection activeCell="I23" sqref="I23"/>
    </sheetView>
  </sheetViews>
  <sheetFormatPr baseColWidth="10" defaultRowHeight="15" x14ac:dyDescent="0.25"/>
  <cols>
    <col min="1" max="1" width="21" bestFit="1" customWidth="1"/>
    <col min="2" max="2" width="31" bestFit="1" customWidth="1"/>
  </cols>
  <sheetData>
    <row r="1" spans="1:2" x14ac:dyDescent="0.25">
      <c r="A1" s="185" t="s">
        <v>59</v>
      </c>
      <c r="B1" t="s">
        <v>61</v>
      </c>
    </row>
    <row r="2" spans="1:2" x14ac:dyDescent="0.25">
      <c r="A2" s="14" t="s">
        <v>60</v>
      </c>
      <c r="B2" s="18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3F987-5B67-4BE3-871C-138724494376}">
  <dimension ref="A1:M32"/>
  <sheetViews>
    <sheetView workbookViewId="0">
      <selection activeCell="L21" sqref="L21"/>
    </sheetView>
  </sheetViews>
  <sheetFormatPr baseColWidth="10" defaultRowHeight="15" x14ac:dyDescent="0.25"/>
  <cols>
    <col min="1" max="1" width="28.7109375" customWidth="1"/>
    <col min="2" max="2" width="23.140625" bestFit="1" customWidth="1"/>
    <col min="3" max="3" width="22.7109375" bestFit="1" customWidth="1"/>
    <col min="4" max="4" width="15.5703125" bestFit="1" customWidth="1"/>
    <col min="5" max="5" width="26" bestFit="1" customWidth="1"/>
    <col min="6" max="6" width="18.85546875" bestFit="1" customWidth="1"/>
    <col min="7" max="7" width="20.85546875" bestFit="1" customWidth="1"/>
    <col min="8" max="8" width="13.7109375" bestFit="1" customWidth="1"/>
    <col min="9" max="9" width="23.140625" bestFit="1" customWidth="1"/>
    <col min="10" max="10" width="16" bestFit="1" customWidth="1"/>
    <col min="11" max="11" width="26.28515625" bestFit="1" customWidth="1"/>
    <col min="12" max="12" width="14.7109375" bestFit="1" customWidth="1"/>
    <col min="13" max="13" width="17" bestFit="1" customWidth="1"/>
  </cols>
  <sheetData>
    <row r="1" spans="1:13" ht="15.75" thickBot="1" x14ac:dyDescent="0.3">
      <c r="A1" s="61" t="s">
        <v>3</v>
      </c>
      <c r="B1" s="145" t="s">
        <v>128</v>
      </c>
      <c r="C1" s="145" t="s">
        <v>129</v>
      </c>
      <c r="D1" s="145" t="s">
        <v>130</v>
      </c>
      <c r="E1" s="145" t="s">
        <v>131</v>
      </c>
      <c r="F1" s="145" t="s">
        <v>132</v>
      </c>
      <c r="G1" s="145" t="s">
        <v>133</v>
      </c>
      <c r="H1" s="145" t="s">
        <v>134</v>
      </c>
      <c r="I1" s="145" t="s">
        <v>135</v>
      </c>
      <c r="J1" s="145" t="s">
        <v>136</v>
      </c>
      <c r="K1" s="145" t="s">
        <v>125</v>
      </c>
      <c r="L1" s="145" t="s">
        <v>126</v>
      </c>
      <c r="M1" s="60" t="s">
        <v>127</v>
      </c>
    </row>
    <row r="2" spans="1:13" x14ac:dyDescent="0.25">
      <c r="A2" s="183" t="str">
        <f>IF(Synthèse!A4&lt;&gt;"",Synthèse!A4,"")</f>
        <v/>
      </c>
      <c r="B2" s="184" t="str">
        <f>IF(Tableau1[[#This Row],[Candidats]]="","",Synthèse!AD4)</f>
        <v/>
      </c>
      <c r="C2" s="156" t="str">
        <f>IF(Tableau1[[#This Row],[Candidats]]="","",Synthèse!B4)</f>
        <v/>
      </c>
      <c r="D2" s="156" t="str">
        <f>IF(Tableau1[[#This Row],[Candidats]]="","",Synthèse!C4)</f>
        <v/>
      </c>
      <c r="E2" s="156" t="str">
        <f>IF(Tableau1[[#This Row],[Candidats]]="","",Synthèse!F4)</f>
        <v/>
      </c>
      <c r="F2" s="156" t="str">
        <f>IF(Tableau1[[#This Row],[Candidats]]="","",Synthèse!G4)</f>
        <v/>
      </c>
      <c r="G2" s="156" t="str">
        <f>IF(Tableau1[[#This Row],[Candidats]]="","",Synthèse!J4)</f>
        <v/>
      </c>
      <c r="H2" s="156" t="str">
        <f>IF(Tableau1[[#This Row],[Candidats]]="","",Synthèse!K4)</f>
        <v/>
      </c>
      <c r="I2" s="156" t="str">
        <f>IF(Tableau1[[#This Row],[Candidats]]="","",Synthèse!N4)</f>
        <v/>
      </c>
      <c r="J2" s="156" t="str">
        <f>IF(Tableau1[[#This Row],[Candidats]]="","",Synthèse!O4)</f>
        <v/>
      </c>
      <c r="K2" s="156" t="str">
        <f>IF(Tableau1[[#This Row],[Candidats]]="","",Synthèse!S4)</f>
        <v/>
      </c>
      <c r="L2" s="156" t="str">
        <f>IF(Tableau1[[#This Row],[Candidats]]="","",Synthèse!W4)</f>
        <v/>
      </c>
      <c r="M2" s="182" t="str">
        <f>IF(Tableau1[[#This Row],[Candidats]]="","",Synthèse!AA4)</f>
        <v/>
      </c>
    </row>
    <row r="3" spans="1:13" x14ac:dyDescent="0.25">
      <c r="A3" s="183" t="str">
        <f>IF(Synthèse!A5&lt;&gt;"",Synthèse!A5,"")</f>
        <v/>
      </c>
      <c r="B3" s="184" t="str">
        <f>IF(Tableau1[[#This Row],[Candidats]]="","",Synthèse!AD5)</f>
        <v/>
      </c>
      <c r="C3" s="156" t="str">
        <f>IF(Tableau1[[#This Row],[Candidats]]="","",Synthèse!B5)</f>
        <v/>
      </c>
      <c r="D3" s="156" t="str">
        <f>IF(Tableau1[[#This Row],[Candidats]]="","",Synthèse!C5)</f>
        <v/>
      </c>
      <c r="E3" s="156" t="str">
        <f>IF(Tableau1[[#This Row],[Candidats]]="","",Synthèse!F5)</f>
        <v/>
      </c>
      <c r="F3" s="156" t="str">
        <f>IF(Tableau1[[#This Row],[Candidats]]="","",Synthèse!G5)</f>
        <v/>
      </c>
      <c r="G3" s="156" t="str">
        <f>IF(Tableau1[[#This Row],[Candidats]]="","",Synthèse!J5)</f>
        <v/>
      </c>
      <c r="H3" s="156" t="str">
        <f>IF(Tableau1[[#This Row],[Candidats]]="","",Synthèse!K5)</f>
        <v/>
      </c>
      <c r="I3" s="156" t="str">
        <f>IF(Tableau1[[#This Row],[Candidats]]="","",Synthèse!N5)</f>
        <v/>
      </c>
      <c r="J3" s="156" t="str">
        <f>IF(Tableau1[[#This Row],[Candidats]]="","",Synthèse!O5)</f>
        <v/>
      </c>
      <c r="K3" s="156" t="str">
        <f>IF(Tableau1[[#This Row],[Candidats]]="","",Synthèse!S5)</f>
        <v/>
      </c>
      <c r="L3" s="156" t="str">
        <f>IF(Tableau1[[#This Row],[Candidats]]="","",Synthèse!W5)</f>
        <v/>
      </c>
      <c r="M3" s="182" t="str">
        <f>IF(Tableau1[[#This Row],[Candidats]]="","",Synthèse!AA5)</f>
        <v/>
      </c>
    </row>
    <row r="4" spans="1:13" x14ac:dyDescent="0.25">
      <c r="A4" s="183" t="str">
        <f>IF(Synthèse!A6&lt;&gt;"",Synthèse!A6,"")</f>
        <v/>
      </c>
      <c r="B4" s="184" t="str">
        <f>IF(Tableau1[[#This Row],[Candidats]]="","",Synthèse!AD6)</f>
        <v/>
      </c>
      <c r="C4" s="156" t="str">
        <f>IF(Tableau1[[#This Row],[Candidats]]="","",Synthèse!B6)</f>
        <v/>
      </c>
      <c r="D4" s="156" t="str">
        <f>IF(Tableau1[[#This Row],[Candidats]]="","",Synthèse!C6)</f>
        <v/>
      </c>
      <c r="E4" s="156" t="str">
        <f>IF(Tableau1[[#This Row],[Candidats]]="","",Synthèse!F6)</f>
        <v/>
      </c>
      <c r="F4" s="156" t="str">
        <f>IF(Tableau1[[#This Row],[Candidats]]="","",Synthèse!G6)</f>
        <v/>
      </c>
      <c r="G4" s="156" t="str">
        <f>IF(Tableau1[[#This Row],[Candidats]]="","",Synthèse!J6)</f>
        <v/>
      </c>
      <c r="H4" s="156" t="str">
        <f>IF(Tableau1[[#This Row],[Candidats]]="","",Synthèse!K6)</f>
        <v/>
      </c>
      <c r="I4" s="156" t="str">
        <f>IF(Tableau1[[#This Row],[Candidats]]="","",Synthèse!N6)</f>
        <v/>
      </c>
      <c r="J4" s="156" t="str">
        <f>IF(Tableau1[[#This Row],[Candidats]]="","",Synthèse!O6)</f>
        <v/>
      </c>
      <c r="K4" s="156" t="str">
        <f>IF(Tableau1[[#This Row],[Candidats]]="","",Synthèse!S6)</f>
        <v/>
      </c>
      <c r="L4" s="156" t="str">
        <f>IF(Tableau1[[#This Row],[Candidats]]="","",Synthèse!W6)</f>
        <v/>
      </c>
      <c r="M4" s="182" t="str">
        <f>IF(Tableau1[[#This Row],[Candidats]]="","",Synthèse!AA6)</f>
        <v/>
      </c>
    </row>
    <row r="5" spans="1:13" x14ac:dyDescent="0.25">
      <c r="A5" s="183" t="str">
        <f>IF(Synthèse!A7&lt;&gt;"",Synthèse!A7,"")</f>
        <v/>
      </c>
      <c r="B5" s="184" t="str">
        <f>IF(Tableau1[[#This Row],[Candidats]]="","",Synthèse!AD7)</f>
        <v/>
      </c>
      <c r="C5" s="156" t="str">
        <f>IF(Tableau1[[#This Row],[Candidats]]="","",Synthèse!B7)</f>
        <v/>
      </c>
      <c r="D5" s="156" t="str">
        <f>IF(Tableau1[[#This Row],[Candidats]]="","",Synthèse!C7)</f>
        <v/>
      </c>
      <c r="E5" s="156" t="str">
        <f>IF(Tableau1[[#This Row],[Candidats]]="","",Synthèse!F7)</f>
        <v/>
      </c>
      <c r="F5" s="156" t="str">
        <f>IF(Tableau1[[#This Row],[Candidats]]="","",Synthèse!G7)</f>
        <v/>
      </c>
      <c r="G5" s="156" t="str">
        <f>IF(Tableau1[[#This Row],[Candidats]]="","",Synthèse!J7)</f>
        <v/>
      </c>
      <c r="H5" s="156" t="str">
        <f>IF(Tableau1[[#This Row],[Candidats]]="","",Synthèse!K7)</f>
        <v/>
      </c>
      <c r="I5" s="156" t="str">
        <f>IF(Tableau1[[#This Row],[Candidats]]="","",Synthèse!N7)</f>
        <v/>
      </c>
      <c r="J5" s="156" t="str">
        <f>IF(Tableau1[[#This Row],[Candidats]]="","",Synthèse!O7)</f>
        <v/>
      </c>
      <c r="K5" s="156" t="str">
        <f>IF(Tableau1[[#This Row],[Candidats]]="","",Synthèse!S7)</f>
        <v/>
      </c>
      <c r="L5" s="156" t="str">
        <f>IF(Tableau1[[#This Row],[Candidats]]="","",Synthèse!W7)</f>
        <v/>
      </c>
      <c r="M5" s="182" t="str">
        <f>IF(Tableau1[[#This Row],[Candidats]]="","",Synthèse!AA7)</f>
        <v/>
      </c>
    </row>
    <row r="6" spans="1:13" x14ac:dyDescent="0.25">
      <c r="A6" s="183" t="str">
        <f>IF(Synthèse!A8&lt;&gt;"",Synthèse!A8,"")</f>
        <v/>
      </c>
      <c r="B6" s="184" t="str">
        <f>IF(Tableau1[[#This Row],[Candidats]]="","",Synthèse!AD8)</f>
        <v/>
      </c>
      <c r="C6" s="156" t="str">
        <f>IF(Tableau1[[#This Row],[Candidats]]="","",Synthèse!B8)</f>
        <v/>
      </c>
      <c r="D6" s="156" t="str">
        <f>IF(Tableau1[[#This Row],[Candidats]]="","",Synthèse!C8)</f>
        <v/>
      </c>
      <c r="E6" s="156" t="str">
        <f>IF(Tableau1[[#This Row],[Candidats]]="","",Synthèse!F8)</f>
        <v/>
      </c>
      <c r="F6" s="156" t="str">
        <f>IF(Tableau1[[#This Row],[Candidats]]="","",Synthèse!G8)</f>
        <v/>
      </c>
      <c r="G6" s="156" t="str">
        <f>IF(Tableau1[[#This Row],[Candidats]]="","",Synthèse!J8)</f>
        <v/>
      </c>
      <c r="H6" s="156" t="str">
        <f>IF(Tableau1[[#This Row],[Candidats]]="","",Synthèse!K8)</f>
        <v/>
      </c>
      <c r="I6" s="156" t="str">
        <f>IF(Tableau1[[#This Row],[Candidats]]="","",Synthèse!N8)</f>
        <v/>
      </c>
      <c r="J6" s="156" t="str">
        <f>IF(Tableau1[[#This Row],[Candidats]]="","",Synthèse!O8)</f>
        <v/>
      </c>
      <c r="K6" s="156" t="str">
        <f>IF(Tableau1[[#This Row],[Candidats]]="","",Synthèse!S8)</f>
        <v/>
      </c>
      <c r="L6" s="156" t="str">
        <f>IF(Tableau1[[#This Row],[Candidats]]="","",Synthèse!W8)</f>
        <v/>
      </c>
      <c r="M6" s="182" t="str">
        <f>IF(Tableau1[[#This Row],[Candidats]]="","",Synthèse!AA8)</f>
        <v/>
      </c>
    </row>
    <row r="7" spans="1:13" x14ac:dyDescent="0.25">
      <c r="A7" s="183" t="str">
        <f>IF(Synthèse!A9&lt;&gt;"",Synthèse!A9,"")</f>
        <v/>
      </c>
      <c r="B7" s="184" t="str">
        <f>IF(Tableau1[[#This Row],[Candidats]]="","",Synthèse!AD9)</f>
        <v/>
      </c>
      <c r="C7" s="156" t="str">
        <f>IF(Tableau1[[#This Row],[Candidats]]="","",Synthèse!B9)</f>
        <v/>
      </c>
      <c r="D7" s="156" t="str">
        <f>IF(Tableau1[[#This Row],[Candidats]]="","",Synthèse!C9)</f>
        <v/>
      </c>
      <c r="E7" s="156" t="str">
        <f>IF(Tableau1[[#This Row],[Candidats]]="","",Synthèse!F9)</f>
        <v/>
      </c>
      <c r="F7" s="156" t="str">
        <f>IF(Tableau1[[#This Row],[Candidats]]="","",Synthèse!G9)</f>
        <v/>
      </c>
      <c r="G7" s="156" t="str">
        <f>IF(Tableau1[[#This Row],[Candidats]]="","",Synthèse!J9)</f>
        <v/>
      </c>
      <c r="H7" s="156" t="str">
        <f>IF(Tableau1[[#This Row],[Candidats]]="","",Synthèse!K9)</f>
        <v/>
      </c>
      <c r="I7" s="156" t="str">
        <f>IF(Tableau1[[#This Row],[Candidats]]="","",Synthèse!N9)</f>
        <v/>
      </c>
      <c r="J7" s="156" t="str">
        <f>IF(Tableau1[[#This Row],[Candidats]]="","",Synthèse!O9)</f>
        <v/>
      </c>
      <c r="K7" s="156" t="str">
        <f>IF(Tableau1[[#This Row],[Candidats]]="","",Synthèse!S9)</f>
        <v/>
      </c>
      <c r="L7" s="156" t="str">
        <f>IF(Tableau1[[#This Row],[Candidats]]="","",Synthèse!W9)</f>
        <v/>
      </c>
      <c r="M7" s="182" t="str">
        <f>IF(Tableau1[[#This Row],[Candidats]]="","",Synthèse!AA9)</f>
        <v/>
      </c>
    </row>
    <row r="8" spans="1:13" x14ac:dyDescent="0.25">
      <c r="A8" s="183" t="str">
        <f>IF(Synthèse!A10&lt;&gt;"",Synthèse!A10,"")</f>
        <v/>
      </c>
      <c r="B8" s="184" t="str">
        <f>IF(Tableau1[[#This Row],[Candidats]]="","",Synthèse!AD10)</f>
        <v/>
      </c>
      <c r="C8" s="156" t="str">
        <f>IF(Tableau1[[#This Row],[Candidats]]="","",Synthèse!B10)</f>
        <v/>
      </c>
      <c r="D8" s="156" t="str">
        <f>IF(Tableau1[[#This Row],[Candidats]]="","",Synthèse!C10)</f>
        <v/>
      </c>
      <c r="E8" s="156" t="str">
        <f>IF(Tableau1[[#This Row],[Candidats]]="","",Synthèse!F10)</f>
        <v/>
      </c>
      <c r="F8" s="156" t="str">
        <f>IF(Tableau1[[#This Row],[Candidats]]="","",Synthèse!G10)</f>
        <v/>
      </c>
      <c r="G8" s="156" t="str">
        <f>IF(Tableau1[[#This Row],[Candidats]]="","",Synthèse!J10)</f>
        <v/>
      </c>
      <c r="H8" s="156" t="str">
        <f>IF(Tableau1[[#This Row],[Candidats]]="","",Synthèse!K10)</f>
        <v/>
      </c>
      <c r="I8" s="156" t="str">
        <f>IF(Tableau1[[#This Row],[Candidats]]="","",Synthèse!N10)</f>
        <v/>
      </c>
      <c r="J8" s="156" t="str">
        <f>IF(Tableau1[[#This Row],[Candidats]]="","",Synthèse!O10)</f>
        <v/>
      </c>
      <c r="K8" s="156" t="str">
        <f>IF(Tableau1[[#This Row],[Candidats]]="","",Synthèse!S10)</f>
        <v/>
      </c>
      <c r="L8" s="156" t="str">
        <f>IF(Tableau1[[#This Row],[Candidats]]="","",Synthèse!W10)</f>
        <v/>
      </c>
      <c r="M8" s="182" t="str">
        <f>IF(Tableau1[[#This Row],[Candidats]]="","",Synthèse!AA10)</f>
        <v/>
      </c>
    </row>
    <row r="9" spans="1:13" x14ac:dyDescent="0.25">
      <c r="A9" s="183" t="str">
        <f>IF(Synthèse!A11&lt;&gt;"",Synthèse!A11,"")</f>
        <v/>
      </c>
      <c r="B9" s="184" t="str">
        <f>IF(Tableau1[[#This Row],[Candidats]]="","",Synthèse!AD11)</f>
        <v/>
      </c>
      <c r="C9" s="156" t="str">
        <f>IF(Tableau1[[#This Row],[Candidats]]="","",Synthèse!B11)</f>
        <v/>
      </c>
      <c r="D9" s="156" t="str">
        <f>IF(Tableau1[[#This Row],[Candidats]]="","",Synthèse!C11)</f>
        <v/>
      </c>
      <c r="E9" s="156" t="str">
        <f>IF(Tableau1[[#This Row],[Candidats]]="","",Synthèse!F11)</f>
        <v/>
      </c>
      <c r="F9" s="156" t="str">
        <f>IF(Tableau1[[#This Row],[Candidats]]="","",Synthèse!G11)</f>
        <v/>
      </c>
      <c r="G9" s="156" t="str">
        <f>IF(Tableau1[[#This Row],[Candidats]]="","",Synthèse!J11)</f>
        <v/>
      </c>
      <c r="H9" s="156" t="str">
        <f>IF(Tableau1[[#This Row],[Candidats]]="","",Synthèse!K11)</f>
        <v/>
      </c>
      <c r="I9" s="156" t="str">
        <f>IF(Tableau1[[#This Row],[Candidats]]="","",Synthèse!N11)</f>
        <v/>
      </c>
      <c r="J9" s="156" t="str">
        <f>IF(Tableau1[[#This Row],[Candidats]]="","",Synthèse!O11)</f>
        <v/>
      </c>
      <c r="K9" s="156" t="str">
        <f>IF(Tableau1[[#This Row],[Candidats]]="","",Synthèse!S11)</f>
        <v/>
      </c>
      <c r="L9" s="156" t="str">
        <f>IF(Tableau1[[#This Row],[Candidats]]="","",Synthèse!W11)</f>
        <v/>
      </c>
      <c r="M9" s="182" t="str">
        <f>IF(Tableau1[[#This Row],[Candidats]]="","",Synthèse!AA11)</f>
        <v/>
      </c>
    </row>
    <row r="10" spans="1:13" x14ac:dyDescent="0.25">
      <c r="A10" s="183" t="str">
        <f>IF(Synthèse!A12&lt;&gt;"",Synthèse!A12,"")</f>
        <v/>
      </c>
      <c r="B10" s="184" t="str">
        <f>IF(Tableau1[[#This Row],[Candidats]]="","",Synthèse!AD12)</f>
        <v/>
      </c>
      <c r="C10" s="156" t="str">
        <f>IF(Tableau1[[#This Row],[Candidats]]="","",Synthèse!B12)</f>
        <v/>
      </c>
      <c r="D10" s="156" t="str">
        <f>IF(Tableau1[[#This Row],[Candidats]]="","",Synthèse!C12)</f>
        <v/>
      </c>
      <c r="E10" s="156" t="str">
        <f>IF(Tableau1[[#This Row],[Candidats]]="","",Synthèse!F12)</f>
        <v/>
      </c>
      <c r="F10" s="156" t="str">
        <f>IF(Tableau1[[#This Row],[Candidats]]="","",Synthèse!G12)</f>
        <v/>
      </c>
      <c r="G10" s="156" t="str">
        <f>IF(Tableau1[[#This Row],[Candidats]]="","",Synthèse!J12)</f>
        <v/>
      </c>
      <c r="H10" s="156" t="str">
        <f>IF(Tableau1[[#This Row],[Candidats]]="","",Synthèse!K12)</f>
        <v/>
      </c>
      <c r="I10" s="156" t="str">
        <f>IF(Tableau1[[#This Row],[Candidats]]="","",Synthèse!N12)</f>
        <v/>
      </c>
      <c r="J10" s="156" t="str">
        <f>IF(Tableau1[[#This Row],[Candidats]]="","",Synthèse!O12)</f>
        <v/>
      </c>
      <c r="K10" s="156" t="str">
        <f>IF(Tableau1[[#This Row],[Candidats]]="","",Synthèse!S12)</f>
        <v/>
      </c>
      <c r="L10" s="156" t="str">
        <f>IF(Tableau1[[#This Row],[Candidats]]="","",Synthèse!W12)</f>
        <v/>
      </c>
      <c r="M10" s="182" t="str">
        <f>IF(Tableau1[[#This Row],[Candidats]]="","",Synthèse!AA12)</f>
        <v/>
      </c>
    </row>
    <row r="11" spans="1:13" x14ac:dyDescent="0.25">
      <c r="A11" s="183" t="str">
        <f>IF(Synthèse!A13&lt;&gt;"",Synthèse!A13,"")</f>
        <v/>
      </c>
      <c r="B11" s="184" t="str">
        <f>IF(Tableau1[[#This Row],[Candidats]]="","",Synthèse!AD13)</f>
        <v/>
      </c>
      <c r="C11" s="156" t="str">
        <f>IF(Tableau1[[#This Row],[Candidats]]="","",Synthèse!B13)</f>
        <v/>
      </c>
      <c r="D11" s="156" t="str">
        <f>IF(Tableau1[[#This Row],[Candidats]]="","",Synthèse!C13)</f>
        <v/>
      </c>
      <c r="E11" s="156" t="str">
        <f>IF(Tableau1[[#This Row],[Candidats]]="","",Synthèse!F13)</f>
        <v/>
      </c>
      <c r="F11" s="156" t="str">
        <f>IF(Tableau1[[#This Row],[Candidats]]="","",Synthèse!G13)</f>
        <v/>
      </c>
      <c r="G11" s="156" t="str">
        <f>IF(Tableau1[[#This Row],[Candidats]]="","",Synthèse!J13)</f>
        <v/>
      </c>
      <c r="H11" s="156" t="str">
        <f>IF(Tableau1[[#This Row],[Candidats]]="","",Synthèse!K13)</f>
        <v/>
      </c>
      <c r="I11" s="156" t="str">
        <f>IF(Tableau1[[#This Row],[Candidats]]="","",Synthèse!N13)</f>
        <v/>
      </c>
      <c r="J11" s="156" t="str">
        <f>IF(Tableau1[[#This Row],[Candidats]]="","",Synthèse!O13)</f>
        <v/>
      </c>
      <c r="K11" s="156" t="str">
        <f>IF(Tableau1[[#This Row],[Candidats]]="","",Synthèse!S13)</f>
        <v/>
      </c>
      <c r="L11" s="156" t="str">
        <f>IF(Tableau1[[#This Row],[Candidats]]="","",Synthèse!W13)</f>
        <v/>
      </c>
      <c r="M11" s="182" t="str">
        <f>IF(Tableau1[[#This Row],[Candidats]]="","",Synthèse!AA13)</f>
        <v/>
      </c>
    </row>
    <row r="12" spans="1:13" x14ac:dyDescent="0.25">
      <c r="A12" s="183" t="str">
        <f>IF(Synthèse!A14&lt;&gt;"",Synthèse!A14,"")</f>
        <v/>
      </c>
      <c r="B12" s="184" t="str">
        <f>IF(Tableau1[[#This Row],[Candidats]]="","",Synthèse!AD14)</f>
        <v/>
      </c>
      <c r="C12" s="156" t="str">
        <f>IF(Tableau1[[#This Row],[Candidats]]="","",Synthèse!B14)</f>
        <v/>
      </c>
      <c r="D12" s="156" t="str">
        <f>IF(Tableau1[[#This Row],[Candidats]]="","",Synthèse!C14)</f>
        <v/>
      </c>
      <c r="E12" s="156" t="str">
        <f>IF(Tableau1[[#This Row],[Candidats]]="","",Synthèse!F14)</f>
        <v/>
      </c>
      <c r="F12" s="156" t="str">
        <f>IF(Tableau1[[#This Row],[Candidats]]="","",Synthèse!G14)</f>
        <v/>
      </c>
      <c r="G12" s="156" t="str">
        <f>IF(Tableau1[[#This Row],[Candidats]]="","",Synthèse!J14)</f>
        <v/>
      </c>
      <c r="H12" s="156" t="str">
        <f>IF(Tableau1[[#This Row],[Candidats]]="","",Synthèse!K14)</f>
        <v/>
      </c>
      <c r="I12" s="156" t="str">
        <f>IF(Tableau1[[#This Row],[Candidats]]="","",Synthèse!N14)</f>
        <v/>
      </c>
      <c r="J12" s="156" t="str">
        <f>IF(Tableau1[[#This Row],[Candidats]]="","",Synthèse!O14)</f>
        <v/>
      </c>
      <c r="K12" s="156" t="str">
        <f>IF(Tableau1[[#This Row],[Candidats]]="","",Synthèse!S14)</f>
        <v/>
      </c>
      <c r="L12" s="156" t="str">
        <f>IF(Tableau1[[#This Row],[Candidats]]="","",Synthèse!W14)</f>
        <v/>
      </c>
      <c r="M12" s="182" t="str">
        <f>IF(Tableau1[[#This Row],[Candidats]]="","",Synthèse!AA14)</f>
        <v/>
      </c>
    </row>
    <row r="13" spans="1:13" x14ac:dyDescent="0.25">
      <c r="A13" s="183" t="str">
        <f>IF(Synthèse!A15&lt;&gt;"",Synthèse!A15,"")</f>
        <v/>
      </c>
      <c r="B13" s="184" t="str">
        <f>IF(Tableau1[[#This Row],[Candidats]]="","",Synthèse!AD15)</f>
        <v/>
      </c>
      <c r="C13" s="156" t="str">
        <f>IF(Tableau1[[#This Row],[Candidats]]="","",Synthèse!B15)</f>
        <v/>
      </c>
      <c r="D13" s="156" t="str">
        <f>IF(Tableau1[[#This Row],[Candidats]]="","",Synthèse!C15)</f>
        <v/>
      </c>
      <c r="E13" s="156" t="str">
        <f>IF(Tableau1[[#This Row],[Candidats]]="","",Synthèse!F15)</f>
        <v/>
      </c>
      <c r="F13" s="156" t="str">
        <f>IF(Tableau1[[#This Row],[Candidats]]="","",Synthèse!G15)</f>
        <v/>
      </c>
      <c r="G13" s="156" t="str">
        <f>IF(Tableau1[[#This Row],[Candidats]]="","",Synthèse!J15)</f>
        <v/>
      </c>
      <c r="H13" s="156" t="str">
        <f>IF(Tableau1[[#This Row],[Candidats]]="","",Synthèse!K15)</f>
        <v/>
      </c>
      <c r="I13" s="156" t="str">
        <f>IF(Tableau1[[#This Row],[Candidats]]="","",Synthèse!N15)</f>
        <v/>
      </c>
      <c r="J13" s="156" t="str">
        <f>IF(Tableau1[[#This Row],[Candidats]]="","",Synthèse!O15)</f>
        <v/>
      </c>
      <c r="K13" s="156" t="str">
        <f>IF(Tableau1[[#This Row],[Candidats]]="","",Synthèse!S15)</f>
        <v/>
      </c>
      <c r="L13" s="156" t="str">
        <f>IF(Tableau1[[#This Row],[Candidats]]="","",Synthèse!W15)</f>
        <v/>
      </c>
      <c r="M13" s="182" t="str">
        <f>IF(Tableau1[[#This Row],[Candidats]]="","",Synthèse!AA15)</f>
        <v/>
      </c>
    </row>
    <row r="14" spans="1:13" x14ac:dyDescent="0.25">
      <c r="A14" s="183" t="str">
        <f>IF(Synthèse!A16&lt;&gt;"",Synthèse!A16,"")</f>
        <v/>
      </c>
      <c r="B14" s="184" t="str">
        <f>IF(Tableau1[[#This Row],[Candidats]]="","",Synthèse!AD16)</f>
        <v/>
      </c>
      <c r="C14" s="156" t="str">
        <f>IF(Tableau1[[#This Row],[Candidats]]="","",Synthèse!B16)</f>
        <v/>
      </c>
      <c r="D14" s="156" t="str">
        <f>IF(Tableau1[[#This Row],[Candidats]]="","",Synthèse!C16)</f>
        <v/>
      </c>
      <c r="E14" s="156" t="str">
        <f>IF(Tableau1[[#This Row],[Candidats]]="","",Synthèse!F16)</f>
        <v/>
      </c>
      <c r="F14" s="156" t="str">
        <f>IF(Tableau1[[#This Row],[Candidats]]="","",Synthèse!G16)</f>
        <v/>
      </c>
      <c r="G14" s="156" t="str">
        <f>IF(Tableau1[[#This Row],[Candidats]]="","",Synthèse!J16)</f>
        <v/>
      </c>
      <c r="H14" s="156" t="str">
        <f>IF(Tableau1[[#This Row],[Candidats]]="","",Synthèse!K16)</f>
        <v/>
      </c>
      <c r="I14" s="156" t="str">
        <f>IF(Tableau1[[#This Row],[Candidats]]="","",Synthèse!N16)</f>
        <v/>
      </c>
      <c r="J14" s="156" t="str">
        <f>IF(Tableau1[[#This Row],[Candidats]]="","",Synthèse!O16)</f>
        <v/>
      </c>
      <c r="K14" s="156" t="str">
        <f>IF(Tableau1[[#This Row],[Candidats]]="","",Synthèse!S16)</f>
        <v/>
      </c>
      <c r="L14" s="156" t="str">
        <f>IF(Tableau1[[#This Row],[Candidats]]="","",Synthèse!W16)</f>
        <v/>
      </c>
      <c r="M14" s="182" t="str">
        <f>IF(Tableau1[[#This Row],[Candidats]]="","",Synthèse!AA16)</f>
        <v/>
      </c>
    </row>
    <row r="15" spans="1:13" x14ac:dyDescent="0.25">
      <c r="A15" s="183" t="str">
        <f>IF(Synthèse!A17&lt;&gt;"",Synthèse!A17,"")</f>
        <v/>
      </c>
      <c r="B15" s="184" t="str">
        <f>IF(Tableau1[[#This Row],[Candidats]]="","",Synthèse!AD17)</f>
        <v/>
      </c>
      <c r="C15" s="156" t="str">
        <f>IF(Tableau1[[#This Row],[Candidats]]="","",Synthèse!B17)</f>
        <v/>
      </c>
      <c r="D15" s="156" t="str">
        <f>IF(Tableau1[[#This Row],[Candidats]]="","",Synthèse!C17)</f>
        <v/>
      </c>
      <c r="E15" s="156" t="str">
        <f>IF(Tableau1[[#This Row],[Candidats]]="","",Synthèse!F17)</f>
        <v/>
      </c>
      <c r="F15" s="156" t="str">
        <f>IF(Tableau1[[#This Row],[Candidats]]="","",Synthèse!G17)</f>
        <v/>
      </c>
      <c r="G15" s="156" t="str">
        <f>IF(Tableau1[[#This Row],[Candidats]]="","",Synthèse!J17)</f>
        <v/>
      </c>
      <c r="H15" s="156" t="str">
        <f>IF(Tableau1[[#This Row],[Candidats]]="","",Synthèse!K17)</f>
        <v/>
      </c>
      <c r="I15" s="156" t="str">
        <f>IF(Tableau1[[#This Row],[Candidats]]="","",Synthèse!N17)</f>
        <v/>
      </c>
      <c r="J15" s="156" t="str">
        <f>IF(Tableau1[[#This Row],[Candidats]]="","",Synthèse!O17)</f>
        <v/>
      </c>
      <c r="K15" s="156" t="str">
        <f>IF(Tableau1[[#This Row],[Candidats]]="","",Synthèse!S17)</f>
        <v/>
      </c>
      <c r="L15" s="156" t="str">
        <f>IF(Tableau1[[#This Row],[Candidats]]="","",Synthèse!W17)</f>
        <v/>
      </c>
      <c r="M15" s="182" t="str">
        <f>IF(Tableau1[[#This Row],[Candidats]]="","",Synthèse!AA17)</f>
        <v/>
      </c>
    </row>
    <row r="16" spans="1:13" x14ac:dyDescent="0.25">
      <c r="A16" s="183" t="str">
        <f>IF(Synthèse!A18&lt;&gt;"",Synthèse!A18,"")</f>
        <v/>
      </c>
      <c r="B16" s="184" t="str">
        <f>IF(Tableau1[[#This Row],[Candidats]]="","",Synthèse!AD18)</f>
        <v/>
      </c>
      <c r="C16" s="156" t="str">
        <f>IF(Tableau1[[#This Row],[Candidats]]="","",Synthèse!B18)</f>
        <v/>
      </c>
      <c r="D16" s="156" t="str">
        <f>IF(Tableau1[[#This Row],[Candidats]]="","",Synthèse!C18)</f>
        <v/>
      </c>
      <c r="E16" s="156" t="str">
        <f>IF(Tableau1[[#This Row],[Candidats]]="","",Synthèse!F18)</f>
        <v/>
      </c>
      <c r="F16" s="156" t="str">
        <f>IF(Tableau1[[#This Row],[Candidats]]="","",Synthèse!G18)</f>
        <v/>
      </c>
      <c r="G16" s="156" t="str">
        <f>IF(Tableau1[[#This Row],[Candidats]]="","",Synthèse!J18)</f>
        <v/>
      </c>
      <c r="H16" s="156" t="str">
        <f>IF(Tableau1[[#This Row],[Candidats]]="","",Synthèse!K18)</f>
        <v/>
      </c>
      <c r="I16" s="156" t="str">
        <f>IF(Tableau1[[#This Row],[Candidats]]="","",Synthèse!N18)</f>
        <v/>
      </c>
      <c r="J16" s="156" t="str">
        <f>IF(Tableau1[[#This Row],[Candidats]]="","",Synthèse!O18)</f>
        <v/>
      </c>
      <c r="K16" s="156" t="str">
        <f>IF(Tableau1[[#This Row],[Candidats]]="","",Synthèse!S18)</f>
        <v/>
      </c>
      <c r="L16" s="156" t="str">
        <f>IF(Tableau1[[#This Row],[Candidats]]="","",Synthèse!W18)</f>
        <v/>
      </c>
      <c r="M16" s="182" t="str">
        <f>IF(Tableau1[[#This Row],[Candidats]]="","",Synthèse!AA18)</f>
        <v/>
      </c>
    </row>
    <row r="17" spans="1:13" x14ac:dyDescent="0.25">
      <c r="A17" s="183" t="str">
        <f>IF(Synthèse!A19&lt;&gt;"",Synthèse!A19,"")</f>
        <v/>
      </c>
      <c r="B17" s="184" t="str">
        <f>IF(Tableau1[[#This Row],[Candidats]]="","",Synthèse!AD19)</f>
        <v/>
      </c>
      <c r="C17" s="156" t="str">
        <f>IF(Tableau1[[#This Row],[Candidats]]="","",Synthèse!B19)</f>
        <v/>
      </c>
      <c r="D17" s="156" t="str">
        <f>IF(Tableau1[[#This Row],[Candidats]]="","",Synthèse!C19)</f>
        <v/>
      </c>
      <c r="E17" s="156" t="str">
        <f>IF(Tableau1[[#This Row],[Candidats]]="","",Synthèse!F19)</f>
        <v/>
      </c>
      <c r="F17" s="156" t="str">
        <f>IF(Tableau1[[#This Row],[Candidats]]="","",Synthèse!G19)</f>
        <v/>
      </c>
      <c r="G17" s="156" t="str">
        <f>IF(Tableau1[[#This Row],[Candidats]]="","",Synthèse!J19)</f>
        <v/>
      </c>
      <c r="H17" s="156" t="str">
        <f>IF(Tableau1[[#This Row],[Candidats]]="","",Synthèse!K19)</f>
        <v/>
      </c>
      <c r="I17" s="156" t="str">
        <f>IF(Tableau1[[#This Row],[Candidats]]="","",Synthèse!N19)</f>
        <v/>
      </c>
      <c r="J17" s="156" t="str">
        <f>IF(Tableau1[[#This Row],[Candidats]]="","",Synthèse!O19)</f>
        <v/>
      </c>
      <c r="K17" s="156" t="str">
        <f>IF(Tableau1[[#This Row],[Candidats]]="","",Synthèse!S19)</f>
        <v/>
      </c>
      <c r="L17" s="156" t="str">
        <f>IF(Tableau1[[#This Row],[Candidats]]="","",Synthèse!W19)</f>
        <v/>
      </c>
      <c r="M17" s="182" t="str">
        <f>IF(Tableau1[[#This Row],[Candidats]]="","",Synthèse!AA19)</f>
        <v/>
      </c>
    </row>
    <row r="32" spans="1:13" x14ac:dyDescent="0.25">
      <c r="E32" t="s">
        <v>58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6B9C2-EDC9-45A4-99B3-BFC39FADDE7E}">
  <dimension ref="A1:B9"/>
  <sheetViews>
    <sheetView workbookViewId="0">
      <selection activeCell="N33" sqref="N33"/>
    </sheetView>
  </sheetViews>
  <sheetFormatPr baseColWidth="10" defaultRowHeight="15" x14ac:dyDescent="0.25"/>
  <sheetData>
    <row r="1" spans="1:2" ht="15.75" thickBot="1" x14ac:dyDescent="0.3">
      <c r="A1" s="281" t="s">
        <v>48</v>
      </c>
      <c r="B1" s="282"/>
    </row>
    <row r="2" spans="1:2" ht="15.75" thickBot="1" x14ac:dyDescent="0.3">
      <c r="A2" s="1" t="str">
        <f>Tableau3[[#Headers],[Epreuves de recrutement]]</f>
        <v>Epreuves de recrutement</v>
      </c>
      <c r="B2" s="61" t="str">
        <f>Candidats!B21</f>
        <v>GDB fixe</v>
      </c>
    </row>
    <row r="3" spans="1:2" x14ac:dyDescent="0.25">
      <c r="A3" s="156" t="str">
        <f>Tableau3[[#Headers],[1]]</f>
        <v>1</v>
      </c>
      <c r="B3" s="154">
        <f>IF($B$2="GDB fixe",Chiffrement!B2,Chiffrement!B3)</f>
        <v>0.25</v>
      </c>
    </row>
    <row r="4" spans="1:2" x14ac:dyDescent="0.25">
      <c r="A4" s="156" t="str">
        <f>Tableau3[[#Headers],[2]]</f>
        <v>2</v>
      </c>
      <c r="B4" s="154">
        <f>IF($B$2="GDB fixe",Chiffrement!C2,Chiffrement!C3)</f>
        <v>0.25</v>
      </c>
    </row>
    <row r="5" spans="1:2" x14ac:dyDescent="0.25">
      <c r="A5" s="156" t="str">
        <f>Tableau3[[#Headers],[3]]</f>
        <v>3</v>
      </c>
      <c r="B5" s="154">
        <f>IF($B$2="GDB fixe",Chiffrement!D2,Chiffrement!D3)</f>
        <v>0.1</v>
      </c>
    </row>
    <row r="6" spans="1:2" x14ac:dyDescent="0.25">
      <c r="A6" s="156" t="str">
        <f>Tableau3[[#Headers],[4]]</f>
        <v>4</v>
      </c>
      <c r="B6" s="154">
        <f>IF($B$2="GDB fixe",Chiffrement!E2,Chiffrement!E3)</f>
        <v>0.1</v>
      </c>
    </row>
    <row r="7" spans="1:2" x14ac:dyDescent="0.25">
      <c r="A7" s="156" t="str">
        <f>Tableau3[[#Headers],[5]]</f>
        <v>5</v>
      </c>
      <c r="B7" s="154">
        <f>IF($B$2="GDB fixe",Chiffrement!F2,Chiffrement!F3)</f>
        <v>0.1</v>
      </c>
    </row>
    <row r="8" spans="1:2" x14ac:dyDescent="0.25">
      <c r="A8" s="156" t="str">
        <f>Tableau3[[#Headers],[6]]</f>
        <v>6</v>
      </c>
      <c r="B8" s="154">
        <f>IF($B$2="GDB fixe",Chiffrement!G2,Chiffrement!G3)</f>
        <v>0.1</v>
      </c>
    </row>
    <row r="9" spans="1:2" ht="15.75" thickBot="1" x14ac:dyDescent="0.3">
      <c r="A9" s="145" t="str">
        <f>Tableau3[[#Headers],[7]]</f>
        <v>7</v>
      </c>
      <c r="B9" s="155">
        <f>IF($B$2="GDB fixe",Chiffrement!H2,Chiffrement!H3)</f>
        <v>0.1</v>
      </c>
    </row>
  </sheetData>
  <sheetProtection algorithmName="SHA-512" hashValue="bOogRvGONfVQl2JaPsp0hgogrdSn3D8st6ra48mHard5qbdytG/2DaPq2jMFrYmVhwZnx2vGRLDpUJCx+SZLpw==" saltValue="tw49ihgus5sKDQGY05Freg==" spinCount="100000" sheet="1" objects="1" scenarios="1"/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Notice</vt:lpstr>
      <vt:lpstr>Candidats</vt:lpstr>
      <vt:lpstr>Résultats</vt:lpstr>
      <vt:lpstr>Entretiens</vt:lpstr>
      <vt:lpstr>Synthèse</vt:lpstr>
      <vt:lpstr>Chiffrement</vt:lpstr>
      <vt:lpstr>GraphNoteglobale</vt:lpstr>
      <vt:lpstr>Performances candidats</vt:lpstr>
      <vt:lpstr>Tableau a ne pas toucher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cp:lastPrinted>2023-09-29T10:01:25Z</cp:lastPrinted>
  <dcterms:created xsi:type="dcterms:W3CDTF">2015-06-05T18:19:34Z</dcterms:created>
  <dcterms:modified xsi:type="dcterms:W3CDTF">2023-09-29T10:05:07Z</dcterms:modified>
</cp:coreProperties>
</file>