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lidyafavreau/Library/Mobile Documents/com~apple~CloudDocs/LIDYA/ICADEMIE/TITRE PRO ARH/Examens/"/>
    </mc:Choice>
  </mc:AlternateContent>
  <xr:revisionPtr revIDLastSave="0" documentId="8_{A7B070FE-0A8F-4945-97D2-169743676898}" xr6:coauthVersionLast="47" xr6:coauthVersionMax="47" xr10:uidLastSave="{00000000-0000-0000-0000-000000000000}"/>
  <bookViews>
    <workbookView xWindow="0" yWindow="460" windowWidth="25600" windowHeight="14180" xr2:uid="{4074A770-8D6C-4861-9215-A6430FCB441D}"/>
  </bookViews>
  <sheets>
    <sheet name="Simulateur (2)" sheetId="3" r:id="rId1"/>
    <sheet name="Calcul IJ" sheetId="4" r:id="rId2"/>
    <sheet name="Parametres" sheetId="2" r:id="rId3"/>
  </sheets>
  <definedNames>
    <definedName name="_Annee">'Simulateur (2)'!$K$3</definedName>
    <definedName name="_Feries">t_Jours_fériés9[Date]</definedName>
    <definedName name="_Mois">'Simulateur (2)'!$K$2</definedName>
    <definedName name="_Mois_">#REF!</definedName>
    <definedName name="A_Mois">#REF!</definedName>
    <definedName name="Avril">#REF!</definedName>
    <definedName name="l_Mois">#REF!</definedName>
    <definedName name="xxx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3" i="2" l="1"/>
  <c r="D24" i="2"/>
  <c r="D25" i="2"/>
  <c r="D16" i="2"/>
  <c r="D15" i="2"/>
  <c r="G31" i="3"/>
  <c r="G30" i="3"/>
  <c r="G29" i="3"/>
  <c r="G28" i="3"/>
  <c r="E29" i="3"/>
  <c r="E30" i="3"/>
  <c r="E31" i="3"/>
  <c r="E28" i="3"/>
  <c r="F28" i="3" s="1"/>
  <c r="J21" i="3"/>
  <c r="I21" i="3"/>
  <c r="H21" i="3"/>
  <c r="H28" i="3"/>
  <c r="D35" i="3"/>
  <c r="D37" i="3" s="1"/>
  <c r="F30" i="3"/>
  <c r="F31" i="3"/>
  <c r="H29" i="3"/>
  <c r="H30" i="3"/>
  <c r="H31" i="3"/>
  <c r="B11" i="2"/>
  <c r="B10" i="2"/>
  <c r="B9" i="2"/>
  <c r="H12" i="3"/>
  <c r="D27" i="2"/>
  <c r="D26" i="2"/>
  <c r="D19" i="2"/>
  <c r="D18" i="2"/>
  <c r="B3" i="3"/>
  <c r="C3" i="3" s="1"/>
  <c r="D3" i="3" s="1"/>
  <c r="E3" i="3"/>
  <c r="F3" i="3" s="1"/>
  <c r="G3" i="3" s="1"/>
  <c r="H3" i="3" s="1"/>
  <c r="B4" i="3" s="1"/>
  <c r="C4" i="3" s="1"/>
  <c r="D4" i="3" s="1"/>
  <c r="E4" i="3" s="1"/>
  <c r="F4" i="3" s="1"/>
  <c r="G4" i="3" s="1"/>
  <c r="H4" i="3" s="1"/>
  <c r="B5" i="3" s="1"/>
  <c r="C5" i="3" s="1"/>
  <c r="D5" i="3" s="1"/>
  <c r="E5" i="3" s="1"/>
  <c r="F5" i="3" s="1"/>
  <c r="G5" i="3" s="1"/>
  <c r="H5" i="3" s="1"/>
  <c r="B6" i="3" s="1"/>
  <c r="C6" i="3" s="1"/>
  <c r="D6" i="3" s="1"/>
  <c r="E6" i="3" s="1"/>
  <c r="F6" i="3" s="1"/>
  <c r="G6" i="3" s="1"/>
  <c r="H6" i="3" s="1"/>
  <c r="B7" i="3" s="1"/>
  <c r="C7" i="3" s="1"/>
  <c r="D7" i="3" s="1"/>
  <c r="E7" i="3" s="1"/>
  <c r="F7" i="3" s="1"/>
  <c r="G7" i="3" s="1"/>
  <c r="H7" i="3" s="1"/>
  <c r="B8" i="3" s="1"/>
  <c r="C8" i="3" s="1"/>
  <c r="D8" i="3" s="1"/>
  <c r="E8" i="3" s="1"/>
  <c r="F8" i="3" s="1"/>
  <c r="G8" i="3" s="1"/>
  <c r="H8" i="3" s="1"/>
  <c r="F53" i="3"/>
  <c r="D17" i="2" l="1"/>
  <c r="D22" i="2" s="1"/>
  <c r="H35" i="3"/>
  <c r="H36" i="3" s="1"/>
  <c r="F32" i="3"/>
  <c r="D20" i="2"/>
  <c r="D21" i="2" l="1"/>
  <c r="H11" i="3" l="1"/>
  <c r="H10" i="3"/>
</calcChain>
</file>

<file path=xl/sharedStrings.xml><?xml version="1.0" encoding="utf-8"?>
<sst xmlns="http://schemas.openxmlformats.org/spreadsheetml/2006/main" count="133" uniqueCount="125">
  <si>
    <t>oui</t>
  </si>
  <si>
    <t>non</t>
  </si>
  <si>
    <t>Début d'arret</t>
  </si>
  <si>
    <t>Fin d'arret</t>
  </si>
  <si>
    <t>Total</t>
  </si>
  <si>
    <t>Maladie</t>
  </si>
  <si>
    <t>Type d'arret</t>
  </si>
  <si>
    <t>Ancienneté du salarié</t>
  </si>
  <si>
    <t>Complément de salaire</t>
  </si>
  <si>
    <t>Calcul IJSS Sécurité Sociale</t>
  </si>
  <si>
    <t>Plafond IJ maladie</t>
  </si>
  <si>
    <t>Plafond IJ accident du travail</t>
  </si>
  <si>
    <t>Plafond IJ maternité / paternité</t>
  </si>
  <si>
    <t>jusqu'au 28ème jour</t>
  </si>
  <si>
    <t>A compter du 29ème jour</t>
  </si>
  <si>
    <t>Mat / Pat</t>
  </si>
  <si>
    <t>AT</t>
  </si>
  <si>
    <t>IJSS brute totale</t>
  </si>
  <si>
    <t>IJSS nette totale</t>
  </si>
  <si>
    <t>Ancienneté</t>
  </si>
  <si>
    <t>De 1 à 5 ans</t>
  </si>
  <si>
    <t>De 6 à 10 ans</t>
  </si>
  <si>
    <t>De 11 à 15 ans</t>
  </si>
  <si>
    <t>De 16 à 20 ans</t>
  </si>
  <si>
    <t>De 21 à 25 ans</t>
  </si>
  <si>
    <t>Calcul complément employeur</t>
  </si>
  <si>
    <t>Durée d’indemnisation</t>
  </si>
  <si>
    <t>De 26 à 30 ans</t>
  </si>
  <si>
    <t>À partir de 31 ans</t>
  </si>
  <si>
    <t>40 jours à 90 %</t>
  </si>
  <si>
    <t>30 jours à 90 %</t>
  </si>
  <si>
    <t>30 jours à 66,66 %</t>
  </si>
  <si>
    <t>40 jours à 66,66 %</t>
  </si>
  <si>
    <t>50 jours à 90 %</t>
  </si>
  <si>
    <t>50 jours à 66,66 %</t>
  </si>
  <si>
    <t>60 jours à 90 %</t>
  </si>
  <si>
    <t>60 jours à 66,66 %</t>
  </si>
  <si>
    <t>70 jours à 90 %</t>
  </si>
  <si>
    <t>70 jours à 66,66 %</t>
  </si>
  <si>
    <t>80 jours à 90 %</t>
  </si>
  <si>
    <t>80 jours à 66,66 %</t>
  </si>
  <si>
    <t>90 jours à 90 %</t>
  </si>
  <si>
    <t>90 jours à 66,66 %</t>
  </si>
  <si>
    <t>Conditions d'idemnisation :</t>
  </si>
  <si>
    <t>Calcul montant perçu si le salarié avait été présent (prendre en compte le délai de carence pour le calcul de la période)</t>
  </si>
  <si>
    <t xml:space="preserve">Période du 08/08 au 15/08 soit 8 jours : </t>
  </si>
  <si>
    <t>L'employeur complète à hauteur de 90 %</t>
  </si>
  <si>
    <t xml:space="preserve">(4000 / nbre de jours ouvrés)*nbre de jours d'absence (hos samedi et dimanche) soit </t>
  </si>
  <si>
    <t>D</t>
  </si>
  <si>
    <t>S</t>
  </si>
  <si>
    <t>V</t>
  </si>
  <si>
    <t>J</t>
  </si>
  <si>
    <t>M</t>
  </si>
  <si>
    <t>L</t>
  </si>
  <si>
    <t>Avril</t>
  </si>
  <si>
    <t>Noël </t>
  </si>
  <si>
    <t>Décembre</t>
  </si>
  <si>
    <t>Armistice 14/18</t>
  </si>
  <si>
    <t>Novembre</t>
  </si>
  <si>
    <t>Toussaint</t>
  </si>
  <si>
    <t>Octobre</t>
  </si>
  <si>
    <t>Assomption</t>
  </si>
  <si>
    <t>Septembre</t>
  </si>
  <si>
    <t>Fête Nationale</t>
  </si>
  <si>
    <t>Août</t>
  </si>
  <si>
    <t>Lundi de Pentecôte</t>
  </si>
  <si>
    <t>Juillet</t>
  </si>
  <si>
    <t>Ascension</t>
  </si>
  <si>
    <t>Juin</t>
  </si>
  <si>
    <t>Mai</t>
  </si>
  <si>
    <t>Victoire 39/45</t>
  </si>
  <si>
    <t>Fête du travail</t>
  </si>
  <si>
    <t>Mars</t>
  </si>
  <si>
    <t>Lundi de Pâques</t>
  </si>
  <si>
    <t>Février</t>
  </si>
  <si>
    <t>Jour de l'an</t>
  </si>
  <si>
    <t>Janvier</t>
  </si>
  <si>
    <t>Date</t>
  </si>
  <si>
    <t>Jour férié</t>
  </si>
  <si>
    <t>Mois</t>
  </si>
  <si>
    <t>mois</t>
  </si>
  <si>
    <t>Année</t>
  </si>
  <si>
    <t>salaires des trois derniers mois</t>
  </si>
  <si>
    <t xml:space="preserve">Jours ouvrés </t>
  </si>
  <si>
    <t xml:space="preserve">Jours ouvrables </t>
  </si>
  <si>
    <t xml:space="preserve">Jours calendaires </t>
  </si>
  <si>
    <t>SS</t>
  </si>
  <si>
    <t>Employeur</t>
  </si>
  <si>
    <t>indemnisation</t>
  </si>
  <si>
    <t>Carence emp.</t>
  </si>
  <si>
    <t>Carence SS</t>
  </si>
  <si>
    <t>Liste déroulante (oui/non)</t>
  </si>
  <si>
    <t>Liste déroulante (conditions d'indemnisation)</t>
  </si>
  <si>
    <t>M-1</t>
  </si>
  <si>
    <t>M-2</t>
  </si>
  <si>
    <t>M-3</t>
  </si>
  <si>
    <t>Plafond</t>
  </si>
  <si>
    <t>IJSS Brute journalière</t>
  </si>
  <si>
    <t>Indemnisation 2</t>
  </si>
  <si>
    <t>Pâques</t>
  </si>
  <si>
    <t>Pentecôte</t>
  </si>
  <si>
    <t>SJB (Mal-Mat-Pat)</t>
  </si>
  <si>
    <t>Gain journalier (AT)</t>
  </si>
  <si>
    <t xml:space="preserve">Accident du </t>
  </si>
  <si>
    <t>Maternité</t>
  </si>
  <si>
    <t>travail</t>
  </si>
  <si>
    <t>Paternité</t>
  </si>
  <si>
    <t>Plafond SS</t>
  </si>
  <si>
    <t>Plafond IJSS brute</t>
  </si>
  <si>
    <t>205,84 (28 premiers jours)</t>
  </si>
  <si>
    <t>274,46 (à compter du 29ème j)</t>
  </si>
  <si>
    <t>Etape 1 :</t>
  </si>
  <si>
    <t>Calcul SJB</t>
  </si>
  <si>
    <t>Calcul Gain journalier</t>
  </si>
  <si>
    <t>3 derniers salaires / 91,25</t>
  </si>
  <si>
    <t>(dernier mois / 30.42) - 21%</t>
  </si>
  <si>
    <t>Etape 2 : IJ Brute</t>
  </si>
  <si>
    <t>SJB*50 %</t>
  </si>
  <si>
    <t>28 premiers jours</t>
  </si>
  <si>
    <t>SJB - 21%</t>
  </si>
  <si>
    <t>salaire brut / 30,42 * 60%</t>
  </si>
  <si>
    <t>À partir du 29eme jour</t>
  </si>
  <si>
    <t>salaire brut / 30,42 * 80%</t>
  </si>
  <si>
    <t>Etape 3 : IJ Nette</t>
  </si>
  <si>
    <t>IJ brute*93,30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</si>
</sst>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d;d;&quot;&quot;"/>
    <numFmt numFmtId="166" formatCode="General&quot; Jours&quot;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0"/>
      <color theme="4"/>
      <name val="Arial"/>
      <family val="2"/>
    </font>
    <font>
      <b/>
      <sz val="10"/>
      <color theme="4"/>
      <name val="Arial"/>
      <family val="2"/>
    </font>
    <font>
      <sz val="10"/>
      <color theme="1"/>
      <name val="ArialMT"/>
      <family val="2"/>
    </font>
    <font>
      <sz val="9"/>
      <color theme="1"/>
      <name val="ArialMT"/>
      <family val="2"/>
    </font>
    <font>
      <b/>
      <u/>
      <sz val="12"/>
      <color theme="4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MT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D966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0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4" fontId="3" fillId="3" borderId="4" xfId="0" applyNumberFormat="1" applyFont="1" applyFill="1" applyBorder="1" applyAlignment="1">
      <alignment horizontal="center" vertical="center"/>
    </xf>
    <xf numFmtId="14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5" fillId="0" borderId="0" xfId="0" applyFont="1"/>
    <xf numFmtId="14" fontId="3" fillId="3" borderId="2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4" fontId="3" fillId="3" borderId="7" xfId="0" applyNumberFormat="1" applyFont="1" applyFill="1" applyBorder="1" applyAlignment="1">
      <alignment horizontal="center" vertical="center"/>
    </xf>
    <xf numFmtId="14" fontId="3" fillId="3" borderId="8" xfId="0" applyNumberFormat="1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0" fontId="3" fillId="3" borderId="5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64" fontId="8" fillId="0" borderId="0" xfId="0" applyNumberFormat="1" applyFont="1" applyAlignment="1">
      <alignment horizontal="left" vertical="center"/>
    </xf>
    <xf numFmtId="164" fontId="3" fillId="0" borderId="0" xfId="0" applyNumberFormat="1" applyFont="1" applyAlignment="1">
      <alignment horizontal="left" vertical="center"/>
    </xf>
    <xf numFmtId="165" fontId="10" fillId="0" borderId="0" xfId="1" applyNumberFormat="1" applyFont="1" applyAlignment="1">
      <alignment horizontal="center" vertical="center"/>
    </xf>
    <xf numFmtId="165" fontId="10" fillId="0" borderId="16" xfId="1" applyNumberFormat="1" applyFont="1" applyBorder="1" applyAlignment="1">
      <alignment horizontal="center" vertical="center"/>
    </xf>
    <xf numFmtId="165" fontId="10" fillId="0" borderId="1" xfId="1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10" fillId="0" borderId="0" xfId="1" applyFont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right" vertical="center"/>
    </xf>
    <xf numFmtId="166" fontId="10" fillId="3" borderId="1" xfId="1" applyNumberFormat="1" applyFont="1" applyFill="1" applyBorder="1" applyAlignment="1">
      <alignment horizontal="center" vertical="center"/>
    </xf>
    <xf numFmtId="165" fontId="10" fillId="7" borderId="1" xfId="1" applyNumberFormat="1" applyFont="1" applyFill="1" applyBorder="1" applyAlignment="1">
      <alignment horizontal="center" vertical="center"/>
    </xf>
    <xf numFmtId="0" fontId="10" fillId="8" borderId="1" xfId="1" applyFont="1" applyFill="1" applyBorder="1" applyAlignment="1">
      <alignment horizontal="center" vertical="center"/>
    </xf>
    <xf numFmtId="0" fontId="2" fillId="0" borderId="0" xfId="0" applyFont="1"/>
    <xf numFmtId="0" fontId="6" fillId="0" borderId="2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4" fontId="3" fillId="10" borderId="0" xfId="0" applyNumberFormat="1" applyFont="1" applyFill="1" applyAlignment="1">
      <alignment horizontal="center" vertical="center"/>
    </xf>
    <xf numFmtId="164" fontId="3" fillId="11" borderId="0" xfId="0" applyNumberFormat="1" applyFont="1" applyFill="1" applyAlignment="1">
      <alignment horizontal="center" vertical="center"/>
    </xf>
    <xf numFmtId="164" fontId="3" fillId="12" borderId="0" xfId="0" applyNumberFormat="1" applyFont="1" applyFill="1" applyAlignment="1">
      <alignment horizontal="center" vertical="center"/>
    </xf>
    <xf numFmtId="164" fontId="3" fillId="13" borderId="0" xfId="0" applyNumberFormat="1" applyFont="1" applyFill="1" applyAlignment="1">
      <alignment horizontal="center" vertical="center"/>
    </xf>
    <xf numFmtId="0" fontId="10" fillId="0" borderId="0" xfId="1" applyFont="1" applyAlignment="1">
      <alignment horizontal="right" vertical="center"/>
    </xf>
    <xf numFmtId="166" fontId="10" fillId="0" borderId="0" xfId="1" applyNumberFormat="1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11" borderId="11" xfId="0" applyFont="1" applyFill="1" applyBorder="1" applyAlignment="1">
      <alignment horizontal="center" vertical="center" wrapText="1"/>
    </xf>
    <xf numFmtId="0" fontId="4" fillId="13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10" borderId="11" xfId="0" applyFont="1" applyFill="1" applyBorder="1" applyAlignment="1">
      <alignment horizontal="center" vertical="center" wrapText="1"/>
    </xf>
    <xf numFmtId="0" fontId="4" fillId="10" borderId="12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left" vertical="center"/>
    </xf>
    <xf numFmtId="0" fontId="3" fillId="3" borderId="1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3" fillId="9" borderId="18" xfId="0" applyFont="1" applyFill="1" applyBorder="1" applyAlignment="1">
      <alignment horizontal="center" vertical="center"/>
    </xf>
    <xf numFmtId="0" fontId="5" fillId="9" borderId="19" xfId="0" applyFont="1" applyFill="1" applyBorder="1"/>
    <xf numFmtId="14" fontId="1" fillId="0" borderId="0" xfId="0" applyNumberFormat="1" applyFont="1"/>
    <xf numFmtId="0" fontId="9" fillId="2" borderId="0" xfId="1" applyFill="1" applyAlignment="1">
      <alignment horizontal="left" vertical="center" indent="1"/>
    </xf>
    <xf numFmtId="0" fontId="9" fillId="2" borderId="0" xfId="1" applyFill="1" applyAlignment="1">
      <alignment horizontal="center" vertical="center"/>
    </xf>
    <xf numFmtId="0" fontId="13" fillId="0" borderId="0" xfId="1" applyFont="1" applyAlignment="1">
      <alignment horizontal="left" vertical="center" indent="1"/>
    </xf>
    <xf numFmtId="14" fontId="13" fillId="0" borderId="0" xfId="1" applyNumberFormat="1" applyFont="1" applyAlignment="1">
      <alignment horizontal="center" vertical="center"/>
    </xf>
    <xf numFmtId="0" fontId="9" fillId="0" borderId="20" xfId="1" applyBorder="1" applyAlignment="1">
      <alignment horizontal="left" vertical="center" indent="1"/>
    </xf>
    <xf numFmtId="0" fontId="9" fillId="0" borderId="21" xfId="1" applyBorder="1" applyAlignment="1">
      <alignment horizontal="left" vertical="center" indent="1"/>
    </xf>
    <xf numFmtId="0" fontId="9" fillId="0" borderId="22" xfId="1" applyBorder="1" applyAlignment="1">
      <alignment horizontal="left" vertical="center" indent="1"/>
    </xf>
    <xf numFmtId="0" fontId="1" fillId="6" borderId="2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10" borderId="0" xfId="0" applyFont="1" applyFill="1" applyAlignment="1">
      <alignment horizontal="left" vertical="center"/>
    </xf>
    <xf numFmtId="0" fontId="3" fillId="12" borderId="0" xfId="0" applyFont="1" applyFill="1" applyAlignment="1">
      <alignment horizontal="left" vertical="center"/>
    </xf>
    <xf numFmtId="0" fontId="3" fillId="13" borderId="0" xfId="0" applyFont="1" applyFill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justify" vertical="center" wrapText="1"/>
    </xf>
    <xf numFmtId="0" fontId="6" fillId="0" borderId="14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10" borderId="0" xfId="0" applyFont="1" applyFill="1" applyAlignment="1">
      <alignment horizontal="left" vertical="center"/>
    </xf>
    <xf numFmtId="0" fontId="3" fillId="11" borderId="0" xfId="0" applyFont="1" applyFill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right"/>
    </xf>
  </cellXfs>
  <cellStyles count="2">
    <cellStyle name="Normal" xfId="0" builtinId="0"/>
    <cellStyle name="Normal 2" xfId="1" xr:uid="{E9EF40E9-6957-468E-AF82-8AD5372B6C84}"/>
  </cellStyles>
  <dxfs count="31">
    <dxf>
      <fill>
        <patternFill>
          <bgColor theme="0"/>
        </patternFill>
      </fill>
    </dxf>
    <dxf>
      <fill>
        <patternFill>
          <bgColor theme="4" tint="0.79998168889431442"/>
        </patternFill>
      </fill>
    </dxf>
    <dxf>
      <border>
        <left style="thin">
          <color auto="1"/>
        </left>
        <right style="thin">
          <color auto="1"/>
        </right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numFmt numFmtId="19" formatCode="dd/mm/yyyy"/>
      <alignment horizontal="center" vertical="center" textRotation="0" wrapText="0" indent="0" justifyLastLine="0" shrinkToFit="0" readingOrder="0"/>
    </dxf>
    <dxf>
      <font>
        <b/>
      </font>
      <alignment horizontal="left" vertical="center" textRotation="0" wrapText="0" indent="1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rgb="FFFFFF00"/>
        </patternFill>
      </fill>
    </dxf>
    <dxf>
      <alignment horizontal="left" vertical="center" textRotation="0" wrapText="0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left" vertical="center" textRotation="0" wrapText="0" indent="1" justifyLastLine="0" shrinkToFit="0" readingOrder="0"/>
    </dxf>
    <dxf>
      <fill>
        <patternFill patternType="solid">
          <fgColor indexed="64"/>
          <bgColor rgb="FFFFFF00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rgb="FF000000"/>
          <bgColor rgb="FFFFD966"/>
        </patternFill>
      </fill>
      <border diagonalUp="0" diagonalDown="0" outline="0">
        <left style="thin">
          <color rgb="FF000000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0" formatCode="General"/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rgb="FF000000"/>
          <bgColor rgb="FFFFD9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7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solid">
          <fgColor rgb="FF000000"/>
          <bgColor rgb="FFFFD966"/>
        </patternFill>
      </fill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</dxf>
    <dxf>
      <border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K$3" max="2050" min="2020" page="10" val="202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292100</xdr:colOff>
          <xdr:row>1</xdr:row>
          <xdr:rowOff>25400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2056" name="Spinner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EFB99A8-E5F5-BE45-9050-A8AD3E00ACB6}" name="Date_arret3" displayName="Date_arret3" ref="B27:H32" totalsRowCount="1" headerRowDxfId="3" dataDxfId="29" totalsRowDxfId="27" headerRowBorderDxfId="30" tableBorderDxfId="28" totalsRowBorderDxfId="26">
  <autoFilter ref="B27:H31" xr:uid="{21B8AF13-A532-466F-888E-BD714FADBE1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F2A87526-049C-FC42-AC6F-E09795E9C805}" name="Début d'arret" totalsRowLabel="Total" dataDxfId="25" totalsRowDxfId="24"/>
    <tableColumn id="2" xr3:uid="{2AD9232F-0435-954C-BEEE-4A2B19CFC588}" name="Fin d'arret" dataDxfId="23" totalsRowDxfId="22"/>
    <tableColumn id="6" xr3:uid="{31476E74-97BA-8647-B1C1-AF82ABA0C735}" name="Type d'arret" dataDxfId="21" totalsRowDxfId="20"/>
    <tableColumn id="4" xr3:uid="{6EABF496-252E-C54B-8337-286C38CEB7BC}" name="Carence SS" dataDxfId="19" totalsRowDxfId="18">
      <calculatedColumnFormula>IF(C28,3,"")</calculatedColumnFormula>
    </tableColumn>
    <tableColumn id="5" xr3:uid="{C0E7ADCB-0D93-3846-B924-580D06707290}" name="indemnisation" totalsRowFunction="sum" dataDxfId="17" totalsRowDxfId="16">
      <calculatedColumnFormula>IFERROR(IF(C28="","",IF(#REF!="non",C28-B28-E28,C28-B28)+1),"")</calculatedColumnFormula>
    </tableColumn>
    <tableColumn id="7" xr3:uid="{52DF152D-8188-0541-92E3-D7A6D17128FC}" name="Carence emp." dataDxfId="15" totalsRowDxfId="14">
      <calculatedColumnFormula>IF(C28,7,"")</calculatedColumnFormula>
    </tableColumn>
    <tableColumn id="8" xr3:uid="{319DCF0B-232A-3D49-9A3F-D3F892029EA7}" name="Indemnisation 2" dataDxfId="13" totalsRowDxfId="12">
      <calculatedColumnFormula>IFERROR(IF(D28="","",IF(E28="non",D28-#REF!-G28,D28-#REF!)+1),"")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2635045-23DB-4972-8D3B-2ECB8CAA8B58}" name="t_Mois7" displayName="t_Mois7" ref="A14:A26" totalsRowShown="0" headerRowDxfId="11" dataDxfId="10" tableBorderDxfId="9">
  <autoFilter ref="A14:A26" xr:uid="{82635045-23DB-4972-8D3B-2ECB8CAA8B58}">
    <filterColumn colId="0" hiddenButton="1"/>
  </autoFilter>
  <tableColumns count="1">
    <tableColumn id="1" xr3:uid="{7445ADE1-1576-45B9-A9B4-93C5433EA443}" name="Mois" dataDxfId="8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698D94F2-CFA9-4CAA-84A6-8ACCED6D8CEB}" name="t_Jours_fériés9" displayName="t_Jours_fériés9" ref="C14:D27" totalsRowShown="0" headerRowDxfId="7" tableBorderDxfId="6">
  <autoFilter ref="C14:D27" xr:uid="{698D94F2-CFA9-4CAA-84A6-8ACCED6D8CEB}">
    <filterColumn colId="0" hiddenButton="1"/>
    <filterColumn colId="1" hiddenButton="1"/>
  </autoFilter>
  <tableColumns count="2">
    <tableColumn id="1" xr3:uid="{96528283-A3B6-4D13-B5A3-F09990BE22FF}" name="Jour férié" dataDxfId="5"/>
    <tableColumn id="3" xr3:uid="{14ABA6E4-E013-4DF4-9D40-047E5D8B2168}" name="Date" dataDxfId="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950F7-BD22-BC4C-B051-F3D69AEEB12D}">
  <sheetPr codeName="Feuil2"/>
  <dimension ref="B2:N61"/>
  <sheetViews>
    <sheetView showGridLines="0" tabSelected="1" topLeftCell="A17" zoomScaleNormal="100" workbookViewId="0">
      <selection activeCell="B24" sqref="B24"/>
    </sheetView>
  </sheetViews>
  <sheetFormatPr baseColWidth="10" defaultColWidth="11.5" defaultRowHeight="13"/>
  <cols>
    <col min="1" max="1" width="4.6640625" style="3" customWidth="1"/>
    <col min="2" max="4" width="14.83203125" style="3" customWidth="1"/>
    <col min="5" max="5" width="14.83203125" style="4" customWidth="1"/>
    <col min="6" max="6" width="14.83203125" style="3" customWidth="1"/>
    <col min="7" max="7" width="15.5" style="3" bestFit="1" customWidth="1"/>
    <col min="8" max="8" width="16.5" style="3" customWidth="1"/>
    <col min="9" max="11" width="14.6640625" style="3" customWidth="1"/>
    <col min="12" max="12" width="11.5" style="3"/>
    <col min="13" max="13" width="17.83203125" style="3" customWidth="1"/>
    <col min="14" max="16384" width="11.5" style="3"/>
  </cols>
  <sheetData>
    <row r="2" spans="2:14" ht="20" customHeight="1">
      <c r="B2" s="41" t="s">
        <v>53</v>
      </c>
      <c r="C2" s="41" t="s">
        <v>52</v>
      </c>
      <c r="D2" s="41" t="s">
        <v>52</v>
      </c>
      <c r="E2" s="41" t="s">
        <v>51</v>
      </c>
      <c r="F2" s="41" t="s">
        <v>50</v>
      </c>
      <c r="G2" s="45" t="s">
        <v>49</v>
      </c>
      <c r="H2" s="45" t="s">
        <v>48</v>
      </c>
      <c r="J2" s="39" t="s">
        <v>80</v>
      </c>
      <c r="K2" s="12" t="s">
        <v>64</v>
      </c>
      <c r="L2" s="40"/>
      <c r="M2" s="40"/>
      <c r="N2" s="40"/>
    </row>
    <row r="3" spans="2:14" ht="20" customHeight="1">
      <c r="B3" s="38">
        <f>IF(WEEKDAY(DATE(_Annee,MONTH(_Mois&amp;1),1),2)=COLUMN()-1,DATE(_Annee,MONTH(_Mois&amp;1),1),IF(A6&gt;0,A6+1,0))</f>
        <v>0</v>
      </c>
      <c r="C3" s="38">
        <f>IF(WEEKDAY(DATE(_Annee,MONTH(_Mois&amp;1),1),2)=COLUMN()-1,DATE(_Annee,MONTH(_Mois&amp;1),1),IF(B3&gt;0,B3+1,0))</f>
        <v>0</v>
      </c>
      <c r="D3" s="38">
        <f t="shared" ref="D3:H3" si="0">IF(WEEKDAY(DATE(_Annee,MONTH(_Mois&amp;1),1),2)=COLUMN()-1,DATE(_Annee,MONTH(_Mois&amp;1),1),IF(C3&gt;0,C3+1,0))</f>
        <v>0</v>
      </c>
      <c r="E3" s="38">
        <f t="shared" si="0"/>
        <v>45505</v>
      </c>
      <c r="F3" s="38">
        <f>IF(WEEKDAY(DATE(_Annee,MONTH(_Mois&amp;1),1),2)=COLUMN()-1,DATE(_Annee,MONTH(_Mois&amp;1),1),IF(E3&gt;0,E3+1,0))</f>
        <v>45506</v>
      </c>
      <c r="G3" s="44">
        <f t="shared" si="0"/>
        <v>45507</v>
      </c>
      <c r="H3" s="44">
        <f t="shared" si="0"/>
        <v>45508</v>
      </c>
      <c r="J3" s="39" t="s">
        <v>81</v>
      </c>
      <c r="K3" s="12">
        <v>2024</v>
      </c>
      <c r="L3" s="36"/>
      <c r="M3" s="36"/>
      <c r="N3" s="36"/>
    </row>
    <row r="4" spans="2:14" ht="20" customHeight="1">
      <c r="B4" s="38">
        <f>H3+1</f>
        <v>45509</v>
      </c>
      <c r="C4" s="38">
        <f t="shared" ref="C4:H6" si="1">B4+1</f>
        <v>45510</v>
      </c>
      <c r="D4" s="38">
        <f t="shared" si="1"/>
        <v>45511</v>
      </c>
      <c r="E4" s="38">
        <f t="shared" si="1"/>
        <v>45512</v>
      </c>
      <c r="F4" s="38">
        <f t="shared" si="1"/>
        <v>45513</v>
      </c>
      <c r="G4" s="44">
        <f t="shared" si="1"/>
        <v>45514</v>
      </c>
      <c r="H4" s="44">
        <f t="shared" si="1"/>
        <v>45515</v>
      </c>
      <c r="L4" s="36"/>
      <c r="M4" s="36"/>
      <c r="N4" s="36"/>
    </row>
    <row r="5" spans="2:14" ht="20" customHeight="1">
      <c r="B5" s="38">
        <f>H4+1</f>
        <v>45516</v>
      </c>
      <c r="C5" s="38">
        <f t="shared" si="1"/>
        <v>45517</v>
      </c>
      <c r="D5" s="38">
        <f t="shared" si="1"/>
        <v>45518</v>
      </c>
      <c r="E5" s="38">
        <f t="shared" si="1"/>
        <v>45519</v>
      </c>
      <c r="F5" s="38">
        <f t="shared" si="1"/>
        <v>45520</v>
      </c>
      <c r="G5" s="44">
        <f t="shared" si="1"/>
        <v>45521</v>
      </c>
      <c r="H5" s="44">
        <f t="shared" si="1"/>
        <v>45522</v>
      </c>
      <c r="I5" s="36"/>
      <c r="M5" s="36"/>
      <c r="N5" s="36"/>
    </row>
    <row r="6" spans="2:14" ht="20" customHeight="1">
      <c r="B6" s="38">
        <f>H5+1</f>
        <v>45523</v>
      </c>
      <c r="C6" s="38">
        <f t="shared" si="1"/>
        <v>45524</v>
      </c>
      <c r="D6" s="38">
        <f t="shared" si="1"/>
        <v>45525</v>
      </c>
      <c r="E6" s="38">
        <f t="shared" si="1"/>
        <v>45526</v>
      </c>
      <c r="F6" s="38">
        <f t="shared" si="1"/>
        <v>45527</v>
      </c>
      <c r="G6" s="44">
        <f t="shared" si="1"/>
        <v>45528</v>
      </c>
      <c r="H6" s="44">
        <f t="shared" si="1"/>
        <v>45529</v>
      </c>
      <c r="I6" s="36"/>
      <c r="M6" s="36"/>
      <c r="N6" s="36"/>
    </row>
    <row r="7" spans="2:14" ht="20" customHeight="1">
      <c r="B7" s="37">
        <f>IFERROR(IF(MONTH(H6+1)=MONTH(_Mois&amp;1),H6+1,""),"")</f>
        <v>45530</v>
      </c>
      <c r="C7" s="37">
        <f t="shared" ref="C7:H8" si="2">IFERROR(IF(MONTH(B7+1)=MONTH(_Mois&amp;1),B7+1,""),"")</f>
        <v>45531</v>
      </c>
      <c r="D7" s="37">
        <f t="shared" si="2"/>
        <v>45532</v>
      </c>
      <c r="E7" s="37">
        <f t="shared" si="2"/>
        <v>45533</v>
      </c>
      <c r="F7" s="37">
        <f t="shared" si="2"/>
        <v>45534</v>
      </c>
      <c r="G7" s="37">
        <f t="shared" si="2"/>
        <v>45535</v>
      </c>
      <c r="H7" s="37" t="str">
        <f t="shared" si="2"/>
        <v/>
      </c>
      <c r="I7" s="36"/>
      <c r="M7" s="36"/>
      <c r="N7" s="36"/>
    </row>
    <row r="8" spans="2:14" ht="20" customHeight="1">
      <c r="B8" s="36" t="str">
        <f>IFERROR(IF(MONTH(H7+1)=MONTH(_Mois&amp;1),H7+1,""),"")</f>
        <v/>
      </c>
      <c r="C8" s="36" t="str">
        <f t="shared" si="2"/>
        <v/>
      </c>
      <c r="D8" s="36" t="str">
        <f t="shared" si="2"/>
        <v/>
      </c>
      <c r="E8" s="36" t="str">
        <f t="shared" si="2"/>
        <v/>
      </c>
      <c r="F8" s="36" t="str">
        <f t="shared" si="2"/>
        <v/>
      </c>
      <c r="G8" s="36" t="str">
        <f t="shared" si="2"/>
        <v/>
      </c>
      <c r="H8" s="36" t="str">
        <f t="shared" si="2"/>
        <v/>
      </c>
    </row>
    <row r="9" spans="2:14">
      <c r="H9" s="36"/>
    </row>
    <row r="10" spans="2:14" ht="17" customHeight="1">
      <c r="B10" s="85" t="s">
        <v>7</v>
      </c>
      <c r="C10" s="85"/>
      <c r="D10" s="50" t="s">
        <v>92</v>
      </c>
      <c r="G10" s="42" t="s">
        <v>83</v>
      </c>
      <c r="H10" s="43">
        <f>NETWORKDAYS(DATE(_Annee,MONTH(_Mois&amp;1),1),EOMONTH(DATE(_Annee,MONTH(_Mois&amp;1),1),0),_Feries)</f>
        <v>21</v>
      </c>
    </row>
    <row r="11" spans="2:14" ht="17" customHeight="1">
      <c r="B11" s="85" t="s">
        <v>8</v>
      </c>
      <c r="C11" s="85"/>
      <c r="D11" s="50" t="s">
        <v>91</v>
      </c>
      <c r="G11" s="42" t="s">
        <v>84</v>
      </c>
      <c r="H11" s="43">
        <f>NETWORKDAYS.INTL(DATE(_Annee,MONTH(_Mois&amp;1),1),EOMONTH(DATE(_Annee,MONTH(_Mois&amp;1),1),0),11,_Feries)</f>
        <v>26</v>
      </c>
    </row>
    <row r="12" spans="2:14" ht="17" customHeight="1">
      <c r="G12" s="42" t="s">
        <v>85</v>
      </c>
      <c r="H12" s="43">
        <f>DATEDIF(DATE(_Annee,MONTH(_Mois&amp;1),1),EOMONTH(DATE(_Annee,MONTH(_Mois&amp;1),1),0)+1,"d")</f>
        <v>31</v>
      </c>
    </row>
    <row r="13" spans="2:14" ht="17" customHeight="1">
      <c r="G13" s="56"/>
      <c r="H13" s="57"/>
    </row>
    <row r="14" spans="2:14" ht="17" customHeight="1">
      <c r="G14" s="56"/>
      <c r="H14" s="57"/>
    </row>
    <row r="15" spans="2:14" ht="17" customHeight="1">
      <c r="G15" s="56"/>
      <c r="H15" s="57"/>
    </row>
    <row r="16" spans="2:14" ht="17" customHeight="1">
      <c r="G16" s="56"/>
      <c r="H16" s="57"/>
    </row>
    <row r="17" spans="2:13" ht="16">
      <c r="B17" s="49" t="s">
        <v>9</v>
      </c>
      <c r="H17" s="36"/>
    </row>
    <row r="19" spans="2:13">
      <c r="B19" s="4" t="s">
        <v>10</v>
      </c>
      <c r="D19" s="20">
        <v>49.68</v>
      </c>
      <c r="H19" s="51" t="s">
        <v>93</v>
      </c>
      <c r="I19" s="51" t="s">
        <v>94</v>
      </c>
      <c r="J19" s="51" t="s">
        <v>95</v>
      </c>
    </row>
    <row r="20" spans="2:13">
      <c r="B20" s="4" t="s">
        <v>12</v>
      </c>
      <c r="D20" s="20">
        <v>89.03</v>
      </c>
      <c r="H20" s="27">
        <v>1000</v>
      </c>
      <c r="I20" s="27">
        <v>1000</v>
      </c>
      <c r="J20" s="27">
        <v>1000</v>
      </c>
    </row>
    <row r="21" spans="2:13" s="9" customFormat="1">
      <c r="B21" s="4" t="s">
        <v>11</v>
      </c>
      <c r="C21" s="3"/>
      <c r="D21" s="20">
        <v>205.84</v>
      </c>
      <c r="E21" s="4" t="s">
        <v>13</v>
      </c>
      <c r="F21" s="3"/>
      <c r="G21" s="51" t="s">
        <v>96</v>
      </c>
      <c r="H21" s="27">
        <f>1678.95*1.8</f>
        <v>3022.11</v>
      </c>
      <c r="I21" s="27">
        <f>1678.95*1.8</f>
        <v>3022.11</v>
      </c>
      <c r="J21" s="27">
        <f>1678.95*1.8</f>
        <v>3022.11</v>
      </c>
      <c r="K21" s="3"/>
      <c r="L21" s="3"/>
      <c r="M21" s="3"/>
    </row>
    <row r="22" spans="2:13">
      <c r="D22" s="20">
        <v>274.45999999999998</v>
      </c>
      <c r="E22" s="4" t="s">
        <v>14</v>
      </c>
    </row>
    <row r="23" spans="2:13">
      <c r="D23" s="20"/>
    </row>
    <row r="26" spans="2:13" ht="20" customHeight="1" thickBot="1">
      <c r="E26" s="83" t="s">
        <v>86</v>
      </c>
      <c r="F26" s="84"/>
      <c r="G26" s="83" t="s">
        <v>87</v>
      </c>
      <c r="H26" s="84"/>
    </row>
    <row r="27" spans="2:13" s="79" customFormat="1" ht="20" customHeight="1" thickBot="1">
      <c r="B27" s="60" t="s">
        <v>2</v>
      </c>
      <c r="C27" s="59" t="s">
        <v>3</v>
      </c>
      <c r="D27" s="96" t="s">
        <v>6</v>
      </c>
      <c r="E27" s="61" t="s">
        <v>90</v>
      </c>
      <c r="F27" s="62" t="s">
        <v>88</v>
      </c>
      <c r="G27" s="63" t="s">
        <v>89</v>
      </c>
      <c r="H27" s="64" t="s">
        <v>98</v>
      </c>
    </row>
    <row r="28" spans="2:13" ht="20" customHeight="1">
      <c r="B28" s="5">
        <v>44774</v>
      </c>
      <c r="C28" s="6">
        <v>44788</v>
      </c>
      <c r="D28" s="7" t="s">
        <v>5</v>
      </c>
      <c r="E28" s="7">
        <f t="shared" ref="E28:E31" si="3">IF(C28,3,"")</f>
        <v>3</v>
      </c>
      <c r="F28" s="8">
        <f>IFERROR(IF(C28="","",IF(C28-B28-E28,C28-B28)+1),"")</f>
        <v>15</v>
      </c>
      <c r="G28" s="7">
        <f t="shared" ref="G28:G31" si="4">IF(C28,7,"")</f>
        <v>7</v>
      </c>
      <c r="H28" s="8" t="str">
        <f>IFERROR(IF(D28="","",IF(E28="non",D28-#REF!-G28,D28-#REF!)+1),"")</f>
        <v/>
      </c>
    </row>
    <row r="29" spans="2:13" ht="20" customHeight="1">
      <c r="B29" s="10"/>
      <c r="C29" s="11"/>
      <c r="D29" s="21"/>
      <c r="E29" s="7" t="str">
        <f t="shared" si="3"/>
        <v/>
      </c>
      <c r="F29" s="13"/>
      <c r="G29" s="7" t="str">
        <f t="shared" si="4"/>
        <v/>
      </c>
      <c r="H29" s="58" t="str">
        <f>IFERROR(IF(D29="","",IF(E29="non",D29-#REF!-G29,D29-#REF!)+1),"")</f>
        <v/>
      </c>
    </row>
    <row r="30" spans="2:13" ht="20" customHeight="1">
      <c r="B30" s="10"/>
      <c r="C30" s="11"/>
      <c r="D30" s="21"/>
      <c r="E30" s="7" t="str">
        <f t="shared" si="3"/>
        <v/>
      </c>
      <c r="F30" s="13" t="str">
        <f>IFERROR(IF(C30="","",IF(#REF!="non",C30-B30-E30,C30-B30)+1),"")</f>
        <v/>
      </c>
      <c r="G30" s="7" t="str">
        <f t="shared" si="4"/>
        <v/>
      </c>
      <c r="H30" s="58" t="str">
        <f>IFERROR(IF(D30="","",IF(E30="non",D30-#REF!-G30,D30-#REF!)+1),"")</f>
        <v/>
      </c>
    </row>
    <row r="31" spans="2:13" ht="20" customHeight="1" thickBot="1">
      <c r="B31" s="14"/>
      <c r="C31" s="15"/>
      <c r="D31" s="65"/>
      <c r="E31" s="66" t="str">
        <f t="shared" si="3"/>
        <v/>
      </c>
      <c r="F31" s="16" t="str">
        <f>IFERROR(IF(C31="","",IF(#REF!="non",C31-B31-E31,C31-B31)+1),"")</f>
        <v/>
      </c>
      <c r="G31" s="66" t="str">
        <f t="shared" si="4"/>
        <v/>
      </c>
      <c r="H31" s="67" t="str">
        <f>IFERROR(IF(D31="","",IF(E31="non",D31-#REF!-G31,D31-#REF!)+1),"")</f>
        <v/>
      </c>
    </row>
    <row r="32" spans="2:13" ht="20" customHeight="1" thickBot="1">
      <c r="B32" s="17" t="s">
        <v>4</v>
      </c>
      <c r="C32" s="18"/>
      <c r="D32" s="22"/>
      <c r="E32" s="18"/>
      <c r="F32" s="19">
        <f>SUBTOTAL(109,Date_arret3[indemnisation])</f>
        <v>15</v>
      </c>
      <c r="G32" s="68"/>
      <c r="H32" s="69"/>
    </row>
    <row r="33" spans="2:8">
      <c r="B33" s="9"/>
      <c r="C33" s="9"/>
      <c r="D33" s="9"/>
      <c r="E33" s="23"/>
      <c r="F33" s="9"/>
      <c r="G33" s="9"/>
    </row>
    <row r="35" spans="2:8" ht="20" customHeight="1">
      <c r="B35" s="90" t="s">
        <v>101</v>
      </c>
      <c r="C35" s="90"/>
      <c r="D35" s="52">
        <f>SUM(H20:J20)/91.25</f>
        <v>32.876712328767127</v>
      </c>
      <c r="E35" s="3"/>
      <c r="F35" s="81" t="s">
        <v>17</v>
      </c>
      <c r="G35" s="81"/>
      <c r="H35" s="54">
        <f>D37*F28</f>
        <v>246.57534246575347</v>
      </c>
    </row>
    <row r="36" spans="2:8" s="79" customFormat="1" ht="20" customHeight="1">
      <c r="B36" s="80" t="s">
        <v>102</v>
      </c>
      <c r="C36" s="80"/>
      <c r="D36" s="52">
        <v>0</v>
      </c>
      <c r="F36" s="82" t="s">
        <v>18</v>
      </c>
      <c r="G36" s="82"/>
      <c r="H36" s="55">
        <f>H35*0.933</f>
        <v>230.054794520548</v>
      </c>
    </row>
    <row r="37" spans="2:8" ht="20" customHeight="1">
      <c r="B37" s="91" t="s">
        <v>97</v>
      </c>
      <c r="C37" s="91"/>
      <c r="D37" s="53">
        <f>IF($D$35*50%&lt;49.68,D35*50%,49.68)</f>
        <v>16.438356164383563</v>
      </c>
      <c r="E37" s="3"/>
    </row>
    <row r="38" spans="2:8">
      <c r="B38" s="26"/>
      <c r="C38" s="26"/>
    </row>
    <row r="39" spans="2:8">
      <c r="B39" s="26"/>
      <c r="C39" s="26"/>
    </row>
    <row r="40" spans="2:8" ht="16">
      <c r="B40" s="49" t="s">
        <v>25</v>
      </c>
    </row>
    <row r="43" spans="2:8">
      <c r="B43" s="3" t="s">
        <v>43</v>
      </c>
    </row>
    <row r="46" spans="2:8" ht="14" thickBot="1">
      <c r="E46" s="29"/>
    </row>
    <row r="47" spans="2:8" ht="14" thickBot="1">
      <c r="B47" s="30" t="s">
        <v>19</v>
      </c>
      <c r="C47" s="88" t="s">
        <v>26</v>
      </c>
      <c r="D47" s="89"/>
      <c r="E47" s="28"/>
      <c r="F47" s="4" t="s">
        <v>44</v>
      </c>
    </row>
    <row r="48" spans="2:8">
      <c r="B48" s="86" t="s">
        <v>20</v>
      </c>
      <c r="C48" s="32" t="s">
        <v>30</v>
      </c>
      <c r="D48" s="31"/>
      <c r="F48" s="4" t="s">
        <v>45</v>
      </c>
    </row>
    <row r="49" spans="2:6" ht="14" thickBot="1">
      <c r="B49" s="87"/>
      <c r="C49" s="32" t="s">
        <v>31</v>
      </c>
      <c r="D49" s="47"/>
      <c r="F49" s="33" t="s">
        <v>47</v>
      </c>
    </row>
    <row r="50" spans="2:6">
      <c r="B50" s="86" t="s">
        <v>21</v>
      </c>
      <c r="C50" s="92" t="s">
        <v>29</v>
      </c>
      <c r="D50" s="92"/>
      <c r="F50" s="34"/>
    </row>
    <row r="51" spans="2:6" ht="14" thickBot="1">
      <c r="B51" s="87"/>
      <c r="C51" s="93" t="s">
        <v>32</v>
      </c>
      <c r="D51" s="93"/>
    </row>
    <row r="52" spans="2:6">
      <c r="B52" s="86" t="s">
        <v>22</v>
      </c>
      <c r="C52" s="93" t="s">
        <v>33</v>
      </c>
      <c r="D52" s="93"/>
      <c r="F52" s="4" t="s">
        <v>46</v>
      </c>
    </row>
    <row r="53" spans="2:6" ht="14" thickBot="1">
      <c r="B53" s="87"/>
      <c r="C53" s="93" t="s">
        <v>34</v>
      </c>
      <c r="D53" s="93"/>
      <c r="F53" s="35">
        <f>F50*90%</f>
        <v>0</v>
      </c>
    </row>
    <row r="54" spans="2:6">
      <c r="B54" s="86" t="s">
        <v>23</v>
      </c>
      <c r="C54" s="92" t="s">
        <v>35</v>
      </c>
      <c r="D54" s="92"/>
    </row>
    <row r="55" spans="2:6" ht="14" thickBot="1">
      <c r="B55" s="87"/>
      <c r="C55" s="93" t="s">
        <v>36</v>
      </c>
      <c r="D55" s="93"/>
    </row>
    <row r="56" spans="2:6">
      <c r="B56" s="86" t="s">
        <v>24</v>
      </c>
      <c r="C56" s="92" t="s">
        <v>37</v>
      </c>
      <c r="D56" s="92"/>
    </row>
    <row r="57" spans="2:6" ht="14" thickBot="1">
      <c r="B57" s="87"/>
      <c r="C57" s="93" t="s">
        <v>38</v>
      </c>
      <c r="D57" s="93"/>
    </row>
    <row r="58" spans="2:6">
      <c r="B58" s="86" t="s">
        <v>27</v>
      </c>
      <c r="C58" s="92" t="s">
        <v>39</v>
      </c>
      <c r="D58" s="92"/>
    </row>
    <row r="59" spans="2:6" ht="14" thickBot="1">
      <c r="B59" s="87"/>
      <c r="C59" s="93" t="s">
        <v>40</v>
      </c>
      <c r="D59" s="93"/>
    </row>
    <row r="60" spans="2:6">
      <c r="B60" s="86" t="s">
        <v>28</v>
      </c>
      <c r="C60" s="92" t="s">
        <v>41</v>
      </c>
      <c r="D60" s="92"/>
    </row>
    <row r="61" spans="2:6" ht="14" thickBot="1">
      <c r="B61" s="87"/>
      <c r="C61" s="93" t="s">
        <v>42</v>
      </c>
      <c r="D61" s="93"/>
    </row>
  </sheetData>
  <mergeCells count="28">
    <mergeCell ref="B60:B61"/>
    <mergeCell ref="C50:D50"/>
    <mergeCell ref="C51:D51"/>
    <mergeCell ref="C60:D60"/>
    <mergeCell ref="C61:D61"/>
    <mergeCell ref="C54:D54"/>
    <mergeCell ref="C55:D55"/>
    <mergeCell ref="C56:D56"/>
    <mergeCell ref="C57:D57"/>
    <mergeCell ref="C58:D58"/>
    <mergeCell ref="C59:D59"/>
    <mergeCell ref="B50:B51"/>
    <mergeCell ref="B52:B53"/>
    <mergeCell ref="C52:D52"/>
    <mergeCell ref="C53:D53"/>
    <mergeCell ref="B54:B55"/>
    <mergeCell ref="B56:B57"/>
    <mergeCell ref="B58:B59"/>
    <mergeCell ref="B48:B49"/>
    <mergeCell ref="C47:D47"/>
    <mergeCell ref="F35:G35"/>
    <mergeCell ref="E26:F26"/>
    <mergeCell ref="G26:H26"/>
    <mergeCell ref="B10:C10"/>
    <mergeCell ref="B11:C11"/>
    <mergeCell ref="B35:C35"/>
    <mergeCell ref="B37:C37"/>
    <mergeCell ref="F36:G36"/>
  </mergeCells>
  <conditionalFormatting sqref="B7:H8">
    <cfRule type="expression" dxfId="2" priority="3">
      <formula>B7&lt;&gt;""</formula>
    </cfRule>
  </conditionalFormatting>
  <conditionalFormatting sqref="G7:H7">
    <cfRule type="expression" dxfId="1" priority="2">
      <formula>$G$7&lt;&gt;""</formula>
    </cfRule>
  </conditionalFormatting>
  <conditionalFormatting sqref="H7">
    <cfRule type="expression" dxfId="0" priority="1">
      <formula>$H$7=""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6" r:id="rId4" name="Spinner 8">
              <controlPr defaultSize="0" autoPict="0">
                <anchor moveWithCells="1" sizeWithCells="1">
                  <from>
                    <xdr:col>8</xdr:col>
                    <xdr:colOff>292100</xdr:colOff>
                    <xdr:row>1</xdr:row>
                    <xdr:rowOff>25400</xdr:rowOff>
                  </from>
                  <to>
                    <xdr:col>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B9189CD-C077-694C-9712-552C83CA95AA}">
          <x14:formula1>
            <xm:f>Parametres!$C$2:$C$4</xm:f>
          </x14:formula1>
          <xm:sqref>D28:D31</xm:sqref>
        </x14:dataValidation>
        <x14:dataValidation type="list" allowBlank="1" showInputMessage="1" showErrorMessage="1" xr:uid="{382D9BD9-1756-4AB5-9EA3-1AB1476B4B9E}">
          <x14:formula1>
            <xm:f>Parametres!$A$15:$A$26</xm:f>
          </x14:formula1>
          <xm:sqref>K2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EB298-626A-4D42-88C9-F9EDCC1593D6}">
  <dimension ref="A3:D24"/>
  <sheetViews>
    <sheetView workbookViewId="0">
      <selection activeCell="J12" sqref="J12:J13"/>
    </sheetView>
  </sheetViews>
  <sheetFormatPr baseColWidth="10" defaultRowHeight="13"/>
  <cols>
    <col min="1" max="4" width="25.83203125" style="9" customWidth="1"/>
    <col min="5" max="16384" width="10.83203125" style="9"/>
  </cols>
  <sheetData>
    <row r="3" spans="1:4">
      <c r="B3" s="97" t="s">
        <v>5</v>
      </c>
      <c r="C3" s="98" t="s">
        <v>103</v>
      </c>
      <c r="D3" s="99" t="s">
        <v>104</v>
      </c>
    </row>
    <row r="4" spans="1:4">
      <c r="B4" s="100"/>
      <c r="C4" s="101" t="s">
        <v>105</v>
      </c>
      <c r="D4" s="102" t="s">
        <v>106</v>
      </c>
    </row>
    <row r="6" spans="1:4">
      <c r="A6" s="9" t="s">
        <v>107</v>
      </c>
      <c r="B6" s="9">
        <v>3022.11</v>
      </c>
      <c r="C6" s="9">
        <v>343.02</v>
      </c>
      <c r="D6" s="9">
        <v>3428</v>
      </c>
    </row>
    <row r="8" spans="1:4">
      <c r="A8" s="9" t="s">
        <v>108</v>
      </c>
      <c r="B8" s="9">
        <v>49.68</v>
      </c>
      <c r="C8" s="103" t="s">
        <v>109</v>
      </c>
      <c r="D8" s="9">
        <v>89.03</v>
      </c>
    </row>
    <row r="9" spans="1:4">
      <c r="C9" s="103" t="s">
        <v>110</v>
      </c>
    </row>
    <row r="13" spans="1:4">
      <c r="A13" s="9" t="s">
        <v>111</v>
      </c>
      <c r="B13" s="9" t="s">
        <v>112</v>
      </c>
      <c r="C13" s="9" t="s">
        <v>113</v>
      </c>
      <c r="D13" s="9" t="s">
        <v>112</v>
      </c>
    </row>
    <row r="14" spans="1:4" ht="15">
      <c r="B14" t="s">
        <v>114</v>
      </c>
      <c r="C14" t="s">
        <v>115</v>
      </c>
      <c r="D14" t="s">
        <v>114</v>
      </c>
    </row>
    <row r="17" spans="1:4" ht="15">
      <c r="A17" s="9" t="s">
        <v>116</v>
      </c>
      <c r="B17" s="9" t="s">
        <v>117</v>
      </c>
      <c r="C17" t="s">
        <v>118</v>
      </c>
      <c r="D17" t="s">
        <v>119</v>
      </c>
    </row>
    <row r="18" spans="1:4" ht="15">
      <c r="C18" t="s">
        <v>120</v>
      </c>
    </row>
    <row r="19" spans="1:4" ht="15">
      <c r="C19"/>
    </row>
    <row r="20" spans="1:4" ht="15">
      <c r="C20" t="s">
        <v>121</v>
      </c>
    </row>
    <row r="21" spans="1:4" ht="15">
      <c r="C21" t="s">
        <v>122</v>
      </c>
    </row>
    <row r="24" spans="1:4">
      <c r="A24" s="9" t="s">
        <v>123</v>
      </c>
      <c r="B24" s="9" t="s">
        <v>124</v>
      </c>
      <c r="C24" s="9" t="s">
        <v>124</v>
      </c>
      <c r="D24" s="9" t="s">
        <v>124</v>
      </c>
    </row>
  </sheetData>
  <mergeCells count="1">
    <mergeCell ref="B3:B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761AB-DB3D-4EA7-87A8-987990CCCF25}">
  <sheetPr codeName="Feuil3"/>
  <dimension ref="A1:L27"/>
  <sheetViews>
    <sheetView workbookViewId="0">
      <selection activeCell="I10" sqref="I10"/>
    </sheetView>
  </sheetViews>
  <sheetFormatPr baseColWidth="10" defaultColWidth="11.5" defaultRowHeight="15"/>
  <cols>
    <col min="1" max="2" width="11.5" style="2"/>
    <col min="3" max="3" width="20.1640625" style="2" bestFit="1" customWidth="1"/>
    <col min="4" max="16384" width="11.5" style="2"/>
  </cols>
  <sheetData>
    <row r="1" spans="1:12">
      <c r="B1" s="70"/>
    </row>
    <row r="2" spans="1:12">
      <c r="B2" s="24" t="s">
        <v>0</v>
      </c>
      <c r="C2" s="25" t="s">
        <v>16</v>
      </c>
      <c r="J2" s="1"/>
    </row>
    <row r="3" spans="1:12">
      <c r="B3" s="24" t="s">
        <v>1</v>
      </c>
      <c r="C3" s="25" t="s">
        <v>5</v>
      </c>
      <c r="J3" s="1"/>
    </row>
    <row r="4" spans="1:12">
      <c r="C4" s="78" t="s">
        <v>15</v>
      </c>
      <c r="J4" s="1"/>
    </row>
    <row r="5" spans="1:12">
      <c r="C5" s="48"/>
      <c r="J5" s="1"/>
    </row>
    <row r="6" spans="1:12">
      <c r="J6" s="1"/>
    </row>
    <row r="7" spans="1:12">
      <c r="J7" s="1"/>
    </row>
    <row r="8" spans="1:12">
      <c r="B8" s="94" t="s">
        <v>82</v>
      </c>
      <c r="C8" s="94"/>
      <c r="J8" s="1"/>
    </row>
    <row r="9" spans="1:12">
      <c r="B9" s="95" t="e">
        <f>IF('Simulateur (2)'!#REF!&lt;3022.11,'Simulateur (2)'!#REF!,3022.11)</f>
        <v>#REF!</v>
      </c>
      <c r="C9" s="95"/>
      <c r="J9" s="1"/>
    </row>
    <row r="10" spans="1:12">
      <c r="B10" s="95" t="e">
        <f>IF('Simulateur (2)'!#REF!&lt;3022.11,'Simulateur (2)'!#REF!,3022.11)</f>
        <v>#REF!</v>
      </c>
      <c r="C10" s="95"/>
      <c r="J10" s="1"/>
    </row>
    <row r="11" spans="1:12">
      <c r="B11" s="95" t="e">
        <f>IF('Simulateur (2)'!#REF!&lt;3022.11,'Simulateur (2)'!#REF!,3022.11)</f>
        <v>#REF!</v>
      </c>
      <c r="C11" s="95"/>
      <c r="J11" s="1"/>
    </row>
    <row r="12" spans="1:12">
      <c r="C12" s="46"/>
      <c r="J12" s="1"/>
    </row>
    <row r="13" spans="1:12">
      <c r="J13" s="1"/>
    </row>
    <row r="14" spans="1:12" ht="16" thickBot="1">
      <c r="A14" s="71" t="s">
        <v>79</v>
      </c>
      <c r="C14" s="71" t="s">
        <v>78</v>
      </c>
      <c r="D14" s="72" t="s">
        <v>77</v>
      </c>
      <c r="L14" s="1"/>
    </row>
    <row r="15" spans="1:12">
      <c r="A15" s="75" t="s">
        <v>76</v>
      </c>
      <c r="C15" s="73" t="s">
        <v>75</v>
      </c>
      <c r="D15" s="74">
        <f>DATE(_Annee,1,1)</f>
        <v>45292</v>
      </c>
      <c r="J15" s="1"/>
    </row>
    <row r="16" spans="1:12">
      <c r="A16" s="76" t="s">
        <v>74</v>
      </c>
      <c r="C16" s="73" t="s">
        <v>99</v>
      </c>
      <c r="D16" s="74">
        <f>ROUND(DATE(_Annee,4,MOD(234-11*MOD(_Annee,19),30))/7,0)*7-6</f>
        <v>45382</v>
      </c>
    </row>
    <row r="17" spans="1:4">
      <c r="A17" s="76" t="s">
        <v>72</v>
      </c>
      <c r="C17" s="73" t="s">
        <v>73</v>
      </c>
      <c r="D17" s="74">
        <f>D16+1</f>
        <v>45383</v>
      </c>
    </row>
    <row r="18" spans="1:4">
      <c r="A18" s="76" t="s">
        <v>54</v>
      </c>
      <c r="C18" s="73" t="s">
        <v>71</v>
      </c>
      <c r="D18" s="74">
        <f>DATE(_Annee,5,1)</f>
        <v>45413</v>
      </c>
    </row>
    <row r="19" spans="1:4">
      <c r="A19" s="76" t="s">
        <v>69</v>
      </c>
      <c r="C19" s="73" t="s">
        <v>70</v>
      </c>
      <c r="D19" s="74">
        <f>DATE(_Annee,5,8)</f>
        <v>45420</v>
      </c>
    </row>
    <row r="20" spans="1:4">
      <c r="A20" s="76" t="s">
        <v>68</v>
      </c>
      <c r="C20" s="73" t="s">
        <v>67</v>
      </c>
      <c r="D20" s="74">
        <f>D17+38</f>
        <v>45421</v>
      </c>
    </row>
    <row r="21" spans="1:4">
      <c r="A21" s="76" t="s">
        <v>66</v>
      </c>
      <c r="C21" s="73" t="s">
        <v>100</v>
      </c>
      <c r="D21" s="74">
        <f>D17+49</f>
        <v>45432</v>
      </c>
    </row>
    <row r="22" spans="1:4">
      <c r="A22" s="76" t="s">
        <v>64</v>
      </c>
      <c r="C22" s="73" t="s">
        <v>65</v>
      </c>
      <c r="D22" s="74">
        <f>D17+50</f>
        <v>45433</v>
      </c>
    </row>
    <row r="23" spans="1:4">
      <c r="A23" s="76" t="s">
        <v>62</v>
      </c>
      <c r="C23" s="73" t="s">
        <v>63</v>
      </c>
      <c r="D23" s="74">
        <f>DATE(_Annee,7,14)</f>
        <v>45487</v>
      </c>
    </row>
    <row r="24" spans="1:4">
      <c r="A24" s="76" t="s">
        <v>60</v>
      </c>
      <c r="C24" s="73" t="s">
        <v>61</v>
      </c>
      <c r="D24" s="74">
        <f>DATE(_Annee,8,15)</f>
        <v>45519</v>
      </c>
    </row>
    <row r="25" spans="1:4">
      <c r="A25" s="76" t="s">
        <v>58</v>
      </c>
      <c r="C25" s="73" t="s">
        <v>59</v>
      </c>
      <c r="D25" s="74">
        <f>DATE(_Annee,11,1)</f>
        <v>45597</v>
      </c>
    </row>
    <row r="26" spans="1:4" ht="16" thickBot="1">
      <c r="A26" s="77" t="s">
        <v>56</v>
      </c>
      <c r="C26" s="73" t="s">
        <v>57</v>
      </c>
      <c r="D26" s="74">
        <f>DATE(_Annee,11,11)</f>
        <v>45607</v>
      </c>
    </row>
    <row r="27" spans="1:4">
      <c r="C27" s="73" t="s">
        <v>55</v>
      </c>
      <c r="D27" s="74">
        <f>DATE(_Annee,12,25)</f>
        <v>45651</v>
      </c>
    </row>
  </sheetData>
  <mergeCells count="4">
    <mergeCell ref="B8:C8"/>
    <mergeCell ref="B9:C9"/>
    <mergeCell ref="B10:C10"/>
    <mergeCell ref="B11:C11"/>
  </mergeCells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Simulateur (2)</vt:lpstr>
      <vt:lpstr>Calcul IJ</vt:lpstr>
      <vt:lpstr>Parametres</vt:lpstr>
      <vt:lpstr>_Annee</vt:lpstr>
      <vt:lpstr>_Feries</vt:lpstr>
      <vt:lpstr>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Baur</dc:creator>
  <cp:lastModifiedBy>Microsoft Office User</cp:lastModifiedBy>
  <cp:lastPrinted>2022-08-29T16:22:11Z</cp:lastPrinted>
  <dcterms:created xsi:type="dcterms:W3CDTF">2022-08-29T12:45:25Z</dcterms:created>
  <dcterms:modified xsi:type="dcterms:W3CDTF">2022-09-17T11:29:22Z</dcterms:modified>
</cp:coreProperties>
</file>