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p\Documents\"/>
    </mc:Choice>
  </mc:AlternateContent>
  <xr:revisionPtr revIDLastSave="0" documentId="13_ncr:1_{789BD051-C80F-4D9C-A9EC-1DFCCB4EFD43}" xr6:coauthVersionLast="47" xr6:coauthVersionMax="47" xr10:uidLastSave="{00000000-0000-0000-0000-000000000000}"/>
  <bookViews>
    <workbookView xWindow="29190" yWindow="390" windowWidth="27780" windowHeight="13815" activeTab="1" xr2:uid="{3BFC96F1-70BA-4589-BD27-73F39A89F255}"/>
  </bookViews>
  <sheets>
    <sheet name="BDD" sheetId="3" r:id="rId1"/>
    <sheet name="S-H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E2" i="2"/>
  <c r="O2" i="2" s="1"/>
  <c r="E3" i="2"/>
  <c r="E4" i="2"/>
  <c r="E5" i="2"/>
  <c r="E6" i="2"/>
  <c r="E7" i="2"/>
  <c r="E8" i="2"/>
  <c r="E9" i="2"/>
  <c r="E10" i="2"/>
  <c r="E11" i="2"/>
  <c r="G2" i="2"/>
  <c r="G3" i="2"/>
  <c r="G4" i="2"/>
  <c r="G5" i="2"/>
  <c r="O5" i="2" s="1"/>
  <c r="G6" i="2"/>
  <c r="G7" i="2"/>
  <c r="G8" i="2"/>
  <c r="G9" i="2"/>
  <c r="G10" i="2"/>
  <c r="G11" i="2"/>
  <c r="F2" i="2"/>
  <c r="F3" i="2"/>
  <c r="I3" i="2" s="1"/>
  <c r="F4" i="2"/>
  <c r="F5" i="2"/>
  <c r="F6" i="2"/>
  <c r="F7" i="2"/>
  <c r="F8" i="2"/>
  <c r="F9" i="2"/>
  <c r="F10" i="2"/>
  <c r="F11" i="2"/>
  <c r="C2" i="2"/>
  <c r="C4" i="2"/>
  <c r="K4" i="2" s="1"/>
  <c r="C5" i="2"/>
  <c r="C6" i="2"/>
  <c r="K6" i="2" s="1"/>
  <c r="C7" i="2"/>
  <c r="C8" i="2"/>
  <c r="C9" i="2"/>
  <c r="C10" i="2"/>
  <c r="C11" i="2"/>
  <c r="C5" i="3"/>
  <c r="D5" i="3" s="1"/>
  <c r="C4" i="3"/>
  <c r="D4" i="3" s="1"/>
  <c r="T3" i="3"/>
  <c r="C3" i="3"/>
  <c r="D3" i="3" s="1"/>
  <c r="T2" i="3"/>
  <c r="C2" i="3"/>
  <c r="D2" i="3" s="1"/>
  <c r="K10" i="2"/>
  <c r="I5" i="2"/>
  <c r="H2" i="2"/>
  <c r="J8" i="2" l="1"/>
  <c r="I7" i="2"/>
  <c r="I9" i="2"/>
  <c r="O9" i="2"/>
  <c r="O3" i="2"/>
  <c r="O7" i="2"/>
  <c r="I11" i="2"/>
  <c r="O11" i="2"/>
  <c r="I2" i="2"/>
  <c r="J2" i="2"/>
  <c r="K2" i="2"/>
  <c r="K8" i="2"/>
  <c r="H3" i="2"/>
  <c r="H5" i="2"/>
  <c r="H7" i="2"/>
  <c r="H9" i="2"/>
  <c r="H11" i="2"/>
  <c r="J3" i="2"/>
  <c r="J5" i="2"/>
  <c r="J7" i="2"/>
  <c r="J9" i="2"/>
  <c r="J11" i="2"/>
  <c r="K3" i="2"/>
  <c r="O4" i="2"/>
  <c r="K5" i="2"/>
  <c r="K9" i="2"/>
  <c r="O10" i="2"/>
  <c r="K11" i="2"/>
  <c r="O6" i="2"/>
  <c r="K7" i="2"/>
  <c r="O8" i="2"/>
  <c r="H4" i="2"/>
  <c r="H6" i="2"/>
  <c r="H8" i="2"/>
  <c r="H10" i="2"/>
  <c r="I4" i="2"/>
  <c r="I6" i="2"/>
  <c r="I8" i="2"/>
  <c r="I10" i="2"/>
  <c r="J4" i="2"/>
  <c r="L4" i="2" s="1"/>
  <c r="J6" i="2"/>
  <c r="L6" i="2" s="1"/>
  <c r="J10" i="2"/>
  <c r="L10" i="2" s="1"/>
  <c r="L8" i="2" l="1"/>
  <c r="N8" i="2" s="1"/>
  <c r="M8" i="2" s="1"/>
  <c r="L5" i="2"/>
  <c r="N5" i="2" s="1"/>
  <c r="M5" i="2" s="1"/>
  <c r="L11" i="2"/>
  <c r="N11" i="2" s="1"/>
  <c r="M11" i="2" s="1"/>
  <c r="L9" i="2"/>
  <c r="L7" i="2"/>
  <c r="N6" i="2"/>
  <c r="M6" i="2" s="1"/>
  <c r="L3" i="2"/>
  <c r="L2" i="2"/>
  <c r="N10" i="2"/>
  <c r="M10" i="2" s="1"/>
  <c r="N4" i="2"/>
  <c r="M4" i="2" s="1"/>
  <c r="N7" i="2" l="1"/>
  <c r="M7" i="2" s="1"/>
  <c r="N3" i="2"/>
  <c r="M3" i="2" s="1"/>
  <c r="N9" i="2"/>
  <c r="M9" i="2" s="1"/>
  <c r="N2" i="2"/>
  <c r="M2" i="2" s="1"/>
</calcChain>
</file>

<file path=xl/sharedStrings.xml><?xml version="1.0" encoding="utf-8"?>
<sst xmlns="http://schemas.openxmlformats.org/spreadsheetml/2006/main" count="51" uniqueCount="45">
  <si>
    <t xml:space="preserve">Type de séparateur </t>
  </si>
  <si>
    <t>angle de talutage</t>
  </si>
  <si>
    <t xml:space="preserve">profondeur </t>
  </si>
  <si>
    <t>largeur</t>
  </si>
  <si>
    <t>longeur</t>
  </si>
  <si>
    <t>volume séparateur</t>
  </si>
  <si>
    <t>volume dalle inférieur,</t>
  </si>
  <si>
    <t>vollume dalle suppérieure</t>
  </si>
  <si>
    <t>A</t>
  </si>
  <si>
    <t>B</t>
  </si>
  <si>
    <t xml:space="preserve">volume total de déblais  </t>
  </si>
  <si>
    <t>volume à evacuer</t>
  </si>
  <si>
    <t>volume à replacer</t>
  </si>
  <si>
    <t xml:space="preserve">Sable stabilisé </t>
  </si>
  <si>
    <t>Comentaire</t>
  </si>
  <si>
    <t>TN70</t>
  </si>
  <si>
    <t>13</t>
  </si>
  <si>
    <t>TN100</t>
  </si>
  <si>
    <t xml:space="preserve">type de terre </t>
  </si>
  <si>
    <t>angle degré</t>
  </si>
  <si>
    <t>angle radiant</t>
  </si>
  <si>
    <t>cos</t>
  </si>
  <si>
    <t>Citernes d'eaux de pluie</t>
  </si>
  <si>
    <t>hauteur total</t>
  </si>
  <si>
    <t>hauteur entrée</t>
  </si>
  <si>
    <t>hauteur sortie</t>
  </si>
  <si>
    <t>longueur</t>
  </si>
  <si>
    <t>volume total</t>
  </si>
  <si>
    <t>volume utile</t>
  </si>
  <si>
    <t>poids</t>
  </si>
  <si>
    <t>débourbeur:</t>
  </si>
  <si>
    <t>Diam ext</t>
  </si>
  <si>
    <t>hauteur</t>
  </si>
  <si>
    <t>volume</t>
  </si>
  <si>
    <t>test</t>
  </si>
  <si>
    <t>20m³</t>
  </si>
  <si>
    <t>10m³</t>
  </si>
  <si>
    <t xml:space="preserve">Taux de chaux </t>
  </si>
  <si>
    <t>%</t>
  </si>
  <si>
    <t xml:space="preserve">Taux de ciment </t>
  </si>
  <si>
    <t>Pas</t>
  </si>
  <si>
    <t>m</t>
  </si>
  <si>
    <t>Translation</t>
  </si>
  <si>
    <t>Angle de talutage</t>
  </si>
  <si>
    <t>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</si>
</sst>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MS Sans Serif"/>
    </font>
    <font>
      <b/>
      <sz val="10"/>
      <color theme="0"/>
      <name val="Arial Narrow"/>
      <family val="2"/>
    </font>
    <font>
      <b/>
      <sz val="11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1" fillId="2" borderId="1" xfId="0" applyFont="1" applyFill="1" applyBorder="1"/>
    <xf numFmtId="0" fontId="3" fillId="2" borderId="2" xfId="1" applyFont="1" applyFill="1" applyBorder="1" applyAlignment="1">
      <alignment wrapText="1"/>
    </xf>
    <xf numFmtId="0" fontId="3" fillId="2" borderId="3" xfId="1" applyFont="1" applyFill="1" applyBorder="1" applyAlignment="1">
      <alignment wrapText="1"/>
    </xf>
    <xf numFmtId="0" fontId="3" fillId="2" borderId="4" xfId="1" applyFont="1" applyFill="1" applyBorder="1" applyAlignment="1">
      <alignment wrapText="1"/>
    </xf>
    <xf numFmtId="0" fontId="1" fillId="2" borderId="5" xfId="0" applyFont="1" applyFill="1" applyBorder="1"/>
    <xf numFmtId="0" fontId="1" fillId="0" borderId="0" xfId="0" applyFont="1"/>
    <xf numFmtId="0" fontId="3" fillId="2" borderId="6" xfId="1" applyFont="1" applyFill="1" applyBorder="1" applyAlignment="1">
      <alignment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/>
    <xf numFmtId="0" fontId="3" fillId="2" borderId="11" xfId="1" applyFont="1" applyFill="1" applyBorder="1" applyAlignment="1">
      <alignment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4" fillId="3" borderId="0" xfId="1" applyFont="1" applyFill="1" applyAlignment="1">
      <alignment horizontal="center" wrapText="1"/>
    </xf>
    <xf numFmtId="0" fontId="2" fillId="0" borderId="0" xfId="1"/>
    <xf numFmtId="0" fontId="4" fillId="2" borderId="0" xfId="1" applyFont="1" applyFill="1" applyAlignment="1">
      <alignment horizontal="center" wrapText="1"/>
    </xf>
    <xf numFmtId="0" fontId="4" fillId="2" borderId="18" xfId="1" applyFont="1" applyFill="1" applyBorder="1" applyAlignment="1">
      <alignment horizontal="center" wrapText="1"/>
    </xf>
    <xf numFmtId="0" fontId="2" fillId="3" borderId="19" xfId="1" applyFill="1" applyBorder="1"/>
    <xf numFmtId="0" fontId="2" fillId="3" borderId="20" xfId="1" applyFill="1" applyBorder="1"/>
    <xf numFmtId="0" fontId="2" fillId="0" borderId="21" xfId="1" applyBorder="1"/>
    <xf numFmtId="0" fontId="2" fillId="0" borderId="19" xfId="1" applyBorder="1"/>
    <xf numFmtId="0" fontId="2" fillId="0" borderId="20" xfId="1" applyBorder="1"/>
    <xf numFmtId="0" fontId="2" fillId="0" borderId="22" xfId="1" applyBorder="1"/>
    <xf numFmtId="0" fontId="2" fillId="0" borderId="23" xfId="1" applyBorder="1"/>
    <xf numFmtId="0" fontId="2" fillId="0" borderId="24" xfId="1" applyBorder="1"/>
    <xf numFmtId="0" fontId="2" fillId="3" borderId="23" xfId="1" applyFill="1" applyBorder="1"/>
    <xf numFmtId="0" fontId="2" fillId="3" borderId="24" xfId="1" applyFill="1" applyBorder="1"/>
    <xf numFmtId="0" fontId="2" fillId="0" borderId="25" xfId="1" applyBorder="1"/>
    <xf numFmtId="0" fontId="2" fillId="0" borderId="26" xfId="1" applyBorder="1"/>
  </cellXfs>
  <cellStyles count="2">
    <cellStyle name="Normal" xfId="0" builtinId="0"/>
    <cellStyle name="Normal 2" xfId="1" xr:uid="{32BE11AD-31BB-44B9-8C5C-482C9F60D73B}"/>
  </cellStyles>
  <dxfs count="50">
    <dxf>
      <numFmt numFmtId="0" formatCode="General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0" formatCode="General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0" formatCode="General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0" formatCode="General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 Narrow"/>
        <family val="2"/>
        <scheme val="none"/>
      </font>
      <numFmt numFmtId="0" formatCode="General"/>
      <fill>
        <patternFill patternType="solid">
          <fgColor indexed="64"/>
          <bgColor rgb="FF0000FF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 Narrow"/>
        <family val="2"/>
        <scheme val="none"/>
      </font>
      <fill>
        <patternFill patternType="solid">
          <fgColor indexed="64"/>
          <bgColor rgb="FF0000FF"/>
        </patternFill>
      </fill>
      <alignment horizontal="center" vertical="bottom" textRotation="0" wrapText="1" indent="0" justifyLastLine="0" shrinkToFit="0" readingOrder="0"/>
    </dxf>
    <dxf>
      <fill>
        <patternFill>
          <fgColor indexed="64"/>
          <bgColor rgb="FFFF000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1"/>
        <color theme="0"/>
        <name val="Arial Narrow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0000"/>
        </patternFill>
      </fill>
    </dxf>
    <dxf>
      <fill>
        <patternFill patternType="solid"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top style="thin">
          <color theme="0"/>
        </top>
      </border>
    </dxf>
    <dxf>
      <border>
        <bottom style="thin">
          <color theme="0"/>
        </bottom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Narrow"/>
        <family val="2"/>
        <scheme val="none"/>
      </font>
      <fill>
        <patternFill patternType="solid">
          <fgColor indexed="64"/>
          <bgColor rgb="FF0000FF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B8C2FE-10A9-4628-8DBB-47DC1C8A2191}" name="Tableau20" displayName="Tableau20" ref="A1:D5" totalsRowShown="0" headerRowDxfId="34" dataDxfId="33" headerRowBorderDxfId="31" tableBorderDxfId="32" totalsRowBorderDxfId="30" headerRowCellStyle="Normal 2">
  <autoFilter ref="A1:D5" xr:uid="{9ED01126-B81C-4C1A-B714-2C7E360530E0}"/>
  <tableColumns count="4">
    <tableColumn id="1" xr3:uid="{5281E045-0E9E-415F-A7F6-3614CA56CA6A}" name="type de terre " dataDxfId="29" dataCellStyle="Normal 2"/>
    <tableColumn id="2" xr3:uid="{1330F137-3091-412F-BF79-59F5C294F45A}" name="angle degré" dataDxfId="28" dataCellStyle="Normal 2"/>
    <tableColumn id="3" xr3:uid="{45BA1FDF-F197-435E-A87F-2101FDC2438C}" name="angle radiant" dataDxfId="27" dataCellStyle="Normal 2">
      <calculatedColumnFormula>RADIANS(B2)</calculatedColumnFormula>
    </tableColumn>
    <tableColumn id="4" xr3:uid="{874F1645-BAE8-4211-AAAB-C52AA67F2C8B}" name="cos" dataDxfId="26" dataCellStyle="Normal 2">
      <calculatedColumnFormula>COS(C2)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980390A-2B18-4E75-96D5-D4E44B89A856}" name="Tableau21" displayName="Tableau21" ref="F1:N3" totalsRowShown="0" headerRowDxfId="25" headerRowBorderDxfId="23" tableBorderDxfId="24" totalsRowBorderDxfId="22" headerRowCellStyle="Normal 2" dataCellStyle="Normal 2">
  <autoFilter ref="F1:N3" xr:uid="{A5C22F2F-7A0B-48F8-B4B8-D362542721EA}"/>
  <tableColumns count="9">
    <tableColumn id="1" xr3:uid="{7F747DA2-7A73-4346-BCAB-844FE436E9C9}" name="Citernes d'eaux de pluie" dataDxfId="21" dataCellStyle="Normal 2"/>
    <tableColumn id="2" xr3:uid="{586C44DC-A36C-469F-9BF4-9158AD9CDE22}" name="hauteur total" dataDxfId="20" dataCellStyle="Normal 2"/>
    <tableColumn id="3" xr3:uid="{1AAE9DC5-F6E5-4ADA-850A-12A5E4F5CA9B}" name="hauteur entrée" dataDxfId="19" dataCellStyle="Normal 2"/>
    <tableColumn id="4" xr3:uid="{4F08AAA8-A8EC-47C5-B790-0A34B926345D}" name="hauteur sortie" dataDxfId="18" dataCellStyle="Normal 2"/>
    <tableColumn id="5" xr3:uid="{46D46961-2147-4225-B273-3E0089F31814}" name="longueur" dataDxfId="17" dataCellStyle="Normal 2"/>
    <tableColumn id="6" xr3:uid="{FB014B35-D335-42FE-9B4E-F3121CD37C90}" name="largeur" dataDxfId="16" dataCellStyle="Normal 2"/>
    <tableColumn id="7" xr3:uid="{668E37C3-9ADA-429E-B422-6614C54B76B8}" name="volume total" dataDxfId="15" dataCellStyle="Normal 2"/>
    <tableColumn id="8" xr3:uid="{DEBF983C-BF84-4076-BD32-394AEB1717CE}" name="volume utile" dataDxfId="14" dataCellStyle="Normal 2"/>
    <tableColumn id="9" xr3:uid="{C54D5125-0CBA-4EF0-993D-63FDDF3FDC75}" name="poids" dataDxfId="13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8799AB6-5094-4898-AE5D-D153623043D4}" name="Tableau22" displayName="Tableau22" ref="P1:T3" totalsRowShown="0" headerRowDxfId="12" headerRowBorderDxfId="10" tableBorderDxfId="11" totalsRowBorderDxfId="9" headerRowCellStyle="Normal 2" dataCellStyle="Normal 2">
  <autoFilter ref="P1:T3" xr:uid="{AB9F4B60-B609-40DE-932B-1C904A50BAAD}"/>
  <tableColumns count="5">
    <tableColumn id="1" xr3:uid="{0CC2F2F1-D924-4694-9086-2748B6F1894A}" name="débourbeur:" dataDxfId="8" dataCellStyle="Normal 2"/>
    <tableColumn id="2" xr3:uid="{C8C93F89-3203-45C6-AF4F-C57C985F03FC}" name="Diam ext" dataDxfId="7" dataCellStyle="Normal 2"/>
    <tableColumn id="3" xr3:uid="{68FBC647-98F9-45F5-AC30-311824D8C411}" name="longeur" dataDxfId="6" dataCellStyle="Normal 2"/>
    <tableColumn id="4" xr3:uid="{5D8B540A-29CD-44EC-AF47-0F65413E636E}" name="hauteur" dataDxfId="5" dataCellStyle="Normal 2"/>
    <tableColumn id="5" xr3:uid="{9427C778-62B1-4CC8-9B27-AF534972FA89}" name="volume" dataDxfId="4" dataCellStyle="Normal 2">
      <calculatedColumnFormula>(S2/2)^2*PI()*R2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39826B-674F-4060-93EE-1B810461CE83}" name="Tableau19" displayName="Tableau19" ref="B1:P11" totalsRowShown="0" headerRowDxfId="49" headerRowBorderDxfId="47" tableBorderDxfId="48" totalsRowBorderDxfId="46" headerRowCellStyle="Normal 2">
  <autoFilter ref="B1:P11" xr:uid="{89C68FC9-F108-429E-A96A-08A22082DDA7}"/>
  <tableColumns count="15">
    <tableColumn id="1" xr3:uid="{E955B8B2-7048-4241-8DE8-A1106CF38A86}" name="Type de séparateur " dataDxfId="45"/>
    <tableColumn id="2" xr3:uid="{4D355897-E6E4-4730-830C-8AE96EEE7038}" name="angle de talutage" dataDxfId="3">
      <calculatedColumnFormula>IF(Tableau19[[#This Row],[profondeur ]]=0,0,BDD!$B$17)</calculatedColumnFormula>
    </tableColumn>
    <tableColumn id="3" xr3:uid="{B66F849C-5AA1-4447-9C07-F4538D103472}" name="profondeur " dataDxfId="44"/>
    <tableColumn id="4" xr3:uid="{2373C7D9-38E5-46B7-8016-652BAC9A537A}" name="largeur" dataDxfId="0">
      <calculatedColumnFormula>IFERROR(VLOOKUP(B2,BDD!$P$2:$T$3,2,1),0)</calculatedColumnFormula>
    </tableColumn>
    <tableColumn id="5" xr3:uid="{FC92D315-933C-4DA5-990A-5C0B70711C12}" name="longeur" dataDxfId="2">
      <calculatedColumnFormula>IFERROR(VLOOKUP(B2,BDD!$P$2:$T$3,3,1),0)</calculatedColumnFormula>
    </tableColumn>
    <tableColumn id="6" xr3:uid="{F563254E-36C3-4440-B59B-7EC889BDEE7C}" name="volume séparateur" dataDxfId="1">
      <calculatedColumnFormula>IFERROR(VLOOKUP(B2,BDD!$P$2:$T$3,5,1),0)</calculatedColumnFormula>
    </tableColumn>
    <tableColumn id="7" xr3:uid="{449D1082-E2DF-4F85-9D67-389804D150D8}" name="volume dalle inférieur," dataDxfId="43">
      <calculatedColumnFormula>IF(0.3*(E2+1.5*2)*(F2+1.5*2)=2.7,0,0.3*(E2+1.5*2)*(F2+1.5*2))</calculatedColumnFormula>
    </tableColumn>
    <tableColumn id="8" xr3:uid="{E987681D-6B75-4487-A651-7970C6F8D32E}" name="vollume dalle suppérieure" dataDxfId="42">
      <calculatedColumnFormula>IF((E2+0.5*2)*(F2+0.5*2)*0.3=0.3,0,(E2+0.5*2)*(F2+0.5*2)*0.3)</calculatedColumnFormula>
    </tableColumn>
    <tableColumn id="9" xr3:uid="{14595723-6EDE-4602-AA0D-86E0990415E7}" name="A" dataDxfId="41">
      <calculatedColumnFormula>IF((E2+3)*(F2+3)=9,0,(E2+3)*(F2+3))</calculatedColumnFormula>
    </tableColumn>
    <tableColumn id="10" xr3:uid="{085B57BE-E0BA-4C7E-BA76-D51B01412933}" name="B" dataDxfId="40">
      <calculatedColumnFormula>IF((E2+3+2*COS(RADIANS(C2)*(D2+0.3)))*(F2+3+2*COS(RADIANS(C2)*(D2+0.3)))=25,0,(E2+3+2*COS(RADIANS(C2)*(D2+0.3)))*(F2+3+2*COS(RADIANS(C2)*(D2+0.3))))</calculatedColumnFormula>
    </tableColumn>
    <tableColumn id="11" xr3:uid="{A7E32704-8B63-4146-A24F-C88F78D344C8}" name="volume total de déblais  " dataDxfId="39">
      <calculatedColumnFormula>(1/3)*(J2+K2+SQRT(J2*K2))*(D2+0.3)</calculatedColumnFormula>
    </tableColumn>
    <tableColumn id="12" xr3:uid="{95BF1E07-C335-48C4-A77D-1E3A399FE265}" name="volume à evacuer" dataDxfId="38">
      <calculatedColumnFormula>IF(L2-N2=(0.1),0,L2-N2)</calculatedColumnFormula>
    </tableColumn>
    <tableColumn id="13" xr3:uid="{30A18602-EF3D-439B-AE37-597096CBF827}" name="volume à replacer" dataDxfId="37">
      <calculatedColumnFormula>IF(L2-H2-I2-O2-G2=-0.1,0,L2-H2-I2-O2-G2)</calculatedColumnFormula>
    </tableColumn>
    <tableColumn id="14" xr3:uid="{1EF497E5-59F3-4DA1-B79D-ABAEBC98890B}" name="Sable stabilisé " dataDxfId="36">
      <calculatedColumnFormula>IF((E2+1)*(F2+1)*(E2+0.1)-G2=0.1,0,(E2+1)*(F2+1)*(E2+0.1)-G2)</calculatedColumnFormula>
    </tableColumn>
    <tableColumn id="15" xr3:uid="{872894BD-4C74-4A1C-AE0B-EBD741F672AC}" name="Comentaire" dataDxfId="3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67D7E-050E-4E34-99B6-09CCD26D7D90}">
  <sheetPr codeName="Feuil11"/>
  <dimension ref="A1:T17"/>
  <sheetViews>
    <sheetView topLeftCell="C1" workbookViewId="0">
      <selection activeCell="R2" sqref="R2"/>
    </sheetView>
  </sheetViews>
  <sheetFormatPr baseColWidth="10" defaultRowHeight="12.75" x14ac:dyDescent="0.2"/>
  <cols>
    <col min="1" max="1" width="25.140625" style="20" customWidth="1"/>
    <col min="2" max="2" width="15.28515625" style="20" customWidth="1"/>
    <col min="3" max="3" width="16.28515625" style="20" customWidth="1"/>
    <col min="4" max="5" width="11.42578125" style="20"/>
    <col min="6" max="6" width="27.140625" style="20" customWidth="1"/>
    <col min="7" max="7" width="15.42578125" style="20" customWidth="1"/>
    <col min="8" max="8" width="17.42578125" style="20" customWidth="1"/>
    <col min="9" max="9" width="16.7109375" style="20" customWidth="1"/>
    <col min="10" max="10" width="11.85546875" style="20" customWidth="1"/>
    <col min="11" max="11" width="11.42578125" style="20"/>
    <col min="12" max="12" width="15.28515625" style="20" customWidth="1"/>
    <col min="13" max="13" width="15.140625" style="20" customWidth="1"/>
    <col min="14" max="15" width="11.42578125" style="20"/>
    <col min="16" max="16" width="15.28515625" style="20" customWidth="1"/>
    <col min="17" max="17" width="11.85546875" style="20" customWidth="1"/>
    <col min="18" max="16384" width="11.42578125" style="20"/>
  </cols>
  <sheetData>
    <row r="1" spans="1:20" ht="16.5" x14ac:dyDescent="0.3">
      <c r="A1" s="19" t="s">
        <v>18</v>
      </c>
      <c r="B1" s="19" t="s">
        <v>19</v>
      </c>
      <c r="C1" s="19" t="s">
        <v>20</v>
      </c>
      <c r="D1" s="19" t="s">
        <v>21</v>
      </c>
      <c r="F1" s="21" t="s">
        <v>22</v>
      </c>
      <c r="G1" s="21" t="s">
        <v>23</v>
      </c>
      <c r="H1" s="21" t="s">
        <v>24</v>
      </c>
      <c r="I1" s="21" t="s">
        <v>25</v>
      </c>
      <c r="J1" s="21" t="s">
        <v>26</v>
      </c>
      <c r="K1" s="21" t="s">
        <v>3</v>
      </c>
      <c r="L1" s="21" t="s">
        <v>27</v>
      </c>
      <c r="M1" s="21" t="s">
        <v>28</v>
      </c>
      <c r="N1" s="21" t="s">
        <v>29</v>
      </c>
      <c r="P1" s="22" t="s">
        <v>30</v>
      </c>
      <c r="Q1" s="22" t="s">
        <v>31</v>
      </c>
      <c r="R1" s="22" t="s">
        <v>4</v>
      </c>
      <c r="S1" s="22" t="s">
        <v>32</v>
      </c>
      <c r="T1" s="22" t="s">
        <v>33</v>
      </c>
    </row>
    <row r="2" spans="1:20" ht="16.5" x14ac:dyDescent="0.3">
      <c r="A2" s="19" t="s">
        <v>34</v>
      </c>
      <c r="B2" s="23">
        <v>45</v>
      </c>
      <c r="C2" s="23">
        <f>RADIANS(B2)</f>
        <v>0.78539816339744828</v>
      </c>
      <c r="D2" s="24">
        <f>COS(C2)</f>
        <v>0.70710678118654757</v>
      </c>
      <c r="F2" s="25" t="s">
        <v>35</v>
      </c>
      <c r="G2" s="26">
        <v>2.74</v>
      </c>
      <c r="H2" s="26">
        <v>2.13</v>
      </c>
      <c r="I2" s="26">
        <v>2.09</v>
      </c>
      <c r="J2" s="26">
        <v>4.8</v>
      </c>
      <c r="K2" s="26">
        <v>2.38</v>
      </c>
      <c r="L2" s="26">
        <v>20.170000000000002</v>
      </c>
      <c r="M2" s="26">
        <v>18.3</v>
      </c>
      <c r="N2" s="27">
        <v>9.5</v>
      </c>
      <c r="P2" s="25" t="s">
        <v>15</v>
      </c>
      <c r="Q2" s="26">
        <v>2.1800000000000002</v>
      </c>
      <c r="R2" s="26">
        <v>5.85</v>
      </c>
      <c r="S2" s="26">
        <v>2.4300000000000002</v>
      </c>
      <c r="T2" s="27">
        <f>(S2/2)^2*PI()*R2</f>
        <v>27.130531048016714</v>
      </c>
    </row>
    <row r="3" spans="1:20" ht="16.5" x14ac:dyDescent="0.3">
      <c r="A3" s="19"/>
      <c r="B3" s="23">
        <v>40</v>
      </c>
      <c r="C3" s="23">
        <f>RADIANS(B3)</f>
        <v>0.69813170079773179</v>
      </c>
      <c r="D3" s="24">
        <f>COS(C3)</f>
        <v>0.76604444311897801</v>
      </c>
      <c r="F3" s="28" t="s">
        <v>36</v>
      </c>
      <c r="G3" s="29">
        <v>2.4</v>
      </c>
      <c r="H3" s="29">
        <v>2.13</v>
      </c>
      <c r="I3" s="29">
        <v>2.09</v>
      </c>
      <c r="J3" s="29">
        <v>2.6</v>
      </c>
      <c r="K3" s="29">
        <v>2.38</v>
      </c>
      <c r="L3" s="29">
        <v>10.18</v>
      </c>
      <c r="M3" s="29">
        <v>9.26</v>
      </c>
      <c r="N3" s="30">
        <v>5.8</v>
      </c>
      <c r="P3" s="28" t="s">
        <v>17</v>
      </c>
      <c r="Q3" s="29">
        <v>2.38</v>
      </c>
      <c r="R3" s="29">
        <v>7</v>
      </c>
      <c r="S3" s="29">
        <v>2.59</v>
      </c>
      <c r="T3" s="30">
        <f>(S3/2)^2*PI()*R3</f>
        <v>36.879705939204953</v>
      </c>
    </row>
    <row r="4" spans="1:20" ht="16.5" x14ac:dyDescent="0.3">
      <c r="A4" s="19"/>
      <c r="B4" s="23">
        <v>41</v>
      </c>
      <c r="C4" s="23">
        <f>RADIANS(B4)</f>
        <v>0.71558499331767511</v>
      </c>
      <c r="D4" s="24">
        <f>COS(C4)</f>
        <v>0.75470958022277201</v>
      </c>
    </row>
    <row r="5" spans="1:20" ht="16.5" x14ac:dyDescent="0.3">
      <c r="A5" s="19"/>
      <c r="B5" s="31">
        <v>42</v>
      </c>
      <c r="C5" s="31">
        <f>RADIANS(B5)</f>
        <v>0.73303828583761843</v>
      </c>
      <c r="D5" s="32">
        <f>COS(C5)</f>
        <v>0.74314482547739424</v>
      </c>
    </row>
    <row r="12" spans="1:20" ht="13.5" thickBot="1" x14ac:dyDescent="0.25"/>
    <row r="13" spans="1:20" ht="16.5" x14ac:dyDescent="0.3">
      <c r="A13" s="22" t="s">
        <v>37</v>
      </c>
      <c r="B13" s="33">
        <v>50</v>
      </c>
      <c r="C13" s="22" t="s">
        <v>38</v>
      </c>
    </row>
    <row r="14" spans="1:20" ht="16.5" x14ac:dyDescent="0.3">
      <c r="A14" s="22" t="s">
        <v>39</v>
      </c>
      <c r="B14" s="26">
        <v>50</v>
      </c>
      <c r="C14" s="22" t="s">
        <v>38</v>
      </c>
    </row>
    <row r="15" spans="1:20" ht="16.5" x14ac:dyDescent="0.3">
      <c r="A15" s="22" t="s">
        <v>40</v>
      </c>
      <c r="B15" s="26">
        <v>1</v>
      </c>
      <c r="C15" s="22" t="s">
        <v>41</v>
      </c>
    </row>
    <row r="16" spans="1:20" ht="16.5" x14ac:dyDescent="0.3">
      <c r="A16" s="22" t="s">
        <v>42</v>
      </c>
      <c r="B16" s="26">
        <v>-0.7</v>
      </c>
      <c r="C16" s="22" t="s">
        <v>41</v>
      </c>
    </row>
    <row r="17" spans="1:3" ht="17.25" thickBot="1" x14ac:dyDescent="0.35">
      <c r="A17" s="22" t="s">
        <v>43</v>
      </c>
      <c r="B17" s="34">
        <v>40</v>
      </c>
      <c r="C17" s="22" t="s">
        <v>44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6D67A-121D-4AB4-94D9-C50FFEDA15FA}">
  <sheetPr codeName="Feuil7"/>
  <dimension ref="A1:Q12"/>
  <sheetViews>
    <sheetView tabSelected="1" workbookViewId="0">
      <selection activeCell="F3" sqref="F3"/>
    </sheetView>
  </sheetViews>
  <sheetFormatPr baseColWidth="10" defaultRowHeight="15" x14ac:dyDescent="0.25"/>
  <cols>
    <col min="2" max="2" width="20.5703125" customWidth="1"/>
    <col min="3" max="3" width="18.42578125" customWidth="1"/>
    <col min="4" max="4" width="13.7109375" customWidth="1"/>
    <col min="7" max="7" width="19.85546875" customWidth="1"/>
    <col min="8" max="8" width="23.5703125" customWidth="1"/>
    <col min="9" max="9" width="26.5703125" customWidth="1"/>
    <col min="12" max="12" width="24.85546875" customWidth="1"/>
    <col min="13" max="13" width="18.7109375" customWidth="1"/>
    <col min="14" max="14" width="19" customWidth="1"/>
    <col min="15" max="15" width="16.28515625" customWidth="1"/>
    <col min="16" max="16" width="15.85546875" customWidth="1"/>
  </cols>
  <sheetData>
    <row r="1" spans="1:17" s="6" customFormat="1" x14ac:dyDescent="0.25">
      <c r="A1" s="1"/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4" t="s">
        <v>14</v>
      </c>
      <c r="Q1" s="5"/>
    </row>
    <row r="2" spans="1:17" x14ac:dyDescent="0.25">
      <c r="A2" s="7">
        <v>1</v>
      </c>
      <c r="B2" s="8" t="s">
        <v>15</v>
      </c>
      <c r="C2" s="9">
        <f>IF(Tableau19[[#This Row],[profondeur ]]=0,0,BDD!$B$17)</f>
        <v>40</v>
      </c>
      <c r="D2" s="9" t="s">
        <v>16</v>
      </c>
      <c r="E2" s="9">
        <f>IFERROR(VLOOKUP(B2,BDD!$P$2:$T$3,2,1),0)</f>
        <v>2.1800000000000002</v>
      </c>
      <c r="F2" s="9">
        <f>IFERROR(VLOOKUP(B2,BDD!$P$2:$T$3,3,1),0)</f>
        <v>5.85</v>
      </c>
      <c r="G2" s="9">
        <f>IFERROR(VLOOKUP(B2,BDD!$P$2:$T$3,5,1),0)</f>
        <v>27.130531048016714</v>
      </c>
      <c r="H2" s="9">
        <f>IF(0.3*(E2+1.5*2)*(F2+1.5*2)=2.7,0,0.3*(E2+1.5*2)*(F2+1.5*2))</f>
        <v>13.752899999999999</v>
      </c>
      <c r="I2" s="9">
        <f>IF((E2+0.5*2)*(F2+0.5*2)*0.3=0.3,0,(E2+0.5*2)*(F2+0.5*2)*0.3)</f>
        <v>6.5349000000000004</v>
      </c>
      <c r="J2" s="9">
        <f>IF((E2+3)*(F2+3)=9,0,(E2+3)*(F2+3))</f>
        <v>45.842999999999996</v>
      </c>
      <c r="K2" s="9">
        <f>IF((E2+3+2*COS(RADIANS(C2)*(D2+0.3)))*(F2+3+2*COS(RADIANS(C2)*(D2+0.3)))=25,0,(E2+3+2*COS(RADIANS(C2)*(D2+0.3)))*(F2+3+2*COS(RADIANS(C2)*(D2+0.3))))</f>
        <v>21.978601382988174</v>
      </c>
      <c r="L2" s="9">
        <f>(1/3)*(J2+K2+SQRT(J2*K2))*(D2+0.3)</f>
        <v>441.39936320244311</v>
      </c>
      <c r="M2" s="9">
        <f>IF(L2-N2=(0.1),0,L2-N2)</f>
        <v>69.953040000000044</v>
      </c>
      <c r="N2" s="9">
        <f>IF(L2-H2-I2-O2-G2=-0.1,0,L2-H2-I2-O2-G2)</f>
        <v>371.44632320244307</v>
      </c>
      <c r="O2" s="9">
        <f>IF((E2+1)*(F2+1)*(E2+0.1)-G2=0.1,0,(E2+1)*(F2+1)*(E2+0.1)-G2)</f>
        <v>22.534708951983298</v>
      </c>
      <c r="P2" s="10"/>
      <c r="Q2" s="11"/>
    </row>
    <row r="3" spans="1:17" x14ac:dyDescent="0.25">
      <c r="A3" s="12">
        <v>2</v>
      </c>
      <c r="B3" s="8" t="s">
        <v>17</v>
      </c>
      <c r="C3" s="9">
        <f>IF(Tableau19[[#This Row],[profondeur ]]=0,0,BDD!$B$17)</f>
        <v>0</v>
      </c>
      <c r="D3" s="9"/>
      <c r="E3" s="9">
        <f>IFERROR(VLOOKUP(B3,BDD!$P$2:$T$3,2,1),0)</f>
        <v>0</v>
      </c>
      <c r="F3" s="9">
        <f>IFERROR(VLOOKUP(B3,BDD!$P$2:$T$3,3,1),0)</f>
        <v>0</v>
      </c>
      <c r="G3" s="9">
        <f>IFERROR(VLOOKUP(B3,BDD!$P$2:$T$3,5,1),0)</f>
        <v>0</v>
      </c>
      <c r="H3" s="9">
        <f>IF(0.3*(E3+1.5*2)*(F3+1.5*2)=2.7,0,0.3*(E3+1.5*2)*(F3+1.5*2))</f>
        <v>0</v>
      </c>
      <c r="I3" s="9">
        <f>IF((E3+0.5*2)*(F3+0.5*2)*0.3=0.3,0,(E3+0.5*2)*(F3+0.5*2)*0.3)</f>
        <v>0</v>
      </c>
      <c r="J3" s="9">
        <f>IF((E3+3)*(F3+3)=9,0,(E3+3)*(F3+3))</f>
        <v>0</v>
      </c>
      <c r="K3" s="9">
        <f>IF((E3+3+2*COS(RADIANS(C3)*(D3+0.3)))*(F3+3+2*COS(RADIANS(C3)*(D3+0.3)))=25,0,(E3+3+2*COS(RADIANS(C3)*(D3+0.3)))*(F3+3+2*COS(RADIANS(C3)*(D3+0.3))))</f>
        <v>0</v>
      </c>
      <c r="L3" s="9">
        <f>(1/3)*(J3+K3+SQRT(J3*K3))*(D3+0.3)</f>
        <v>0</v>
      </c>
      <c r="M3" s="9">
        <f>IF(L3-N3=(0.1),0,L3-N3)</f>
        <v>0</v>
      </c>
      <c r="N3" s="9">
        <f>IF(L3-H3-I3-O3-G3=-0.1,0,L3-H3-I3-O3-G3)</f>
        <v>0</v>
      </c>
      <c r="O3" s="9">
        <f>IF((E3+1)*(F3+1)*(E3+0.1)-G3=0.1,0,(E3+1)*(F3+1)*(E3+0.1)-G3)</f>
        <v>0</v>
      </c>
      <c r="P3" s="10"/>
      <c r="Q3" s="11"/>
    </row>
    <row r="4" spans="1:17" x14ac:dyDescent="0.25">
      <c r="A4" s="12">
        <v>3</v>
      </c>
      <c r="B4" s="8"/>
      <c r="C4" s="9">
        <f>IF(Tableau19[[#This Row],[profondeur ]]=0,0,BDD!$B$17)</f>
        <v>0</v>
      </c>
      <c r="D4" s="9"/>
      <c r="E4" s="9">
        <f>IFERROR(VLOOKUP(B4,BDD!$P$2:$T$3,2,1),0)</f>
        <v>0</v>
      </c>
      <c r="F4" s="9">
        <f>IFERROR(VLOOKUP(B4,BDD!$P$2:$T$3,3,1),0)</f>
        <v>0</v>
      </c>
      <c r="G4" s="9">
        <f>IFERROR(VLOOKUP(B4,BDD!$P$2:$T$3,5,1),0)</f>
        <v>0</v>
      </c>
      <c r="H4" s="9">
        <f>IF(0.3*(E4+1.5*2)*(F4+1.5*2)=2.7,0,0.3*(E4+1.5*2)*(F4+1.5*2))</f>
        <v>0</v>
      </c>
      <c r="I4" s="9">
        <f>IF((E4+0.5*2)*(F4+0.5*2)*0.3=0.3,0,(E4+0.5*2)*(F4+0.5*2)*0.3)</f>
        <v>0</v>
      </c>
      <c r="J4" s="9">
        <f>IF((E4+3)*(F4+3)=9,0,(E4+3)*(F4+3))</f>
        <v>0</v>
      </c>
      <c r="K4" s="9">
        <f>IF((E4+3+2*COS(RADIANS(C4)*(D4+0.3)))*(F4+3+2*COS(RADIANS(C4)*(D4+0.3)))=25,0,(E4+3+2*COS(RADIANS(C4)*(D4+0.3)))*(F4+3+2*COS(RADIANS(C4)*(D4+0.3))))</f>
        <v>0</v>
      </c>
      <c r="L4" s="9">
        <f>(1/3)*(J4+K4+SQRT(J4*K4))*(D4+0.3)</f>
        <v>0</v>
      </c>
      <c r="M4" s="9">
        <f>IF(L4-N4=(0.1),0,L4-N4)</f>
        <v>0</v>
      </c>
      <c r="N4" s="9">
        <f>IF(L4-H4-I4-O4-G4=-0.1,0,L4-H4-I4-O4-G4)</f>
        <v>0</v>
      </c>
      <c r="O4" s="9">
        <f>IF((E4+1)*(F4+1)*(E4+0.1)-G4=0.1,0,(E4+1)*(F4+1)*(E4+0.1)-G4)</f>
        <v>0</v>
      </c>
      <c r="P4" s="10"/>
      <c r="Q4" s="11"/>
    </row>
    <row r="5" spans="1:17" x14ac:dyDescent="0.25">
      <c r="A5" s="12">
        <v>4</v>
      </c>
      <c r="B5" s="8"/>
      <c r="C5" s="9">
        <f>IF(Tableau19[[#This Row],[profondeur ]]=0,0,BDD!$B$17)</f>
        <v>0</v>
      </c>
      <c r="D5" s="9"/>
      <c r="E5" s="9">
        <f>IFERROR(VLOOKUP(B5,BDD!$P$2:$T$3,2,1),0)</f>
        <v>0</v>
      </c>
      <c r="F5" s="9">
        <f>IFERROR(VLOOKUP(B5,BDD!$P$2:$T$3,3,1),0)</f>
        <v>0</v>
      </c>
      <c r="G5" s="9">
        <f>IFERROR(VLOOKUP(B5,BDD!$P$2:$T$3,5,1),0)</f>
        <v>0</v>
      </c>
      <c r="H5" s="9">
        <f>IF(0.3*(E5+1.5*2)*(F5+1.5*2)=2.7,0,0.3*(E5+1.5*2)*(F5+1.5*2))</f>
        <v>0</v>
      </c>
      <c r="I5" s="9">
        <f>IF((E5+0.5*2)*(F5+0.5*2)*0.3=0.3,0,(E5+0.5*2)*(F5+0.5*2)*0.3)</f>
        <v>0</v>
      </c>
      <c r="J5" s="9">
        <f>IF((E5+3)*(F5+3)=9,0,(E5+3)*(F5+3))</f>
        <v>0</v>
      </c>
      <c r="K5" s="9">
        <f>IF((E5+3+2*COS(RADIANS(C5)*(D5+0.3)))*(F5+3+2*COS(RADIANS(C5)*(D5+0.3)))=25,0,(E5+3+2*COS(RADIANS(C5)*(D5+0.3)))*(F5+3+2*COS(RADIANS(C5)*(D5+0.3))))</f>
        <v>0</v>
      </c>
      <c r="L5" s="9">
        <f>(1/3)*(J5+K5+SQRT(J5*K5))*(D5+0.3)</f>
        <v>0</v>
      </c>
      <c r="M5" s="9">
        <f>IF(L5-N5=(0.1),0,L5-N5)</f>
        <v>0</v>
      </c>
      <c r="N5" s="9">
        <f>IF(L5-H5-I5-O5-G5=-0.1,0,L5-H5-I5-O5-G5)</f>
        <v>0</v>
      </c>
      <c r="O5" s="9">
        <f>IF((E5+1)*(F5+1)*(E5+0.1)-G5=0.1,0,(E5+1)*(F5+1)*(E5+0.1)-G5)</f>
        <v>0</v>
      </c>
      <c r="P5" s="10"/>
      <c r="Q5" s="11"/>
    </row>
    <row r="6" spans="1:17" x14ac:dyDescent="0.25">
      <c r="A6" s="12">
        <v>5</v>
      </c>
      <c r="B6" s="8"/>
      <c r="C6" s="9">
        <f>IF(Tableau19[[#This Row],[profondeur ]]=0,0,BDD!$B$17)</f>
        <v>0</v>
      </c>
      <c r="D6" s="9"/>
      <c r="E6" s="9">
        <f>IFERROR(VLOOKUP(B6,BDD!$P$2:$T$3,2,1),0)</f>
        <v>0</v>
      </c>
      <c r="F6" s="9">
        <f>IFERROR(VLOOKUP(B6,BDD!$P$2:$T$3,3,1),0)</f>
        <v>0</v>
      </c>
      <c r="G6" s="9">
        <f>IFERROR(VLOOKUP(B6,BDD!$P$2:$T$3,5,1),0)</f>
        <v>0</v>
      </c>
      <c r="H6" s="9">
        <f>IF(0.3*(E6+1.5*2)*(F6+1.5*2)=2.7,0,0.3*(E6+1.5*2)*(F6+1.5*2))</f>
        <v>0</v>
      </c>
      <c r="I6" s="9">
        <f>IF((E6+0.5*2)*(F6+0.5*2)*0.3=0.3,0,(E6+0.5*2)*(F6+0.5*2)*0.3)</f>
        <v>0</v>
      </c>
      <c r="J6" s="9">
        <f>IF((E6+3)*(F6+3)=9,0,(E6+3)*(F6+3))</f>
        <v>0</v>
      </c>
      <c r="K6" s="9">
        <f>IF((E6+3+2*COS(RADIANS(C6)*(D6+0.3)))*(F6+3+2*COS(RADIANS(C6)*(D6+0.3)))=25,0,(E6+3+2*COS(RADIANS(C6)*(D6+0.3)))*(F6+3+2*COS(RADIANS(C6)*(D6+0.3))))</f>
        <v>0</v>
      </c>
      <c r="L6" s="9">
        <f>(1/3)*(J6+K6+SQRT(J6*K6))*(D6+0.3)</f>
        <v>0</v>
      </c>
      <c r="M6" s="9">
        <f>IF(L6-N6=(0.1),0,L6-N6)</f>
        <v>0</v>
      </c>
      <c r="N6" s="9">
        <f>IF(L6-H6-I6-O6-G6=-0.1,0,L6-H6-I6-O6-G6)</f>
        <v>0</v>
      </c>
      <c r="O6" s="9">
        <f>IF((E6+1)*(F6+1)*(E6+0.1)-G6=0.1,0,(E6+1)*(F6+1)*(E6+0.1)-G6)</f>
        <v>0</v>
      </c>
      <c r="P6" s="10"/>
      <c r="Q6" s="11"/>
    </row>
    <row r="7" spans="1:17" x14ac:dyDescent="0.25">
      <c r="A7" s="12">
        <v>6</v>
      </c>
      <c r="B7" s="8"/>
      <c r="C7" s="9">
        <f>IF(Tableau19[[#This Row],[profondeur ]]=0,0,BDD!$B$17)</f>
        <v>0</v>
      </c>
      <c r="D7" s="9"/>
      <c r="E7" s="9">
        <f>IFERROR(VLOOKUP(B7,BDD!$P$2:$T$3,2,1),0)</f>
        <v>0</v>
      </c>
      <c r="F7" s="9">
        <f>IFERROR(VLOOKUP(B7,BDD!$P$2:$T$3,3,1),0)</f>
        <v>0</v>
      </c>
      <c r="G7" s="9">
        <f>IFERROR(VLOOKUP(B7,BDD!$P$2:$T$3,5,1),0)</f>
        <v>0</v>
      </c>
      <c r="H7" s="9">
        <f t="shared" ref="H7:H11" si="0">IF(0.3*(E7+1.5*2)*(F7+1.5*2)=2.7,0,0.3*(E7+1.5*2)*(F7+1.5*2))</f>
        <v>0</v>
      </c>
      <c r="I7" s="9">
        <f t="shared" ref="I7:I11" si="1">IF((E7+0.5*2)*(F7+0.5*2)*0.3=0.3,0,(E7+0.5*2)*(F7+0.5*2)*0.3)</f>
        <v>0</v>
      </c>
      <c r="J7" s="9">
        <f t="shared" ref="J7:J11" si="2">IF((E7+3)*(F7+3)=9,0,(E7+3)*(F7+3))</f>
        <v>0</v>
      </c>
      <c r="K7" s="9">
        <f t="shared" ref="K7:K11" si="3">IF((E7+3+2*COS(RADIANS(C7)*(D7+0.3)))*(F7+3+2*COS(RADIANS(C7)*(D7+0.3)))=25,0,(E7+3+2*COS(RADIANS(C7)*(D7+0.3)))*(F7+3+2*COS(RADIANS(C7)*(D7+0.3))))</f>
        <v>0</v>
      </c>
      <c r="L7" s="9">
        <f t="shared" ref="L7:L11" si="4">(1/3)*(J7+K7+SQRT(J7*K7))*(D7+0.3)</f>
        <v>0</v>
      </c>
      <c r="M7" s="9">
        <f t="shared" ref="M7:M11" si="5">IF(L7-N7=(0.1),0,L7-N7)</f>
        <v>0</v>
      </c>
      <c r="N7" s="9">
        <f t="shared" ref="N7:N11" si="6">IF(L7-H7-I7-O7-G7=-0.1,0,L7-H7-I7-O7-G7)</f>
        <v>0</v>
      </c>
      <c r="O7" s="9">
        <f t="shared" ref="O7:O11" si="7">IF((E7+1)*(F7+1)*(E7+0.1)-G7=0.1,0,(E7+1)*(F7+1)*(E7+0.1)-G7)</f>
        <v>0</v>
      </c>
      <c r="P7" s="10"/>
      <c r="Q7" s="11"/>
    </row>
    <row r="8" spans="1:17" x14ac:dyDescent="0.25">
      <c r="A8" s="12">
        <v>7</v>
      </c>
      <c r="B8" s="8"/>
      <c r="C8" s="9">
        <f>IF(Tableau19[[#This Row],[profondeur ]]=0,0,BDD!$B$17)</f>
        <v>0</v>
      </c>
      <c r="D8" s="9"/>
      <c r="E8" s="9">
        <f>IFERROR(VLOOKUP(B8,BDD!$P$2:$T$3,2,1),0)</f>
        <v>0</v>
      </c>
      <c r="F8" s="9">
        <f>IFERROR(VLOOKUP(B8,BDD!$P$2:$T$3,3,1),0)</f>
        <v>0</v>
      </c>
      <c r="G8" s="9">
        <f>IFERROR(VLOOKUP(B8,BDD!$P$2:$T$3,5,1),0)</f>
        <v>0</v>
      </c>
      <c r="H8" s="9">
        <f t="shared" si="0"/>
        <v>0</v>
      </c>
      <c r="I8" s="9">
        <f t="shared" si="1"/>
        <v>0</v>
      </c>
      <c r="J8" s="9">
        <f t="shared" si="2"/>
        <v>0</v>
      </c>
      <c r="K8" s="9">
        <f t="shared" si="3"/>
        <v>0</v>
      </c>
      <c r="L8" s="9">
        <f t="shared" si="4"/>
        <v>0</v>
      </c>
      <c r="M8" s="9">
        <f t="shared" si="5"/>
        <v>0</v>
      </c>
      <c r="N8" s="9">
        <f t="shared" si="6"/>
        <v>0</v>
      </c>
      <c r="O8" s="9">
        <f t="shared" si="7"/>
        <v>0</v>
      </c>
      <c r="P8" s="10"/>
      <c r="Q8" s="11"/>
    </row>
    <row r="9" spans="1:17" x14ac:dyDescent="0.25">
      <c r="A9" s="12">
        <v>8</v>
      </c>
      <c r="B9" s="8"/>
      <c r="C9" s="9">
        <f>IF(Tableau19[[#This Row],[profondeur ]]=0,0,BDD!$B$17)</f>
        <v>0</v>
      </c>
      <c r="D9" s="9"/>
      <c r="E9" s="9">
        <f>IFERROR(VLOOKUP(B9,BDD!$P$2:$T$3,2,1),0)</f>
        <v>0</v>
      </c>
      <c r="F9" s="9">
        <f>IFERROR(VLOOKUP(B9,BDD!$P$2:$T$3,3,1),0)</f>
        <v>0</v>
      </c>
      <c r="G9" s="9">
        <f>IFERROR(VLOOKUP(B9,BDD!$P$2:$T$3,5,1),0)</f>
        <v>0</v>
      </c>
      <c r="H9" s="9">
        <f t="shared" si="0"/>
        <v>0</v>
      </c>
      <c r="I9" s="9">
        <f t="shared" si="1"/>
        <v>0</v>
      </c>
      <c r="J9" s="9">
        <f t="shared" si="2"/>
        <v>0</v>
      </c>
      <c r="K9" s="9">
        <f t="shared" si="3"/>
        <v>0</v>
      </c>
      <c r="L9" s="9">
        <f t="shared" si="4"/>
        <v>0</v>
      </c>
      <c r="M9" s="9">
        <f t="shared" si="5"/>
        <v>0</v>
      </c>
      <c r="N9" s="9">
        <f t="shared" si="6"/>
        <v>0</v>
      </c>
      <c r="O9" s="9">
        <f t="shared" si="7"/>
        <v>0</v>
      </c>
      <c r="P9" s="10"/>
      <c r="Q9" s="11"/>
    </row>
    <row r="10" spans="1:17" x14ac:dyDescent="0.25">
      <c r="A10" s="12">
        <v>9</v>
      </c>
      <c r="B10" s="8"/>
      <c r="C10" s="9">
        <f>IF(Tableau19[[#This Row],[profondeur ]]=0,0,BDD!$B$17)</f>
        <v>0</v>
      </c>
      <c r="D10" s="9"/>
      <c r="E10" s="9">
        <f>IFERROR(VLOOKUP(B10,BDD!$P$2:$T$3,2,1),0)</f>
        <v>0</v>
      </c>
      <c r="F10" s="9">
        <f>IFERROR(VLOOKUP(B10,BDD!$P$2:$T$3,3,1),0)</f>
        <v>0</v>
      </c>
      <c r="G10" s="9">
        <f>IFERROR(VLOOKUP(B10,BDD!$P$2:$T$3,5,1),0)</f>
        <v>0</v>
      </c>
      <c r="H10" s="9">
        <f t="shared" si="0"/>
        <v>0</v>
      </c>
      <c r="I10" s="9">
        <f t="shared" si="1"/>
        <v>0</v>
      </c>
      <c r="J10" s="9">
        <f t="shared" si="2"/>
        <v>0</v>
      </c>
      <c r="K10" s="9">
        <f t="shared" si="3"/>
        <v>0</v>
      </c>
      <c r="L10" s="9">
        <f t="shared" si="4"/>
        <v>0</v>
      </c>
      <c r="M10" s="9">
        <f t="shared" si="5"/>
        <v>0</v>
      </c>
      <c r="N10" s="9">
        <f t="shared" si="6"/>
        <v>0</v>
      </c>
      <c r="O10" s="9">
        <f t="shared" si="7"/>
        <v>0</v>
      </c>
      <c r="P10" s="10"/>
      <c r="Q10" s="11"/>
    </row>
    <row r="11" spans="1:17" x14ac:dyDescent="0.25">
      <c r="A11" s="12">
        <v>10</v>
      </c>
      <c r="B11" s="13"/>
      <c r="C11" s="14">
        <f>IF(Tableau19[[#This Row],[profondeur ]]=0,0,BDD!$B$17)</f>
        <v>0</v>
      </c>
      <c r="D11" s="14"/>
      <c r="E11" s="14">
        <f>IFERROR(VLOOKUP(B11,BDD!$P$2:$T$3,2,1),0)</f>
        <v>0</v>
      </c>
      <c r="F11" s="14">
        <f>IFERROR(VLOOKUP(B11,BDD!$P$2:$T$3,3,1),0)</f>
        <v>0</v>
      </c>
      <c r="G11" s="14">
        <f>IFERROR(VLOOKUP(B11,BDD!$P$2:$T$3,5,1),0)</f>
        <v>0</v>
      </c>
      <c r="H11" s="14">
        <f t="shared" si="0"/>
        <v>0</v>
      </c>
      <c r="I11" s="14">
        <f t="shared" si="1"/>
        <v>0</v>
      </c>
      <c r="J11" s="14">
        <f t="shared" si="2"/>
        <v>0</v>
      </c>
      <c r="K11" s="14">
        <f t="shared" si="3"/>
        <v>0</v>
      </c>
      <c r="L11" s="14">
        <f t="shared" si="4"/>
        <v>0</v>
      </c>
      <c r="M11" s="14">
        <f t="shared" si="5"/>
        <v>0</v>
      </c>
      <c r="N11" s="14">
        <f t="shared" si="6"/>
        <v>0</v>
      </c>
      <c r="O11" s="14">
        <f t="shared" si="7"/>
        <v>0</v>
      </c>
      <c r="P11" s="15"/>
      <c r="Q11" s="11"/>
    </row>
    <row r="12" spans="1:17" ht="15.75" thickBot="1" x14ac:dyDescent="0.3">
      <c r="A12" s="16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S-HC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Picquet</dc:creator>
  <cp:lastModifiedBy>Maximilien Picquet</cp:lastModifiedBy>
  <dcterms:created xsi:type="dcterms:W3CDTF">2023-02-27T14:20:17Z</dcterms:created>
  <dcterms:modified xsi:type="dcterms:W3CDTF">2023-02-27T14:27:37Z</dcterms:modified>
</cp:coreProperties>
</file>