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310" yWindow="345" windowWidth="18735" windowHeight="11955"/>
  </bookViews>
  <sheets>
    <sheet name="simu" sheetId="1" r:id="rId1"/>
    <sheet name="detail depenses" sheetId="2" r:id="rId2"/>
    <sheet name="buletin de paye" sheetId="3" r:id="rId3"/>
    <sheet name="salaires" sheetId="4" r:id="rId4"/>
    <sheet name="details charges" sheetId="7" r:id="rId5"/>
    <sheet name="chif" sheetId="10" r:id="rId6"/>
    <sheet name="maint" sheetId="11" r:id="rId7"/>
  </sheets>
  <externalReferences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Beg_Bal">#REF!</definedName>
    <definedName name="End_Bal">'[1]Tableau d''amortissement'!$I$19:$I$378</definedName>
    <definedName name="Extra_Pay">#REF!</definedName>
    <definedName name="Header_Row">ROW('[1]Tableau d''amortissement'!$A$18:$IV$18)</definedName>
    <definedName name="Int">#REF!</definedName>
    <definedName name="Interest_Rate">'[1]Tableau d''amortissement'!$D$6</definedName>
    <definedName name="Last_Row">IF(Values_Entered,Header_Row+Number_of_Payments,Header_Row)</definedName>
    <definedName name="Loan_Amount">'[1]Tableau d''amortissement'!$D$5</definedName>
    <definedName name="Loan_Start">'[1]Tableau d''amortissement'!$D$9</definedName>
    <definedName name="Loan_Years">'[1]Tableau d''amortissement'!$D$7</definedName>
    <definedName name="Num_Pmt_Per_Year">#REF!</definedName>
    <definedName name="Number_of_Payments">MATCH(0.01,End_Bal,-1)+1</definedName>
    <definedName name="Pay_Num">#REF!</definedName>
    <definedName name="Princ">#REF!</definedName>
    <definedName name="Sched_Pay">#REF!</definedName>
    <definedName name="Scheduled_Extra_Payments">#REF!</definedName>
    <definedName name="Scheduled_Monthly_Payment">#REF!</definedName>
    <definedName name="Total_Pay">#REF!</definedName>
    <definedName name="Values_Entered">IF(Loan_Amount*Interest_Rate*Loan_Years*Loan_Start&gt;0,1,0)</definedName>
    <definedName name="_xlnm.Print_Area" localSheetId="5">chif!$A$1:$AJ$43</definedName>
    <definedName name="_xlnm.Print_Area" localSheetId="6">maint!$A$1:$L$30</definedName>
    <definedName name="_xlnm.Print_Area" localSheetId="0">simu!$A$1:$Q$22</definedName>
  </definedNames>
  <calcPr calcId="125725"/>
</workbook>
</file>

<file path=xl/calcChain.xml><?xml version="1.0" encoding="utf-8"?>
<calcChain xmlns="http://schemas.openxmlformats.org/spreadsheetml/2006/main">
  <c r="U10" i="10"/>
  <c r="U11" s="1"/>
  <c r="R11"/>
  <c r="R10"/>
  <c r="R9"/>
  <c r="H8" i="4"/>
  <c r="G8"/>
  <c r="F8"/>
  <c r="M8"/>
  <c r="K8"/>
  <c r="E8"/>
  <c r="P8"/>
  <c r="J8"/>
  <c r="D8"/>
  <c r="O8"/>
  <c r="C8"/>
  <c r="N8"/>
  <c r="L8"/>
  <c r="I8"/>
  <c r="B21" i="11" l="1"/>
  <c r="B20"/>
  <c r="L3" i="1"/>
  <c r="R8" i="4"/>
  <c r="C24" i="11"/>
  <c r="C23"/>
  <c r="C22"/>
  <c r="C19"/>
  <c r="C18"/>
  <c r="D4"/>
  <c r="E4" s="1"/>
  <c r="D3"/>
  <c r="E3" s="1"/>
  <c r="F3" s="1"/>
  <c r="W34" i="10"/>
  <c r="M3" i="1" s="1"/>
  <c r="X29" i="10"/>
  <c r="AD29" s="1"/>
  <c r="W29"/>
  <c r="Z29" s="1"/>
  <c r="F28"/>
  <c r="AA29" l="1"/>
  <c r="C30" i="11"/>
  <c r="X34" i="10"/>
  <c r="N3" i="1" s="1"/>
  <c r="F4" i="11"/>
  <c r="F9" s="1"/>
  <c r="E9"/>
  <c r="B30"/>
  <c r="AC29" i="10"/>
  <c r="F27"/>
  <c r="L15" i="11" l="1"/>
  <c r="G27" i="10"/>
  <c r="H27" s="1"/>
  <c r="E27"/>
  <c r="C27"/>
  <c r="Q26"/>
  <c r="L27"/>
  <c r="N27" l="1"/>
  <c r="I27"/>
  <c r="J27" s="1"/>
  <c r="B26"/>
  <c r="C26" s="1"/>
  <c r="F26"/>
  <c r="M27"/>
  <c r="E26" l="1"/>
  <c r="G26"/>
  <c r="H26" s="1"/>
  <c r="F25"/>
  <c r="N26" l="1"/>
  <c r="I26"/>
  <c r="J26" s="1"/>
  <c r="G25"/>
  <c r="H25" s="1"/>
  <c r="E25"/>
  <c r="C25"/>
  <c r="K26"/>
  <c r="K25"/>
  <c r="L26"/>
  <c r="M26"/>
  <c r="N25" l="1"/>
  <c r="I25"/>
  <c r="J25" s="1"/>
  <c r="B24"/>
  <c r="E24" s="1"/>
  <c r="F24"/>
  <c r="M25"/>
  <c r="C24" l="1"/>
  <c r="G24"/>
  <c r="H24" s="1"/>
  <c r="I24" s="1"/>
  <c r="J24" s="1"/>
  <c r="B23"/>
  <c r="C23" s="1"/>
  <c r="F23"/>
  <c r="M24"/>
  <c r="E23" l="1"/>
  <c r="N24"/>
  <c r="G23"/>
  <c r="H23" s="1"/>
  <c r="I23" s="1"/>
  <c r="J23" s="1"/>
  <c r="B22"/>
  <c r="E22" s="1"/>
  <c r="L24"/>
  <c r="F22"/>
  <c r="K24"/>
  <c r="M23"/>
  <c r="C22" l="1"/>
  <c r="N23"/>
  <c r="G22"/>
  <c r="H22" s="1"/>
  <c r="B21"/>
  <c r="E21" s="1"/>
  <c r="K23"/>
  <c r="F21"/>
  <c r="C21" l="1"/>
  <c r="I22"/>
  <c r="J22" s="1"/>
  <c r="N22"/>
  <c r="G21"/>
  <c r="H21" s="1"/>
  <c r="N21" s="1"/>
  <c r="B20"/>
  <c r="E20" s="1"/>
  <c r="E29" s="1"/>
  <c r="B16"/>
  <c r="AF15"/>
  <c r="AG15" s="1"/>
  <c r="AH15" s="1"/>
  <c r="AI15" s="1"/>
  <c r="AE15"/>
  <c r="V15"/>
  <c r="M22"/>
  <c r="F15"/>
  <c r="F20"/>
  <c r="L22"/>
  <c r="K22"/>
  <c r="X15" l="1"/>
  <c r="Y15" s="1"/>
  <c r="AA15" s="1"/>
  <c r="C20"/>
  <c r="C29" s="1"/>
  <c r="W15"/>
  <c r="I21"/>
  <c r="J21" s="1"/>
  <c r="Z15"/>
  <c r="B29"/>
  <c r="G20"/>
  <c r="AJ15"/>
  <c r="AE14"/>
  <c r="AF14" s="1"/>
  <c r="V14"/>
  <c r="W14" s="1"/>
  <c r="L21"/>
  <c r="K21"/>
  <c r="M21"/>
  <c r="F14"/>
  <c r="AG14" l="1"/>
  <c r="AH14" s="1"/>
  <c r="AI14" s="1"/>
  <c r="G29"/>
  <c r="H20"/>
  <c r="X14"/>
  <c r="Y14" s="1"/>
  <c r="AE13"/>
  <c r="AF13" s="1"/>
  <c r="AG13" s="1"/>
  <c r="AH13" s="1"/>
  <c r="V13"/>
  <c r="W13" s="1"/>
  <c r="K20"/>
  <c r="AJ14" l="1"/>
  <c r="K29"/>
  <c r="AJ13"/>
  <c r="AI13"/>
  <c r="AA14"/>
  <c r="Z14"/>
  <c r="X13"/>
  <c r="Y13" s="1"/>
  <c r="H29"/>
  <c r="N20"/>
  <c r="N29" s="1"/>
  <c r="I20"/>
  <c r="F13"/>
  <c r="L20"/>
  <c r="L29" l="1"/>
  <c r="G13"/>
  <c r="H13" s="1"/>
  <c r="AA13"/>
  <c r="Z13"/>
  <c r="I29"/>
  <c r="J20"/>
  <c r="E13"/>
  <c r="C13"/>
  <c r="AE12"/>
  <c r="AF12" s="1"/>
  <c r="V12"/>
  <c r="W12" s="1"/>
  <c r="X12" s="1"/>
  <c r="Y12" s="1"/>
  <c r="L13"/>
  <c r="M20"/>
  <c r="M29" l="1"/>
  <c r="Z12"/>
  <c r="AA12"/>
  <c r="N13"/>
  <c r="I13"/>
  <c r="J13" s="1"/>
  <c r="J29"/>
  <c r="AG12"/>
  <c r="AH12" s="1"/>
  <c r="F12"/>
  <c r="Q41"/>
  <c r="M13"/>
  <c r="G12" l="1"/>
  <c r="H12" s="1"/>
  <c r="X27"/>
  <c r="AJ12"/>
  <c r="AI12"/>
  <c r="E12"/>
  <c r="C12"/>
  <c r="AE11"/>
  <c r="AF11" s="1"/>
  <c r="V11"/>
  <c r="L12"/>
  <c r="X11" l="1"/>
  <c r="Y11" s="1"/>
  <c r="AA11" s="1"/>
  <c r="W11"/>
  <c r="AA27"/>
  <c r="AD27"/>
  <c r="N12"/>
  <c r="I12"/>
  <c r="J12" s="1"/>
  <c r="AG11"/>
  <c r="AH11" s="1"/>
  <c r="F11"/>
  <c r="K12"/>
  <c r="M12"/>
  <c r="Z11" l="1"/>
  <c r="G11"/>
  <c r="H11" s="1"/>
  <c r="AJ11"/>
  <c r="AI11"/>
  <c r="E11"/>
  <c r="C11"/>
  <c r="AE10"/>
  <c r="AF10" s="1"/>
  <c r="V10"/>
  <c r="W10" s="1"/>
  <c r="L11"/>
  <c r="X10" l="1"/>
  <c r="Y10" s="1"/>
  <c r="AA10" s="1"/>
  <c r="N11"/>
  <c r="I11"/>
  <c r="J11" s="1"/>
  <c r="AG10"/>
  <c r="AH10" s="1"/>
  <c r="K11"/>
  <c r="M11"/>
  <c r="F10"/>
  <c r="Z10" l="1"/>
  <c r="G10"/>
  <c r="H10" s="1"/>
  <c r="AJ10"/>
  <c r="AI10"/>
  <c r="E10"/>
  <c r="C10"/>
  <c r="AE9"/>
  <c r="AF9" s="1"/>
  <c r="V9"/>
  <c r="W9" s="1"/>
  <c r="K10"/>
  <c r="AG9" l="1"/>
  <c r="AH9" s="1"/>
  <c r="AJ9" s="1"/>
  <c r="X9"/>
  <c r="Y9" s="1"/>
  <c r="N10"/>
  <c r="I10"/>
  <c r="J10" s="1"/>
  <c r="M10"/>
  <c r="F9"/>
  <c r="AI9" l="1"/>
  <c r="G9"/>
  <c r="H9" s="1"/>
  <c r="AA9"/>
  <c r="Z9"/>
  <c r="E9"/>
  <c r="C9"/>
  <c r="R8"/>
  <c r="AE8" s="1"/>
  <c r="L9"/>
  <c r="AF8" l="1"/>
  <c r="AG8" s="1"/>
  <c r="AH8" s="1"/>
  <c r="N9"/>
  <c r="I9"/>
  <c r="J9" s="1"/>
  <c r="V8"/>
  <c r="F8"/>
  <c r="M9"/>
  <c r="K9"/>
  <c r="G8" l="1"/>
  <c r="H8" s="1"/>
  <c r="AI8"/>
  <c r="AJ8"/>
  <c r="W8"/>
  <c r="X8" s="1"/>
  <c r="Y8" s="1"/>
  <c r="E8"/>
  <c r="C8"/>
  <c r="R7"/>
  <c r="AE7" s="1"/>
  <c r="AE16" s="1"/>
  <c r="L8"/>
  <c r="V7" l="1"/>
  <c r="AA8"/>
  <c r="Z8"/>
  <c r="N8"/>
  <c r="I8"/>
  <c r="J8" s="1"/>
  <c r="AF7"/>
  <c r="AF16" s="1"/>
  <c r="F7"/>
  <c r="K8"/>
  <c r="M8"/>
  <c r="V16" l="1"/>
  <c r="W7"/>
  <c r="W16" s="1"/>
  <c r="AG7"/>
  <c r="G7"/>
  <c r="AG16"/>
  <c r="AH7"/>
  <c r="E7"/>
  <c r="E16" s="1"/>
  <c r="C7"/>
  <c r="C16" s="1"/>
  <c r="X7" l="1"/>
  <c r="G16"/>
  <c r="H7"/>
  <c r="AH16"/>
  <c r="AJ16" s="1"/>
  <c r="X28" s="1"/>
  <c r="AJ7"/>
  <c r="AI7"/>
  <c r="AI16" s="1"/>
  <c r="K7"/>
  <c r="X16" l="1"/>
  <c r="Y7"/>
  <c r="K16"/>
  <c r="J7" i="1" s="1"/>
  <c r="H16" i="10"/>
  <c r="N7"/>
  <c r="N16" s="1"/>
  <c r="M7" i="1" s="1"/>
  <c r="N7" s="1"/>
  <c r="I7" i="10"/>
  <c r="AA28"/>
  <c r="AD28"/>
  <c r="X30"/>
  <c r="X32" s="1"/>
  <c r="L7"/>
  <c r="Z7" l="1"/>
  <c r="Z16" s="1"/>
  <c r="AA7"/>
  <c r="Y16"/>
  <c r="AA16" s="1"/>
  <c r="W28" s="1"/>
  <c r="L16"/>
  <c r="Q37" s="1"/>
  <c r="I16"/>
  <c r="J7"/>
  <c r="AA30"/>
  <c r="AA32" s="1"/>
  <c r="AD30"/>
  <c r="AD32" s="1"/>
  <c r="M7"/>
  <c r="Z28" l="1"/>
  <c r="AC28"/>
  <c r="M16"/>
  <c r="J16"/>
  <c r="Q39"/>
  <c r="S41" l="1"/>
  <c r="W27"/>
  <c r="W30" l="1"/>
  <c r="AC27"/>
  <c r="Z27"/>
  <c r="Q43" l="1"/>
  <c r="O7" i="1" s="1"/>
  <c r="AC30" i="10"/>
  <c r="AC32" s="1"/>
  <c r="Z30"/>
  <c r="Z32" s="1"/>
  <c r="W32"/>
  <c r="E8" i="1" l="1"/>
  <c r="J25" i="7" l="1"/>
  <c r="H8" i="1" s="1"/>
  <c r="H7" s="1"/>
  <c r="J24" i="7"/>
  <c r="H5" i="4"/>
  <c r="H6" s="1"/>
  <c r="G5"/>
  <c r="G6" s="1"/>
  <c r="F5"/>
  <c r="F6" s="1"/>
  <c r="P8" i="1"/>
  <c r="G7" i="4" l="1"/>
  <c r="G3" s="1"/>
  <c r="G4" s="1"/>
  <c r="H7"/>
  <c r="H3" s="1"/>
  <c r="H4" s="1"/>
  <c r="F7"/>
  <c r="F3" s="1"/>
  <c r="F4" s="1"/>
  <c r="F11" i="7" l="1"/>
  <c r="F12" s="1"/>
  <c r="P5" l="1"/>
  <c r="P16" s="1"/>
  <c r="C8" i="1" s="1"/>
  <c r="C7" s="1"/>
  <c r="M14" i="7"/>
  <c r="M16" s="1"/>
  <c r="B8" i="1" s="1"/>
  <c r="B7" s="1"/>
  <c r="E7"/>
  <c r="J8"/>
  <c r="B4" i="7"/>
  <c r="B5" s="1"/>
  <c r="J14"/>
  <c r="K7" i="1" s="1"/>
  <c r="F7"/>
  <c r="Q8"/>
  <c r="B21" i="7" l="1"/>
  <c r="I7" i="1" s="1"/>
  <c r="Q7"/>
  <c r="P7"/>
  <c r="O8" l="1"/>
  <c r="N8"/>
  <c r="M8"/>
  <c r="P5" i="4"/>
  <c r="P7" s="1"/>
  <c r="O5"/>
  <c r="O6" s="1"/>
  <c r="N5"/>
  <c r="N6" s="1"/>
  <c r="M5"/>
  <c r="M6" s="1"/>
  <c r="L5"/>
  <c r="L7" s="1"/>
  <c r="K5"/>
  <c r="K7" s="1"/>
  <c r="K3" s="1"/>
  <c r="K4" s="1"/>
  <c r="N4" i="1"/>
  <c r="M4"/>
  <c r="P3" i="4" l="1"/>
  <c r="P4" s="1"/>
  <c r="P6"/>
  <c r="L6"/>
  <c r="O7"/>
  <c r="O3" s="1"/>
  <c r="O4" s="1"/>
  <c r="K6"/>
  <c r="N7"/>
  <c r="N3" s="1"/>
  <c r="N4" s="1"/>
  <c r="M7"/>
  <c r="M3" s="1"/>
  <c r="M4" s="1"/>
  <c r="L3"/>
  <c r="L4" s="1"/>
  <c r="K3" i="1"/>
  <c r="L4"/>
  <c r="Q5" i="4"/>
  <c r="Q6" s="1"/>
  <c r="J5"/>
  <c r="J7" s="1"/>
  <c r="J3" s="1"/>
  <c r="J4" s="1"/>
  <c r="I5"/>
  <c r="I7" s="1"/>
  <c r="I3" s="1"/>
  <c r="I4" s="1"/>
  <c r="E5"/>
  <c r="E7" s="1"/>
  <c r="E3" s="1"/>
  <c r="E4" s="1"/>
  <c r="D5"/>
  <c r="D7" s="1"/>
  <c r="D3" s="1"/>
  <c r="D4" s="1"/>
  <c r="C5"/>
  <c r="C7" s="1"/>
  <c r="B5"/>
  <c r="J4" i="1"/>
  <c r="H4"/>
  <c r="I4"/>
  <c r="K8"/>
  <c r="B7" i="4" l="1"/>
  <c r="R5"/>
  <c r="G7" i="1" s="1"/>
  <c r="Q7" i="4"/>
  <c r="Q3" s="1"/>
  <c r="Q4" s="1"/>
  <c r="C3"/>
  <c r="B6"/>
  <c r="I6"/>
  <c r="E6"/>
  <c r="D6"/>
  <c r="C6"/>
  <c r="J6"/>
  <c r="R6" l="1"/>
  <c r="B3"/>
  <c r="R7"/>
  <c r="C4"/>
  <c r="C58" i="3"/>
  <c r="C55"/>
  <c r="G50"/>
  <c r="D50"/>
  <c r="G46"/>
  <c r="D46"/>
  <c r="G38"/>
  <c r="B37"/>
  <c r="D37" s="1"/>
  <c r="B36"/>
  <c r="D36" s="1"/>
  <c r="G32"/>
  <c r="G31"/>
  <c r="B20"/>
  <c r="G13"/>
  <c r="G7"/>
  <c r="F7"/>
  <c r="F6"/>
  <c r="G5"/>
  <c r="G4"/>
  <c r="F5" s="1"/>
  <c r="F4"/>
  <c r="G3"/>
  <c r="G6" s="1"/>
  <c r="F4" i="1"/>
  <c r="D4"/>
  <c r="C4"/>
  <c r="B4"/>
  <c r="E3"/>
  <c r="B14" s="1"/>
  <c r="I8"/>
  <c r="F8"/>
  <c r="G4"/>
  <c r="B4" i="4" l="1"/>
  <c r="R4" s="1"/>
  <c r="R3"/>
  <c r="L7" i="1" s="1"/>
  <c r="B16" s="1"/>
  <c r="B15"/>
  <c r="C15" s="1"/>
  <c r="C14"/>
  <c r="B21" i="3"/>
  <c r="B34" s="1"/>
  <c r="D34" s="1"/>
  <c r="G25"/>
  <c r="G29"/>
  <c r="G27"/>
  <c r="D48"/>
  <c r="D24"/>
  <c r="D26"/>
  <c r="D28"/>
  <c r="D30"/>
  <c r="D32"/>
  <c r="G33"/>
  <c r="G37"/>
  <c r="G39"/>
  <c r="G41"/>
  <c r="G43"/>
  <c r="G45"/>
  <c r="G47"/>
  <c r="G49"/>
  <c r="G34"/>
  <c r="D39"/>
  <c r="D41"/>
  <c r="D43"/>
  <c r="D45"/>
  <c r="D47"/>
  <c r="D49"/>
  <c r="D25"/>
  <c r="D27"/>
  <c r="D29"/>
  <c r="D31"/>
  <c r="B33"/>
  <c r="D33" s="1"/>
  <c r="G35"/>
  <c r="G40"/>
  <c r="G42"/>
  <c r="G44"/>
  <c r="G48"/>
  <c r="G24"/>
  <c r="G26"/>
  <c r="G28"/>
  <c r="G30"/>
  <c r="G36"/>
  <c r="D38"/>
  <c r="D40"/>
  <c r="D42"/>
  <c r="D44"/>
  <c r="L8" i="1" l="1"/>
  <c r="B35" i="3"/>
  <c r="D35" s="1"/>
  <c r="D52" s="1"/>
  <c r="G52"/>
  <c r="G53" s="1"/>
  <c r="G8" i="1"/>
  <c r="G10" i="3" l="1"/>
  <c r="G11" s="1"/>
  <c r="G12" s="1"/>
  <c r="D53" s="1"/>
  <c r="C54" s="1"/>
  <c r="C56" l="1"/>
  <c r="C57" s="1"/>
  <c r="C59"/>
  <c r="C16" i="1" l="1"/>
  <c r="B18"/>
  <c r="C18" s="1"/>
  <c r="B17"/>
  <c r="B19" l="1"/>
  <c r="C17"/>
  <c r="F13" l="1"/>
  <c r="F17" s="1"/>
  <c r="C19"/>
</calcChain>
</file>

<file path=xl/comments1.xml><?xml version="1.0" encoding="utf-8"?>
<comments xmlns="http://schemas.openxmlformats.org/spreadsheetml/2006/main">
  <authors>
    <author>fabrice lugrezi</author>
    <author>fabrice</author>
  </authors>
  <commentList>
    <comment ref="G6" authorId="0">
      <text>
        <r>
          <rPr>
            <b/>
            <sz val="9"/>
            <color indexed="81"/>
            <rFont val="Tahoma"/>
            <family val="2"/>
          </rPr>
          <t>fabrice lugrezi:</t>
        </r>
        <r>
          <rPr>
            <sz val="9"/>
            <color indexed="81"/>
            <rFont val="Tahoma"/>
            <family val="2"/>
          </rPr>
          <t xml:space="preserve">
1,23% du brut</t>
        </r>
      </text>
    </comment>
    <comment ref="O6" authorId="1">
      <text>
        <r>
          <rPr>
            <sz val="9"/>
            <color indexed="81"/>
            <rFont val="Tahoma"/>
            <family val="2"/>
          </rPr>
          <t>administratif du devis dechargement EAP</t>
        </r>
      </text>
    </comment>
  </commentList>
</comments>
</file>

<file path=xl/comments2.xml><?xml version="1.0" encoding="utf-8"?>
<comments xmlns="http://schemas.openxmlformats.org/spreadsheetml/2006/main">
  <authors>
    <author>fabrice lugrezi</author>
  </authors>
  <commentList>
    <comment ref="Q8" authorId="0">
      <text>
        <r>
          <rPr>
            <b/>
            <sz val="9"/>
            <color indexed="81"/>
            <rFont val="Tahoma"/>
            <family val="2"/>
          </rPr>
          <t>fabrice lugrezi:</t>
        </r>
        <r>
          <rPr>
            <sz val="9"/>
            <color indexed="81"/>
            <rFont val="Tahoma"/>
            <family val="2"/>
          </rPr>
          <t xml:space="preserve">
env</t>
        </r>
        <r>
          <rPr>
            <b/>
            <sz val="11"/>
            <color indexed="81"/>
            <rFont val="Tahoma"/>
            <family val="2"/>
          </rPr>
          <t xml:space="preserve"> 1200€</t>
        </r>
        <r>
          <rPr>
            <sz val="9"/>
            <color indexed="81"/>
            <rFont val="Tahoma"/>
            <family val="2"/>
          </rPr>
          <t xml:space="preserve"> par mois pour </t>
        </r>
        <r>
          <rPr>
            <b/>
            <i/>
            <sz val="12"/>
            <color indexed="81"/>
            <rFont val="Tahoma"/>
            <family val="2"/>
          </rPr>
          <t>6</t>
        </r>
        <r>
          <rPr>
            <sz val="9"/>
            <color indexed="81"/>
            <rFont val="Tahoma"/>
            <family val="2"/>
          </rPr>
          <t xml:space="preserve"> salariés pendant </t>
        </r>
        <r>
          <rPr>
            <b/>
            <sz val="11"/>
            <color indexed="81"/>
            <rFont val="Tahoma"/>
            <family val="2"/>
          </rPr>
          <t>4</t>
        </r>
        <r>
          <rPr>
            <sz val="9"/>
            <color indexed="81"/>
            <rFont val="Tahoma"/>
            <family val="2"/>
          </rPr>
          <t xml:space="preserve"> mois, le tout divisé par </t>
        </r>
        <r>
          <rPr>
            <b/>
            <sz val="11"/>
            <color indexed="81"/>
            <rFont val="Tahoma"/>
            <family val="2"/>
          </rPr>
          <t xml:space="preserve">12 </t>
        </r>
        <r>
          <rPr>
            <sz val="9"/>
            <color indexed="81"/>
            <rFont val="Tahoma"/>
            <family val="2"/>
          </rPr>
          <t>mois:
soit (</t>
        </r>
        <r>
          <rPr>
            <b/>
            <sz val="9"/>
            <color indexed="81"/>
            <rFont val="Tahoma"/>
            <family val="2"/>
          </rPr>
          <t>1200*6*4)/12=2400</t>
        </r>
      </text>
    </comment>
  </commentList>
</comments>
</file>

<file path=xl/comments3.xml><?xml version="1.0" encoding="utf-8"?>
<comments xmlns="http://schemas.openxmlformats.org/spreadsheetml/2006/main">
  <authors>
    <author>sarl clean service</author>
    <author>fabrice</author>
  </authors>
  <commentList>
    <comment ref="I5" authorId="0">
      <text>
        <r>
          <rPr>
            <sz val="9"/>
            <color indexed="81"/>
            <rFont val="Tahoma"/>
            <family val="2"/>
          </rPr>
          <t xml:space="preserve">sur la base de 11 touchés/semaine
soit 11*4,3=47,3 touchés/mois. 
Donc cout horaire= "cout mensuel / 47,3."*1,5
</t>
        </r>
        <r>
          <rPr>
            <sz val="8"/>
            <color indexed="81"/>
            <rFont val="Tahoma"/>
            <family val="2"/>
          </rPr>
          <t>sachant qu'un touché= 1,5 heure</t>
        </r>
      </text>
    </comment>
    <comment ref="U5" authorId="0">
      <text>
        <r>
          <rPr>
            <b/>
            <sz val="9"/>
            <color indexed="81"/>
            <rFont val="Tahoma"/>
            <family val="2"/>
          </rPr>
          <t>amortie sur 2ans soit cout formation / (24*47,3)=1135,2</t>
        </r>
      </text>
    </comment>
    <comment ref="W5" authorId="0">
      <text>
        <r>
          <rPr>
            <sz val="9"/>
            <color indexed="81"/>
            <rFont val="Tahoma"/>
            <family val="2"/>
          </rPr>
          <t xml:space="preserve">nuit = jour +20%
</t>
        </r>
      </text>
    </comment>
    <comment ref="X5" authorId="1">
      <text>
        <r>
          <rPr>
            <sz val="9"/>
            <color indexed="81"/>
            <rFont val="Tahoma"/>
            <family val="2"/>
          </rPr>
          <t xml:space="preserve">11 touchés/ semaine:
6 H de nuit et 11 H de jour
soit 0,55H de Jour/ touché et 1 H de nuit /touché
</t>
        </r>
      </text>
    </comment>
    <comment ref="Z5" authorId="0">
      <text>
        <r>
          <rPr>
            <b/>
            <sz val="9"/>
            <color indexed="81"/>
            <rFont val="Tahoma"/>
            <family val="2"/>
          </rPr>
          <t>soit 47,3 touchés/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" authorId="0">
      <text>
        <r>
          <rPr>
            <b/>
            <sz val="9"/>
            <color indexed="81"/>
            <rFont val="Tahoma"/>
            <family val="2"/>
          </rPr>
          <t>amortie sur 2ans soit cout formation / (24*47,3)=1135,2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" authorId="0">
      <text>
        <r>
          <rPr>
            <sz val="9"/>
            <color indexed="81"/>
            <rFont val="Tahoma"/>
            <family val="2"/>
          </rPr>
          <t xml:space="preserve">nuit = jour +20%
</t>
        </r>
      </text>
    </comment>
    <comment ref="AI5" authorId="0">
      <text>
        <r>
          <rPr>
            <b/>
            <sz val="9"/>
            <color indexed="81"/>
            <rFont val="Tahoma"/>
            <family val="2"/>
          </rPr>
          <t>soit 47,3 touchés/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9" authorId="0">
      <text>
        <r>
          <rPr>
            <sz val="9"/>
            <color indexed="81"/>
            <rFont val="Tahoma"/>
            <family val="2"/>
          </rPr>
          <t xml:space="preserve">sur la base de 11 touchés/semaine
soit 11*4,3=47,3 touchés/mois. 
Donc cout horaire= "cout mensuel / 47,3."
</t>
        </r>
        <r>
          <rPr>
            <sz val="8"/>
            <color indexed="81"/>
            <rFont val="Tahoma"/>
            <family val="2"/>
          </rPr>
          <t>sachant qu'un touché= 1 heure</t>
        </r>
      </text>
    </comment>
    <comment ref="M19" authorId="0">
      <text>
        <r>
          <rPr>
            <sz val="9"/>
            <color indexed="81"/>
            <rFont val="Tahoma"/>
            <family val="2"/>
          </rPr>
          <t xml:space="preserve">carburant +7%
</t>
        </r>
      </text>
    </comment>
  </commentList>
</comments>
</file>

<file path=xl/sharedStrings.xml><?xml version="1.0" encoding="utf-8"?>
<sst xmlns="http://schemas.openxmlformats.org/spreadsheetml/2006/main" count="445" uniqueCount="328">
  <si>
    <t>EAP NAV</t>
  </si>
  <si>
    <t>SALAIRES</t>
  </si>
  <si>
    <t>TOTAL</t>
  </si>
  <si>
    <t>SAISONNIERS</t>
  </si>
  <si>
    <t>leasing</t>
  </si>
  <si>
    <t>taxes salaires</t>
  </si>
  <si>
    <t>amortissement immo</t>
  </si>
  <si>
    <t>eau</t>
  </si>
  <si>
    <t>carburant</t>
  </si>
  <si>
    <t>honoraire compta</t>
  </si>
  <si>
    <t>frais bancaires</t>
  </si>
  <si>
    <t>taxes sur les salaires</t>
  </si>
  <si>
    <t>salaires brut</t>
  </si>
  <si>
    <t>charges patronales</t>
  </si>
  <si>
    <t>mutuelle</t>
  </si>
  <si>
    <t>taxe pro</t>
  </si>
  <si>
    <t>dotation aux amortissement des immo</t>
  </si>
  <si>
    <t>divers</t>
  </si>
  <si>
    <t>cci</t>
  </si>
  <si>
    <t>compta</t>
  </si>
  <si>
    <t>salaires</t>
  </si>
  <si>
    <t>assurances</t>
  </si>
  <si>
    <t>tva</t>
  </si>
  <si>
    <t>pas de tva</t>
  </si>
  <si>
    <t>taxes apprentissage + agefoss = 0,68% + 0,55% du salaires brut + tva</t>
  </si>
  <si>
    <t>25% du brut</t>
  </si>
  <si>
    <t>40% du brut</t>
  </si>
  <si>
    <t>fini</t>
  </si>
  <si>
    <t>salaires globales</t>
  </si>
  <si>
    <t>valeur de l'achat au prorata suivant la date d'achat divisée par le nombre d'année de l'amortissement</t>
  </si>
  <si>
    <t>cout du crédit divisé par le nombre d'année pour une valeur générale</t>
  </si>
  <si>
    <t>dépenses</t>
  </si>
  <si>
    <t>matières premières</t>
  </si>
  <si>
    <t>petit matériel</t>
  </si>
  <si>
    <t>outillage</t>
  </si>
  <si>
    <t>électricité</t>
  </si>
  <si>
    <t>location mobilière</t>
  </si>
  <si>
    <t>location matériel divers</t>
  </si>
  <si>
    <t>location immobilière</t>
  </si>
  <si>
    <t>brut = NET + ch. salariales</t>
  </si>
  <si>
    <t>charges salariales</t>
  </si>
  <si>
    <r>
      <t xml:space="preserve">global= </t>
    </r>
    <r>
      <rPr>
        <b/>
        <sz val="14"/>
        <color theme="1"/>
        <rFont val="Calibri"/>
        <family val="2"/>
        <scheme val="minor"/>
      </rPr>
      <t>BRUT</t>
    </r>
    <r>
      <rPr>
        <sz val="11"/>
        <color theme="1"/>
        <rFont val="Calibri"/>
        <family val="2"/>
        <scheme val="minor"/>
      </rPr>
      <t>{NET(25%)+ch. sal(75%)}</t>
    </r>
    <r>
      <rPr>
        <b/>
        <sz val="14"/>
        <color theme="1"/>
        <rFont val="Calibri"/>
        <family val="2"/>
        <scheme val="minor"/>
      </rPr>
      <t xml:space="preserve"> + ch. pat</t>
    </r>
    <r>
      <rPr>
        <sz val="11"/>
        <color theme="1"/>
        <rFont val="Calibri"/>
        <family val="2"/>
        <scheme val="minor"/>
      </rPr>
      <t xml:space="preserve"> (40% BRUT)</t>
    </r>
  </si>
  <si>
    <t>impôt sur la société</t>
  </si>
  <si>
    <t>intérêts des emprunts</t>
  </si>
  <si>
    <t>intérêts emprunts</t>
  </si>
  <si>
    <t>brut</t>
  </si>
  <si>
    <t>net</t>
  </si>
  <si>
    <t>Saisir les zones en jaune</t>
  </si>
  <si>
    <t>CALCUL DE BULLETIN DE SALAIRE</t>
  </si>
  <si>
    <t>Tranches:</t>
  </si>
  <si>
    <t>Cadre (0/N):</t>
  </si>
  <si>
    <t>N</t>
  </si>
  <si>
    <t>Plafond SS:</t>
  </si>
  <si>
    <t>A</t>
  </si>
  <si>
    <t>Effectif:</t>
  </si>
  <si>
    <t>B</t>
  </si>
  <si>
    <t>Brut:</t>
  </si>
  <si>
    <t>Agglo.(O/N):</t>
  </si>
  <si>
    <t>C</t>
  </si>
  <si>
    <t>Retenues:</t>
  </si>
  <si>
    <t>Avantages:</t>
  </si>
  <si>
    <t>Nombre HS:</t>
  </si>
  <si>
    <t>montant HS au taux1:</t>
  </si>
  <si>
    <t>montant HS au taux2:</t>
  </si>
  <si>
    <t>Cotisations prises en cpte:</t>
  </si>
  <si>
    <t>montant HS au taux3:</t>
  </si>
  <si>
    <t>Taux réduction:</t>
  </si>
  <si>
    <t>Maintien CP:</t>
  </si>
  <si>
    <t>Réduction cot. sal.:</t>
  </si>
  <si>
    <t>Indem. CP 1/10:</t>
  </si>
  <si>
    <t>Réduction cot. patr.:</t>
  </si>
  <si>
    <t>Remb. de frais:</t>
  </si>
  <si>
    <t>Base remise cot patr.:</t>
  </si>
  <si>
    <t>Primes avec cot:</t>
  </si>
  <si>
    <t>Primes sans cot. ni IR:</t>
  </si>
  <si>
    <t>1=URSSAF-431</t>
  </si>
  <si>
    <t>Indem compl. maladie:</t>
  </si>
  <si>
    <t>(sans IJSS)</t>
  </si>
  <si>
    <t>2=ASSEDIC-4371</t>
  </si>
  <si>
    <t>IJSS brutes:</t>
  </si>
  <si>
    <t>3=ARRCO-4372</t>
  </si>
  <si>
    <t>4=AGIRC-4373</t>
  </si>
  <si>
    <t>Brut cotis:</t>
  </si>
  <si>
    <t>Brut sans H Supp</t>
  </si>
  <si>
    <t>Cotisations salariales</t>
  </si>
  <si>
    <t>Cotisations patronales</t>
  </si>
  <si>
    <t>SS maladie</t>
  </si>
  <si>
    <t>total</t>
  </si>
  <si>
    <t>SS vieillesse</t>
  </si>
  <si>
    <t>TA</t>
  </si>
  <si>
    <t>Contr. Sol.</t>
  </si>
  <si>
    <t>alloc. Familiales</t>
  </si>
  <si>
    <t>accidents travail</t>
  </si>
  <si>
    <t>FNAL</t>
  </si>
  <si>
    <t>1-633</t>
  </si>
  <si>
    <t>FNAL plus de 19</t>
  </si>
  <si>
    <t>transport</t>
  </si>
  <si>
    <t>CSG déduc</t>
  </si>
  <si>
    <t>CSG non ded</t>
  </si>
  <si>
    <t>CRDS non ded</t>
  </si>
  <si>
    <t>CSG HS</t>
  </si>
  <si>
    <t>CRDS HS</t>
  </si>
  <si>
    <t>ass décès cadres</t>
  </si>
  <si>
    <t>ASSEDIC</t>
  </si>
  <si>
    <t>AB</t>
  </si>
  <si>
    <t xml:space="preserve">APEC cadres </t>
  </si>
  <si>
    <t>TB</t>
  </si>
  <si>
    <t xml:space="preserve">AGS </t>
  </si>
  <si>
    <t>ARRCO NC</t>
  </si>
  <si>
    <t>T1</t>
  </si>
  <si>
    <t>T2</t>
  </si>
  <si>
    <t>AGFF NC/C</t>
  </si>
  <si>
    <t>3 ou 4</t>
  </si>
  <si>
    <t>AGFF NC</t>
  </si>
  <si>
    <t>ARRCO cadre</t>
  </si>
  <si>
    <t xml:space="preserve">AGIRC </t>
  </si>
  <si>
    <t>TC</t>
  </si>
  <si>
    <t xml:space="preserve">AGFF cadres </t>
  </si>
  <si>
    <t xml:space="preserve">CET cadres </t>
  </si>
  <si>
    <t>ABC</t>
  </si>
  <si>
    <t>Cotisations base</t>
  </si>
  <si>
    <t>salarié---&gt;</t>
  </si>
  <si>
    <t>employeur--&gt;</t>
  </si>
  <si>
    <t>Avec réduction de cotisations</t>
  </si>
  <si>
    <t>Salaire net de cotisations</t>
  </si>
  <si>
    <t xml:space="preserve">IJSS nettes </t>
  </si>
  <si>
    <t>Net a payer</t>
  </si>
  <si>
    <t>Net imposable sans déduction HS:</t>
  </si>
  <si>
    <t>Net imposable avec déduction HS:</t>
  </si>
  <si>
    <t>Calcul 1 (double calcul sans HS)</t>
  </si>
  <si>
    <t>Calcul 2 (direct)</t>
  </si>
  <si>
    <t>ch. sal</t>
  </si>
  <si>
    <t>ch. pat</t>
  </si>
  <si>
    <t>MENSUEL global</t>
  </si>
  <si>
    <t>ANNUEL global</t>
  </si>
  <si>
    <t>205€*12</t>
  </si>
  <si>
    <t>400€12</t>
  </si>
  <si>
    <t>100*12</t>
  </si>
  <si>
    <t>250*12</t>
  </si>
  <si>
    <t>30€*12</t>
  </si>
  <si>
    <t>ex: achat 3500€,  amortissement 10ans, date d'achat mai: 3500/116mois pour le générale par mois</t>
  </si>
  <si>
    <t>atis (locaux + escabeau)</t>
  </si>
  <si>
    <t>eap gls</t>
  </si>
  <si>
    <t>MENSUEL HT</t>
  </si>
  <si>
    <t>ANNUEL HT</t>
  </si>
  <si>
    <t>eap fret soute courrier / colipost 1</t>
  </si>
  <si>
    <t>HT</t>
  </si>
  <si>
    <t>TTC</t>
  </si>
  <si>
    <t>total entrées annuel</t>
  </si>
  <si>
    <t>total sorties mensuel</t>
  </si>
  <si>
    <t>total entrées mensuel</t>
  </si>
  <si>
    <t>resultat mensuel</t>
  </si>
  <si>
    <t>resultat annuel</t>
  </si>
  <si>
    <t>ADMINISTRATIF</t>
  </si>
  <si>
    <t>RESPONSABLES</t>
  </si>
  <si>
    <t>TITULAIRES</t>
  </si>
  <si>
    <t>TITULAIRE 2</t>
  </si>
  <si>
    <t>TITULAIRE 3</t>
  </si>
  <si>
    <t>TITULAIRE 4</t>
  </si>
  <si>
    <t>TITULAIRE 5</t>
  </si>
  <si>
    <t>TITULAIR 6</t>
  </si>
  <si>
    <t>TITULAIRE 7</t>
  </si>
  <si>
    <t>TITULAIRE 1</t>
  </si>
  <si>
    <t xml:space="preserve">divers administratif </t>
  </si>
  <si>
    <t>TITULAIRE 8</t>
  </si>
  <si>
    <t>designation</t>
  </si>
  <si>
    <t xml:space="preserve">prix </t>
  </si>
  <si>
    <t>prix mensuel</t>
  </si>
  <si>
    <t>divers depenses</t>
  </si>
  <si>
    <t xml:space="preserve">partner </t>
  </si>
  <si>
    <t>orange mobile</t>
  </si>
  <si>
    <t>orange adsl</t>
  </si>
  <si>
    <t>frais banque</t>
  </si>
  <si>
    <t>vetements</t>
  </si>
  <si>
    <t>produit lavage</t>
  </si>
  <si>
    <t>materiel bureau + / informatique</t>
  </si>
  <si>
    <t>divers bricolage</t>
  </si>
  <si>
    <t>cadeaux clients</t>
  </si>
  <si>
    <t>prix</t>
  </si>
  <si>
    <t>elec</t>
  </si>
  <si>
    <t>tel</t>
  </si>
  <si>
    <t>terrain</t>
  </si>
  <si>
    <t>boite a lettre</t>
  </si>
  <si>
    <t>carte parking</t>
  </si>
  <si>
    <t>locaux</t>
  </si>
  <si>
    <t>divers             (detail feuil3)</t>
  </si>
  <si>
    <t>total depenses mensuel</t>
  </si>
  <si>
    <t>carburant dechargement</t>
  </si>
  <si>
    <t>carburant dechargement 2</t>
  </si>
  <si>
    <t>entretien materiel: salaire + pieces</t>
  </si>
  <si>
    <t>prêt materiel avant 2012</t>
  </si>
  <si>
    <t>hangar</t>
  </si>
  <si>
    <t>cout</t>
  </si>
  <si>
    <t>tarif</t>
  </si>
  <si>
    <t>vehicules</t>
  </si>
  <si>
    <t>I S</t>
  </si>
  <si>
    <t>resultat apres IS</t>
  </si>
  <si>
    <t>technique</t>
  </si>
  <si>
    <t>technicien 2 (A1)</t>
  </si>
  <si>
    <t>consomables maintenance</t>
  </si>
  <si>
    <t>maintenance (materiel + outillage)</t>
  </si>
  <si>
    <t xml:space="preserve">outillage </t>
  </si>
  <si>
    <t>remorque</t>
  </si>
  <si>
    <t xml:space="preserve">MENSUEL </t>
  </si>
  <si>
    <t>ANNUEL</t>
  </si>
  <si>
    <t>maintenance</t>
  </si>
  <si>
    <t>responsable ste</t>
  </si>
  <si>
    <t>cadre 1</t>
  </si>
  <si>
    <t>cadre 2</t>
  </si>
  <si>
    <t>cadre 3</t>
  </si>
  <si>
    <t>responsable technique (B1)</t>
  </si>
  <si>
    <t>désignation</t>
  </si>
  <si>
    <t>prix ht</t>
  </si>
  <si>
    <t>prix ttc</t>
  </si>
  <si>
    <t>qte demandé</t>
  </si>
  <si>
    <t>prix total</t>
  </si>
  <si>
    <t>amortissement en années</t>
  </si>
  <si>
    <t>cout annuel</t>
  </si>
  <si>
    <t>cout mensuel</t>
  </si>
  <si>
    <t>cout horaire</t>
  </si>
  <si>
    <r>
      <t xml:space="preserve">cout par touché total: </t>
    </r>
    <r>
      <rPr>
        <sz val="8"/>
        <color theme="1" tint="0.34998626667073579"/>
        <rFont val="Calibri"/>
        <family val="2"/>
        <scheme val="minor"/>
      </rPr>
      <t>suivant le nombre de machine</t>
    </r>
  </si>
  <si>
    <t>plus-value entretien mensuelle</t>
  </si>
  <si>
    <t>plus value carburant</t>
  </si>
  <si>
    <t>cout par touché carburant compris &amp; entretien</t>
  </si>
  <si>
    <t>cout mensuel ammortissement / nb d'engins</t>
  </si>
  <si>
    <t>nom</t>
  </si>
  <si>
    <t>en €</t>
  </si>
  <si>
    <t>B*TVA</t>
  </si>
  <si>
    <t>NB</t>
  </si>
  <si>
    <t>B * D</t>
  </si>
  <si>
    <t>B / F</t>
  </si>
  <si>
    <t>G / 12</t>
  </si>
  <si>
    <t>H / (47,3*1,5)</t>
  </si>
  <si>
    <t>I * D</t>
  </si>
  <si>
    <t>Q32% de H</t>
  </si>
  <si>
    <t>Q34% de H</t>
  </si>
  <si>
    <t>Q26% de J</t>
  </si>
  <si>
    <t>H * D</t>
  </si>
  <si>
    <t>vehicule</t>
  </si>
  <si>
    <t>cout par touché carburant compris</t>
  </si>
  <si>
    <r>
      <rPr>
        <b/>
        <u/>
        <sz val="8"/>
        <color theme="1"/>
        <rFont val="Calibri"/>
        <family val="2"/>
        <scheme val="minor"/>
      </rPr>
      <t xml:space="preserve">cas 1: </t>
    </r>
    <r>
      <rPr>
        <sz val="8"/>
        <color theme="1"/>
        <rFont val="Calibri"/>
        <family val="2"/>
        <scheme val="minor"/>
      </rPr>
      <t>déchargement uniquement contrat Air France actuel (tarif entre 600 et 780€)</t>
    </r>
  </si>
  <si>
    <t>salaire net</t>
  </si>
  <si>
    <t>salaire total</t>
  </si>
  <si>
    <t>nombre / touché</t>
  </si>
  <si>
    <t>nombre total</t>
  </si>
  <si>
    <t>formation</t>
  </si>
  <si>
    <r>
      <t xml:space="preserve">cout / touché de jour </t>
    </r>
    <r>
      <rPr>
        <sz val="8"/>
        <color theme="1" tint="0.34998626667073579"/>
        <rFont val="Calibri"/>
        <family val="2"/>
        <scheme val="minor"/>
      </rPr>
      <t>soit cout Horaire</t>
    </r>
  </si>
  <si>
    <t>cout / touché de nuit</t>
  </si>
  <si>
    <r>
      <t xml:space="preserve">cout total / touché pour 1 pers </t>
    </r>
    <r>
      <rPr>
        <sz val="8"/>
        <color theme="1" tint="0.34998626667073579"/>
        <rFont val="Calibri"/>
        <family val="2"/>
        <scheme val="minor"/>
      </rPr>
      <t>0,55h jour + 1h nuit</t>
    </r>
  </si>
  <si>
    <r>
      <t xml:space="preserve">cout total : touché tout pers </t>
    </r>
    <r>
      <rPr>
        <sz val="8"/>
        <color theme="1" tint="0.34998626667073579"/>
        <rFont val="Calibri"/>
        <family val="2"/>
        <scheme val="minor"/>
      </rPr>
      <t>1h jour + 1h nuit</t>
    </r>
  </si>
  <si>
    <t xml:space="preserve">cout total / mois </t>
  </si>
  <si>
    <t>cout total/ touché avec plus value conges, maladie, formations</t>
  </si>
  <si>
    <r>
      <t xml:space="preserve">cout total : touché pour 1 pers </t>
    </r>
    <r>
      <rPr>
        <sz val="8"/>
        <color theme="1" tint="0.34998626667073579"/>
        <rFont val="Calibri"/>
        <family val="2"/>
        <scheme val="minor"/>
      </rPr>
      <t>1h jour + 1h nuit</t>
    </r>
  </si>
  <si>
    <t>assurance</t>
  </si>
  <si>
    <t>cas 1</t>
  </si>
  <si>
    <t>cas 2</t>
  </si>
  <si>
    <t>1,5h/touché, 11 touchés/semaine et 4,3 semaines/mois soit:1,5*11*4,3=70,95h/mois dont 23,65h de jour et 47,3h de nuit</t>
  </si>
  <si>
    <t>prime annuelle</t>
  </si>
  <si>
    <t>plus-value carburant &amp; entretien</t>
  </si>
  <si>
    <t>cas1/ touché</t>
  </si>
  <si>
    <t>cas2/touché</t>
  </si>
  <si>
    <t>cas 1 annuel</t>
  </si>
  <si>
    <t>cas 2 annuel</t>
  </si>
  <si>
    <t>cas 1 mensuel</t>
  </si>
  <si>
    <t>cas 2 mensuel</t>
  </si>
  <si>
    <t>materiel</t>
  </si>
  <si>
    <t xml:space="preserve">ammortissement materiel </t>
  </si>
  <si>
    <t>personnel</t>
  </si>
  <si>
    <t>plus-value formation, congés, maladie %</t>
  </si>
  <si>
    <t>administratif %</t>
  </si>
  <si>
    <t>plus-value entretien %</t>
  </si>
  <si>
    <t xml:space="preserve">plus-value carburant </t>
  </si>
  <si>
    <t>fact mens</t>
  </si>
  <si>
    <t>consomation carburant en L</t>
  </si>
  <si>
    <t>cout mat mensuel cas 1</t>
  </si>
  <si>
    <t>cout mat mensuel cas 2</t>
  </si>
  <si>
    <t>soit:</t>
  </si>
  <si>
    <t>frais administratif mensuels</t>
  </si>
  <si>
    <r>
      <rPr>
        <b/>
        <i/>
        <u/>
        <sz val="8"/>
        <color theme="1"/>
        <rFont val="Calibri"/>
        <family val="2"/>
        <scheme val="minor"/>
      </rPr>
      <t xml:space="preserve">cas 2 : </t>
    </r>
    <r>
      <rPr>
        <sz val="8"/>
        <color theme="1"/>
        <rFont val="Calibri"/>
        <family val="2"/>
        <scheme val="minor"/>
      </rPr>
      <t>cas 1 + partie postale et Chronopost au sol</t>
    </r>
  </si>
  <si>
    <t>qte</t>
  </si>
  <si>
    <t xml:space="preserve">salaire net </t>
  </si>
  <si>
    <t>total / an</t>
  </si>
  <si>
    <t>total/mois</t>
  </si>
  <si>
    <t>prix /an</t>
  </si>
  <si>
    <t>prix/mois</t>
  </si>
  <si>
    <t>consommable</t>
  </si>
  <si>
    <t>MAINTENANCE MATERIEL</t>
  </si>
  <si>
    <t>salaires comptabilisés dans l'onglet salaires</t>
  </si>
  <si>
    <t>technicien 1 (B1)</t>
  </si>
  <si>
    <t>ammortissement annuel (6ans)</t>
  </si>
  <si>
    <t>total facturé</t>
  </si>
  <si>
    <t>mat 1</t>
  </si>
  <si>
    <t>mat 2</t>
  </si>
  <si>
    <t>mat 3</t>
  </si>
  <si>
    <t>mat4</t>
  </si>
  <si>
    <t>mat5</t>
  </si>
  <si>
    <t>mat6</t>
  </si>
  <si>
    <r>
      <rPr>
        <b/>
        <u/>
        <sz val="8"/>
        <color theme="1"/>
        <rFont val="Calibri"/>
        <family val="2"/>
        <scheme val="minor"/>
      </rPr>
      <t>cas 1:</t>
    </r>
    <r>
      <rPr>
        <sz val="8"/>
        <color theme="1"/>
        <rFont val="Calibri"/>
        <family val="2"/>
        <scheme val="minor"/>
      </rPr>
      <t xml:space="preserve"> déchargement </t>
    </r>
  </si>
  <si>
    <r>
      <rPr>
        <b/>
        <u/>
        <sz val="8"/>
        <color theme="1"/>
        <rFont val="Calibri"/>
        <family val="2"/>
        <scheme val="minor"/>
      </rPr>
      <t>cas 2 :</t>
    </r>
    <r>
      <rPr>
        <sz val="8"/>
        <color theme="1"/>
        <rFont val="Calibri"/>
        <family val="2"/>
        <scheme val="minor"/>
      </rPr>
      <t xml:space="preserve"> cas 1 + chargement</t>
    </r>
  </si>
  <si>
    <t>mat7</t>
  </si>
  <si>
    <t>agent 1</t>
  </si>
  <si>
    <t>agent2</t>
  </si>
  <si>
    <t>agent3</t>
  </si>
  <si>
    <t>agent4</t>
  </si>
  <si>
    <t>agent5</t>
  </si>
  <si>
    <t>fact jour</t>
  </si>
  <si>
    <t>agent</t>
  </si>
  <si>
    <t>agent resp</t>
  </si>
  <si>
    <t>mat8</t>
  </si>
  <si>
    <t>essence</t>
  </si>
  <si>
    <t>divers conso</t>
  </si>
  <si>
    <t>surplus</t>
  </si>
  <si>
    <t>admin</t>
  </si>
  <si>
    <t xml:space="preserve"> activité</t>
  </si>
  <si>
    <t>bungalow</t>
  </si>
  <si>
    <t>mat</t>
  </si>
  <si>
    <t>bungalows 2</t>
  </si>
  <si>
    <t xml:space="preserve"> av 2012</t>
  </si>
  <si>
    <t xml:space="preserve"> assurance voiture + divers</t>
  </si>
  <si>
    <t>conso</t>
  </si>
  <si>
    <t>bp</t>
  </si>
  <si>
    <t>amortissement prêts :  1</t>
  </si>
  <si>
    <t>cout prêts : 1</t>
  </si>
  <si>
    <t>admini</t>
  </si>
  <si>
    <t>ammortissement: 2</t>
  </si>
  <si>
    <t>ammortissement: 3</t>
  </si>
  <si>
    <t>cout prêt : 2</t>
  </si>
  <si>
    <t>cout prêt 3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</si>
</sst>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0.000"/>
    <numFmt numFmtId="166" formatCode="_(&quot;$&quot;* #,##0.00_);_(&quot;$&quot;* \(#,##0.00\);_(&quot;$&quot;* &quot;-&quot;??_);_(@_)"/>
    <numFmt numFmtId="167" formatCode="0.0"/>
  </numFmts>
  <fonts count="6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8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sz val="9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  <scheme val="minor"/>
    </font>
    <font>
      <sz val="11"/>
      <color rgb="FF336699"/>
      <name val="Calibri"/>
      <family val="2"/>
      <scheme val="minor"/>
    </font>
    <font>
      <b/>
      <i/>
      <sz val="12"/>
      <color indexed="81"/>
      <name val="Tahoma"/>
      <family val="2"/>
    </font>
    <font>
      <b/>
      <sz val="11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3" tint="0.3999755851924192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theme="3"/>
      <name val="Calibri"/>
      <family val="2"/>
      <scheme val="minor"/>
    </font>
    <font>
      <sz val="8"/>
      <color theme="3"/>
      <name val="Calibri"/>
      <family val="2"/>
      <scheme val="minor"/>
    </font>
    <font>
      <b/>
      <sz val="8"/>
      <color theme="5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5"/>
      <name val="Calibri"/>
      <family val="2"/>
      <scheme val="minor"/>
    </font>
    <font>
      <sz val="8"/>
      <color theme="1"/>
      <name val="Calibri"/>
      <family val="2"/>
    </font>
    <font>
      <sz val="8"/>
      <color theme="4"/>
      <name val="Calibri"/>
      <family val="2"/>
      <scheme val="minor"/>
    </font>
    <font>
      <b/>
      <sz val="8"/>
      <color theme="4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8"/>
      <color theme="2" tint="-0.499984740745262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B050"/>
      <name val="Calibri"/>
      <family val="2"/>
      <scheme val="minor"/>
    </font>
    <font>
      <sz val="8"/>
      <color indexed="81"/>
      <name val="Tahoma"/>
      <family val="2"/>
    </font>
    <font>
      <b/>
      <sz val="8"/>
      <color theme="2" tint="-0.499984740745262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10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7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44" fontId="23" fillId="0" borderId="0" applyFont="0" applyFill="0" applyBorder="0" applyAlignment="0" applyProtection="0"/>
    <xf numFmtId="166" fontId="24" fillId="0" borderId="0" applyFont="0" applyFill="0" applyBorder="0" applyAlignment="0" applyProtection="0"/>
  </cellStyleXfs>
  <cellXfs count="33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4" fillId="4" borderId="0" xfId="0" applyNumberFormat="1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horizontal="center" vertical="center"/>
    </xf>
    <xf numFmtId="44" fontId="3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10" fillId="0" borderId="0" xfId="0" applyFont="1"/>
    <xf numFmtId="0" fontId="11" fillId="0" borderId="0" xfId="0" applyFont="1" applyAlignment="1">
      <alignment horizontal="center"/>
    </xf>
    <xf numFmtId="165" fontId="11" fillId="0" borderId="0" xfId="0" applyNumberFormat="1" applyFont="1"/>
    <xf numFmtId="165" fontId="12" fillId="0" borderId="0" xfId="0" applyNumberFormat="1" applyFont="1"/>
    <xf numFmtId="0" fontId="13" fillId="0" borderId="0" xfId="0" applyFont="1"/>
    <xf numFmtId="165" fontId="11" fillId="0" borderId="0" xfId="0" applyNumberFormat="1" applyFont="1" applyAlignment="1">
      <alignment horizontal="center"/>
    </xf>
    <xf numFmtId="0" fontId="14" fillId="6" borderId="0" xfId="0" applyFont="1" applyFill="1" applyAlignment="1">
      <alignment horizontal="center"/>
    </xf>
    <xf numFmtId="165" fontId="14" fillId="6" borderId="0" xfId="0" applyNumberFormat="1" applyFont="1" applyFill="1" applyAlignment="1">
      <alignment horizontal="center"/>
    </xf>
    <xf numFmtId="165" fontId="15" fillId="0" borderId="0" xfId="0" applyNumberFormat="1" applyFont="1" applyAlignment="1">
      <alignment horizontal="left"/>
    </xf>
    <xf numFmtId="165" fontId="16" fillId="0" borderId="0" xfId="0" applyNumberFormat="1" applyFont="1" applyAlignment="1">
      <alignment horizontal="left"/>
    </xf>
    <xf numFmtId="0" fontId="16" fillId="0" borderId="0" xfId="0" applyFont="1" applyAlignment="1">
      <alignment horizontal="center"/>
    </xf>
    <xf numFmtId="165" fontId="16" fillId="0" borderId="0" xfId="0" applyNumberFormat="1" applyFont="1"/>
    <xf numFmtId="165" fontId="13" fillId="0" borderId="0" xfId="0" applyNumberFormat="1" applyFont="1"/>
    <xf numFmtId="0" fontId="13" fillId="7" borderId="0" xfId="0" applyFont="1" applyFill="1"/>
    <xf numFmtId="0" fontId="11" fillId="7" borderId="0" xfId="0" applyFont="1" applyFill="1" applyAlignment="1">
      <alignment horizontal="center"/>
    </xf>
    <xf numFmtId="165" fontId="14" fillId="6" borderId="0" xfId="0" applyNumberFormat="1" applyFont="1" applyFill="1"/>
    <xf numFmtId="165" fontId="11" fillId="7" borderId="0" xfId="0" applyNumberFormat="1" applyFont="1" applyFill="1"/>
    <xf numFmtId="165" fontId="14" fillId="0" borderId="0" xfId="0" applyNumberFormat="1" applyFont="1"/>
    <xf numFmtId="0" fontId="16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0" fillId="4" borderId="1" xfId="0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4" borderId="0" xfId="0" applyFill="1" applyBorder="1"/>
    <xf numFmtId="0" fontId="1" fillId="4" borderId="0" xfId="0" applyFont="1" applyFill="1" applyAlignment="1">
      <alignment horizontal="left" wrapText="1"/>
    </xf>
    <xf numFmtId="0" fontId="0" fillId="4" borderId="0" xfId="0" applyFill="1" applyBorder="1" applyAlignment="1">
      <alignment horizontal="left" vertical="center" wrapText="1"/>
    </xf>
    <xf numFmtId="44" fontId="0" fillId="4" borderId="0" xfId="0" applyNumberFormat="1" applyFill="1" applyBorder="1"/>
    <xf numFmtId="0" fontId="19" fillId="4" borderId="0" xfId="0" applyFont="1" applyFill="1" applyBorder="1" applyAlignment="1">
      <alignment horizontal="left" vertical="center" wrapText="1"/>
    </xf>
    <xf numFmtId="0" fontId="19" fillId="4" borderId="0" xfId="0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left" wrapText="1"/>
    </xf>
    <xf numFmtId="0" fontId="0" fillId="4" borderId="1" xfId="0" applyFill="1" applyBorder="1"/>
    <xf numFmtId="0" fontId="2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4" xfId="0" applyBorder="1"/>
    <xf numFmtId="44" fontId="0" fillId="0" borderId="0" xfId="1" applyFont="1"/>
    <xf numFmtId="44" fontId="0" fillId="0" borderId="1" xfId="1" applyFont="1" applyBorder="1"/>
    <xf numFmtId="44" fontId="26" fillId="2" borderId="1" xfId="0" applyNumberFormat="1" applyFont="1" applyFill="1" applyBorder="1" applyAlignment="1">
      <alignment horizontal="center" vertical="center" wrapText="1"/>
    </xf>
    <xf numFmtId="44" fontId="26" fillId="3" borderId="1" xfId="0" applyNumberFormat="1" applyFont="1" applyFill="1" applyBorder="1" applyAlignment="1">
      <alignment horizontal="center" vertical="center" wrapText="1"/>
    </xf>
    <xf numFmtId="44" fontId="27" fillId="4" borderId="1" xfId="0" applyNumberFormat="1" applyFont="1" applyFill="1" applyBorder="1" applyAlignment="1">
      <alignment vertical="center"/>
    </xf>
    <xf numFmtId="44" fontId="27" fillId="4" borderId="1" xfId="0" applyNumberFormat="1" applyFont="1" applyFill="1" applyBorder="1" applyAlignment="1">
      <alignment horizontal="center" vertical="center" wrapText="1"/>
    </xf>
    <xf numFmtId="44" fontId="28" fillId="4" borderId="1" xfId="0" applyNumberFormat="1" applyFont="1" applyFill="1" applyBorder="1" applyAlignment="1">
      <alignment vertical="center"/>
    </xf>
    <xf numFmtId="44" fontId="28" fillId="4" borderId="1" xfId="0" applyNumberFormat="1" applyFont="1" applyFill="1" applyBorder="1" applyAlignment="1">
      <alignment horizontal="center" vertical="center" wrapText="1"/>
    </xf>
    <xf numFmtId="0" fontId="25" fillId="4" borderId="0" xfId="0" applyFont="1" applyFill="1" applyBorder="1" applyAlignment="1">
      <alignment horizontal="center" vertical="center" wrapText="1"/>
    </xf>
    <xf numFmtId="164" fontId="30" fillId="4" borderId="0" xfId="0" applyNumberFormat="1" applyFont="1" applyFill="1" applyBorder="1" applyAlignment="1">
      <alignment horizontal="right" vertical="center"/>
    </xf>
    <xf numFmtId="44" fontId="31" fillId="4" borderId="0" xfId="0" applyNumberFormat="1" applyFont="1" applyFill="1" applyBorder="1" applyAlignment="1">
      <alignment horizontal="right" vertical="center"/>
    </xf>
    <xf numFmtId="0" fontId="0" fillId="4" borderId="0" xfId="0" applyFill="1"/>
    <xf numFmtId="0" fontId="0" fillId="4" borderId="0" xfId="0" applyFill="1" applyAlignment="1">
      <alignment vertical="center"/>
    </xf>
    <xf numFmtId="44" fontId="32" fillId="3" borderId="1" xfId="0" applyNumberFormat="1" applyFont="1" applyFill="1" applyBorder="1" applyAlignment="1">
      <alignment horizontal="right" vertical="center"/>
    </xf>
    <xf numFmtId="44" fontId="32" fillId="3" borderId="1" xfId="1" applyFont="1" applyFill="1" applyBorder="1" applyAlignment="1">
      <alignment horizontal="center" vertical="center"/>
    </xf>
    <xf numFmtId="164" fontId="32" fillId="3" borderId="1" xfId="0" applyNumberFormat="1" applyFont="1" applyFill="1" applyBorder="1" applyAlignment="1">
      <alignment horizontal="right" vertical="center"/>
    </xf>
    <xf numFmtId="44" fontId="32" fillId="3" borderId="1" xfId="0" applyNumberFormat="1" applyFont="1" applyFill="1" applyBorder="1" applyAlignment="1">
      <alignment horizontal="center" vertical="center"/>
    </xf>
    <xf numFmtId="44" fontId="33" fillId="8" borderId="1" xfId="1" applyFont="1" applyFill="1" applyBorder="1" applyAlignment="1">
      <alignment horizontal="center" vertical="center"/>
    </xf>
    <xf numFmtId="44" fontId="33" fillId="2" borderId="1" xfId="1" applyFont="1" applyFill="1" applyBorder="1" applyAlignment="1">
      <alignment horizontal="center" vertical="center"/>
    </xf>
    <xf numFmtId="44" fontId="33" fillId="2" borderId="1" xfId="0" applyNumberFormat="1" applyFont="1" applyFill="1" applyBorder="1" applyAlignment="1">
      <alignment horizontal="center" vertical="center"/>
    </xf>
    <xf numFmtId="44" fontId="33" fillId="8" borderId="1" xfId="0" applyNumberFormat="1" applyFont="1" applyFill="1" applyBorder="1" applyAlignment="1">
      <alignment horizontal="center" vertical="center"/>
    </xf>
    <xf numFmtId="44" fontId="33" fillId="2" borderId="2" xfId="0" applyNumberFormat="1" applyFont="1" applyFill="1" applyBorder="1" applyAlignment="1">
      <alignment horizontal="center" vertical="center"/>
    </xf>
    <xf numFmtId="44" fontId="33" fillId="8" borderId="2" xfId="0" applyNumberFormat="1" applyFont="1" applyFill="1" applyBorder="1" applyAlignment="1">
      <alignment horizontal="center" vertical="center"/>
    </xf>
    <xf numFmtId="0" fontId="34" fillId="3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35" fillId="3" borderId="9" xfId="0" applyFont="1" applyFill="1" applyBorder="1" applyAlignment="1">
      <alignment horizontal="left" vertical="center" wrapText="1"/>
    </xf>
    <xf numFmtId="0" fontId="32" fillId="2" borderId="1" xfId="0" applyFont="1" applyFill="1" applyBorder="1" applyAlignment="1">
      <alignment horizontal="left" vertical="center" wrapText="1"/>
    </xf>
    <xf numFmtId="0" fontId="32" fillId="4" borderId="3" xfId="0" applyFont="1" applyFill="1" applyBorder="1" applyAlignment="1">
      <alignment horizontal="center" vertical="center" wrapText="1"/>
    </xf>
    <xf numFmtId="0" fontId="32" fillId="4" borderId="0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left" vertical="center" wrapText="1"/>
    </xf>
    <xf numFmtId="44" fontId="33" fillId="4" borderId="3" xfId="0" applyNumberFormat="1" applyFont="1" applyFill="1" applyBorder="1" applyAlignment="1">
      <alignment horizontal="center" vertical="center"/>
    </xf>
    <xf numFmtId="44" fontId="33" fillId="4" borderId="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36" fillId="0" borderId="0" xfId="0" applyFont="1"/>
    <xf numFmtId="0" fontId="36" fillId="4" borderId="3" xfId="0" applyFont="1" applyFill="1" applyBorder="1"/>
    <xf numFmtId="0" fontId="36" fillId="4" borderId="0" xfId="0" applyFont="1" applyFill="1" applyBorder="1"/>
    <xf numFmtId="0" fontId="26" fillId="3" borderId="1" xfId="0" applyFont="1" applyFill="1" applyBorder="1" applyAlignment="1">
      <alignment horizontal="left" vertical="center" wrapText="1"/>
    </xf>
    <xf numFmtId="0" fontId="36" fillId="4" borderId="0" xfId="0" applyFont="1" applyFill="1" applyAlignment="1">
      <alignment horizontal="left" vertical="center" wrapText="1"/>
    </xf>
    <xf numFmtId="0" fontId="34" fillId="4" borderId="0" xfId="0" applyFont="1" applyFill="1" applyBorder="1" applyAlignment="1">
      <alignment horizontal="center" vertical="center" wrapText="1"/>
    </xf>
    <xf numFmtId="0" fontId="34" fillId="4" borderId="8" xfId="0" applyFont="1" applyFill="1" applyBorder="1" applyAlignment="1">
      <alignment horizontal="center" vertical="center" wrapText="1"/>
    </xf>
    <xf numFmtId="0" fontId="36" fillId="4" borderId="8" xfId="0" applyFont="1" applyFill="1" applyBorder="1"/>
    <xf numFmtId="0" fontId="36" fillId="4" borderId="0" xfId="0" applyFont="1" applyFill="1"/>
    <xf numFmtId="0" fontId="36" fillId="4" borderId="0" xfId="0" applyFont="1" applyFill="1" applyBorder="1" applyAlignment="1">
      <alignment horizontal="left" vertical="center" wrapText="1"/>
    </xf>
    <xf numFmtId="44" fontId="37" fillId="4" borderId="0" xfId="0" applyNumberFormat="1" applyFont="1" applyFill="1" applyBorder="1" applyAlignment="1">
      <alignment horizontal="center" vertical="center"/>
    </xf>
    <xf numFmtId="44" fontId="37" fillId="4" borderId="4" xfId="0" applyNumberFormat="1" applyFont="1" applyFill="1" applyBorder="1" applyAlignment="1">
      <alignment horizontal="center" vertical="center"/>
    </xf>
    <xf numFmtId="164" fontId="37" fillId="4" borderId="4" xfId="0" applyNumberFormat="1" applyFont="1" applyFill="1" applyBorder="1" applyAlignment="1">
      <alignment horizontal="center" vertical="center"/>
    </xf>
    <xf numFmtId="44" fontId="34" fillId="4" borderId="4" xfId="0" applyNumberFormat="1" applyFont="1" applyFill="1" applyBorder="1" applyAlignment="1">
      <alignment horizontal="center" vertical="center"/>
    </xf>
    <xf numFmtId="0" fontId="36" fillId="4" borderId="4" xfId="0" applyFont="1" applyFill="1" applyBorder="1"/>
    <xf numFmtId="0" fontId="38" fillId="0" borderId="0" xfId="0" applyFont="1" applyBorder="1"/>
    <xf numFmtId="0" fontId="36" fillId="4" borderId="1" xfId="0" applyFont="1" applyFill="1" applyBorder="1" applyAlignment="1">
      <alignment horizontal="left" vertical="center" wrapText="1"/>
    </xf>
    <xf numFmtId="0" fontId="36" fillId="4" borderId="1" xfId="0" applyFont="1" applyFill="1" applyBorder="1"/>
    <xf numFmtId="0" fontId="36" fillId="4" borderId="5" xfId="0" applyFont="1" applyFill="1" applyBorder="1"/>
    <xf numFmtId="0" fontId="26" fillId="4" borderId="4" xfId="0" applyFont="1" applyFill="1" applyBorder="1" applyAlignment="1">
      <alignment horizontal="center" vertical="center" wrapText="1"/>
    </xf>
    <xf numFmtId="0" fontId="36" fillId="4" borderId="4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44" fontId="28" fillId="4" borderId="4" xfId="0" applyNumberFormat="1" applyFont="1" applyFill="1" applyBorder="1" applyAlignment="1">
      <alignment horizontal="center" vertical="center" wrapText="1"/>
    </xf>
    <xf numFmtId="44" fontId="39" fillId="4" borderId="5" xfId="0" applyNumberFormat="1" applyFont="1" applyFill="1" applyBorder="1"/>
    <xf numFmtId="44" fontId="39" fillId="4" borderId="4" xfId="0" applyNumberFormat="1" applyFont="1" applyFill="1" applyBorder="1"/>
    <xf numFmtId="44" fontId="40" fillId="4" borderId="4" xfId="0" applyNumberFormat="1" applyFont="1" applyFill="1" applyBorder="1"/>
    <xf numFmtId="44" fontId="28" fillId="4" borderId="4" xfId="0" applyNumberFormat="1" applyFont="1" applyFill="1" applyBorder="1" applyAlignment="1">
      <alignment vertical="center"/>
    </xf>
    <xf numFmtId="44" fontId="28" fillId="4" borderId="4" xfId="0" applyNumberFormat="1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left" vertical="center" wrapText="1"/>
    </xf>
    <xf numFmtId="44" fontId="39" fillId="4" borderId="7" xfId="0" applyNumberFormat="1" applyFont="1" applyFill="1" applyBorder="1"/>
    <xf numFmtId="44" fontId="28" fillId="4" borderId="6" xfId="0" applyNumberFormat="1" applyFont="1" applyFill="1" applyBorder="1"/>
    <xf numFmtId="44" fontId="41" fillId="4" borderId="4" xfId="0" applyNumberFormat="1" applyFont="1" applyFill="1" applyBorder="1"/>
    <xf numFmtId="0" fontId="26" fillId="4" borderId="0" xfId="0" applyFont="1" applyFill="1" applyBorder="1" applyAlignment="1">
      <alignment horizontal="left" vertical="center" wrapText="1"/>
    </xf>
    <xf numFmtId="44" fontId="36" fillId="4" borderId="0" xfId="0" applyNumberFormat="1" applyFont="1" applyFill="1" applyBorder="1"/>
    <xf numFmtId="0" fontId="36" fillId="0" borderId="4" xfId="0" applyFont="1" applyBorder="1"/>
    <xf numFmtId="44" fontId="41" fillId="4" borderId="5" xfId="0" applyNumberFormat="1" applyFont="1" applyFill="1" applyBorder="1"/>
    <xf numFmtId="44" fontId="40" fillId="4" borderId="5" xfId="0" applyNumberFormat="1" applyFont="1" applyFill="1" applyBorder="1"/>
    <xf numFmtId="44" fontId="36" fillId="4" borderId="10" xfId="0" applyNumberFormat="1" applyFont="1" applyFill="1" applyBorder="1"/>
    <xf numFmtId="44" fontId="42" fillId="4" borderId="0" xfId="0" applyNumberFormat="1" applyFont="1" applyFill="1" applyBorder="1"/>
    <xf numFmtId="44" fontId="39" fillId="4" borderId="0" xfId="0" applyNumberFormat="1" applyFont="1" applyFill="1" applyBorder="1"/>
    <xf numFmtId="0" fontId="43" fillId="4" borderId="0" xfId="0" applyFont="1" applyFill="1" applyBorder="1" applyAlignment="1">
      <alignment horizontal="left" vertical="center" wrapText="1"/>
    </xf>
    <xf numFmtId="44" fontId="36" fillId="4" borderId="5" xfId="0" applyNumberFormat="1" applyFont="1" applyFill="1" applyBorder="1"/>
    <xf numFmtId="44" fontId="36" fillId="4" borderId="11" xfId="0" applyNumberFormat="1" applyFont="1" applyFill="1" applyBorder="1"/>
    <xf numFmtId="0" fontId="26" fillId="11" borderId="1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164" fontId="26" fillId="10" borderId="2" xfId="0" applyNumberFormat="1" applyFont="1" applyFill="1" applyBorder="1" applyAlignment="1">
      <alignment horizontal="center" vertical="center"/>
    </xf>
    <xf numFmtId="44" fontId="39" fillId="11" borderId="1" xfId="0" applyNumberFormat="1" applyFont="1" applyFill="1" applyBorder="1"/>
    <xf numFmtId="44" fontId="39" fillId="9" borderId="1" xfId="0" applyNumberFormat="1" applyFont="1" applyFill="1" applyBorder="1"/>
    <xf numFmtId="44" fontId="39" fillId="10" borderId="1" xfId="0" applyNumberFormat="1" applyFont="1" applyFill="1" applyBorder="1"/>
    <xf numFmtId="44" fontId="39" fillId="10" borderId="2" xfId="0" applyNumberFormat="1" applyFont="1" applyFill="1" applyBorder="1"/>
    <xf numFmtId="44" fontId="36" fillId="11" borderId="1" xfId="0" applyNumberFormat="1" applyFont="1" applyFill="1" applyBorder="1"/>
    <xf numFmtId="44" fontId="36" fillId="9" borderId="1" xfId="0" applyNumberFormat="1" applyFont="1" applyFill="1" applyBorder="1"/>
    <xf numFmtId="44" fontId="36" fillId="10" borderId="2" xfId="0" applyNumberFormat="1" applyFont="1" applyFill="1" applyBorder="1"/>
    <xf numFmtId="44" fontId="36" fillId="10" borderId="1" xfId="0" applyNumberFormat="1" applyFont="1" applyFill="1" applyBorder="1"/>
    <xf numFmtId="44" fontId="39" fillId="8" borderId="1" xfId="0" applyNumberFormat="1" applyFont="1" applyFill="1" applyBorder="1"/>
    <xf numFmtId="44" fontId="39" fillId="8" borderId="2" xfId="0" applyNumberFormat="1" applyFont="1" applyFill="1" applyBorder="1"/>
    <xf numFmtId="0" fontId="26" fillId="5" borderId="1" xfId="0" applyFont="1" applyFill="1" applyBorder="1" applyAlignment="1">
      <alignment horizontal="left" vertical="center" wrapText="1"/>
    </xf>
    <xf numFmtId="0" fontId="26" fillId="2" borderId="2" xfId="0" applyFont="1" applyFill="1" applyBorder="1" applyAlignment="1">
      <alignment horizontal="center" vertical="center" wrapText="1"/>
    </xf>
    <xf numFmtId="44" fontId="39" fillId="2" borderId="1" xfId="0" applyNumberFormat="1" applyFont="1" applyFill="1" applyBorder="1"/>
    <xf numFmtId="44" fontId="39" fillId="2" borderId="2" xfId="0" applyNumberFormat="1" applyFont="1" applyFill="1" applyBorder="1"/>
    <xf numFmtId="44" fontId="36" fillId="2" borderId="2" xfId="0" applyNumberFormat="1" applyFont="1" applyFill="1" applyBorder="1"/>
    <xf numFmtId="44" fontId="36" fillId="2" borderId="1" xfId="0" applyNumberFormat="1" applyFont="1" applyFill="1" applyBorder="1"/>
    <xf numFmtId="0" fontId="36" fillId="0" borderId="1" xfId="0" applyFont="1" applyBorder="1" applyAlignment="1">
      <alignment horizontal="center" vertical="center"/>
    </xf>
    <xf numFmtId="0" fontId="36" fillId="11" borderId="1" xfId="0" applyFont="1" applyFill="1" applyBorder="1" applyAlignment="1">
      <alignment horizontal="center" vertical="center"/>
    </xf>
    <xf numFmtId="0" fontId="0" fillId="9" borderId="1" xfId="0" applyFill="1" applyBorder="1"/>
    <xf numFmtId="44" fontId="0" fillId="9" borderId="1" xfId="1" applyFont="1" applyFill="1" applyBorder="1"/>
    <xf numFmtId="44" fontId="33" fillId="2" borderId="2" xfId="1" applyFont="1" applyFill="1" applyBorder="1" applyAlignment="1">
      <alignment horizontal="center" vertical="center"/>
    </xf>
    <xf numFmtId="0" fontId="44" fillId="0" borderId="0" xfId="0" applyFont="1"/>
    <xf numFmtId="0" fontId="0" fillId="0" borderId="0" xfId="0" applyAlignment="1">
      <alignment wrapText="1"/>
    </xf>
    <xf numFmtId="0" fontId="36" fillId="0" borderId="17" xfId="0" applyFont="1" applyBorder="1" applyAlignment="1">
      <alignment horizontal="center" vertical="center" wrapText="1"/>
    </xf>
    <xf numFmtId="0" fontId="36" fillId="0" borderId="18" xfId="0" applyFont="1" applyBorder="1" applyAlignment="1">
      <alignment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48" fillId="0" borderId="22" xfId="0" applyFont="1" applyBorder="1" applyAlignment="1">
      <alignment horizontal="center" vertical="center" wrapText="1"/>
    </xf>
    <xf numFmtId="0" fontId="48" fillId="0" borderId="23" xfId="0" applyFont="1" applyBorder="1" applyAlignment="1">
      <alignment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24" xfId="0" applyFont="1" applyBorder="1" applyAlignment="1">
      <alignment horizontal="center" vertical="center" wrapText="1"/>
    </xf>
    <xf numFmtId="0" fontId="48" fillId="0" borderId="25" xfId="0" applyFont="1" applyBorder="1" applyAlignment="1">
      <alignment horizontal="center" vertical="center" wrapText="1"/>
    </xf>
    <xf numFmtId="0" fontId="48" fillId="0" borderId="26" xfId="0" applyFont="1" applyBorder="1" applyAlignment="1">
      <alignment horizontal="center" vertical="center" wrapText="1"/>
    </xf>
    <xf numFmtId="0" fontId="48" fillId="0" borderId="27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/>
    </xf>
    <xf numFmtId="164" fontId="36" fillId="0" borderId="1" xfId="0" applyNumberFormat="1" applyFont="1" applyBorder="1" applyAlignment="1">
      <alignment vertical="center"/>
    </xf>
    <xf numFmtId="164" fontId="36" fillId="0" borderId="1" xfId="0" applyNumberFormat="1" applyFont="1" applyBorder="1" applyAlignment="1">
      <alignment horizontal="right" vertical="center"/>
    </xf>
    <xf numFmtId="0" fontId="36" fillId="0" borderId="1" xfId="0" applyNumberFormat="1" applyFont="1" applyBorder="1" applyAlignment="1">
      <alignment horizontal="center" vertical="center"/>
    </xf>
    <xf numFmtId="164" fontId="36" fillId="0" borderId="1" xfId="0" applyNumberFormat="1" applyFont="1" applyBorder="1" applyAlignment="1">
      <alignment horizontal="center" vertical="center"/>
    </xf>
    <xf numFmtId="164" fontId="36" fillId="0" borderId="2" xfId="0" applyNumberFormat="1" applyFont="1" applyBorder="1" applyAlignment="1">
      <alignment horizontal="right" vertical="center"/>
    </xf>
    <xf numFmtId="164" fontId="36" fillId="0" borderId="1" xfId="0" applyNumberFormat="1" applyFont="1" applyBorder="1"/>
    <xf numFmtId="164" fontId="42" fillId="0" borderId="29" xfId="0" applyNumberFormat="1" applyFont="1" applyBorder="1"/>
    <xf numFmtId="164" fontId="36" fillId="0" borderId="27" xfId="0" applyNumberFormat="1" applyFont="1" applyBorder="1" applyAlignment="1">
      <alignment horizontal="right" vertical="center"/>
    </xf>
    <xf numFmtId="0" fontId="36" fillId="0" borderId="1" xfId="0" applyFont="1" applyBorder="1" applyAlignment="1">
      <alignment vertical="center"/>
    </xf>
    <xf numFmtId="0" fontId="36" fillId="0" borderId="2" xfId="0" applyFont="1" applyBorder="1" applyAlignment="1">
      <alignment horizontal="center" vertical="center"/>
    </xf>
    <xf numFmtId="0" fontId="36" fillId="0" borderId="30" xfId="0" applyFont="1" applyBorder="1" applyAlignment="1">
      <alignment horizontal="center" vertical="center"/>
    </xf>
    <xf numFmtId="0" fontId="36" fillId="0" borderId="31" xfId="0" applyFont="1" applyBorder="1" applyAlignment="1">
      <alignment vertical="center"/>
    </xf>
    <xf numFmtId="0" fontId="36" fillId="0" borderId="31" xfId="0" applyFont="1" applyBorder="1" applyAlignment="1">
      <alignment horizontal="center" vertical="center"/>
    </xf>
    <xf numFmtId="164" fontId="36" fillId="0" borderId="31" xfId="0" applyNumberFormat="1" applyFont="1" applyBorder="1" applyAlignment="1">
      <alignment horizontal="center" vertical="center"/>
    </xf>
    <xf numFmtId="0" fontId="36" fillId="0" borderId="32" xfId="0" applyFont="1" applyBorder="1" applyAlignment="1">
      <alignment horizontal="center" vertical="center"/>
    </xf>
    <xf numFmtId="164" fontId="36" fillId="0" borderId="31" xfId="0" applyNumberFormat="1" applyFont="1" applyBorder="1"/>
    <xf numFmtId="164" fontId="42" fillId="0" borderId="33" xfId="0" applyNumberFormat="1" applyFont="1" applyBorder="1"/>
    <xf numFmtId="164" fontId="36" fillId="0" borderId="34" xfId="0" applyNumberFormat="1" applyFont="1" applyBorder="1" applyAlignment="1">
      <alignment horizontal="right" vertical="center"/>
    </xf>
    <xf numFmtId="0" fontId="36" fillId="0" borderId="9" xfId="0" applyFont="1" applyBorder="1" applyAlignment="1">
      <alignment horizontal="center" vertical="center"/>
    </xf>
    <xf numFmtId="164" fontId="36" fillId="0" borderId="9" xfId="0" applyNumberFormat="1" applyFont="1" applyBorder="1" applyAlignment="1">
      <alignment vertical="center"/>
    </xf>
    <xf numFmtId="164" fontId="36" fillId="0" borderId="9" xfId="0" applyNumberFormat="1" applyFont="1" applyBorder="1" applyAlignment="1">
      <alignment horizontal="center" vertical="center"/>
    </xf>
    <xf numFmtId="164" fontId="49" fillId="0" borderId="9" xfId="0" applyNumberFormat="1" applyFont="1" applyBorder="1" applyAlignment="1">
      <alignment horizontal="center" vertical="center"/>
    </xf>
    <xf numFmtId="164" fontId="42" fillId="0" borderId="9" xfId="0" applyNumberFormat="1" applyFont="1" applyBorder="1"/>
    <xf numFmtId="164" fontId="50" fillId="0" borderId="9" xfId="0" applyNumberFormat="1" applyFont="1" applyBorder="1" applyAlignment="1">
      <alignment horizontal="center" vertical="center"/>
    </xf>
    <xf numFmtId="0" fontId="36" fillId="0" borderId="0" xfId="0" applyFont="1" applyAlignment="1">
      <alignment vertical="center"/>
    </xf>
    <xf numFmtId="164" fontId="36" fillId="0" borderId="1" xfId="1" applyNumberFormat="1" applyFont="1" applyBorder="1" applyAlignment="1">
      <alignment vertical="center"/>
    </xf>
    <xf numFmtId="164" fontId="36" fillId="0" borderId="31" xfId="1" applyNumberFormat="1" applyFont="1" applyBorder="1" applyAlignment="1">
      <alignment vertical="center"/>
    </xf>
    <xf numFmtId="164" fontId="36" fillId="0" borderId="31" xfId="0" applyNumberFormat="1" applyFont="1" applyBorder="1" applyAlignment="1">
      <alignment horizontal="right" vertical="center"/>
    </xf>
    <xf numFmtId="164" fontId="36" fillId="0" borderId="32" xfId="0" applyNumberFormat="1" applyFont="1" applyBorder="1" applyAlignment="1">
      <alignment horizontal="right" vertical="center"/>
    </xf>
    <xf numFmtId="0" fontId="36" fillId="0" borderId="34" xfId="0" applyFont="1" applyBorder="1" applyAlignment="1">
      <alignment horizontal="center" vertical="center"/>
    </xf>
    <xf numFmtId="0" fontId="36" fillId="0" borderId="0" xfId="0" applyFont="1" applyAlignment="1">
      <alignment wrapText="1"/>
    </xf>
    <xf numFmtId="0" fontId="36" fillId="0" borderId="0" xfId="0" applyFont="1" applyBorder="1"/>
    <xf numFmtId="0" fontId="36" fillId="4" borderId="0" xfId="0" applyFont="1" applyFill="1" applyBorder="1" applyAlignment="1">
      <alignment horizontal="center" vertical="center"/>
    </xf>
    <xf numFmtId="0" fontId="36" fillId="0" borderId="25" xfId="0" applyFont="1" applyBorder="1" applyAlignment="1">
      <alignment wrapText="1"/>
    </xf>
    <xf numFmtId="0" fontId="36" fillId="10" borderId="20" xfId="0" applyFont="1" applyFill="1" applyBorder="1" applyAlignment="1">
      <alignment horizontal="center"/>
    </xf>
    <xf numFmtId="0" fontId="26" fillId="0" borderId="35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36" fillId="9" borderId="29" xfId="0" applyFont="1" applyFill="1" applyBorder="1" applyAlignment="1">
      <alignment horizontal="center" wrapText="1"/>
    </xf>
    <xf numFmtId="0" fontId="52" fillId="0" borderId="35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 wrapText="1"/>
    </xf>
    <xf numFmtId="0" fontId="48" fillId="0" borderId="28" xfId="0" applyFont="1" applyBorder="1" applyAlignment="1">
      <alignment horizontal="center" vertical="center" wrapText="1"/>
    </xf>
    <xf numFmtId="0" fontId="48" fillId="9" borderId="29" xfId="0" applyFont="1" applyFill="1" applyBorder="1" applyAlignment="1">
      <alignment horizontal="center" wrapText="1"/>
    </xf>
    <xf numFmtId="164" fontId="36" fillId="0" borderId="35" xfId="0" applyNumberFormat="1" applyFont="1" applyBorder="1"/>
    <xf numFmtId="164" fontId="36" fillId="0" borderId="2" xfId="0" applyNumberFormat="1" applyFont="1" applyBorder="1" applyAlignment="1">
      <alignment horizontal="center" vertical="center"/>
    </xf>
    <xf numFmtId="164" fontId="36" fillId="0" borderId="2" xfId="0" applyNumberFormat="1" applyFont="1" applyBorder="1"/>
    <xf numFmtId="164" fontId="36" fillId="9" borderId="29" xfId="0" applyNumberFormat="1" applyFont="1" applyFill="1" applyBorder="1"/>
    <xf numFmtId="0" fontId="36" fillId="0" borderId="13" xfId="0" applyFont="1" applyBorder="1" applyAlignment="1">
      <alignment wrapText="1"/>
    </xf>
    <xf numFmtId="0" fontId="36" fillId="0" borderId="28" xfId="0" applyFont="1" applyBorder="1"/>
    <xf numFmtId="0" fontId="36" fillId="0" borderId="1" xfId="0" applyFont="1" applyBorder="1"/>
    <xf numFmtId="0" fontId="36" fillId="0" borderId="36" xfId="0" applyFont="1" applyBorder="1"/>
    <xf numFmtId="0" fontId="36" fillId="0" borderId="37" xfId="0" applyFont="1" applyBorder="1"/>
    <xf numFmtId="164" fontId="36" fillId="0" borderId="37" xfId="0" applyNumberFormat="1" applyFont="1" applyBorder="1" applyAlignment="1">
      <alignment horizontal="center" vertical="center"/>
    </xf>
    <xf numFmtId="164" fontId="42" fillId="0" borderId="37" xfId="0" applyNumberFormat="1" applyFont="1" applyBorder="1" applyAlignment="1">
      <alignment horizontal="center" vertical="center"/>
    </xf>
    <xf numFmtId="164" fontId="42" fillId="0" borderId="38" xfId="0" applyNumberFormat="1" applyFont="1" applyBorder="1"/>
    <xf numFmtId="164" fontId="43" fillId="9" borderId="39" xfId="0" applyNumberFormat="1" applyFont="1" applyFill="1" applyBorder="1"/>
    <xf numFmtId="0" fontId="36" fillId="0" borderId="29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6" fillId="0" borderId="36" xfId="0" applyFont="1" applyBorder="1" applyAlignment="1">
      <alignment wrapText="1"/>
    </xf>
    <xf numFmtId="44" fontId="36" fillId="0" borderId="37" xfId="1" applyFont="1" applyBorder="1" applyAlignment="1">
      <alignment wrapText="1"/>
    </xf>
    <xf numFmtId="44" fontId="36" fillId="0" borderId="39" xfId="1" applyFont="1" applyBorder="1" applyAlignment="1">
      <alignment wrapText="1"/>
    </xf>
    <xf numFmtId="0" fontId="42" fillId="0" borderId="1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/>
    </xf>
    <xf numFmtId="0" fontId="26" fillId="0" borderId="1" xfId="0" applyFont="1" applyBorder="1"/>
    <xf numFmtId="164" fontId="26" fillId="0" borderId="1" xfId="0" applyNumberFormat="1" applyFont="1" applyBorder="1"/>
    <xf numFmtId="0" fontId="42" fillId="0" borderId="0" xfId="0" applyFont="1" applyAlignment="1">
      <alignment wrapText="1"/>
    </xf>
    <xf numFmtId="0" fontId="28" fillId="0" borderId="0" xfId="0" applyFont="1" applyAlignment="1">
      <alignment horizontal="center" vertical="center"/>
    </xf>
    <xf numFmtId="164" fontId="36" fillId="0" borderId="40" xfId="0" applyNumberFormat="1" applyFont="1" applyBorder="1" applyAlignment="1">
      <alignment horizontal="center" vertical="center"/>
    </xf>
    <xf numFmtId="0" fontId="28" fillId="0" borderId="9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left"/>
    </xf>
    <xf numFmtId="164" fontId="28" fillId="0" borderId="1" xfId="0" applyNumberFormat="1" applyFont="1" applyBorder="1"/>
    <xf numFmtId="0" fontId="26" fillId="0" borderId="1" xfId="0" applyFont="1" applyFill="1" applyBorder="1"/>
    <xf numFmtId="44" fontId="36" fillId="0" borderId="1" xfId="1" applyFont="1" applyBorder="1"/>
    <xf numFmtId="0" fontId="42" fillId="0" borderId="9" xfId="0" applyFont="1" applyBorder="1" applyAlignment="1">
      <alignment wrapText="1"/>
    </xf>
    <xf numFmtId="167" fontId="28" fillId="0" borderId="9" xfId="0" applyNumberFormat="1" applyFont="1" applyBorder="1" applyAlignment="1">
      <alignment horizontal="center" vertical="center"/>
    </xf>
    <xf numFmtId="2" fontId="42" fillId="0" borderId="9" xfId="0" applyNumberFormat="1" applyFont="1" applyBorder="1" applyAlignment="1">
      <alignment wrapText="1"/>
    </xf>
    <xf numFmtId="44" fontId="28" fillId="0" borderId="9" xfId="1" applyFont="1" applyBorder="1"/>
    <xf numFmtId="0" fontId="36" fillId="4" borderId="29" xfId="0" applyFont="1" applyFill="1" applyBorder="1" applyAlignment="1">
      <alignment horizontal="center" wrapText="1"/>
    </xf>
    <xf numFmtId="0" fontId="48" fillId="4" borderId="29" xfId="0" applyFont="1" applyFill="1" applyBorder="1" applyAlignment="1">
      <alignment horizontal="center" wrapText="1"/>
    </xf>
    <xf numFmtId="0" fontId="48" fillId="0" borderId="0" xfId="0" applyFont="1" applyAlignment="1">
      <alignment wrapText="1"/>
    </xf>
    <xf numFmtId="164" fontId="0" fillId="0" borderId="1" xfId="0" applyNumberFormat="1" applyBorder="1"/>
    <xf numFmtId="164" fontId="0" fillId="0" borderId="1" xfId="0" applyNumberFormat="1" applyBorder="1" applyAlignment="1">
      <alignment horizontal="center" vertical="center"/>
    </xf>
    <xf numFmtId="0" fontId="0" fillId="10" borderId="1" xfId="0" applyFill="1" applyBorder="1"/>
    <xf numFmtId="0" fontId="45" fillId="0" borderId="1" xfId="0" applyFont="1" applyBorder="1"/>
    <xf numFmtId="164" fontId="45" fillId="0" borderId="1" xfId="0" applyNumberFormat="1" applyFont="1" applyBorder="1"/>
    <xf numFmtId="44" fontId="28" fillId="12" borderId="4" xfId="0" applyNumberFormat="1" applyFont="1" applyFill="1" applyBorder="1" applyAlignment="1">
      <alignment vertical="center"/>
    </xf>
    <xf numFmtId="0" fontId="54" fillId="12" borderId="1" xfId="0" applyFont="1" applyFill="1" applyBorder="1" applyAlignment="1">
      <alignment horizontal="center" vertical="center" wrapText="1"/>
    </xf>
    <xf numFmtId="44" fontId="55" fillId="12" borderId="1" xfId="1" applyFont="1" applyFill="1" applyBorder="1" applyAlignment="1">
      <alignment horizontal="center" vertical="center"/>
    </xf>
    <xf numFmtId="44" fontId="55" fillId="12" borderId="1" xfId="0" applyNumberFormat="1" applyFont="1" applyFill="1" applyBorder="1" applyAlignment="1">
      <alignment horizontal="center" vertical="center"/>
    </xf>
    <xf numFmtId="0" fontId="54" fillId="12" borderId="2" xfId="0" applyFont="1" applyFill="1" applyBorder="1" applyAlignment="1">
      <alignment horizontal="center" vertical="center" wrapText="1"/>
    </xf>
    <xf numFmtId="44" fontId="55" fillId="12" borderId="2" xfId="1" applyFont="1" applyFill="1" applyBorder="1" applyAlignment="1">
      <alignment horizontal="center" vertical="center"/>
    </xf>
    <xf numFmtId="44" fontId="55" fillId="12" borderId="2" xfId="0" applyNumberFormat="1" applyFont="1" applyFill="1" applyBorder="1" applyAlignment="1">
      <alignment horizontal="center" vertical="center"/>
    </xf>
    <xf numFmtId="44" fontId="54" fillId="12" borderId="1" xfId="0" applyNumberFormat="1" applyFont="1" applyFill="1" applyBorder="1" applyAlignment="1">
      <alignment horizontal="right" vertical="center"/>
    </xf>
    <xf numFmtId="44" fontId="54" fillId="12" borderId="1" xfId="0" applyNumberFormat="1" applyFont="1" applyFill="1" applyBorder="1" applyAlignment="1">
      <alignment horizontal="center" vertical="center"/>
    </xf>
    <xf numFmtId="0" fontId="26" fillId="4" borderId="6" xfId="0" applyFont="1" applyFill="1" applyBorder="1" applyAlignment="1">
      <alignment horizontal="center" vertical="center" wrapText="1"/>
    </xf>
    <xf numFmtId="164" fontId="26" fillId="4" borderId="5" xfId="0" applyNumberFormat="1" applyFont="1" applyFill="1" applyBorder="1" applyAlignment="1">
      <alignment horizontal="center" vertical="center"/>
    </xf>
    <xf numFmtId="0" fontId="36" fillId="4" borderId="7" xfId="0" applyFont="1" applyFill="1" applyBorder="1"/>
    <xf numFmtId="44" fontId="39" fillId="4" borderId="8" xfId="0" applyNumberFormat="1" applyFont="1" applyFill="1" applyBorder="1"/>
    <xf numFmtId="0" fontId="36" fillId="4" borderId="6" xfId="0" applyFont="1" applyFill="1" applyBorder="1"/>
    <xf numFmtId="44" fontId="56" fillId="4" borderId="9" xfId="0" applyNumberFormat="1" applyFont="1" applyFill="1" applyBorder="1" applyAlignment="1">
      <alignment horizontal="center" vertical="center"/>
    </xf>
    <xf numFmtId="44" fontId="57" fillId="4" borderId="9" xfId="0" applyNumberFormat="1" applyFont="1" applyFill="1" applyBorder="1"/>
    <xf numFmtId="0" fontId="55" fillId="0" borderId="0" xfId="0" applyFont="1"/>
    <xf numFmtId="44" fontId="55" fillId="0" borderId="0" xfId="0" applyNumberFormat="1" applyFont="1"/>
    <xf numFmtId="0" fontId="36" fillId="13" borderId="0" xfId="0" applyFont="1" applyFill="1" applyAlignment="1">
      <alignment horizontal="center" vertical="center"/>
    </xf>
    <xf numFmtId="164" fontId="26" fillId="13" borderId="2" xfId="0" applyNumberFormat="1" applyFont="1" applyFill="1" applyBorder="1" applyAlignment="1">
      <alignment horizontal="center" vertical="center"/>
    </xf>
    <xf numFmtId="44" fontId="39" fillId="13" borderId="2" xfId="0" applyNumberFormat="1" applyFont="1" applyFill="1" applyBorder="1"/>
    <xf numFmtId="44" fontId="36" fillId="13" borderId="2" xfId="0" applyNumberFormat="1" applyFont="1" applyFill="1" applyBorder="1"/>
    <xf numFmtId="0" fontId="36" fillId="0" borderId="0" xfId="0" applyFont="1" applyFill="1" applyAlignment="1">
      <alignment horizontal="center" vertical="center"/>
    </xf>
    <xf numFmtId="0" fontId="28" fillId="0" borderId="9" xfId="0" applyFont="1" applyFill="1" applyBorder="1" applyAlignment="1">
      <alignment horizontal="center" vertical="center" wrapText="1"/>
    </xf>
    <xf numFmtId="44" fontId="28" fillId="0" borderId="9" xfId="0" applyNumberFormat="1" applyFont="1" applyFill="1" applyBorder="1"/>
    <xf numFmtId="44" fontId="0" fillId="15" borderId="1" xfId="1" applyFont="1" applyFill="1" applyBorder="1"/>
    <xf numFmtId="44" fontId="0" fillId="15" borderId="1" xfId="0" applyNumberFormat="1" applyFill="1" applyBorder="1"/>
    <xf numFmtId="0" fontId="34" fillId="14" borderId="1" xfId="0" applyFont="1" applyFill="1" applyBorder="1" applyAlignment="1">
      <alignment horizontal="center" vertical="center" wrapText="1"/>
    </xf>
    <xf numFmtId="0" fontId="34" fillId="15" borderId="1" xfId="0" applyFont="1" applyFill="1" applyBorder="1" applyAlignment="1">
      <alignment horizontal="center" vertical="center" wrapText="1"/>
    </xf>
    <xf numFmtId="44" fontId="32" fillId="15" borderId="1" xfId="1" applyFont="1" applyFill="1" applyBorder="1" applyAlignment="1">
      <alignment horizontal="center" vertical="center"/>
    </xf>
    <xf numFmtId="44" fontId="32" fillId="15" borderId="1" xfId="0" applyNumberFormat="1" applyFont="1" applyFill="1" applyBorder="1" applyAlignment="1">
      <alignment horizontal="right" vertical="center"/>
    </xf>
    <xf numFmtId="44" fontId="32" fillId="14" borderId="1" xfId="0" applyNumberFormat="1" applyFont="1" applyFill="1" applyBorder="1" applyAlignment="1">
      <alignment horizontal="center" vertical="center"/>
    </xf>
    <xf numFmtId="44" fontId="32" fillId="14" borderId="1" xfId="0" applyNumberFormat="1" applyFont="1" applyFill="1" applyBorder="1" applyAlignment="1">
      <alignment horizontal="right" vertical="center"/>
    </xf>
    <xf numFmtId="0" fontId="0" fillId="0" borderId="45" xfId="0" applyBorder="1"/>
    <xf numFmtId="0" fontId="0" fillId="0" borderId="46" xfId="0" applyBorder="1"/>
    <xf numFmtId="0" fontId="58" fillId="0" borderId="44" xfId="0" applyFont="1" applyBorder="1"/>
    <xf numFmtId="44" fontId="58" fillId="0" borderId="47" xfId="1" applyFont="1" applyBorder="1"/>
    <xf numFmtId="0" fontId="59" fillId="12" borderId="25" xfId="0" applyFont="1" applyFill="1" applyBorder="1" applyAlignment="1">
      <alignment horizontal="left" vertical="center" wrapText="1"/>
    </xf>
    <xf numFmtId="0" fontId="59" fillId="12" borderId="25" xfId="0" applyFont="1" applyFill="1" applyBorder="1" applyAlignment="1">
      <alignment horizontal="center" vertical="center" wrapText="1"/>
    </xf>
    <xf numFmtId="0" fontId="59" fillId="12" borderId="0" xfId="0" applyFont="1" applyFill="1" applyBorder="1" applyAlignment="1">
      <alignment horizontal="center" vertical="center" wrapText="1"/>
    </xf>
    <xf numFmtId="0" fontId="59" fillId="12" borderId="0" xfId="0" applyFont="1" applyFill="1" applyAlignment="1">
      <alignment horizontal="center" vertical="center" wrapText="1"/>
    </xf>
    <xf numFmtId="0" fontId="0" fillId="0" borderId="0" xfId="0" applyAlignment="1">
      <alignment horizontal="left" wrapText="1"/>
    </xf>
    <xf numFmtId="44" fontId="7" fillId="4" borderId="0" xfId="0" applyNumberFormat="1" applyFont="1" applyFill="1" applyBorder="1" applyAlignment="1">
      <alignment horizontal="center" vertical="center" wrapText="1"/>
    </xf>
    <xf numFmtId="44" fontId="7" fillId="4" borderId="0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left" wrapText="1"/>
    </xf>
    <xf numFmtId="44" fontId="28" fillId="4" borderId="4" xfId="0" applyNumberFormat="1" applyFont="1" applyFill="1" applyBorder="1" applyAlignment="1">
      <alignment horizontal="center" vertical="center" wrapText="1"/>
    </xf>
    <xf numFmtId="44" fontId="28" fillId="4" borderId="4" xfId="0" applyNumberFormat="1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left" wrapText="1"/>
    </xf>
    <xf numFmtId="44" fontId="43" fillId="4" borderId="0" xfId="0" applyNumberFormat="1" applyFont="1" applyFill="1" applyBorder="1" applyAlignment="1">
      <alignment horizontal="left" vertical="center"/>
    </xf>
    <xf numFmtId="44" fontId="29" fillId="3" borderId="9" xfId="0" applyNumberFormat="1" applyFont="1" applyFill="1" applyBorder="1" applyAlignment="1">
      <alignment horizontal="left" vertical="center"/>
    </xf>
    <xf numFmtId="0" fontId="8" fillId="5" borderId="0" xfId="0" applyFont="1" applyFill="1" applyAlignment="1">
      <alignment horizontal="center" vertical="center" wrapText="1"/>
    </xf>
    <xf numFmtId="0" fontId="36" fillId="9" borderId="1" xfId="0" applyFont="1" applyFill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/>
    </xf>
    <xf numFmtId="0" fontId="36" fillId="10" borderId="2" xfId="0" applyFont="1" applyFill="1" applyBorder="1" applyAlignment="1">
      <alignment horizontal="center" vertical="center"/>
    </xf>
    <xf numFmtId="0" fontId="36" fillId="10" borderId="12" xfId="0" applyFont="1" applyFill="1" applyBorder="1" applyAlignment="1">
      <alignment horizontal="center" vertical="center"/>
    </xf>
    <xf numFmtId="0" fontId="36" fillId="10" borderId="13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55" fillId="0" borderId="0" xfId="0" applyFont="1" applyAlignment="1">
      <alignment horizontal="center" vertical="center" wrapText="1"/>
    </xf>
    <xf numFmtId="0" fontId="36" fillId="10" borderId="14" xfId="0" applyFont="1" applyFill="1" applyBorder="1" applyAlignment="1">
      <alignment horizontal="center" vertical="center"/>
    </xf>
    <xf numFmtId="0" fontId="36" fillId="10" borderId="15" xfId="0" applyFont="1" applyFill="1" applyBorder="1" applyAlignment="1">
      <alignment horizontal="center" vertical="center"/>
    </xf>
    <xf numFmtId="0" fontId="36" fillId="10" borderId="16" xfId="0" applyFont="1" applyFill="1" applyBorder="1" applyAlignment="1">
      <alignment horizontal="center" vertical="center"/>
    </xf>
    <xf numFmtId="0" fontId="36" fillId="10" borderId="17" xfId="0" applyFont="1" applyFill="1" applyBorder="1" applyAlignment="1">
      <alignment horizontal="center"/>
    </xf>
    <xf numFmtId="0" fontId="36" fillId="10" borderId="18" xfId="0" applyFont="1" applyFill="1" applyBorder="1" applyAlignment="1">
      <alignment horizontal="center"/>
    </xf>
    <xf numFmtId="0" fontId="36" fillId="10" borderId="19" xfId="0" applyFont="1" applyFill="1" applyBorder="1" applyAlignment="1">
      <alignment horizontal="center"/>
    </xf>
    <xf numFmtId="0" fontId="46" fillId="9" borderId="17" xfId="0" applyFont="1" applyFill="1" applyBorder="1" applyAlignment="1">
      <alignment horizontal="center" vertical="center"/>
    </xf>
    <xf numFmtId="0" fontId="46" fillId="9" borderId="18" xfId="0" applyFont="1" applyFill="1" applyBorder="1" applyAlignment="1">
      <alignment horizontal="center" vertical="center"/>
    </xf>
    <xf numFmtId="0" fontId="46" fillId="9" borderId="20" xfId="0" applyFont="1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43" xfId="0" applyBorder="1" applyAlignment="1">
      <alignment horizontal="center"/>
    </xf>
  </cellXfs>
  <cellStyles count="3">
    <cellStyle name="Monétaire" xfId="1" builtinId="4"/>
    <cellStyle name="Normal" xfId="0" builtinId="0"/>
    <cellStyle name="Währung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19</xdr:row>
      <xdr:rowOff>0</xdr:rowOff>
    </xdr:from>
    <xdr:to>
      <xdr:col>4</xdr:col>
      <xdr:colOff>285750</xdr:colOff>
      <xdr:row>22</xdr:row>
      <xdr:rowOff>66675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371850" y="2895600"/>
          <a:ext cx="9525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561975</xdr:colOff>
      <xdr:row>19</xdr:row>
      <xdr:rowOff>0</xdr:rowOff>
    </xdr:from>
    <xdr:to>
      <xdr:col>7</xdr:col>
      <xdr:colOff>209550</xdr:colOff>
      <xdr:row>22</xdr:row>
      <xdr:rowOff>19050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657600" y="28956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vis%20eap%20dechargement/pret%2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bleau%20ammortissement%20pret%20credit%20materiel%20avant%20201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t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t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BRIC~1/AppData/Local/Temp/Rar$DI00.332/calculbull-0708ter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hiffragedeviseap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'amortissement"/>
    </sheetNames>
    <sheetDataSet>
      <sheetData sheetId="0">
        <row r="5">
          <cell r="D5">
            <v>750000</v>
          </cell>
        </row>
        <row r="6">
          <cell r="D6">
            <v>0.04</v>
          </cell>
        </row>
        <row r="7">
          <cell r="D7">
            <v>6</v>
          </cell>
        </row>
        <row r="9">
          <cell r="D9">
            <v>41002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I19">
            <v>740766.11269559339</v>
          </cell>
        </row>
        <row r="20">
          <cell r="I20">
            <v>731501.44576683873</v>
          </cell>
        </row>
        <row r="21">
          <cell r="I21">
            <v>722205.89661498822</v>
          </cell>
        </row>
        <row r="22">
          <cell r="I22">
            <v>712879.36229929829</v>
          </cell>
        </row>
        <row r="23">
          <cell r="I23">
            <v>703521.73953588936</v>
          </cell>
        </row>
        <row r="24">
          <cell r="I24">
            <v>694132.92469660239</v>
          </cell>
        </row>
        <row r="25">
          <cell r="I25">
            <v>684712.81380785117</v>
          </cell>
        </row>
        <row r="26">
          <cell r="I26">
            <v>675261.30254947068</v>
          </cell>
        </row>
        <row r="27">
          <cell r="I27">
            <v>665778.28625356231</v>
          </cell>
        </row>
        <row r="28">
          <cell r="I28">
            <v>656263.65990333422</v>
          </cell>
        </row>
        <row r="29">
          <cell r="I29">
            <v>646717.31813193869</v>
          </cell>
        </row>
        <row r="30">
          <cell r="I30">
            <v>637139.15522130521</v>
          </cell>
        </row>
        <row r="31">
          <cell r="I31">
            <v>627529.06510096963</v>
          </cell>
        </row>
        <row r="32">
          <cell r="I32">
            <v>617886.94134689961</v>
          </cell>
        </row>
        <row r="33">
          <cell r="I33">
            <v>608212.67718031595</v>
          </cell>
        </row>
        <row r="34">
          <cell r="I34">
            <v>598506.16546651046</v>
          </cell>
        </row>
        <row r="35">
          <cell r="I35">
            <v>588767.29871365894</v>
          </cell>
        </row>
        <row r="36">
          <cell r="I36">
            <v>578995.9690716312</v>
          </cell>
        </row>
        <row r="37">
          <cell r="I37">
            <v>569192.06833079667</v>
          </cell>
        </row>
        <row r="38">
          <cell r="I38">
            <v>559355.48792082607</v>
          </cell>
        </row>
        <row r="39">
          <cell r="I39">
            <v>549486.1189094889</v>
          </cell>
        </row>
        <row r="40">
          <cell r="I40">
            <v>539583.85200144723</v>
          </cell>
        </row>
        <row r="41">
          <cell r="I41">
            <v>529648.57753704546</v>
          </cell>
        </row>
        <row r="42">
          <cell r="I42">
            <v>519680.1854910957</v>
          </cell>
        </row>
        <row r="43">
          <cell r="I43">
            <v>509678.56547165941</v>
          </cell>
        </row>
        <row r="44">
          <cell r="I44">
            <v>499643.606718825</v>
          </cell>
        </row>
        <row r="45">
          <cell r="I45">
            <v>489575.19810348115</v>
          </cell>
        </row>
        <row r="46">
          <cell r="I46">
            <v>479473.22812608618</v>
          </cell>
        </row>
        <row r="47">
          <cell r="I47">
            <v>469337.5849154332</v>
          </cell>
        </row>
        <row r="48">
          <cell r="I48">
            <v>459168.15622741135</v>
          </cell>
        </row>
        <row r="49">
          <cell r="I49">
            <v>448964.82944376278</v>
          </cell>
        </row>
        <row r="50">
          <cell r="I50">
            <v>438727.49157083541</v>
          </cell>
        </row>
        <row r="51">
          <cell r="I51">
            <v>428456.0292383316</v>
          </cell>
        </row>
        <row r="52">
          <cell r="I52">
            <v>418150.32869805279</v>
          </cell>
        </row>
        <row r="53">
          <cell r="I53">
            <v>407810.2758226397</v>
          </cell>
        </row>
        <row r="54">
          <cell r="I54">
            <v>397435.75610430859</v>
          </cell>
        </row>
        <row r="55">
          <cell r="I55">
            <v>387026.65465358301</v>
          </cell>
        </row>
        <row r="56">
          <cell r="I56">
            <v>376582.85619802168</v>
          </cell>
        </row>
        <row r="57">
          <cell r="I57">
            <v>366104.24508094182</v>
          </cell>
        </row>
        <row r="58">
          <cell r="I58">
            <v>355590.70526013838</v>
          </cell>
        </row>
        <row r="59">
          <cell r="I59">
            <v>345042.1203065989</v>
          </cell>
        </row>
        <row r="60">
          <cell r="I60">
            <v>334458.37340321427</v>
          </cell>
        </row>
        <row r="61">
          <cell r="I61">
            <v>323839.34734348505</v>
          </cell>
        </row>
        <row r="62">
          <cell r="I62">
            <v>313184.92453022342</v>
          </cell>
        </row>
        <row r="63">
          <cell r="I63">
            <v>302494.98697425087</v>
          </cell>
        </row>
        <row r="64">
          <cell r="I64">
            <v>291769.41629309178</v>
          </cell>
        </row>
        <row r="65">
          <cell r="I65">
            <v>281008.09370966215</v>
          </cell>
        </row>
        <row r="66">
          <cell r="I66">
            <v>270210.90005095443</v>
          </cell>
        </row>
        <row r="67">
          <cell r="I67">
            <v>259377.71574671767</v>
          </cell>
        </row>
        <row r="68">
          <cell r="I68">
            <v>248508.42082813347</v>
          </cell>
        </row>
        <row r="69">
          <cell r="I69">
            <v>237602.89492648732</v>
          </cell>
        </row>
        <row r="70">
          <cell r="I70">
            <v>226661.01727183568</v>
          </cell>
        </row>
        <row r="71">
          <cell r="I71">
            <v>215682.66669166854</v>
          </cell>
        </row>
        <row r="72">
          <cell r="I72">
            <v>204667.7216095675</v>
          </cell>
        </row>
        <row r="73">
          <cell r="I73">
            <v>193616.06004385944</v>
          </cell>
        </row>
        <row r="74">
          <cell r="I74">
            <v>182527.55960626571</v>
          </cell>
        </row>
        <row r="75">
          <cell r="I75">
            <v>171402.09750054666</v>
          </cell>
        </row>
        <row r="76">
          <cell r="I76">
            <v>160239.55052114188</v>
          </cell>
        </row>
        <row r="77">
          <cell r="I77">
            <v>149039.79505180576</v>
          </cell>
        </row>
        <row r="78">
          <cell r="I78">
            <v>137802.70706423852</v>
          </cell>
        </row>
        <row r="79">
          <cell r="I79">
            <v>126528.16211671272</v>
          </cell>
        </row>
        <row r="80">
          <cell r="I80">
            <v>115216.03535269515</v>
          </cell>
        </row>
        <row r="81">
          <cell r="I81">
            <v>103866.20149946419</v>
          </cell>
        </row>
        <row r="82">
          <cell r="I82">
            <v>92478.534866722475</v>
          </cell>
        </row>
        <row r="83">
          <cell r="I83">
            <v>81052.909345204942</v>
          </cell>
        </row>
        <row r="84">
          <cell r="I84">
            <v>69589.198405282354</v>
          </cell>
        </row>
        <row r="85">
          <cell r="I85">
            <v>58087.275095560028</v>
          </cell>
        </row>
        <row r="86">
          <cell r="I86">
            <v>46547.012041471957</v>
          </cell>
        </row>
        <row r="87">
          <cell r="I87">
            <v>34968.281443870263</v>
          </cell>
        </row>
        <row r="88">
          <cell r="I88">
            <v>23350.955077609899</v>
          </cell>
        </row>
        <row r="89">
          <cell r="I89">
            <v>11694.904290128665</v>
          </cell>
        </row>
        <row r="90">
          <cell r="I90">
            <v>0</v>
          </cell>
        </row>
        <row r="91">
          <cell r="I91">
            <v>0</v>
          </cell>
        </row>
        <row r="92">
          <cell r="I92">
            <v>0</v>
          </cell>
        </row>
        <row r="93">
          <cell r="I93">
            <v>0</v>
          </cell>
        </row>
        <row r="94">
          <cell r="I94">
            <v>0</v>
          </cell>
        </row>
        <row r="95">
          <cell r="I95">
            <v>0</v>
          </cell>
        </row>
        <row r="96">
          <cell r="I96">
            <v>0</v>
          </cell>
        </row>
        <row r="97">
          <cell r="I97">
            <v>0</v>
          </cell>
        </row>
        <row r="98">
          <cell r="I98">
            <v>0</v>
          </cell>
        </row>
        <row r="99">
          <cell r="I99">
            <v>0</v>
          </cell>
        </row>
        <row r="100">
          <cell r="I100">
            <v>0</v>
          </cell>
        </row>
        <row r="101">
          <cell r="I101">
            <v>0</v>
          </cell>
        </row>
        <row r="102">
          <cell r="I102">
            <v>0</v>
          </cell>
        </row>
        <row r="103">
          <cell r="I103">
            <v>0</v>
          </cell>
        </row>
        <row r="104">
          <cell r="I104">
            <v>0</v>
          </cell>
        </row>
        <row r="105">
          <cell r="I105">
            <v>0</v>
          </cell>
        </row>
        <row r="106">
          <cell r="I106">
            <v>0</v>
          </cell>
        </row>
        <row r="107">
          <cell r="I107">
            <v>0</v>
          </cell>
        </row>
        <row r="108">
          <cell r="I108">
            <v>0</v>
          </cell>
        </row>
        <row r="109">
          <cell r="I109">
            <v>0</v>
          </cell>
        </row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136">
          <cell r="I136">
            <v>0</v>
          </cell>
        </row>
        <row r="137">
          <cell r="I137">
            <v>0</v>
          </cell>
        </row>
        <row r="138">
          <cell r="I138">
            <v>0</v>
          </cell>
        </row>
        <row r="139">
          <cell r="I139">
            <v>0</v>
          </cell>
        </row>
        <row r="140">
          <cell r="I140">
            <v>0</v>
          </cell>
        </row>
        <row r="141">
          <cell r="I141">
            <v>0</v>
          </cell>
        </row>
        <row r="142">
          <cell r="I142">
            <v>0</v>
          </cell>
        </row>
        <row r="143">
          <cell r="I143">
            <v>0</v>
          </cell>
        </row>
        <row r="144">
          <cell r="I144">
            <v>0</v>
          </cell>
        </row>
        <row r="145">
          <cell r="I145">
            <v>0</v>
          </cell>
        </row>
        <row r="146">
          <cell r="I146">
            <v>0</v>
          </cell>
        </row>
        <row r="147">
          <cell r="I147">
            <v>0</v>
          </cell>
        </row>
        <row r="148">
          <cell r="I148">
            <v>0</v>
          </cell>
        </row>
        <row r="149">
          <cell r="I149">
            <v>0</v>
          </cell>
        </row>
        <row r="150">
          <cell r="I150">
            <v>0</v>
          </cell>
        </row>
        <row r="151">
          <cell r="I151">
            <v>0</v>
          </cell>
        </row>
        <row r="152">
          <cell r="I152">
            <v>0</v>
          </cell>
        </row>
        <row r="153">
          <cell r="I153">
            <v>0</v>
          </cell>
        </row>
        <row r="154">
          <cell r="I154">
            <v>0</v>
          </cell>
        </row>
        <row r="155">
          <cell r="I155">
            <v>0</v>
          </cell>
        </row>
        <row r="156">
          <cell r="I156">
            <v>0</v>
          </cell>
        </row>
        <row r="157">
          <cell r="I157">
            <v>0</v>
          </cell>
        </row>
        <row r="158">
          <cell r="I158">
            <v>0</v>
          </cell>
        </row>
        <row r="159">
          <cell r="I159">
            <v>0</v>
          </cell>
        </row>
        <row r="160">
          <cell r="I160">
            <v>0</v>
          </cell>
        </row>
        <row r="161">
          <cell r="I161">
            <v>0</v>
          </cell>
        </row>
        <row r="162">
          <cell r="I162">
            <v>0</v>
          </cell>
        </row>
        <row r="163">
          <cell r="I163">
            <v>0</v>
          </cell>
        </row>
        <row r="164">
          <cell r="I164">
            <v>0</v>
          </cell>
        </row>
        <row r="165">
          <cell r="I165">
            <v>0</v>
          </cell>
        </row>
        <row r="166">
          <cell r="I166">
            <v>0</v>
          </cell>
        </row>
        <row r="167">
          <cell r="I167">
            <v>0</v>
          </cell>
        </row>
        <row r="168">
          <cell r="I168">
            <v>0</v>
          </cell>
        </row>
        <row r="169">
          <cell r="I169">
            <v>0</v>
          </cell>
        </row>
        <row r="170">
          <cell r="I170">
            <v>0</v>
          </cell>
        </row>
        <row r="171">
          <cell r="I171">
            <v>0</v>
          </cell>
        </row>
        <row r="172">
          <cell r="I172">
            <v>0</v>
          </cell>
        </row>
        <row r="173">
          <cell r="I173">
            <v>0</v>
          </cell>
        </row>
        <row r="174">
          <cell r="I174">
            <v>0</v>
          </cell>
        </row>
        <row r="175">
          <cell r="I175">
            <v>0</v>
          </cell>
        </row>
        <row r="176">
          <cell r="I176">
            <v>0</v>
          </cell>
        </row>
        <row r="177">
          <cell r="I177">
            <v>0</v>
          </cell>
        </row>
        <row r="178">
          <cell r="I178">
            <v>0</v>
          </cell>
        </row>
        <row r="179">
          <cell r="I179">
            <v>0</v>
          </cell>
        </row>
        <row r="180">
          <cell r="I180">
            <v>0</v>
          </cell>
        </row>
        <row r="181">
          <cell r="I181">
            <v>0</v>
          </cell>
        </row>
        <row r="182">
          <cell r="I182">
            <v>0</v>
          </cell>
        </row>
        <row r="183">
          <cell r="I183">
            <v>0</v>
          </cell>
        </row>
        <row r="184">
          <cell r="I184">
            <v>0</v>
          </cell>
        </row>
        <row r="185">
          <cell r="I185">
            <v>0</v>
          </cell>
        </row>
        <row r="186">
          <cell r="I186">
            <v>0</v>
          </cell>
        </row>
        <row r="187">
          <cell r="I187">
            <v>0</v>
          </cell>
        </row>
        <row r="188">
          <cell r="I188">
            <v>0</v>
          </cell>
        </row>
        <row r="189">
          <cell r="I189">
            <v>0</v>
          </cell>
        </row>
        <row r="190">
          <cell r="I190">
            <v>0</v>
          </cell>
        </row>
        <row r="191">
          <cell r="I191">
            <v>0</v>
          </cell>
        </row>
        <row r="192">
          <cell r="I192">
            <v>0</v>
          </cell>
        </row>
        <row r="193">
          <cell r="I193">
            <v>0</v>
          </cell>
        </row>
        <row r="194">
          <cell r="I194">
            <v>0</v>
          </cell>
        </row>
        <row r="195">
          <cell r="I195">
            <v>0</v>
          </cell>
        </row>
        <row r="196">
          <cell r="I196">
            <v>0</v>
          </cell>
        </row>
        <row r="197">
          <cell r="I197">
            <v>0</v>
          </cell>
        </row>
        <row r="198">
          <cell r="I198">
            <v>0</v>
          </cell>
        </row>
        <row r="199">
          <cell r="I199">
            <v>0</v>
          </cell>
        </row>
        <row r="200">
          <cell r="I200">
            <v>0</v>
          </cell>
        </row>
        <row r="201">
          <cell r="I201">
            <v>0</v>
          </cell>
        </row>
        <row r="202">
          <cell r="I202">
            <v>0</v>
          </cell>
        </row>
        <row r="203">
          <cell r="I203">
            <v>0</v>
          </cell>
        </row>
        <row r="204">
          <cell r="I204">
            <v>0</v>
          </cell>
        </row>
        <row r="205">
          <cell r="I205">
            <v>0</v>
          </cell>
        </row>
        <row r="206">
          <cell r="I206">
            <v>0</v>
          </cell>
        </row>
        <row r="207">
          <cell r="I207">
            <v>0</v>
          </cell>
        </row>
        <row r="208">
          <cell r="I208">
            <v>0</v>
          </cell>
        </row>
        <row r="209">
          <cell r="I209">
            <v>0</v>
          </cell>
        </row>
        <row r="210">
          <cell r="I210">
            <v>0</v>
          </cell>
        </row>
        <row r="211">
          <cell r="I211">
            <v>0</v>
          </cell>
        </row>
        <row r="212">
          <cell r="I212">
            <v>0</v>
          </cell>
        </row>
        <row r="213">
          <cell r="I213">
            <v>0</v>
          </cell>
        </row>
        <row r="214">
          <cell r="I214">
            <v>0</v>
          </cell>
        </row>
        <row r="215">
          <cell r="I215">
            <v>0</v>
          </cell>
        </row>
        <row r="216">
          <cell r="I216">
            <v>0</v>
          </cell>
        </row>
        <row r="217">
          <cell r="I217">
            <v>0</v>
          </cell>
        </row>
        <row r="218">
          <cell r="I218">
            <v>0</v>
          </cell>
        </row>
        <row r="219">
          <cell r="I219">
            <v>0</v>
          </cell>
        </row>
        <row r="220">
          <cell r="I220">
            <v>0</v>
          </cell>
        </row>
        <row r="221">
          <cell r="I221">
            <v>0</v>
          </cell>
        </row>
        <row r="222">
          <cell r="I222">
            <v>0</v>
          </cell>
        </row>
        <row r="223">
          <cell r="I223">
            <v>0</v>
          </cell>
        </row>
        <row r="224">
          <cell r="I224">
            <v>0</v>
          </cell>
        </row>
        <row r="225">
          <cell r="I225">
            <v>0</v>
          </cell>
        </row>
        <row r="226">
          <cell r="I226">
            <v>0</v>
          </cell>
        </row>
        <row r="227">
          <cell r="I227">
            <v>0</v>
          </cell>
        </row>
        <row r="228">
          <cell r="I228">
            <v>0</v>
          </cell>
        </row>
        <row r="229">
          <cell r="I229">
            <v>0</v>
          </cell>
        </row>
        <row r="230">
          <cell r="I230">
            <v>0</v>
          </cell>
        </row>
        <row r="231">
          <cell r="I231">
            <v>0</v>
          </cell>
        </row>
        <row r="232">
          <cell r="I232">
            <v>0</v>
          </cell>
        </row>
        <row r="233">
          <cell r="I233">
            <v>0</v>
          </cell>
        </row>
        <row r="234">
          <cell r="I234">
            <v>0</v>
          </cell>
        </row>
        <row r="235">
          <cell r="I235">
            <v>0</v>
          </cell>
        </row>
        <row r="236">
          <cell r="I236">
            <v>0</v>
          </cell>
        </row>
        <row r="237">
          <cell r="I237">
            <v>0</v>
          </cell>
        </row>
        <row r="238">
          <cell r="I238">
            <v>0</v>
          </cell>
        </row>
        <row r="239">
          <cell r="I239">
            <v>0</v>
          </cell>
        </row>
        <row r="240">
          <cell r="I240">
            <v>0</v>
          </cell>
        </row>
        <row r="241">
          <cell r="I241">
            <v>0</v>
          </cell>
        </row>
        <row r="242">
          <cell r="I242">
            <v>0</v>
          </cell>
        </row>
        <row r="243">
          <cell r="I243">
            <v>0</v>
          </cell>
        </row>
        <row r="244">
          <cell r="I244">
            <v>0</v>
          </cell>
        </row>
        <row r="245">
          <cell r="I245">
            <v>0</v>
          </cell>
        </row>
        <row r="246">
          <cell r="I246">
            <v>0</v>
          </cell>
        </row>
        <row r="247">
          <cell r="I247">
            <v>0</v>
          </cell>
        </row>
        <row r="248">
          <cell r="I248">
            <v>0</v>
          </cell>
        </row>
        <row r="249">
          <cell r="I249">
            <v>0</v>
          </cell>
        </row>
        <row r="250">
          <cell r="I250">
            <v>0</v>
          </cell>
        </row>
        <row r="251">
          <cell r="I251">
            <v>0</v>
          </cell>
        </row>
        <row r="252">
          <cell r="I252">
            <v>0</v>
          </cell>
        </row>
        <row r="253">
          <cell r="I253">
            <v>0</v>
          </cell>
        </row>
        <row r="254">
          <cell r="I254">
            <v>0</v>
          </cell>
        </row>
        <row r="255">
          <cell r="I255">
            <v>0</v>
          </cell>
        </row>
        <row r="256">
          <cell r="I256">
            <v>0</v>
          </cell>
        </row>
        <row r="257">
          <cell r="I257">
            <v>0</v>
          </cell>
        </row>
        <row r="258">
          <cell r="I258">
            <v>0</v>
          </cell>
        </row>
        <row r="259">
          <cell r="I259">
            <v>0</v>
          </cell>
        </row>
        <row r="260">
          <cell r="I260">
            <v>0</v>
          </cell>
        </row>
        <row r="261">
          <cell r="I261">
            <v>0</v>
          </cell>
        </row>
        <row r="262">
          <cell r="I262">
            <v>0</v>
          </cell>
        </row>
        <row r="263">
          <cell r="I263">
            <v>0</v>
          </cell>
        </row>
        <row r="264">
          <cell r="I264">
            <v>0</v>
          </cell>
        </row>
        <row r="265">
          <cell r="I265">
            <v>0</v>
          </cell>
        </row>
        <row r="266">
          <cell r="I266">
            <v>0</v>
          </cell>
        </row>
        <row r="267">
          <cell r="I267">
            <v>0</v>
          </cell>
        </row>
        <row r="268">
          <cell r="I268">
            <v>0</v>
          </cell>
        </row>
        <row r="269">
          <cell r="I269">
            <v>0</v>
          </cell>
        </row>
        <row r="270">
          <cell r="I270">
            <v>0</v>
          </cell>
        </row>
        <row r="271">
          <cell r="I271">
            <v>0</v>
          </cell>
        </row>
        <row r="272">
          <cell r="I272">
            <v>0</v>
          </cell>
        </row>
        <row r="273">
          <cell r="I273">
            <v>0</v>
          </cell>
        </row>
        <row r="274">
          <cell r="I274">
            <v>0</v>
          </cell>
        </row>
        <row r="275">
          <cell r="I275">
            <v>0</v>
          </cell>
        </row>
        <row r="276">
          <cell r="I276">
            <v>0</v>
          </cell>
        </row>
        <row r="277">
          <cell r="I277">
            <v>0</v>
          </cell>
        </row>
        <row r="278">
          <cell r="I278">
            <v>0</v>
          </cell>
        </row>
        <row r="279">
          <cell r="I279">
            <v>0</v>
          </cell>
        </row>
        <row r="280">
          <cell r="I280">
            <v>0</v>
          </cell>
        </row>
        <row r="281">
          <cell r="I281">
            <v>0</v>
          </cell>
        </row>
        <row r="282">
          <cell r="I282">
            <v>0</v>
          </cell>
        </row>
        <row r="283">
          <cell r="I283">
            <v>0</v>
          </cell>
        </row>
        <row r="284">
          <cell r="I284">
            <v>0</v>
          </cell>
        </row>
        <row r="285">
          <cell r="I285">
            <v>0</v>
          </cell>
        </row>
        <row r="286">
          <cell r="I286">
            <v>0</v>
          </cell>
        </row>
        <row r="287">
          <cell r="I287">
            <v>0</v>
          </cell>
        </row>
        <row r="288">
          <cell r="I288">
            <v>0</v>
          </cell>
        </row>
        <row r="289">
          <cell r="I289">
            <v>0</v>
          </cell>
        </row>
        <row r="290">
          <cell r="I290">
            <v>0</v>
          </cell>
        </row>
        <row r="291">
          <cell r="I291">
            <v>0</v>
          </cell>
        </row>
        <row r="292">
          <cell r="I292">
            <v>0</v>
          </cell>
        </row>
        <row r="293">
          <cell r="I293">
            <v>0</v>
          </cell>
        </row>
        <row r="294">
          <cell r="I294">
            <v>0</v>
          </cell>
        </row>
        <row r="295">
          <cell r="I295">
            <v>0</v>
          </cell>
        </row>
        <row r="296">
          <cell r="I296">
            <v>0</v>
          </cell>
        </row>
        <row r="297">
          <cell r="I297">
            <v>0</v>
          </cell>
        </row>
        <row r="298">
          <cell r="I298">
            <v>0</v>
          </cell>
        </row>
        <row r="299">
          <cell r="I299">
            <v>0</v>
          </cell>
        </row>
        <row r="300">
          <cell r="I300">
            <v>0</v>
          </cell>
        </row>
        <row r="301">
          <cell r="I301">
            <v>0</v>
          </cell>
        </row>
        <row r="302">
          <cell r="I302">
            <v>0</v>
          </cell>
        </row>
        <row r="303">
          <cell r="I303">
            <v>0</v>
          </cell>
        </row>
        <row r="304">
          <cell r="I304">
            <v>0</v>
          </cell>
        </row>
        <row r="305">
          <cell r="I305">
            <v>0</v>
          </cell>
        </row>
        <row r="306">
          <cell r="I306">
            <v>0</v>
          </cell>
        </row>
        <row r="307">
          <cell r="I307">
            <v>0</v>
          </cell>
        </row>
        <row r="308">
          <cell r="I308">
            <v>0</v>
          </cell>
        </row>
        <row r="309">
          <cell r="I309">
            <v>0</v>
          </cell>
        </row>
        <row r="310">
          <cell r="I310">
            <v>0</v>
          </cell>
        </row>
        <row r="311">
          <cell r="I311">
            <v>0</v>
          </cell>
        </row>
        <row r="312">
          <cell r="I312">
            <v>0</v>
          </cell>
        </row>
        <row r="313">
          <cell r="I313">
            <v>0</v>
          </cell>
        </row>
        <row r="314">
          <cell r="I314">
            <v>0</v>
          </cell>
        </row>
        <row r="315">
          <cell r="I315">
            <v>0</v>
          </cell>
        </row>
        <row r="316">
          <cell r="I316">
            <v>0</v>
          </cell>
        </row>
        <row r="317">
          <cell r="I317">
            <v>0</v>
          </cell>
        </row>
        <row r="318">
          <cell r="I318">
            <v>0</v>
          </cell>
        </row>
        <row r="319">
          <cell r="I319">
            <v>0</v>
          </cell>
        </row>
        <row r="320">
          <cell r="I320">
            <v>0</v>
          </cell>
        </row>
        <row r="321">
          <cell r="I321">
            <v>0</v>
          </cell>
        </row>
        <row r="322">
          <cell r="I322">
            <v>0</v>
          </cell>
        </row>
        <row r="323">
          <cell r="I323">
            <v>0</v>
          </cell>
        </row>
        <row r="324">
          <cell r="I324">
            <v>0</v>
          </cell>
        </row>
        <row r="325">
          <cell r="I325">
            <v>0</v>
          </cell>
        </row>
        <row r="326">
          <cell r="I326">
            <v>0</v>
          </cell>
        </row>
        <row r="327">
          <cell r="I327">
            <v>0</v>
          </cell>
        </row>
        <row r="328">
          <cell r="I328">
            <v>0</v>
          </cell>
        </row>
        <row r="329">
          <cell r="I329">
            <v>0</v>
          </cell>
        </row>
        <row r="330">
          <cell r="I330">
            <v>0</v>
          </cell>
        </row>
        <row r="331">
          <cell r="I331">
            <v>0</v>
          </cell>
        </row>
        <row r="332">
          <cell r="I332">
            <v>0</v>
          </cell>
        </row>
        <row r="333">
          <cell r="I333">
            <v>0</v>
          </cell>
        </row>
        <row r="334">
          <cell r="I334">
            <v>0</v>
          </cell>
        </row>
        <row r="335">
          <cell r="I335">
            <v>0</v>
          </cell>
        </row>
        <row r="336">
          <cell r="I336">
            <v>0</v>
          </cell>
        </row>
        <row r="337">
          <cell r="I337">
            <v>0</v>
          </cell>
        </row>
        <row r="338">
          <cell r="I338">
            <v>0</v>
          </cell>
        </row>
        <row r="339">
          <cell r="I339">
            <v>0</v>
          </cell>
        </row>
        <row r="340">
          <cell r="I340">
            <v>0</v>
          </cell>
        </row>
        <row r="341">
          <cell r="I341">
            <v>0</v>
          </cell>
        </row>
        <row r="342">
          <cell r="I342">
            <v>0</v>
          </cell>
        </row>
        <row r="343">
          <cell r="I343">
            <v>0</v>
          </cell>
        </row>
        <row r="344">
          <cell r="I344">
            <v>0</v>
          </cell>
        </row>
        <row r="345">
          <cell r="I345">
            <v>0</v>
          </cell>
        </row>
        <row r="346">
          <cell r="I346">
            <v>0</v>
          </cell>
        </row>
        <row r="347">
          <cell r="I347">
            <v>0</v>
          </cell>
        </row>
        <row r="348">
          <cell r="I348">
            <v>0</v>
          </cell>
        </row>
        <row r="349">
          <cell r="I349">
            <v>0</v>
          </cell>
        </row>
        <row r="350">
          <cell r="I350">
            <v>0</v>
          </cell>
        </row>
        <row r="351">
          <cell r="I351">
            <v>0</v>
          </cell>
        </row>
        <row r="352">
          <cell r="I352">
            <v>0</v>
          </cell>
        </row>
        <row r="353">
          <cell r="I353">
            <v>0</v>
          </cell>
        </row>
        <row r="354">
          <cell r="I354">
            <v>0</v>
          </cell>
        </row>
        <row r="355">
          <cell r="I355">
            <v>0</v>
          </cell>
        </row>
        <row r="356">
          <cell r="I356">
            <v>0</v>
          </cell>
        </row>
        <row r="357">
          <cell r="I357">
            <v>0</v>
          </cell>
        </row>
        <row r="358">
          <cell r="I358">
            <v>0</v>
          </cell>
        </row>
        <row r="359">
          <cell r="I359">
            <v>0</v>
          </cell>
        </row>
        <row r="360">
          <cell r="I360">
            <v>0</v>
          </cell>
        </row>
        <row r="361">
          <cell r="I361">
            <v>0</v>
          </cell>
        </row>
        <row r="362">
          <cell r="I362">
            <v>0</v>
          </cell>
        </row>
        <row r="363">
          <cell r="I363">
            <v>0</v>
          </cell>
        </row>
        <row r="364">
          <cell r="I364">
            <v>0</v>
          </cell>
        </row>
        <row r="365">
          <cell r="I365">
            <v>0</v>
          </cell>
        </row>
        <row r="366">
          <cell r="I366">
            <v>0</v>
          </cell>
        </row>
        <row r="367">
          <cell r="I367">
            <v>0</v>
          </cell>
        </row>
        <row r="368">
          <cell r="I368">
            <v>0</v>
          </cell>
        </row>
        <row r="369">
          <cell r="I369">
            <v>0</v>
          </cell>
        </row>
        <row r="370">
          <cell r="I370">
            <v>0</v>
          </cell>
        </row>
        <row r="371">
          <cell r="I371">
            <v>0</v>
          </cell>
        </row>
        <row r="372">
          <cell r="I372">
            <v>0</v>
          </cell>
        </row>
        <row r="373">
          <cell r="I373">
            <v>0</v>
          </cell>
        </row>
        <row r="374">
          <cell r="I374">
            <v>0</v>
          </cell>
        </row>
        <row r="375">
          <cell r="I375">
            <v>0</v>
          </cell>
        </row>
        <row r="376">
          <cell r="I376">
            <v>0</v>
          </cell>
        </row>
        <row r="377">
          <cell r="I377">
            <v>0</v>
          </cell>
        </row>
        <row r="378">
          <cell r="I378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'amortissement"/>
    </sheetNames>
    <sheetDataSet>
      <sheetData sheetId="0" refreshError="1">
        <row r="9">
          <cell r="H9">
            <v>10843.360289877721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'amortissement"/>
    </sheetNames>
    <sheetDataSet>
      <sheetData sheetId="0">
        <row r="7">
          <cell r="D7">
            <v>6</v>
          </cell>
        </row>
        <row r="9">
          <cell r="H9">
            <v>84723.631419452708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'amortissement"/>
    </sheetNames>
    <sheetDataSet>
      <sheetData sheetId="0">
        <row r="7">
          <cell r="D7">
            <v>6</v>
          </cell>
        </row>
        <row r="9">
          <cell r="H9">
            <v>94839.885917297797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  <sheetName val="SansHS"/>
      <sheetName val="Feuil3"/>
    </sheetNames>
    <sheetDataSet>
      <sheetData sheetId="0"/>
      <sheetData sheetId="1">
        <row r="7">
          <cell r="B7">
            <v>0</v>
          </cell>
        </row>
        <row r="14">
          <cell r="B14">
            <v>0</v>
          </cell>
        </row>
        <row r="16">
          <cell r="B16">
            <v>0</v>
          </cell>
        </row>
        <row r="33">
          <cell r="D33">
            <v>52.963164000000006</v>
          </cell>
        </row>
        <row r="34">
          <cell r="D34">
            <v>11.033992500000002</v>
          </cell>
        </row>
        <row r="53">
          <cell r="C53">
            <v>1786.8242700000001</v>
          </cell>
        </row>
      </sheetData>
      <sheetData sheetId="2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maintenance"/>
      <sheetName val="pret"/>
      <sheetName val="Feuil5"/>
    </sheetNames>
    <sheetDataSet>
      <sheetData sheetId="0">
        <row r="16">
          <cell r="K16">
            <v>1940.9722222222224</v>
          </cell>
          <cell r="L16">
            <v>347.22222222222229</v>
          </cell>
        </row>
        <row r="29">
          <cell r="L29">
            <v>391.66666666666669</v>
          </cell>
        </row>
      </sheetData>
      <sheetData sheetId="1"/>
      <sheetData sheetId="2">
        <row r="15">
          <cell r="L15">
            <v>17175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80"/>
  <sheetViews>
    <sheetView tabSelected="1" zoomScale="115" zoomScaleNormal="115" workbookViewId="0">
      <selection activeCell="P3" sqref="P3"/>
    </sheetView>
  </sheetViews>
  <sheetFormatPr baseColWidth="10" defaultRowHeight="15"/>
  <cols>
    <col min="1" max="1" width="11.85546875" style="35" customWidth="1"/>
    <col min="2" max="12" width="10.42578125" customWidth="1"/>
    <col min="13" max="13" width="11.28515625" customWidth="1"/>
    <col min="14" max="14" width="11" customWidth="1"/>
    <col min="15" max="16" width="10.42578125" customWidth="1"/>
    <col min="17" max="17" width="9.7109375" customWidth="1"/>
    <col min="18" max="18" width="15.140625" customWidth="1"/>
    <col min="19" max="19" width="16.28515625" style="1" customWidth="1"/>
  </cols>
  <sheetData>
    <row r="1" spans="1:20" s="294" customFormat="1" ht="28.15" customHeight="1">
      <c r="A1" s="291"/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3"/>
      <c r="P1" s="293"/>
      <c r="Q1" s="293"/>
      <c r="R1" s="293"/>
      <c r="S1" s="293"/>
    </row>
    <row r="2" spans="1:20" s="45" customFormat="1" ht="48" customHeight="1">
      <c r="A2" s="75"/>
      <c r="B2" s="72">
        <v>1</v>
      </c>
      <c r="C2" s="255" t="s">
        <v>0</v>
      </c>
      <c r="D2" s="72">
        <v>2</v>
      </c>
      <c r="E2" s="72">
        <v>3</v>
      </c>
      <c r="F2" s="72">
        <v>4</v>
      </c>
      <c r="G2" s="72">
        <v>5</v>
      </c>
      <c r="H2" s="255" t="s">
        <v>141</v>
      </c>
      <c r="I2" s="258" t="s">
        <v>142</v>
      </c>
      <c r="J2" s="255" t="s">
        <v>145</v>
      </c>
      <c r="K2" s="73">
        <v>6</v>
      </c>
      <c r="L2" s="72">
        <v>7</v>
      </c>
      <c r="M2" s="72">
        <v>8</v>
      </c>
      <c r="N2" s="73">
        <v>9</v>
      </c>
      <c r="O2" s="76"/>
      <c r="P2" s="77"/>
      <c r="Q2" s="77"/>
      <c r="R2" s="6"/>
      <c r="S2" s="6"/>
    </row>
    <row r="3" spans="1:20" ht="21.75" customHeight="1">
      <c r="A3" s="78" t="s">
        <v>143</v>
      </c>
      <c r="B3" s="65">
        <v>5000</v>
      </c>
      <c r="C3" s="256">
        <v>0</v>
      </c>
      <c r="D3" s="65">
        <v>5500</v>
      </c>
      <c r="E3" s="66">
        <f>PRODUCT(E4,0.083333)</f>
        <v>7499.97</v>
      </c>
      <c r="F3" s="65">
        <v>6500</v>
      </c>
      <c r="G3" s="65">
        <v>3000</v>
      </c>
      <c r="H3" s="256">
        <v>0</v>
      </c>
      <c r="I3" s="259">
        <v>0</v>
      </c>
      <c r="J3" s="259">
        <v>0</v>
      </c>
      <c r="K3" s="66">
        <f>PRODUCT(K4,0.083333)</f>
        <v>8.3333000000000004E-2</v>
      </c>
      <c r="L3" s="66">
        <f>maint!L17</f>
        <v>17500</v>
      </c>
      <c r="M3" s="66">
        <f>chif!W34</f>
        <v>37840</v>
      </c>
      <c r="N3" s="148">
        <f>chif!X34</f>
        <v>11825</v>
      </c>
      <c r="O3" s="79"/>
      <c r="P3" s="80"/>
      <c r="Q3" s="80"/>
      <c r="R3" s="4"/>
      <c r="S3" s="5"/>
    </row>
    <row r="4" spans="1:20" ht="21.75" customHeight="1">
      <c r="A4" s="78" t="s">
        <v>144</v>
      </c>
      <c r="B4" s="67">
        <f>PRODUCT(B3,12)</f>
        <v>60000</v>
      </c>
      <c r="C4" s="257">
        <f>PRODUCT(C3,12)</f>
        <v>0</v>
      </c>
      <c r="D4" s="67">
        <f>PRODUCT(12,D3)</f>
        <v>66000</v>
      </c>
      <c r="E4" s="68">
        <v>90000</v>
      </c>
      <c r="F4" s="67">
        <f t="shared" ref="F4:N4" si="0">PRODUCT(12,F3)</f>
        <v>78000</v>
      </c>
      <c r="G4" s="67">
        <f t="shared" si="0"/>
        <v>36000</v>
      </c>
      <c r="H4" s="257">
        <f t="shared" si="0"/>
        <v>0</v>
      </c>
      <c r="I4" s="260">
        <f t="shared" si="0"/>
        <v>0</v>
      </c>
      <c r="J4" s="260">
        <f t="shared" si="0"/>
        <v>0</v>
      </c>
      <c r="K4" s="70">
        <v>1</v>
      </c>
      <c r="L4" s="69">
        <f t="shared" si="0"/>
        <v>210000</v>
      </c>
      <c r="M4" s="69">
        <f t="shared" si="0"/>
        <v>454080</v>
      </c>
      <c r="N4" s="69">
        <f t="shared" si="0"/>
        <v>141900</v>
      </c>
      <c r="O4" s="79"/>
      <c r="P4" s="80"/>
      <c r="Q4" s="80"/>
      <c r="R4" s="3"/>
      <c r="S4" s="5"/>
    </row>
    <row r="5" spans="1:20" ht="9.6" customHeight="1">
      <c r="A5" s="81"/>
      <c r="B5" s="82"/>
      <c r="C5" s="82"/>
      <c r="D5" s="82"/>
      <c r="E5" s="82"/>
      <c r="F5" s="82"/>
      <c r="G5" s="82"/>
      <c r="H5" s="82"/>
      <c r="I5" s="149"/>
      <c r="J5" s="83"/>
      <c r="K5" s="84"/>
      <c r="L5" s="84"/>
      <c r="M5" s="84"/>
      <c r="N5" s="84"/>
      <c r="O5" s="84"/>
      <c r="P5" s="82"/>
      <c r="Q5" s="82"/>
    </row>
    <row r="6" spans="1:20" s="7" customFormat="1" ht="70.900000000000006" customHeight="1">
      <c r="A6" s="85"/>
      <c r="B6" s="71" t="s">
        <v>321</v>
      </c>
      <c r="C6" s="71" t="s">
        <v>21</v>
      </c>
      <c r="D6" s="255"/>
      <c r="E6" s="71" t="s">
        <v>322</v>
      </c>
      <c r="F6" s="71" t="s">
        <v>4</v>
      </c>
      <c r="G6" s="71" t="s">
        <v>5</v>
      </c>
      <c r="H6" s="71" t="s">
        <v>200</v>
      </c>
      <c r="I6" s="71" t="s">
        <v>185</v>
      </c>
      <c r="J6" s="71" t="s">
        <v>189</v>
      </c>
      <c r="K6" s="71" t="s">
        <v>323</v>
      </c>
      <c r="L6" s="71" t="s">
        <v>1</v>
      </c>
      <c r="M6" s="282" t="s">
        <v>324</v>
      </c>
      <c r="N6" s="281" t="s">
        <v>325</v>
      </c>
      <c r="O6" s="71" t="s">
        <v>163</v>
      </c>
      <c r="P6" s="282" t="s">
        <v>326</v>
      </c>
      <c r="Q6" s="281" t="s">
        <v>327</v>
      </c>
      <c r="R6" s="56"/>
    </row>
    <row r="7" spans="1:20" ht="21" customHeight="1">
      <c r="A7" s="85" t="s">
        <v>203</v>
      </c>
      <c r="B7" s="61">
        <f>B8/12</f>
        <v>1190.9722222222222</v>
      </c>
      <c r="C7" s="61">
        <f>C8/12</f>
        <v>2357.5</v>
      </c>
      <c r="D7" s="261">
        <v>0</v>
      </c>
      <c r="E7" s="61">
        <f>E8/12</f>
        <v>150.60222624830166</v>
      </c>
      <c r="F7" s="61">
        <f>'details charges'!F12</f>
        <v>376.81438127090297</v>
      </c>
      <c r="G7" s="61">
        <f ca="1">salaires!R5*0.0123</f>
        <v>477.24</v>
      </c>
      <c r="H7" s="61">
        <f>H8/12</f>
        <v>750</v>
      </c>
      <c r="I7" s="61">
        <f>'details charges'!B21</f>
        <v>3796.666666666667</v>
      </c>
      <c r="J7" s="62">
        <f ca="1">chif!K16</f>
        <v>1940.9722222222224</v>
      </c>
      <c r="K7" s="61">
        <f>'details charges'!J14</f>
        <v>776.5</v>
      </c>
      <c r="L7" s="63">
        <f ca="1">salaires!R3</f>
        <v>54319.999999999993</v>
      </c>
      <c r="M7" s="283">
        <f ca="1">chif!N16</f>
        <v>9291.6666666666661</v>
      </c>
      <c r="N7" s="285">
        <f ca="1">(chif!N29)-M7</f>
        <v>1111.1111111111113</v>
      </c>
      <c r="O7" s="64">
        <f ca="1">chif!Q43</f>
        <v>3400.43072378741</v>
      </c>
      <c r="P7" s="284">
        <f>P8/12</f>
        <v>1176.7171030479542</v>
      </c>
      <c r="Q7" s="286">
        <f>Q8/12</f>
        <v>140.5035346922929</v>
      </c>
      <c r="R7" s="57"/>
      <c r="S7"/>
      <c r="T7" s="1"/>
    </row>
    <row r="8" spans="1:20" ht="21" customHeight="1">
      <c r="A8" s="85" t="s">
        <v>204</v>
      </c>
      <c r="B8" s="61">
        <f>'details charges'!M16</f>
        <v>14291.666666666666</v>
      </c>
      <c r="C8" s="61">
        <f>'details charges'!P16</f>
        <v>28290</v>
      </c>
      <c r="D8" s="262">
        <v>0</v>
      </c>
      <c r="E8" s="61">
        <f>'[2]Tableau d''amortissement'!H9/6</f>
        <v>1807.2267149796201</v>
      </c>
      <c r="F8" s="61">
        <f t="shared" ref="F8:K8" si="1">PRODUCT(12,F7)</f>
        <v>4521.7725752508359</v>
      </c>
      <c r="G8" s="61">
        <f t="shared" ca="1" si="1"/>
        <v>5726.88</v>
      </c>
      <c r="H8" s="61">
        <f>'details charges'!J25</f>
        <v>9000</v>
      </c>
      <c r="I8" s="61">
        <f>PRODUCT(12,I7)</f>
        <v>45560</v>
      </c>
      <c r="J8" s="61">
        <f t="shared" ca="1" si="1"/>
        <v>23291.666666666668</v>
      </c>
      <c r="K8" s="61">
        <f t="shared" si="1"/>
        <v>9318</v>
      </c>
      <c r="L8" s="61">
        <f t="shared" ref="L8:O8" ca="1" si="2">PRODUCT(12,L7)</f>
        <v>651839.99999999988</v>
      </c>
      <c r="M8" s="284">
        <f t="shared" ca="1" si="2"/>
        <v>111500</v>
      </c>
      <c r="N8" s="286">
        <f t="shared" ca="1" si="2"/>
        <v>13333.333333333336</v>
      </c>
      <c r="O8" s="61">
        <f t="shared" ca="1" si="2"/>
        <v>40805.168685448923</v>
      </c>
      <c r="P8" s="284">
        <f>'[3]Tableau d''amortissement'!H9/'[3]Tableau d''amortissement'!D7</f>
        <v>14120.605236575451</v>
      </c>
      <c r="Q8" s="286">
        <f>'[4]Tableau d''amortissement'!H9/'[4]Tableau d''amortissement'!D7-P8</f>
        <v>1686.0424163075149</v>
      </c>
      <c r="R8" s="58"/>
      <c r="S8"/>
      <c r="T8" s="1"/>
    </row>
    <row r="9" spans="1:20" s="59" customFormat="1" ht="3" customHeight="1">
      <c r="A9" s="86"/>
      <c r="B9" s="87"/>
      <c r="C9" s="87"/>
      <c r="D9" s="88"/>
      <c r="E9" s="88"/>
      <c r="F9" s="88"/>
      <c r="G9" s="88"/>
      <c r="H9" s="89"/>
      <c r="I9" s="89"/>
      <c r="J9" s="89"/>
      <c r="K9" s="89"/>
      <c r="L9" s="89"/>
      <c r="M9" s="89"/>
      <c r="N9" s="89"/>
      <c r="O9" s="84"/>
      <c r="P9" s="90"/>
      <c r="Q9" s="90"/>
      <c r="S9" s="60"/>
    </row>
    <row r="10" spans="1:20" ht="3" customHeight="1">
      <c r="A10" s="91"/>
      <c r="B10" s="92"/>
      <c r="C10" s="92"/>
      <c r="D10" s="93"/>
      <c r="E10" s="94"/>
      <c r="F10" s="95"/>
      <c r="G10" s="95"/>
      <c r="H10" s="300"/>
      <c r="I10" s="300"/>
      <c r="J10" s="96"/>
      <c r="K10" s="96"/>
      <c r="L10" s="97"/>
      <c r="M10" s="96"/>
      <c r="N10" s="96"/>
      <c r="O10" s="84"/>
      <c r="P10" s="82"/>
      <c r="Q10" s="82"/>
    </row>
    <row r="11" spans="1:20" ht="3" customHeight="1">
      <c r="A11" s="91"/>
      <c r="B11" s="92"/>
      <c r="C11" s="92"/>
      <c r="D11" s="93"/>
      <c r="E11" s="93"/>
      <c r="F11" s="95"/>
      <c r="G11" s="95"/>
      <c r="H11" s="301"/>
      <c r="I11" s="301"/>
      <c r="J11" s="96"/>
      <c r="K11" s="96"/>
      <c r="L11" s="82"/>
      <c r="M11" s="96"/>
      <c r="N11" s="96"/>
      <c r="O11" s="84"/>
      <c r="P11" s="82"/>
      <c r="Q11" s="82"/>
    </row>
    <row r="12" spans="1:20" ht="3" customHeight="1" thickBot="1">
      <c r="A12" s="91"/>
      <c r="B12" s="84"/>
      <c r="C12" s="84"/>
      <c r="D12" s="96"/>
      <c r="E12" s="265"/>
      <c r="F12" s="265"/>
      <c r="G12" s="265"/>
      <c r="H12" s="301"/>
      <c r="I12" s="301"/>
      <c r="J12" s="96"/>
      <c r="K12" s="96"/>
      <c r="L12" s="96"/>
      <c r="M12" s="96"/>
      <c r="N12" s="96"/>
      <c r="O12" s="82"/>
      <c r="P12" s="82"/>
      <c r="Q12" s="82"/>
    </row>
    <row r="13" spans="1:20" ht="16.5" customHeight="1" thickTop="1" thickBot="1">
      <c r="A13" s="98"/>
      <c r="B13" s="99" t="s">
        <v>146</v>
      </c>
      <c r="C13" s="99" t="s">
        <v>147</v>
      </c>
      <c r="D13" s="267"/>
      <c r="E13" s="268" t="s">
        <v>195</v>
      </c>
      <c r="F13" s="269">
        <f ca="1">(38120*0.15)+(B19-38120)*0.3333</f>
        <v>46636.66695766701</v>
      </c>
      <c r="G13" s="115"/>
      <c r="H13" s="100"/>
      <c r="I13" s="96"/>
      <c r="J13" s="96"/>
      <c r="K13" s="96"/>
      <c r="L13" s="96"/>
      <c r="M13" s="96"/>
      <c r="N13" s="96"/>
      <c r="O13" s="82"/>
      <c r="P13" s="82"/>
      <c r="Q13" s="82"/>
    </row>
    <row r="14" spans="1:20" s="2" customFormat="1" ht="22.15" customHeight="1" thickTop="1">
      <c r="A14" s="78" t="s">
        <v>150</v>
      </c>
      <c r="B14" s="50">
        <f>SUM(B3:N3)</f>
        <v>94665.053333000003</v>
      </c>
      <c r="C14" s="50">
        <f>B14*1.196</f>
        <v>113219.403786268</v>
      </c>
      <c r="D14" s="263"/>
      <c r="E14" s="115"/>
      <c r="F14" s="115"/>
      <c r="G14" s="115"/>
      <c r="H14" s="264"/>
      <c r="I14" s="101"/>
      <c r="J14" s="102"/>
      <c r="K14" s="102"/>
      <c r="L14" s="96"/>
      <c r="M14" s="300"/>
      <c r="N14" s="300"/>
      <c r="O14" s="103"/>
      <c r="P14" s="103"/>
      <c r="Q14" s="103"/>
    </row>
    <row r="15" spans="1:20" s="2" customFormat="1" ht="22.15" customHeight="1">
      <c r="A15" s="78" t="s">
        <v>148</v>
      </c>
      <c r="B15" s="50">
        <f>B14*12</f>
        <v>1135980.6399960001</v>
      </c>
      <c r="C15" s="50">
        <f t="shared" ref="C15:C17" si="3">B15*1.196</f>
        <v>1358632.8454352161</v>
      </c>
      <c r="D15" s="263"/>
      <c r="E15" s="115"/>
      <c r="F15" s="115"/>
      <c r="G15" s="120"/>
      <c r="H15" s="264"/>
      <c r="I15" s="101"/>
      <c r="J15" s="102"/>
      <c r="K15" s="102"/>
      <c r="L15" s="102"/>
      <c r="M15" s="104"/>
      <c r="N15" s="104"/>
      <c r="O15" s="103"/>
      <c r="P15" s="103"/>
      <c r="Q15" s="103"/>
    </row>
    <row r="16" spans="1:20" ht="22.15" customHeight="1" thickBot="1">
      <c r="A16" s="85" t="s">
        <v>149</v>
      </c>
      <c r="B16" s="51">
        <f ca="1">SUM(B7:Q7)</f>
        <v>81257.696857935749</v>
      </c>
      <c r="C16" s="51">
        <f t="shared" ca="1" si="3"/>
        <v>97184.205442091159</v>
      </c>
      <c r="D16" s="105"/>
      <c r="E16" s="266"/>
      <c r="F16" s="266"/>
      <c r="G16" s="266"/>
      <c r="H16" s="106"/>
      <c r="I16" s="107"/>
      <c r="J16" s="96"/>
      <c r="K16" s="254"/>
      <c r="L16" s="102"/>
      <c r="M16" s="301"/>
      <c r="N16" s="301"/>
      <c r="O16" s="82"/>
      <c r="P16" s="82"/>
      <c r="Q16" s="82"/>
    </row>
    <row r="17" spans="1:17" ht="22.15" customHeight="1" thickTop="1" thickBot="1">
      <c r="A17" s="85" t="s">
        <v>148</v>
      </c>
      <c r="B17" s="51">
        <f ca="1">B16*12</f>
        <v>975092.36229522899</v>
      </c>
      <c r="C17" s="51">
        <f t="shared" ca="1" si="3"/>
        <v>1166210.4653050939</v>
      </c>
      <c r="D17" s="105"/>
      <c r="E17" s="74" t="s">
        <v>196</v>
      </c>
      <c r="F17" s="304">
        <f ca="1">B19-F13</f>
        <v>114251.6107431041</v>
      </c>
      <c r="G17" s="304"/>
      <c r="H17" s="106"/>
      <c r="I17" s="107"/>
      <c r="J17" s="96"/>
      <c r="K17" s="108"/>
      <c r="L17" s="108"/>
      <c r="M17" s="109"/>
      <c r="N17" s="109"/>
      <c r="O17" s="82"/>
      <c r="P17" s="82"/>
      <c r="Q17" s="82"/>
    </row>
    <row r="18" spans="1:17" ht="22.15" customHeight="1" thickTop="1">
      <c r="A18" s="110" t="s">
        <v>151</v>
      </c>
      <c r="B18" s="52">
        <f ca="1">B14-B16</f>
        <v>13407.356475064254</v>
      </c>
      <c r="C18" s="53">
        <f ca="1">B18*1.196</f>
        <v>16035.198344176848</v>
      </c>
      <c r="D18" s="105"/>
      <c r="E18" s="111"/>
      <c r="F18" s="111"/>
      <c r="G18" s="111"/>
      <c r="H18" s="106"/>
      <c r="I18" s="107"/>
      <c r="J18" s="96"/>
      <c r="K18" s="108"/>
      <c r="L18" s="108"/>
      <c r="M18" s="301"/>
      <c r="N18" s="301"/>
      <c r="O18" s="82"/>
      <c r="P18" s="82"/>
      <c r="Q18" s="82"/>
    </row>
    <row r="19" spans="1:17" ht="22.15" customHeight="1">
      <c r="A19" s="110" t="s">
        <v>152</v>
      </c>
      <c r="B19" s="54">
        <f ca="1">B15-B17</f>
        <v>160888.27770077111</v>
      </c>
      <c r="C19" s="55">
        <f ca="1">B19*1.196</f>
        <v>192422.38013012224</v>
      </c>
      <c r="D19" s="112"/>
      <c r="E19" s="115"/>
      <c r="F19" s="115"/>
      <c r="G19" s="115"/>
      <c r="H19" s="123"/>
      <c r="I19" s="113"/>
      <c r="J19" s="96"/>
      <c r="K19" s="108"/>
      <c r="L19" s="108"/>
      <c r="M19" s="96"/>
      <c r="N19" s="96"/>
      <c r="O19" s="82"/>
      <c r="P19" s="82"/>
      <c r="Q19" s="82"/>
    </row>
    <row r="20" spans="1:17" ht="28.5" customHeight="1">
      <c r="A20" s="114"/>
      <c r="B20" s="115"/>
      <c r="C20" s="115"/>
      <c r="D20" s="119"/>
      <c r="E20" s="115"/>
      <c r="F20" s="115"/>
      <c r="G20" s="115"/>
      <c r="H20" s="124"/>
      <c r="I20" s="113"/>
      <c r="J20" s="96"/>
      <c r="K20" s="96"/>
      <c r="L20" s="108"/>
      <c r="M20" s="96"/>
      <c r="N20" s="96"/>
      <c r="O20" s="82"/>
      <c r="P20" s="82"/>
      <c r="Q20" s="82"/>
    </row>
    <row r="21" spans="1:17" ht="28.5" customHeight="1">
      <c r="A21" s="114"/>
      <c r="B21" s="115"/>
      <c r="C21" s="115"/>
      <c r="D21" s="115"/>
      <c r="E21" s="115"/>
      <c r="F21" s="115"/>
      <c r="G21" s="120"/>
      <c r="H21" s="115"/>
      <c r="I21" s="117"/>
      <c r="J21" s="96"/>
      <c r="K21" s="96"/>
      <c r="L21" s="96"/>
      <c r="M21" s="116"/>
      <c r="N21" s="116"/>
      <c r="O21" s="82"/>
      <c r="P21" s="82"/>
      <c r="Q21" s="82"/>
    </row>
    <row r="22" spans="1:17" ht="28.5" customHeight="1">
      <c r="A22" s="122"/>
      <c r="B22" s="303"/>
      <c r="C22" s="303"/>
      <c r="D22" s="121"/>
      <c r="E22" s="121"/>
      <c r="F22" s="121"/>
      <c r="G22" s="121"/>
      <c r="H22" s="121"/>
      <c r="I22" s="118"/>
      <c r="J22" s="96"/>
      <c r="K22" s="96"/>
      <c r="L22" s="116"/>
      <c r="M22" s="116"/>
      <c r="N22" s="116"/>
      <c r="O22" s="82"/>
      <c r="P22" s="82"/>
      <c r="Q22" s="82"/>
    </row>
    <row r="23" spans="1:17" ht="86.25" customHeight="1">
      <c r="A23" s="38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47"/>
    </row>
    <row r="24" spans="1:17" ht="34.5" customHeight="1">
      <c r="A24" s="40"/>
      <c r="B24" s="41"/>
      <c r="C24" s="41"/>
      <c r="D24" s="41"/>
      <c r="E24" s="41"/>
      <c r="F24" s="41"/>
      <c r="G24" s="41"/>
      <c r="H24" s="36"/>
      <c r="I24" s="36"/>
      <c r="J24" s="36"/>
      <c r="K24" s="36"/>
    </row>
    <row r="25" spans="1:17" ht="29.25" customHeight="1">
      <c r="A25" s="40"/>
      <c r="B25" s="41"/>
      <c r="C25" s="41"/>
      <c r="D25" s="41"/>
      <c r="E25" s="41"/>
      <c r="F25" s="41"/>
      <c r="G25" s="41"/>
      <c r="H25" s="36"/>
      <c r="I25" s="36"/>
      <c r="J25" s="36"/>
      <c r="K25" s="36"/>
    </row>
    <row r="26" spans="1:17" ht="29.25" customHeight="1">
      <c r="A26" s="40"/>
      <c r="B26" s="41"/>
      <c r="C26" s="41"/>
      <c r="D26" s="41"/>
      <c r="E26" s="41"/>
      <c r="F26" s="41"/>
      <c r="G26" s="41"/>
      <c r="H26" s="36"/>
      <c r="I26" s="36"/>
      <c r="J26" s="36"/>
      <c r="K26" s="36"/>
    </row>
    <row r="27" spans="1:17" ht="29.25" customHeight="1">
      <c r="A27" s="40"/>
      <c r="B27" s="41"/>
      <c r="C27" s="41"/>
      <c r="D27" s="41"/>
      <c r="E27" s="41"/>
      <c r="F27" s="41"/>
      <c r="G27" s="41"/>
      <c r="H27" s="36"/>
      <c r="I27" s="36"/>
      <c r="J27" s="36"/>
      <c r="K27" s="36"/>
    </row>
    <row r="28" spans="1:17" ht="29.25" customHeight="1">
      <c r="A28" s="42"/>
      <c r="B28" s="39"/>
      <c r="C28" s="39"/>
      <c r="D28" s="39"/>
      <c r="E28" s="39"/>
      <c r="F28" s="39"/>
      <c r="G28" s="39"/>
      <c r="H28" s="36"/>
      <c r="I28" s="36"/>
      <c r="J28" s="36"/>
      <c r="K28" s="36"/>
    </row>
    <row r="29" spans="1:17" ht="29.25" customHeight="1">
      <c r="A29" s="42"/>
      <c r="B29" s="39"/>
      <c r="C29" s="39"/>
      <c r="D29" s="39"/>
      <c r="E29" s="39"/>
      <c r="F29" s="39"/>
      <c r="G29" s="39"/>
      <c r="H29" s="36"/>
      <c r="I29" s="36"/>
      <c r="J29" s="36"/>
      <c r="K29" s="36"/>
    </row>
    <row r="30" spans="1:17" ht="29.25" customHeight="1">
      <c r="A30" s="42"/>
      <c r="B30" s="39"/>
      <c r="C30" s="39"/>
      <c r="D30" s="39"/>
      <c r="E30" s="39"/>
      <c r="F30" s="39"/>
      <c r="G30" s="39"/>
      <c r="H30" s="36"/>
      <c r="I30" s="36"/>
      <c r="J30" s="36"/>
      <c r="K30" s="36"/>
    </row>
    <row r="31" spans="1:17" ht="29.25" customHeight="1">
      <c r="A31" s="42"/>
      <c r="B31" s="39"/>
      <c r="C31" s="39"/>
      <c r="D31" s="39"/>
      <c r="E31" s="39"/>
      <c r="F31" s="39"/>
      <c r="G31" s="39"/>
      <c r="H31" s="36"/>
      <c r="I31" s="36"/>
      <c r="J31" s="36"/>
      <c r="K31" s="36"/>
    </row>
    <row r="32" spans="1:17" ht="29.25" customHeight="1">
      <c r="A32" s="42"/>
      <c r="B32" s="39"/>
      <c r="C32" s="39"/>
      <c r="D32" s="39"/>
      <c r="E32" s="39"/>
      <c r="F32" s="39"/>
      <c r="G32" s="39"/>
      <c r="H32" s="36"/>
      <c r="I32" s="36"/>
      <c r="J32" s="36"/>
      <c r="K32" s="36"/>
    </row>
    <row r="33" spans="1:11">
      <c r="A33" s="38"/>
      <c r="B33" s="36"/>
      <c r="C33" s="36"/>
      <c r="D33" s="36"/>
      <c r="E33" s="36"/>
      <c r="F33" s="36"/>
      <c r="G33" s="36"/>
      <c r="H33" s="36"/>
      <c r="I33" s="36"/>
      <c r="J33" s="36"/>
      <c r="K33" s="36"/>
    </row>
    <row r="34" spans="1:11">
      <c r="A34" s="38"/>
      <c r="B34" s="36"/>
      <c r="C34" s="36"/>
      <c r="D34" s="36"/>
      <c r="E34" s="36"/>
      <c r="F34" s="36"/>
      <c r="G34" s="36"/>
      <c r="H34" s="36"/>
      <c r="I34" s="36"/>
      <c r="J34" s="36"/>
      <c r="K34" s="36"/>
    </row>
    <row r="35" spans="1:11">
      <c r="A35" s="38"/>
      <c r="B35" s="36"/>
      <c r="C35" s="36"/>
      <c r="D35" s="36"/>
      <c r="E35" s="36"/>
      <c r="F35" s="36"/>
      <c r="G35" s="36"/>
      <c r="H35" s="36"/>
      <c r="I35" s="36"/>
      <c r="J35" s="36"/>
      <c r="K35" s="36"/>
    </row>
    <row r="36" spans="1:11" ht="18.75">
      <c r="A36" s="38"/>
      <c r="B36" s="36"/>
      <c r="C36" s="36"/>
      <c r="D36" s="302"/>
      <c r="E36" s="296"/>
      <c r="F36" s="296"/>
      <c r="G36" s="296"/>
      <c r="H36" s="36"/>
      <c r="I36" s="36"/>
      <c r="J36" s="36"/>
      <c r="K36" s="36"/>
    </row>
    <row r="37" spans="1:11" ht="18.75">
      <c r="A37" s="38"/>
      <c r="B37" s="36"/>
      <c r="C37" s="36"/>
      <c r="D37" s="302"/>
      <c r="E37" s="297"/>
      <c r="F37" s="297"/>
      <c r="G37" s="297"/>
      <c r="H37" s="36"/>
      <c r="I37" s="36"/>
      <c r="J37" s="36"/>
      <c r="K37" s="36"/>
    </row>
    <row r="38" spans="1:11" ht="18.75">
      <c r="A38" s="38"/>
      <c r="B38" s="36"/>
      <c r="C38" s="36"/>
      <c r="D38" s="43"/>
      <c r="E38" s="297"/>
      <c r="F38" s="297"/>
      <c r="G38" s="297"/>
      <c r="H38" s="36"/>
      <c r="I38" s="36"/>
      <c r="J38" s="36"/>
      <c r="K38" s="36"/>
    </row>
    <row r="39" spans="1:11">
      <c r="D39" s="295"/>
      <c r="E39" s="33"/>
      <c r="F39" s="33"/>
    </row>
    <row r="40" spans="1:11">
      <c r="D40" s="295"/>
      <c r="E40" s="33"/>
      <c r="F40" s="33"/>
    </row>
    <row r="41" spans="1:11">
      <c r="D41" s="298"/>
      <c r="E41" s="298"/>
      <c r="F41" s="298"/>
    </row>
    <row r="42" spans="1:11">
      <c r="D42" s="34"/>
      <c r="E42" s="33"/>
      <c r="F42" s="33"/>
    </row>
    <row r="43" spans="1:11">
      <c r="D43" s="298"/>
      <c r="E43" s="298"/>
      <c r="F43" s="298"/>
    </row>
    <row r="44" spans="1:11">
      <c r="D44" s="34"/>
      <c r="E44" s="33"/>
      <c r="F44" s="33"/>
    </row>
    <row r="45" spans="1:11">
      <c r="D45" s="298"/>
      <c r="E45" s="298"/>
      <c r="F45" s="298"/>
    </row>
    <row r="46" spans="1:11">
      <c r="D46" s="34"/>
      <c r="E46" s="33"/>
      <c r="F46" s="33"/>
    </row>
    <row r="47" spans="1:11">
      <c r="D47" s="298"/>
      <c r="E47" s="298"/>
      <c r="F47" s="298"/>
    </row>
    <row r="48" spans="1:11">
      <c r="D48" s="33"/>
      <c r="E48" s="33"/>
      <c r="F48" s="33"/>
    </row>
    <row r="49" spans="4:7">
      <c r="D49" s="298"/>
      <c r="E49" s="298"/>
      <c r="F49" s="298"/>
    </row>
    <row r="50" spans="4:7">
      <c r="D50" s="33"/>
      <c r="E50" s="33"/>
      <c r="F50" s="33"/>
    </row>
    <row r="51" spans="4:7">
      <c r="D51" s="298"/>
      <c r="E51" s="298"/>
      <c r="F51" s="298"/>
    </row>
    <row r="52" spans="4:7">
      <c r="D52" s="33"/>
      <c r="E52" s="33"/>
      <c r="F52" s="33"/>
    </row>
    <row r="53" spans="4:7">
      <c r="D53" s="298"/>
      <c r="E53" s="298"/>
      <c r="F53" s="298"/>
    </row>
    <row r="54" spans="4:7">
      <c r="D54" s="33"/>
      <c r="E54" s="33"/>
      <c r="F54" s="33"/>
    </row>
    <row r="55" spans="4:7">
      <c r="D55" s="298"/>
      <c r="E55" s="298"/>
      <c r="F55" s="298"/>
    </row>
    <row r="56" spans="4:7">
      <c r="D56" s="33"/>
      <c r="E56" s="33"/>
      <c r="F56" s="33"/>
    </row>
    <row r="57" spans="4:7">
      <c r="D57" s="298"/>
      <c r="E57" s="298"/>
      <c r="F57" s="298"/>
    </row>
    <row r="58" spans="4:7">
      <c r="D58" s="37"/>
      <c r="E58" s="33"/>
      <c r="F58" s="33"/>
    </row>
    <row r="59" spans="4:7">
      <c r="D59" s="295"/>
      <c r="E59" s="295"/>
      <c r="F59" s="33"/>
      <c r="G59" s="33"/>
    </row>
    <row r="60" spans="4:7">
      <c r="D60" s="295"/>
      <c r="E60" s="295"/>
      <c r="F60" s="33"/>
      <c r="G60" s="33"/>
    </row>
    <row r="61" spans="4:7">
      <c r="D61" s="298"/>
      <c r="E61" s="298"/>
      <c r="F61" s="298"/>
      <c r="G61" s="298"/>
    </row>
    <row r="62" spans="4:7" ht="15" customHeight="1">
      <c r="D62" s="299"/>
      <c r="E62" s="299"/>
      <c r="F62" s="295"/>
      <c r="G62" s="295"/>
    </row>
    <row r="63" spans="4:7">
      <c r="D63" s="298"/>
      <c r="E63" s="298"/>
      <c r="F63" s="295"/>
      <c r="G63" s="295"/>
    </row>
    <row r="64" spans="4:7">
      <c r="D64" s="295"/>
      <c r="E64" s="295"/>
      <c r="F64" s="295"/>
      <c r="G64" s="295"/>
    </row>
    <row r="65" spans="4:7">
      <c r="D65" s="298"/>
      <c r="E65" s="298"/>
      <c r="F65" s="298"/>
      <c r="G65" s="298"/>
    </row>
    <row r="66" spans="4:7" ht="15" customHeight="1">
      <c r="D66" s="295"/>
      <c r="E66" s="295"/>
      <c r="F66" s="33"/>
      <c r="G66" s="33"/>
    </row>
    <row r="67" spans="4:7">
      <c r="D67" s="298"/>
      <c r="E67" s="298"/>
      <c r="F67" s="298"/>
      <c r="G67" s="298"/>
    </row>
    <row r="68" spans="4:7" ht="15" customHeight="1">
      <c r="D68" s="299"/>
      <c r="E68" s="299"/>
      <c r="F68" s="33"/>
      <c r="G68" s="33"/>
    </row>
    <row r="69" spans="4:7">
      <c r="D69" s="298"/>
      <c r="E69" s="298"/>
      <c r="F69" s="298"/>
      <c r="G69" s="298"/>
    </row>
    <row r="70" spans="4:7" ht="15" customHeight="1">
      <c r="D70" s="295"/>
      <c r="E70" s="295"/>
      <c r="F70" s="33"/>
      <c r="G70" s="33"/>
    </row>
    <row r="71" spans="4:7">
      <c r="D71" s="298"/>
      <c r="E71" s="298"/>
      <c r="F71" s="298"/>
      <c r="G71" s="298"/>
    </row>
    <row r="72" spans="4:7" ht="15" customHeight="1">
      <c r="D72" s="295"/>
      <c r="E72" s="295"/>
      <c r="F72" s="33"/>
      <c r="G72" s="33"/>
    </row>
    <row r="73" spans="4:7">
      <c r="D73" s="298"/>
      <c r="E73" s="298"/>
      <c r="F73" s="298"/>
      <c r="G73" s="298"/>
    </row>
    <row r="74" spans="4:7" ht="15" customHeight="1">
      <c r="D74" s="295"/>
      <c r="E74" s="295"/>
      <c r="F74" s="33"/>
      <c r="G74" s="33"/>
    </row>
    <row r="75" spans="4:7">
      <c r="D75" s="298"/>
      <c r="E75" s="298"/>
      <c r="F75" s="298"/>
      <c r="G75" s="298"/>
    </row>
    <row r="76" spans="4:7" ht="15" customHeight="1">
      <c r="D76" s="295"/>
      <c r="E76" s="295"/>
      <c r="F76" s="33"/>
      <c r="G76" s="33"/>
    </row>
    <row r="77" spans="4:7">
      <c r="D77" s="298"/>
      <c r="E77" s="298"/>
      <c r="F77" s="298"/>
      <c r="G77" s="298"/>
    </row>
    <row r="78" spans="4:7" ht="15" customHeight="1">
      <c r="D78" s="299"/>
      <c r="E78" s="299"/>
      <c r="F78" s="33"/>
      <c r="G78" s="33"/>
    </row>
    <row r="79" spans="4:7">
      <c r="D79" s="298"/>
      <c r="E79" s="298"/>
      <c r="F79" s="298"/>
      <c r="G79" s="298"/>
    </row>
    <row r="80" spans="4:7" ht="15" customHeight="1">
      <c r="D80" s="295"/>
      <c r="E80" s="295"/>
      <c r="F80" s="33"/>
      <c r="G80" s="33"/>
    </row>
  </sheetData>
  <mergeCells count="45">
    <mergeCell ref="B22:C22"/>
    <mergeCell ref="F17:G17"/>
    <mergeCell ref="M14:N14"/>
    <mergeCell ref="M16:N16"/>
    <mergeCell ref="M18:N18"/>
    <mergeCell ref="H10:I10"/>
    <mergeCell ref="H11:I11"/>
    <mergeCell ref="H12:I12"/>
    <mergeCell ref="D39:D40"/>
    <mergeCell ref="D36:D37"/>
    <mergeCell ref="D51:F51"/>
    <mergeCell ref="D53:F53"/>
    <mergeCell ref="D55:F55"/>
    <mergeCell ref="D57:F57"/>
    <mergeCell ref="D41:F41"/>
    <mergeCell ref="D43:F43"/>
    <mergeCell ref="D45:F45"/>
    <mergeCell ref="D47:F47"/>
    <mergeCell ref="D49:F49"/>
    <mergeCell ref="D67:G67"/>
    <mergeCell ref="D68:E68"/>
    <mergeCell ref="D69:G69"/>
    <mergeCell ref="D63:E63"/>
    <mergeCell ref="D59:E60"/>
    <mergeCell ref="D61:G61"/>
    <mergeCell ref="D62:E62"/>
    <mergeCell ref="D64:E64"/>
    <mergeCell ref="F62:F64"/>
    <mergeCell ref="G62:G64"/>
    <mergeCell ref="D80:E80"/>
    <mergeCell ref="E36:G36"/>
    <mergeCell ref="E37:G37"/>
    <mergeCell ref="E38:G38"/>
    <mergeCell ref="D75:G75"/>
    <mergeCell ref="D76:E76"/>
    <mergeCell ref="D77:G77"/>
    <mergeCell ref="D78:E78"/>
    <mergeCell ref="D79:G79"/>
    <mergeCell ref="D70:E70"/>
    <mergeCell ref="D71:G71"/>
    <mergeCell ref="D72:E72"/>
    <mergeCell ref="D73:G73"/>
    <mergeCell ref="D74:E74"/>
    <mergeCell ref="D65:G65"/>
    <mergeCell ref="D66:E66"/>
  </mergeCells>
  <pageMargins left="0" right="0" top="0" bottom="0" header="0.31496062992125984" footer="0"/>
  <pageSetup paperSize="287" orientation="landscape" r:id="rId1"/>
  <rowBreaks count="1" manualBreakCount="1">
    <brk id="22" max="16383" man="1"/>
  </rowBreaks>
  <ignoredErrors>
    <ignoredError sqref="B16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2"/>
  <sheetViews>
    <sheetView workbookViewId="0">
      <selection activeCell="E10" sqref="E10"/>
    </sheetView>
  </sheetViews>
  <sheetFormatPr baseColWidth="10" defaultRowHeight="15"/>
  <cols>
    <col min="1" max="1" width="30.85546875" customWidth="1"/>
    <col min="2" max="3" width="16.140625" customWidth="1"/>
    <col min="5" max="5" width="91" customWidth="1"/>
    <col min="6" max="6" width="94.28515625" customWidth="1"/>
  </cols>
  <sheetData>
    <row r="1" spans="1:9" ht="34.5" customHeight="1">
      <c r="A1" s="305" t="s">
        <v>31</v>
      </c>
      <c r="B1" s="305"/>
      <c r="C1" s="305"/>
      <c r="D1" s="305"/>
      <c r="E1" s="305"/>
      <c r="F1" s="305"/>
      <c r="G1" s="305"/>
    </row>
    <row r="2" spans="1:9" ht="27" customHeight="1">
      <c r="A2" s="9" t="s">
        <v>32</v>
      </c>
      <c r="B2" s="32" t="s">
        <v>17</v>
      </c>
      <c r="C2" s="8" t="s">
        <v>138</v>
      </c>
      <c r="D2" s="8" t="s">
        <v>22</v>
      </c>
      <c r="E2" s="8" t="s">
        <v>319</v>
      </c>
      <c r="F2" s="2"/>
      <c r="G2" s="2"/>
      <c r="H2" s="2"/>
      <c r="I2" s="2"/>
    </row>
    <row r="3" spans="1:9" ht="27" customHeight="1">
      <c r="A3" s="9" t="s">
        <v>33</v>
      </c>
      <c r="B3" s="32" t="s">
        <v>17</v>
      </c>
      <c r="C3" s="8" t="s">
        <v>137</v>
      </c>
      <c r="D3" s="8" t="s">
        <v>22</v>
      </c>
      <c r="E3" s="8" t="s">
        <v>34</v>
      </c>
      <c r="F3" s="2"/>
      <c r="G3" s="2"/>
      <c r="H3" s="2"/>
      <c r="I3" s="2"/>
    </row>
    <row r="4" spans="1:9" ht="27" customHeight="1">
      <c r="A4" s="9" t="s">
        <v>7</v>
      </c>
      <c r="B4" s="8" t="s">
        <v>18</v>
      </c>
      <c r="C4" s="8"/>
      <c r="D4" s="8" t="s">
        <v>22</v>
      </c>
      <c r="E4" s="8"/>
      <c r="F4" s="2"/>
      <c r="G4" s="2"/>
      <c r="H4" s="2"/>
      <c r="I4" s="2"/>
    </row>
    <row r="5" spans="1:9" ht="27" customHeight="1">
      <c r="A5" s="9" t="s">
        <v>35</v>
      </c>
      <c r="B5" s="8" t="s">
        <v>18</v>
      </c>
      <c r="C5" s="8"/>
      <c r="D5" s="8" t="s">
        <v>22</v>
      </c>
      <c r="E5" s="8"/>
      <c r="F5" s="2"/>
      <c r="G5" s="2"/>
      <c r="H5" s="2"/>
      <c r="I5" s="2"/>
    </row>
    <row r="6" spans="1:9" ht="27" customHeight="1">
      <c r="A6" s="9" t="s">
        <v>8</v>
      </c>
      <c r="B6" s="32" t="s">
        <v>17</v>
      </c>
      <c r="C6" s="8" t="s">
        <v>136</v>
      </c>
      <c r="D6" s="8" t="s">
        <v>22</v>
      </c>
      <c r="E6" s="8" t="s">
        <v>320</v>
      </c>
      <c r="F6" s="2"/>
      <c r="G6" s="2"/>
      <c r="H6" s="2"/>
      <c r="I6" s="2"/>
    </row>
    <row r="7" spans="1:9" ht="27" customHeight="1">
      <c r="A7" s="9" t="s">
        <v>4</v>
      </c>
      <c r="B7" s="8" t="s">
        <v>4</v>
      </c>
      <c r="C7" s="8"/>
      <c r="D7" s="8" t="s">
        <v>23</v>
      </c>
      <c r="E7" s="8"/>
      <c r="F7" s="2"/>
      <c r="G7" s="2"/>
      <c r="H7" s="2"/>
      <c r="I7" s="2"/>
    </row>
    <row r="8" spans="1:9" ht="27" customHeight="1">
      <c r="A8" s="9" t="s">
        <v>36</v>
      </c>
      <c r="B8" s="32" t="s">
        <v>17</v>
      </c>
      <c r="C8" s="8"/>
      <c r="D8" s="8" t="s">
        <v>22</v>
      </c>
      <c r="E8" s="8" t="s">
        <v>37</v>
      </c>
      <c r="F8" s="2"/>
      <c r="G8" s="2"/>
      <c r="H8" s="2"/>
      <c r="I8" s="2"/>
    </row>
    <row r="9" spans="1:9" ht="27" customHeight="1">
      <c r="A9" s="9" t="s">
        <v>38</v>
      </c>
      <c r="B9" s="8"/>
      <c r="C9" s="8"/>
      <c r="D9" s="8" t="s">
        <v>22</v>
      </c>
      <c r="E9" s="8"/>
      <c r="F9" s="2"/>
      <c r="G9" s="2"/>
      <c r="H9" s="2"/>
      <c r="I9" s="2"/>
    </row>
    <row r="10" spans="1:9" ht="27" customHeight="1">
      <c r="A10" s="9" t="s">
        <v>9</v>
      </c>
      <c r="B10" s="8" t="s">
        <v>19</v>
      </c>
      <c r="C10" s="8"/>
      <c r="D10" s="8" t="s">
        <v>22</v>
      </c>
      <c r="E10" s="8"/>
      <c r="F10" s="2"/>
      <c r="G10" s="2"/>
      <c r="H10" s="2"/>
      <c r="I10" s="2"/>
    </row>
    <row r="11" spans="1:9" ht="27" customHeight="1">
      <c r="A11" s="9" t="s">
        <v>10</v>
      </c>
      <c r="B11" s="32" t="s">
        <v>17</v>
      </c>
      <c r="C11" s="8" t="s">
        <v>139</v>
      </c>
      <c r="D11" s="8" t="s">
        <v>22</v>
      </c>
      <c r="E11" s="8"/>
      <c r="F11" s="2"/>
      <c r="G11" s="2"/>
      <c r="H11" s="2"/>
      <c r="I11" s="2"/>
    </row>
    <row r="12" spans="1:9" ht="27" customHeight="1">
      <c r="A12" s="9" t="s">
        <v>11</v>
      </c>
      <c r="B12" s="8" t="s">
        <v>5</v>
      </c>
      <c r="C12" s="8"/>
      <c r="D12" s="8" t="s">
        <v>23</v>
      </c>
      <c r="E12" s="8" t="s">
        <v>24</v>
      </c>
      <c r="F12" s="2"/>
      <c r="G12" s="2"/>
      <c r="H12" s="2"/>
      <c r="I12" s="2"/>
    </row>
    <row r="13" spans="1:9" ht="27" customHeight="1">
      <c r="A13" s="9" t="s">
        <v>12</v>
      </c>
      <c r="B13" s="8" t="s">
        <v>20</v>
      </c>
      <c r="C13" s="8"/>
      <c r="D13" s="8" t="s">
        <v>23</v>
      </c>
      <c r="E13" s="8" t="s">
        <v>39</v>
      </c>
      <c r="F13" s="2"/>
      <c r="G13" s="2"/>
      <c r="H13" s="2"/>
      <c r="I13" s="2"/>
    </row>
    <row r="14" spans="1:9" ht="27" customHeight="1">
      <c r="A14" s="9" t="s">
        <v>40</v>
      </c>
      <c r="B14" s="8" t="s">
        <v>20</v>
      </c>
      <c r="C14" s="8"/>
      <c r="D14" s="8" t="s">
        <v>23</v>
      </c>
      <c r="E14" s="8" t="s">
        <v>25</v>
      </c>
      <c r="F14" s="2"/>
      <c r="G14" s="2"/>
      <c r="H14" s="2"/>
      <c r="I14" s="2"/>
    </row>
    <row r="15" spans="1:9" ht="27" customHeight="1">
      <c r="A15" s="9" t="s">
        <v>13</v>
      </c>
      <c r="B15" s="8" t="s">
        <v>20</v>
      </c>
      <c r="C15" s="8"/>
      <c r="D15" s="8" t="s">
        <v>23</v>
      </c>
      <c r="E15" s="8" t="s">
        <v>26</v>
      </c>
      <c r="F15" s="2"/>
      <c r="G15" s="2"/>
      <c r="H15" s="2"/>
      <c r="I15" s="2"/>
    </row>
    <row r="16" spans="1:9" ht="27" customHeight="1">
      <c r="A16" s="9" t="s">
        <v>28</v>
      </c>
      <c r="B16" s="8" t="s">
        <v>20</v>
      </c>
      <c r="C16" s="8"/>
      <c r="D16" s="8" t="s">
        <v>23</v>
      </c>
      <c r="E16" s="8" t="s">
        <v>41</v>
      </c>
      <c r="F16" s="2"/>
      <c r="G16" s="2"/>
      <c r="H16" s="2"/>
      <c r="I16" s="2"/>
    </row>
    <row r="17" spans="1:9" ht="27" customHeight="1">
      <c r="A17" s="9" t="s">
        <v>14</v>
      </c>
      <c r="B17" s="32" t="s">
        <v>17</v>
      </c>
      <c r="C17" s="8" t="s">
        <v>135</v>
      </c>
      <c r="D17" s="8" t="s">
        <v>22</v>
      </c>
      <c r="E17" s="8"/>
      <c r="F17" s="2"/>
      <c r="G17" s="2"/>
      <c r="H17" s="2"/>
      <c r="I17" s="2"/>
    </row>
    <row r="18" spans="1:9" ht="27" customHeight="1">
      <c r="A18" s="9" t="s">
        <v>15</v>
      </c>
      <c r="B18" s="8"/>
      <c r="C18" s="8"/>
      <c r="D18" s="8" t="s">
        <v>23</v>
      </c>
      <c r="E18" s="8" t="s">
        <v>27</v>
      </c>
      <c r="F18" s="2"/>
      <c r="G18" s="2"/>
      <c r="H18" s="2"/>
      <c r="I18" s="2"/>
    </row>
    <row r="19" spans="1:9" ht="27" customHeight="1">
      <c r="A19" s="9" t="s">
        <v>42</v>
      </c>
      <c r="B19" s="8"/>
      <c r="C19" s="8"/>
      <c r="D19" s="8" t="s">
        <v>23</v>
      </c>
      <c r="E19" s="8"/>
      <c r="F19" s="2"/>
      <c r="G19" s="2"/>
      <c r="H19" s="2"/>
      <c r="I19" s="2"/>
    </row>
    <row r="20" spans="1:9" ht="27.75" customHeight="1">
      <c r="A20" s="9" t="s">
        <v>43</v>
      </c>
      <c r="B20" s="8" t="s">
        <v>44</v>
      </c>
      <c r="C20" s="8"/>
      <c r="D20" s="8" t="s">
        <v>23</v>
      </c>
      <c r="E20" s="8" t="s">
        <v>30</v>
      </c>
      <c r="F20" s="2"/>
      <c r="G20" s="2"/>
      <c r="H20" s="2"/>
      <c r="I20" s="2"/>
    </row>
    <row r="21" spans="1:9" ht="27.75" customHeight="1">
      <c r="A21" s="9" t="s">
        <v>16</v>
      </c>
      <c r="B21" s="8" t="s">
        <v>6</v>
      </c>
      <c r="C21" s="8"/>
      <c r="D21" s="8" t="s">
        <v>23</v>
      </c>
      <c r="E21" s="8" t="s">
        <v>29</v>
      </c>
      <c r="F21" s="2" t="s">
        <v>140</v>
      </c>
      <c r="G21" s="2"/>
      <c r="H21" s="2"/>
      <c r="I21" s="2"/>
    </row>
    <row r="22" spans="1:9" ht="27" customHeight="1">
      <c r="A22" s="10" t="s">
        <v>21</v>
      </c>
      <c r="B22" s="8" t="s">
        <v>21</v>
      </c>
      <c r="C22" s="8"/>
      <c r="D22" s="8" t="s">
        <v>23</v>
      </c>
      <c r="E22" s="8" t="s">
        <v>318</v>
      </c>
      <c r="F22" s="2"/>
      <c r="G22" s="2"/>
      <c r="H22" s="2"/>
      <c r="I22" s="2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9"/>
  <sheetViews>
    <sheetView topLeftCell="A29" workbookViewId="0">
      <selection activeCell="J13" sqref="J13"/>
    </sheetView>
  </sheetViews>
  <sheetFormatPr baseColWidth="10" defaultRowHeight="15"/>
  <cols>
    <col min="1" max="1" width="19.28515625" customWidth="1"/>
  </cols>
  <sheetData>
    <row r="1" spans="1:8">
      <c r="A1" s="11" t="s">
        <v>47</v>
      </c>
      <c r="B1" s="12"/>
      <c r="C1" s="13"/>
      <c r="D1" s="14" t="s">
        <v>48</v>
      </c>
      <c r="E1" s="12"/>
      <c r="F1" s="13"/>
      <c r="G1" s="13"/>
      <c r="H1" s="12"/>
    </row>
    <row r="2" spans="1:8">
      <c r="A2" s="15"/>
      <c r="B2" s="12"/>
      <c r="C2" s="13"/>
      <c r="D2" s="16"/>
      <c r="E2" s="12" t="s">
        <v>49</v>
      </c>
      <c r="F2" s="13"/>
      <c r="G2" s="13"/>
      <c r="H2" s="12"/>
    </row>
    <row r="3" spans="1:8">
      <c r="A3" s="15" t="s">
        <v>50</v>
      </c>
      <c r="B3" s="17">
        <v>0</v>
      </c>
      <c r="C3" s="13" t="s">
        <v>52</v>
      </c>
      <c r="D3" s="18">
        <v>2773</v>
      </c>
      <c r="E3" s="12" t="s">
        <v>53</v>
      </c>
      <c r="F3" s="13">
        <v>0</v>
      </c>
      <c r="G3" s="13">
        <f>D3</f>
        <v>2773</v>
      </c>
      <c r="H3" s="12"/>
    </row>
    <row r="4" spans="1:8">
      <c r="A4" s="15"/>
      <c r="B4" s="12"/>
      <c r="C4" s="13" t="s">
        <v>54</v>
      </c>
      <c r="D4" s="18">
        <v>10</v>
      </c>
      <c r="E4" s="12" t="s">
        <v>55</v>
      </c>
      <c r="F4" s="13">
        <f>D3</f>
        <v>2773</v>
      </c>
      <c r="G4" s="13">
        <f>4*D3</f>
        <v>11092</v>
      </c>
      <c r="H4" s="12"/>
    </row>
    <row r="5" spans="1:8">
      <c r="A5" s="15" t="s">
        <v>56</v>
      </c>
      <c r="B5" s="17">
        <v>800</v>
      </c>
      <c r="C5" s="13" t="s">
        <v>57</v>
      </c>
      <c r="D5" s="18" t="s">
        <v>51</v>
      </c>
      <c r="E5" s="12" t="s">
        <v>58</v>
      </c>
      <c r="F5" s="13">
        <f>G4</f>
        <v>11092</v>
      </c>
      <c r="G5" s="13">
        <f>8*D3</f>
        <v>22184</v>
      </c>
      <c r="H5" s="12"/>
    </row>
    <row r="6" spans="1:8">
      <c r="A6" s="15" t="s">
        <v>59</v>
      </c>
      <c r="B6" s="17">
        <v>0</v>
      </c>
      <c r="C6" s="13"/>
      <c r="D6" s="16"/>
      <c r="E6" s="12">
        <v>1</v>
      </c>
      <c r="F6" s="13">
        <f>F3</f>
        <v>0</v>
      </c>
      <c r="G6" s="13">
        <f>G3</f>
        <v>2773</v>
      </c>
      <c r="H6" s="12"/>
    </row>
    <row r="7" spans="1:8">
      <c r="A7" s="15" t="s">
        <v>60</v>
      </c>
      <c r="B7" s="17">
        <v>0</v>
      </c>
      <c r="C7" s="13"/>
      <c r="D7" s="16"/>
      <c r="E7" s="12">
        <v>2</v>
      </c>
      <c r="F7" s="13">
        <f>D3</f>
        <v>2773</v>
      </c>
      <c r="G7" s="13">
        <f>3*D3</f>
        <v>8319</v>
      </c>
      <c r="H7" s="12"/>
    </row>
    <row r="8" spans="1:8">
      <c r="A8" s="15" t="s">
        <v>61</v>
      </c>
      <c r="B8" s="17">
        <v>17.329999999999998</v>
      </c>
      <c r="C8" s="13"/>
      <c r="D8" s="16"/>
      <c r="E8" s="12"/>
      <c r="F8" s="13"/>
      <c r="G8" s="13"/>
      <c r="H8" s="12"/>
    </row>
    <row r="9" spans="1:8">
      <c r="A9" s="15" t="s">
        <v>62</v>
      </c>
      <c r="B9" s="17">
        <v>324.94</v>
      </c>
      <c r="C9" s="13"/>
      <c r="D9" s="19"/>
      <c r="E9" s="12"/>
      <c r="F9" s="13"/>
      <c r="G9" s="13"/>
      <c r="H9" s="12"/>
    </row>
    <row r="10" spans="1:8">
      <c r="A10" s="15" t="s">
        <v>63</v>
      </c>
      <c r="B10" s="17">
        <v>0</v>
      </c>
      <c r="C10" s="13"/>
      <c r="D10" s="20" t="s">
        <v>64</v>
      </c>
      <c r="E10" s="21"/>
      <c r="F10" s="22"/>
      <c r="G10" s="22">
        <f>SUM(D24:D27,D33:D37,D38:D40,D42:D43,D44:D45,D46:D50)</f>
        <v>198.66440400000002</v>
      </c>
      <c r="H10" s="12"/>
    </row>
    <row r="11" spans="1:8">
      <c r="A11" s="15" t="s">
        <v>65</v>
      </c>
      <c r="B11" s="17">
        <v>0</v>
      </c>
      <c r="C11" s="13"/>
      <c r="D11" s="20" t="s">
        <v>66</v>
      </c>
      <c r="E11" s="21"/>
      <c r="F11" s="22"/>
      <c r="G11" s="22">
        <f>IF(B20&lt;&gt;0,MIN(0.215,G10/B20),0)</f>
        <v>0.17660000000000001</v>
      </c>
      <c r="H11" s="12"/>
    </row>
    <row r="12" spans="1:8">
      <c r="A12" s="15" t="s">
        <v>67</v>
      </c>
      <c r="B12" s="17">
        <v>0</v>
      </c>
      <c r="C12" s="13"/>
      <c r="D12" s="20" t="s">
        <v>68</v>
      </c>
      <c r="E12" s="21"/>
      <c r="F12" s="22"/>
      <c r="G12" s="22">
        <f>SUM(B9:B11)*G11</f>
        <v>57.384404000000004</v>
      </c>
      <c r="H12" s="12"/>
    </row>
    <row r="13" spans="1:8">
      <c r="A13" s="15" t="s">
        <v>69</v>
      </c>
      <c r="B13" s="17">
        <v>0</v>
      </c>
      <c r="C13" s="13"/>
      <c r="D13" s="20" t="s">
        <v>70</v>
      </c>
      <c r="E13" s="21"/>
      <c r="F13" s="22"/>
      <c r="G13" s="22">
        <f>IF(D4&gt;20,B8*G14,B8*(G14+1))</f>
        <v>25.994999999999997</v>
      </c>
      <c r="H13" s="12"/>
    </row>
    <row r="14" spans="1:8">
      <c r="A14" s="15" t="s">
        <v>71</v>
      </c>
      <c r="B14" s="17">
        <v>0</v>
      </c>
      <c r="C14" s="13"/>
      <c r="D14" s="22" t="s">
        <v>72</v>
      </c>
      <c r="E14" s="21"/>
      <c r="F14" s="22"/>
      <c r="G14" s="22">
        <v>0.5</v>
      </c>
      <c r="H14" s="12"/>
    </row>
    <row r="15" spans="1:8">
      <c r="A15" s="15" t="s">
        <v>73</v>
      </c>
      <c r="B15" s="17">
        <v>0</v>
      </c>
      <c r="C15" s="13"/>
      <c r="D15" s="13"/>
      <c r="E15" s="12"/>
      <c r="F15" s="13"/>
      <c r="G15" s="13"/>
      <c r="H15" s="12"/>
    </row>
    <row r="16" spans="1:8">
      <c r="A16" s="15" t="s">
        <v>74</v>
      </c>
      <c r="B16" s="17">
        <v>0</v>
      </c>
      <c r="C16" s="13"/>
      <c r="D16" s="13"/>
      <c r="E16" s="12" t="s">
        <v>75</v>
      </c>
      <c r="F16" s="13"/>
      <c r="G16" s="13"/>
      <c r="H16" s="12"/>
    </row>
    <row r="17" spans="1:8">
      <c r="A17" s="15" t="s">
        <v>76</v>
      </c>
      <c r="B17" s="17">
        <v>0</v>
      </c>
      <c r="C17" s="23" t="s">
        <v>77</v>
      </c>
      <c r="D17" s="13"/>
      <c r="E17" s="12" t="s">
        <v>78</v>
      </c>
      <c r="F17" s="13"/>
      <c r="G17" s="13"/>
      <c r="H17" s="12"/>
    </row>
    <row r="18" spans="1:8">
      <c r="A18" s="15" t="s">
        <v>79</v>
      </c>
      <c r="B18" s="17">
        <v>0</v>
      </c>
      <c r="C18" s="13"/>
      <c r="D18" s="13"/>
      <c r="E18" s="12" t="s">
        <v>80</v>
      </c>
      <c r="F18" s="13"/>
      <c r="G18" s="13"/>
      <c r="H18" s="12"/>
    </row>
    <row r="19" spans="1:8">
      <c r="A19" s="15"/>
      <c r="B19" s="12"/>
      <c r="C19" s="13"/>
      <c r="D19" s="13"/>
      <c r="E19" s="12" t="s">
        <v>81</v>
      </c>
      <c r="F19" s="13"/>
      <c r="G19" s="13"/>
      <c r="H19" s="12"/>
    </row>
    <row r="20" spans="1:8">
      <c r="A20" s="15" t="s">
        <v>82</v>
      </c>
      <c r="B20" s="12">
        <f>B5-B6+B7+B9+B10+B11+MAX(B12,B13)+B15+B17</f>
        <v>1124.94</v>
      </c>
      <c r="C20" s="13"/>
      <c r="D20" s="13"/>
      <c r="E20" s="12"/>
      <c r="F20" s="13"/>
      <c r="G20" s="13"/>
      <c r="H20" s="12"/>
    </row>
    <row r="21" spans="1:8">
      <c r="A21" s="15" t="s">
        <v>83</v>
      </c>
      <c r="B21" s="12">
        <f>B20-SUM(B9:B11)</f>
        <v>800</v>
      </c>
      <c r="C21" s="13"/>
      <c r="D21" s="13"/>
      <c r="E21" s="12"/>
      <c r="F21" s="13"/>
      <c r="G21" s="13"/>
      <c r="H21" s="16"/>
    </row>
    <row r="22" spans="1:8">
      <c r="A22" s="15"/>
      <c r="B22" s="12"/>
      <c r="C22" s="13"/>
      <c r="D22" s="13"/>
      <c r="E22" s="12"/>
      <c r="F22" s="13"/>
      <c r="G22" s="13"/>
      <c r="H22" s="16"/>
    </row>
    <row r="23" spans="1:8">
      <c r="A23" s="15" t="s">
        <v>84</v>
      </c>
      <c r="B23" s="12"/>
      <c r="C23" s="13"/>
      <c r="D23" s="13"/>
      <c r="E23" s="12"/>
      <c r="F23" s="13" t="s">
        <v>85</v>
      </c>
      <c r="G23" s="13"/>
      <c r="H23" s="12"/>
    </row>
    <row r="24" spans="1:8">
      <c r="A24" s="24" t="s">
        <v>86</v>
      </c>
      <c r="B24" s="25" t="s">
        <v>87</v>
      </c>
      <c r="C24" s="26">
        <v>0.75</v>
      </c>
      <c r="D24" s="27">
        <f>B$20*C24/100</f>
        <v>8.437050000000001</v>
      </c>
      <c r="E24" s="25">
        <v>1</v>
      </c>
      <c r="F24" s="26">
        <v>12.8</v>
      </c>
      <c r="G24" s="27">
        <f>B$20*F24/100</f>
        <v>143.99232000000001</v>
      </c>
      <c r="H24" s="25">
        <v>1</v>
      </c>
    </row>
    <row r="25" spans="1:8">
      <c r="A25" s="24" t="s">
        <v>88</v>
      </c>
      <c r="B25" s="25" t="s">
        <v>87</v>
      </c>
      <c r="C25" s="26">
        <v>0.1</v>
      </c>
      <c r="D25" s="27">
        <f>B$20*C25/100</f>
        <v>1.1249400000000001</v>
      </c>
      <c r="E25" s="25">
        <v>1</v>
      </c>
      <c r="F25" s="26">
        <v>1.6</v>
      </c>
      <c r="G25" s="27">
        <f>B$20*F25/100</f>
        <v>17.999040000000001</v>
      </c>
      <c r="H25" s="25">
        <v>1</v>
      </c>
    </row>
    <row r="26" spans="1:8">
      <c r="A26" s="24" t="s">
        <v>88</v>
      </c>
      <c r="B26" s="25" t="s">
        <v>89</v>
      </c>
      <c r="C26" s="26">
        <v>6.65</v>
      </c>
      <c r="D26" s="27">
        <f>MIN(B$20*C26/100,G$3*C26/100)</f>
        <v>74.808510000000012</v>
      </c>
      <c r="E26" s="25">
        <v>1</v>
      </c>
      <c r="F26" s="26">
        <v>8.3000000000000007</v>
      </c>
      <c r="G26" s="27">
        <f>MIN(B$20*F26/100,G$3*F26/100)</f>
        <v>93.370020000000011</v>
      </c>
      <c r="H26" s="25">
        <v>1</v>
      </c>
    </row>
    <row r="27" spans="1:8">
      <c r="A27" s="24" t="s">
        <v>90</v>
      </c>
      <c r="B27" s="25" t="s">
        <v>87</v>
      </c>
      <c r="C27" s="26">
        <v>0</v>
      </c>
      <c r="D27" s="27">
        <f>B$20*C27/100</f>
        <v>0</v>
      </c>
      <c r="E27" s="25">
        <v>1</v>
      </c>
      <c r="F27" s="26">
        <v>0.3</v>
      </c>
      <c r="G27" s="27">
        <f>B$20*F27/100</f>
        <v>3.3748200000000002</v>
      </c>
      <c r="H27" s="25">
        <v>1</v>
      </c>
    </row>
    <row r="28" spans="1:8">
      <c r="A28" s="24" t="s">
        <v>91</v>
      </c>
      <c r="B28" s="25" t="s">
        <v>87</v>
      </c>
      <c r="C28" s="26">
        <v>0</v>
      </c>
      <c r="D28" s="27">
        <f>MIN(B$20*C28/100,G$3*C28/100)</f>
        <v>0</v>
      </c>
      <c r="E28" s="25">
        <v>1</v>
      </c>
      <c r="F28" s="26">
        <v>5.4</v>
      </c>
      <c r="G28" s="27">
        <f>B$20*F28/100</f>
        <v>60.746760000000002</v>
      </c>
      <c r="H28" s="25">
        <v>1</v>
      </c>
    </row>
    <row r="29" spans="1:8">
      <c r="A29" s="24" t="s">
        <v>92</v>
      </c>
      <c r="B29" s="25" t="s">
        <v>87</v>
      </c>
      <c r="C29" s="26">
        <v>0</v>
      </c>
      <c r="D29" s="27">
        <f>MIN(B$20*C29/100,G$3*C29/100)</f>
        <v>0</v>
      </c>
      <c r="E29" s="25">
        <v>1</v>
      </c>
      <c r="F29" s="26">
        <v>1</v>
      </c>
      <c r="G29" s="27">
        <f>B$20*F29/100</f>
        <v>11.249400000000001</v>
      </c>
      <c r="H29" s="25">
        <v>1</v>
      </c>
    </row>
    <row r="30" spans="1:8">
      <c r="A30" s="24" t="s">
        <v>93</v>
      </c>
      <c r="B30" s="25" t="s">
        <v>89</v>
      </c>
      <c r="C30" s="26">
        <v>0</v>
      </c>
      <c r="D30" s="27">
        <f>MIN(B$20*C30/100,G$3*C30/100)</f>
        <v>0</v>
      </c>
      <c r="E30" s="25">
        <v>1</v>
      </c>
      <c r="F30" s="26">
        <v>0.1</v>
      </c>
      <c r="G30" s="27">
        <f>MIN(B20*F30/100,G3*F30/100)</f>
        <v>1.1249400000000001</v>
      </c>
      <c r="H30" s="25" t="s">
        <v>94</v>
      </c>
    </row>
    <row r="31" spans="1:8">
      <c r="A31" s="24" t="s">
        <v>95</v>
      </c>
      <c r="B31" s="25" t="s">
        <v>87</v>
      </c>
      <c r="C31" s="26">
        <v>0</v>
      </c>
      <c r="D31" s="27">
        <f>MIN(B$20*C31/100,G$3*C31/100)</f>
        <v>0</v>
      </c>
      <c r="E31" s="25">
        <v>1</v>
      </c>
      <c r="F31" s="26">
        <v>0.4</v>
      </c>
      <c r="G31" s="27">
        <f>IF(D4&gt;19,B20*F31/100,0)</f>
        <v>0</v>
      </c>
      <c r="H31" s="25" t="s">
        <v>94</v>
      </c>
    </row>
    <row r="32" spans="1:8">
      <c r="A32" s="24" t="s">
        <v>96</v>
      </c>
      <c r="B32" s="25" t="s">
        <v>87</v>
      </c>
      <c r="C32" s="26">
        <v>0</v>
      </c>
      <c r="D32" s="27">
        <f>MIN(B$20*C32/100,G$3*C32/100)</f>
        <v>0</v>
      </c>
      <c r="E32" s="25">
        <v>1</v>
      </c>
      <c r="F32" s="26">
        <v>2.6</v>
      </c>
      <c r="G32" s="27">
        <f>IF(AND(D4&gt;9,D5="O"),B20*F32/100,0)</f>
        <v>0</v>
      </c>
      <c r="H32" s="25" t="s">
        <v>94</v>
      </c>
    </row>
    <row r="33" spans="1:8">
      <c r="A33" s="24" t="s">
        <v>97</v>
      </c>
      <c r="B33" s="25">
        <f>B$21</f>
        <v>800</v>
      </c>
      <c r="C33" s="26">
        <v>5.0999999999999996</v>
      </c>
      <c r="D33" s="27">
        <f>B33*0.97*C33/100</f>
        <v>39.576000000000001</v>
      </c>
      <c r="E33" s="25">
        <v>1</v>
      </c>
      <c r="F33" s="26">
        <v>0</v>
      </c>
      <c r="G33" s="27">
        <f>F33*B$20</f>
        <v>0</v>
      </c>
      <c r="H33" s="25">
        <v>1</v>
      </c>
    </row>
    <row r="34" spans="1:8">
      <c r="A34" s="24" t="s">
        <v>98</v>
      </c>
      <c r="B34" s="25">
        <f>B$21</f>
        <v>800</v>
      </c>
      <c r="C34" s="26">
        <v>2.4</v>
      </c>
      <c r="D34" s="27">
        <f>B34*0.97*C34/100</f>
        <v>18.623999999999999</v>
      </c>
      <c r="E34" s="25">
        <v>1</v>
      </c>
      <c r="F34" s="26">
        <v>0</v>
      </c>
      <c r="G34" s="27">
        <f>F34*B$20</f>
        <v>0</v>
      </c>
      <c r="H34" s="25">
        <v>1</v>
      </c>
    </row>
    <row r="35" spans="1:8">
      <c r="A35" s="24" t="s">
        <v>99</v>
      </c>
      <c r="B35" s="25">
        <f>B$21</f>
        <v>800</v>
      </c>
      <c r="C35" s="26">
        <v>0.5</v>
      </c>
      <c r="D35" s="27">
        <f>B35*0.97*C35/100</f>
        <v>3.88</v>
      </c>
      <c r="E35" s="25">
        <v>1</v>
      </c>
      <c r="F35" s="26">
        <v>0</v>
      </c>
      <c r="G35" s="27">
        <f>F35*B$20</f>
        <v>0</v>
      </c>
      <c r="H35" s="25">
        <v>1</v>
      </c>
    </row>
    <row r="36" spans="1:8">
      <c r="A36" s="24" t="s">
        <v>100</v>
      </c>
      <c r="B36" s="25">
        <f>SUM(B9:B11)</f>
        <v>324.94</v>
      </c>
      <c r="C36" s="26">
        <v>7.5</v>
      </c>
      <c r="D36" s="27">
        <f>B36*0.97*C36/100</f>
        <v>23.639385000000001</v>
      </c>
      <c r="E36" s="25">
        <v>1</v>
      </c>
      <c r="F36" s="26">
        <v>0</v>
      </c>
      <c r="G36" s="27">
        <f>F36*B$20</f>
        <v>0</v>
      </c>
      <c r="H36" s="25">
        <v>1</v>
      </c>
    </row>
    <row r="37" spans="1:8">
      <c r="A37" s="24" t="s">
        <v>101</v>
      </c>
      <c r="B37" s="25">
        <f>SUM(B9:B11)</f>
        <v>324.94</v>
      </c>
      <c r="C37" s="26">
        <v>0.5</v>
      </c>
      <c r="D37" s="27">
        <f>B37*0.97*C37/100</f>
        <v>1.5759590000000001</v>
      </c>
      <c r="E37" s="25">
        <v>1</v>
      </c>
      <c r="F37" s="26">
        <v>0</v>
      </c>
      <c r="G37" s="27">
        <f>F37*B$20</f>
        <v>0</v>
      </c>
      <c r="H37" s="25">
        <v>1</v>
      </c>
    </row>
    <row r="38" spans="1:8">
      <c r="A38" s="15" t="s">
        <v>102</v>
      </c>
      <c r="B38" s="12" t="s">
        <v>89</v>
      </c>
      <c r="C38" s="26">
        <v>0</v>
      </c>
      <c r="D38" s="13">
        <f>MIN(B$20*C38/100,G$3*C38/100)</f>
        <v>0</v>
      </c>
      <c r="E38" s="12">
        <v>4</v>
      </c>
      <c r="F38" s="26">
        <v>1.5</v>
      </c>
      <c r="G38" s="13">
        <f>IF(B3="O",MIN(B20*F38/100,G3*F38/100),0)</f>
        <v>0</v>
      </c>
      <c r="H38" s="12">
        <v>4</v>
      </c>
    </row>
    <row r="39" spans="1:8">
      <c r="A39" s="15" t="s">
        <v>103</v>
      </c>
      <c r="B39" s="12" t="s">
        <v>104</v>
      </c>
      <c r="C39" s="26">
        <v>2.4</v>
      </c>
      <c r="D39" s="13">
        <f>MIN(B$20*C39/100,G$4*C39/100)</f>
        <v>26.998560000000001</v>
      </c>
      <c r="E39" s="12">
        <v>2</v>
      </c>
      <c r="F39" s="26">
        <v>4</v>
      </c>
      <c r="G39" s="13">
        <f>MIN(B$20*F39/100,G$4*F39/100)</f>
        <v>44.997600000000006</v>
      </c>
      <c r="H39" s="12">
        <v>2</v>
      </c>
    </row>
    <row r="40" spans="1:8">
      <c r="A40" s="15" t="s">
        <v>105</v>
      </c>
      <c r="B40" s="12" t="s">
        <v>106</v>
      </c>
      <c r="C40" s="26">
        <v>2.4E-2</v>
      </c>
      <c r="D40" s="13">
        <f>IF(AND($B$3="O",$B$20&gt;$F$4),MIN(($B$20-$F$4)*C40/100,($G$4-$F$4)*C40/100),0)</f>
        <v>0</v>
      </c>
      <c r="E40" s="12">
        <v>4</v>
      </c>
      <c r="F40" s="26">
        <v>3.5999999999999997E-2</v>
      </c>
      <c r="G40" s="13">
        <f>IF(AND($B$3="O",$B$20&gt;$F$4),MIN(($B$20-$F$4)*F40/100,($G$4-$F$4)*F40/100),0)</f>
        <v>0</v>
      </c>
      <c r="H40" s="12">
        <v>4</v>
      </c>
    </row>
    <row r="41" spans="1:8">
      <c r="A41" s="15" t="s">
        <v>107</v>
      </c>
      <c r="B41" s="12" t="s">
        <v>104</v>
      </c>
      <c r="C41" s="26">
        <v>0</v>
      </c>
      <c r="D41" s="13">
        <f>MIN(B$20*C41/100,G$4*C41/100)</f>
        <v>0</v>
      </c>
      <c r="E41" s="12">
        <v>2</v>
      </c>
      <c r="F41" s="26">
        <v>0.15</v>
      </c>
      <c r="G41" s="13">
        <f>MIN(B$20*F41/100,G$4*F41/100)</f>
        <v>1.6874100000000001</v>
      </c>
      <c r="H41" s="12">
        <v>2</v>
      </c>
    </row>
    <row r="42" spans="1:8">
      <c r="A42" s="15" t="s">
        <v>108</v>
      </c>
      <c r="B42" s="12" t="s">
        <v>109</v>
      </c>
      <c r="C42" s="26">
        <v>3</v>
      </c>
      <c r="D42" s="13">
        <f>IF($B$3="N",MIN($B$20*C42/100,$G$6*C42/100),0)</f>
        <v>0</v>
      </c>
      <c r="E42" s="12">
        <v>3</v>
      </c>
      <c r="F42" s="26">
        <v>4.5</v>
      </c>
      <c r="G42" s="13">
        <f>IF($B$3="N",MIN($B$20*F42/100,$G$6*F42/100),0)</f>
        <v>0</v>
      </c>
      <c r="H42" s="12">
        <v>3</v>
      </c>
    </row>
    <row r="43" spans="1:8">
      <c r="A43" s="15" t="s">
        <v>108</v>
      </c>
      <c r="B43" s="12" t="s">
        <v>110</v>
      </c>
      <c r="C43" s="26">
        <v>8</v>
      </c>
      <c r="D43" s="13">
        <f>IF(AND($B$3="N",$B$20&gt;$F$7),MIN(($B$20-$F$7)*C43/100,($G$7-$F$7)*C43/100),0)</f>
        <v>0</v>
      </c>
      <c r="E43" s="12">
        <v>3</v>
      </c>
      <c r="F43" s="26">
        <v>12</v>
      </c>
      <c r="G43" s="13">
        <f>IF(AND($B$3="N",$B$20&gt;$F$7),MIN(($B$20-$F$7)*F43/100,($G$7-$F$7)*F43/100),0)</f>
        <v>0</v>
      </c>
      <c r="H43" s="12">
        <v>3</v>
      </c>
    </row>
    <row r="44" spans="1:8">
      <c r="A44" s="15" t="s">
        <v>111</v>
      </c>
      <c r="B44" s="12" t="s">
        <v>109</v>
      </c>
      <c r="C44" s="26">
        <v>0.8</v>
      </c>
      <c r="D44" s="13">
        <f>IF($B$3="N",MIN($B$20*C44/100,$G$6*C44/100),0)</f>
        <v>0</v>
      </c>
      <c r="E44" s="12">
        <v>3</v>
      </c>
      <c r="F44" s="26">
        <v>1.2</v>
      </c>
      <c r="G44" s="13">
        <f>IF($B$3="N",MIN($B$20*F44/100,$G$6*F44/100),0)</f>
        <v>0</v>
      </c>
      <c r="H44" s="12" t="s">
        <v>112</v>
      </c>
    </row>
    <row r="45" spans="1:8">
      <c r="A45" s="15" t="s">
        <v>113</v>
      </c>
      <c r="B45" s="12" t="s">
        <v>110</v>
      </c>
      <c r="C45" s="26">
        <v>0.9</v>
      </c>
      <c r="D45" s="13">
        <f>IF(AND($B$3="N",$B$20&gt;$F$7),MIN(($B$20-$F$7)*C45/100,($G$7-$F$7)*C45/100),0)</f>
        <v>0</v>
      </c>
      <c r="E45" s="12">
        <v>3</v>
      </c>
      <c r="F45" s="26">
        <v>1.3</v>
      </c>
      <c r="G45" s="13">
        <f>IF(AND($B$3="N",$B$20&gt;$F$7),MIN(($B$20-$F$7)*F45/100,($G$7-$F$7)*F45/100),0)</f>
        <v>0</v>
      </c>
      <c r="H45" s="12">
        <v>3</v>
      </c>
    </row>
    <row r="46" spans="1:8">
      <c r="A46" s="15" t="s">
        <v>114</v>
      </c>
      <c r="B46" s="12" t="s">
        <v>89</v>
      </c>
      <c r="C46" s="26">
        <v>3</v>
      </c>
      <c r="D46" s="13">
        <f>IF($B$3="O",MIN($B$20*C46/100,$G$3*C46/100),0)</f>
        <v>0</v>
      </c>
      <c r="E46" s="12">
        <v>3</v>
      </c>
      <c r="F46" s="26">
        <v>4.5</v>
      </c>
      <c r="G46" s="13">
        <f>IF($B$3="O",MIN($B$20*F46/100,$G$3*F46/100),0)</f>
        <v>0</v>
      </c>
      <c r="H46" s="12">
        <v>3</v>
      </c>
    </row>
    <row r="47" spans="1:8">
      <c r="A47" s="15" t="s">
        <v>115</v>
      </c>
      <c r="B47" s="12" t="s">
        <v>106</v>
      </c>
      <c r="C47" s="26">
        <v>7.7</v>
      </c>
      <c r="D47" s="13">
        <f>IF(AND($B$3="O",$B$20&gt;$F$4),MIN(($B$20-$F$4)*C47/100,($G$4-$F$4)*C47/100),0)</f>
        <v>0</v>
      </c>
      <c r="E47" s="12">
        <v>4</v>
      </c>
      <c r="F47" s="26">
        <v>12.6</v>
      </c>
      <c r="G47" s="13">
        <f>IF(AND($B$3="O",$B$20&gt;$F$4),MIN(($B$20-$F$4)*F47/100,($G$4-$F$4)*F47/100),0)</f>
        <v>0</v>
      </c>
      <c r="H47" s="12">
        <v>4</v>
      </c>
    </row>
    <row r="48" spans="1:8">
      <c r="A48" s="15" t="s">
        <v>115</v>
      </c>
      <c r="B48" s="12" t="s">
        <v>116</v>
      </c>
      <c r="C48" s="26">
        <v>7.7</v>
      </c>
      <c r="D48" s="13">
        <f>IF(AND($B$3="O",$B$20&gt;$F$5),MIN(($B$20-$F$5)*C48/100,($G$5-$F$5)*C48/100),0)</f>
        <v>0</v>
      </c>
      <c r="E48" s="12">
        <v>4</v>
      </c>
      <c r="F48" s="26">
        <v>12.6</v>
      </c>
      <c r="G48" s="13">
        <f>IF(AND($B$3="O",$B$20&gt;$F$5),MIN(($B$20-$F$5)*F48/100,($G$5-$F$5)*F48/100),0)</f>
        <v>0</v>
      </c>
      <c r="H48" s="12">
        <v>4</v>
      </c>
    </row>
    <row r="49" spans="1:8">
      <c r="A49" s="15" t="s">
        <v>117</v>
      </c>
      <c r="B49" s="12" t="s">
        <v>110</v>
      </c>
      <c r="C49" s="26">
        <v>0.9</v>
      </c>
      <c r="D49" s="13">
        <f>IF(AND($B$3="O",$B$20&gt;$F$4),MIN(($B$20-$F$4)*C49/100,($G$4-$F$4)*C49/100),0)</f>
        <v>0</v>
      </c>
      <c r="E49" s="12">
        <v>4</v>
      </c>
      <c r="F49" s="26">
        <v>1.3</v>
      </c>
      <c r="G49" s="13">
        <f>IF(AND($B$3="O",$B$20&gt;$F$4),MIN(($B$20-$F$4)*F49/100,($G$4-$F$4)*F49/100),0)</f>
        <v>0</v>
      </c>
      <c r="H49" s="12">
        <v>4</v>
      </c>
    </row>
    <row r="50" spans="1:8">
      <c r="A50" s="15" t="s">
        <v>118</v>
      </c>
      <c r="B50" s="12" t="s">
        <v>119</v>
      </c>
      <c r="C50" s="26">
        <v>0.13</v>
      </c>
      <c r="D50" s="13">
        <f>IF($B$3="O",MIN($B$20*C50/100,$G$5*C50/100),0)</f>
        <v>0</v>
      </c>
      <c r="E50" s="12">
        <v>4</v>
      </c>
      <c r="F50" s="26">
        <v>0.22</v>
      </c>
      <c r="G50" s="13">
        <f>IF($B$3="O",MIN($B$20*F50/100,$G$5*F50/100),0)</f>
        <v>0</v>
      </c>
      <c r="H50" s="12">
        <v>4</v>
      </c>
    </row>
    <row r="51" spans="1:8">
      <c r="A51" s="15"/>
      <c r="B51" s="12"/>
      <c r="C51" s="28"/>
      <c r="D51" s="13"/>
      <c r="E51" s="12"/>
      <c r="F51" s="28"/>
      <c r="G51" s="13"/>
      <c r="H51" s="12"/>
    </row>
    <row r="52" spans="1:8">
      <c r="A52" s="15" t="s">
        <v>120</v>
      </c>
      <c r="B52" s="12"/>
      <c r="C52" s="23" t="s">
        <v>121</v>
      </c>
      <c r="D52" s="13">
        <f>SUM(D24:D50)</f>
        <v>198.66440400000002</v>
      </c>
      <c r="E52" s="12"/>
      <c r="F52" s="23" t="s">
        <v>122</v>
      </c>
      <c r="G52" s="13">
        <f>SUM(G24:G50)</f>
        <v>378.54231000000004</v>
      </c>
      <c r="H52" s="12"/>
    </row>
    <row r="53" spans="1:8">
      <c r="A53" s="15" t="s">
        <v>123</v>
      </c>
      <c r="B53" s="12"/>
      <c r="C53" s="23"/>
      <c r="D53" s="13">
        <f>D52-G12</f>
        <v>141.28000000000003</v>
      </c>
      <c r="E53" s="12"/>
      <c r="F53" s="23"/>
      <c r="G53" s="13">
        <f>G52-G13</f>
        <v>352.54731000000004</v>
      </c>
      <c r="H53" s="12"/>
    </row>
    <row r="54" spans="1:8">
      <c r="A54" s="15" t="s">
        <v>124</v>
      </c>
      <c r="B54" s="12"/>
      <c r="C54" s="13">
        <f>B20-D53</f>
        <v>983.66000000000008</v>
      </c>
      <c r="D54" s="13"/>
      <c r="E54" s="29"/>
      <c r="F54" s="13"/>
      <c r="G54" s="13"/>
      <c r="H54" s="12"/>
    </row>
    <row r="55" spans="1:8">
      <c r="A55" s="15" t="s">
        <v>125</v>
      </c>
      <c r="B55" s="30">
        <v>6.7</v>
      </c>
      <c r="C55" s="13">
        <f>B18*(100-B55)/100</f>
        <v>0</v>
      </c>
      <c r="D55" s="13"/>
      <c r="E55" s="31"/>
      <c r="F55" s="13"/>
      <c r="G55" s="13"/>
      <c r="H55" s="12"/>
    </row>
    <row r="56" spans="1:8">
      <c r="A56" s="15" t="s">
        <v>126</v>
      </c>
      <c r="B56" s="12"/>
      <c r="C56" s="13">
        <f>C54+C55+B14+B16-B7</f>
        <v>983.66000000000008</v>
      </c>
      <c r="D56" s="13"/>
      <c r="E56" s="29"/>
      <c r="F56" s="13"/>
      <c r="G56" s="13"/>
      <c r="H56" s="12"/>
    </row>
    <row r="57" spans="1:8">
      <c r="A57" s="15" t="s">
        <v>127</v>
      </c>
      <c r="B57" s="12"/>
      <c r="C57" s="13">
        <f>C$56+D$34+D$35+B$7-B$14-B$16</f>
        <v>1006.1640000000001</v>
      </c>
      <c r="D57" s="13"/>
      <c r="E57" s="20"/>
      <c r="F57" s="13"/>
      <c r="G57" s="13"/>
      <c r="H57" s="16"/>
    </row>
    <row r="58" spans="1:8">
      <c r="A58" s="15" t="s">
        <v>128</v>
      </c>
      <c r="B58" s="12"/>
      <c r="C58" s="13">
        <f>[5]SansHS!C$53+[5]SansHS!D$33+[5]SansHS!D$34+[5]SansHS!B$7-[5]SansHS!B$14-[5]SansHS!B$16</f>
        <v>1850.8214265000001</v>
      </c>
      <c r="D58" s="13" t="s">
        <v>129</v>
      </c>
      <c r="E58" s="12"/>
      <c r="F58" s="13"/>
      <c r="G58" s="13"/>
      <c r="H58" s="16"/>
    </row>
    <row r="59" spans="1:8">
      <c r="A59" s="15"/>
      <c r="B59" s="12"/>
      <c r="C59" s="13">
        <f>C54-SUM(B9:B11)+D34+D35</f>
        <v>681.22400000000005</v>
      </c>
      <c r="D59" s="13" t="s">
        <v>130</v>
      </c>
      <c r="E59" s="12"/>
      <c r="F59" s="13"/>
      <c r="G59" s="13"/>
      <c r="H59" s="1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R9"/>
  <sheetViews>
    <sheetView workbookViewId="0">
      <selection activeCell="G12" sqref="G12"/>
    </sheetView>
  </sheetViews>
  <sheetFormatPr baseColWidth="10" defaultRowHeight="15"/>
  <cols>
    <col min="1" max="1" width="11.28515625" style="82" customWidth="1"/>
    <col min="2" max="18" width="11.28515625" customWidth="1"/>
  </cols>
  <sheetData>
    <row r="1" spans="1:18" s="2" customFormat="1" ht="24" customHeight="1" thickBot="1">
      <c r="A1" s="144"/>
      <c r="B1" s="145" t="s">
        <v>153</v>
      </c>
      <c r="C1" s="306" t="s">
        <v>154</v>
      </c>
      <c r="D1" s="306"/>
      <c r="E1" s="306"/>
      <c r="F1" s="307" t="s">
        <v>197</v>
      </c>
      <c r="G1" s="307"/>
      <c r="H1" s="307"/>
      <c r="I1" s="308" t="s">
        <v>155</v>
      </c>
      <c r="J1" s="309"/>
      <c r="K1" s="309"/>
      <c r="L1" s="309"/>
      <c r="M1" s="309"/>
      <c r="N1" s="309"/>
      <c r="O1" s="309"/>
      <c r="P1" s="310"/>
      <c r="Q1" s="272"/>
      <c r="R1" s="276"/>
    </row>
    <row r="2" spans="1:18" ht="24" thickTop="1" thickBot="1">
      <c r="A2" s="138" t="s">
        <v>1</v>
      </c>
      <c r="B2" s="125" t="s">
        <v>206</v>
      </c>
      <c r="C2" s="126" t="s">
        <v>207</v>
      </c>
      <c r="D2" s="126" t="s">
        <v>208</v>
      </c>
      <c r="E2" s="126" t="s">
        <v>209</v>
      </c>
      <c r="F2" s="139" t="s">
        <v>210</v>
      </c>
      <c r="G2" s="139" t="s">
        <v>288</v>
      </c>
      <c r="H2" s="139" t="s">
        <v>198</v>
      </c>
      <c r="I2" s="127" t="s">
        <v>162</v>
      </c>
      <c r="J2" s="127" t="s">
        <v>156</v>
      </c>
      <c r="K2" s="127" t="s">
        <v>157</v>
      </c>
      <c r="L2" s="127" t="s">
        <v>158</v>
      </c>
      <c r="M2" s="127" t="s">
        <v>159</v>
      </c>
      <c r="N2" s="127" t="s">
        <v>160</v>
      </c>
      <c r="O2" s="127" t="s">
        <v>161</v>
      </c>
      <c r="P2" s="127" t="s">
        <v>164</v>
      </c>
      <c r="Q2" s="273" t="s">
        <v>3</v>
      </c>
      <c r="R2" s="277" t="s">
        <v>2</v>
      </c>
    </row>
    <row r="3" spans="1:18" ht="24.75" customHeight="1" thickTop="1" thickBot="1">
      <c r="A3" s="138" t="s">
        <v>133</v>
      </c>
      <c r="B3" s="128">
        <f t="shared" ref="B3:Q3" si="0">SUM(B5,B7)</f>
        <v>5600</v>
      </c>
      <c r="C3" s="129">
        <f t="shared" ca="1" si="0"/>
        <v>4293.333333333333</v>
      </c>
      <c r="D3" s="129">
        <f t="shared" ca="1" si="0"/>
        <v>4293.333333333333</v>
      </c>
      <c r="E3" s="129">
        <f t="shared" ca="1" si="0"/>
        <v>4106.6666666666661</v>
      </c>
      <c r="F3" s="140">
        <f t="shared" ref="F3:H3" si="1">SUM(F5,F7)</f>
        <v>5040</v>
      </c>
      <c r="G3" s="140">
        <f t="shared" si="1"/>
        <v>4106.6666666666661</v>
      </c>
      <c r="H3" s="140">
        <f t="shared" si="1"/>
        <v>0</v>
      </c>
      <c r="I3" s="130">
        <f t="shared" ca="1" si="0"/>
        <v>2800</v>
      </c>
      <c r="J3" s="130">
        <f t="shared" ca="1" si="0"/>
        <v>2800</v>
      </c>
      <c r="K3" s="130">
        <f t="shared" ref="K3:O3" ca="1" si="2">SUM(K5,K7)</f>
        <v>2800</v>
      </c>
      <c r="L3" s="130">
        <f t="shared" ca="1" si="2"/>
        <v>2800</v>
      </c>
      <c r="M3" s="130">
        <f t="shared" ca="1" si="2"/>
        <v>2800</v>
      </c>
      <c r="N3" s="130">
        <f t="shared" ca="1" si="2"/>
        <v>2800</v>
      </c>
      <c r="O3" s="130">
        <f t="shared" ca="1" si="2"/>
        <v>2800</v>
      </c>
      <c r="P3" s="130">
        <f t="shared" ref="P3" ca="1" si="3">SUM(P5,P7)</f>
        <v>2800</v>
      </c>
      <c r="Q3" s="274">
        <f t="shared" si="0"/>
        <v>4480</v>
      </c>
      <c r="R3" s="278">
        <f ca="1">SUM(B3:Q3)</f>
        <v>54319.999999999993</v>
      </c>
    </row>
    <row r="4" spans="1:18" ht="24.75" customHeight="1" thickTop="1" thickBot="1">
      <c r="A4" s="138" t="s">
        <v>134</v>
      </c>
      <c r="B4" s="128">
        <f t="shared" ref="B4:Q4" si="4">+PRODUCT(B3,12)</f>
        <v>67200</v>
      </c>
      <c r="C4" s="129">
        <f t="shared" ca="1" si="4"/>
        <v>51520</v>
      </c>
      <c r="D4" s="129">
        <f t="shared" ca="1" si="4"/>
        <v>51520</v>
      </c>
      <c r="E4" s="129">
        <f t="shared" ca="1" si="4"/>
        <v>49279.999999999993</v>
      </c>
      <c r="F4" s="141">
        <f t="shared" ref="F4:H4" si="5">+PRODUCT(F3,12)</f>
        <v>60480</v>
      </c>
      <c r="G4" s="141">
        <f t="shared" si="5"/>
        <v>49279.999999999993</v>
      </c>
      <c r="H4" s="141">
        <f t="shared" si="5"/>
        <v>0</v>
      </c>
      <c r="I4" s="131">
        <f t="shared" ca="1" si="4"/>
        <v>33600</v>
      </c>
      <c r="J4" s="131">
        <f t="shared" ca="1" si="4"/>
        <v>33600</v>
      </c>
      <c r="K4" s="131">
        <f t="shared" ref="K4:O4" ca="1" si="6">+PRODUCT(K3,12)</f>
        <v>33600</v>
      </c>
      <c r="L4" s="131">
        <f t="shared" ca="1" si="6"/>
        <v>33600</v>
      </c>
      <c r="M4" s="131">
        <f t="shared" ca="1" si="6"/>
        <v>33600</v>
      </c>
      <c r="N4" s="131">
        <f t="shared" ca="1" si="6"/>
        <v>33600</v>
      </c>
      <c r="O4" s="131">
        <f t="shared" ca="1" si="6"/>
        <v>33600</v>
      </c>
      <c r="P4" s="131">
        <f t="shared" ref="P4" ca="1" si="7">+PRODUCT(P3,12)</f>
        <v>33600</v>
      </c>
      <c r="Q4" s="274">
        <f t="shared" si="4"/>
        <v>53760</v>
      </c>
      <c r="R4" s="278">
        <f ca="1">SUM(B4:Q4)</f>
        <v>651840</v>
      </c>
    </row>
    <row r="5" spans="1:18" ht="24.75" customHeight="1" thickTop="1" thickBot="1">
      <c r="A5" s="138" t="s">
        <v>45</v>
      </c>
      <c r="B5" s="132">
        <f t="shared" ref="B5:Q5" si="8">PRODUCT(B8,1/0.75)</f>
        <v>4000</v>
      </c>
      <c r="C5" s="133">
        <f t="shared" ca="1" si="8"/>
        <v>3066.6666666666665</v>
      </c>
      <c r="D5" s="133">
        <f t="shared" ca="1" si="8"/>
        <v>3066.6666666666665</v>
      </c>
      <c r="E5" s="133">
        <f t="shared" ca="1" si="8"/>
        <v>2933.333333333333</v>
      </c>
      <c r="F5" s="142">
        <f t="shared" ref="F5:H5" si="9">PRODUCT(F8,1/0.75)</f>
        <v>3600</v>
      </c>
      <c r="G5" s="142">
        <f t="shared" si="9"/>
        <v>2933.333333333333</v>
      </c>
      <c r="H5" s="142">
        <f t="shared" si="9"/>
        <v>0</v>
      </c>
      <c r="I5" s="134">
        <f t="shared" ca="1" si="8"/>
        <v>2000</v>
      </c>
      <c r="J5" s="134">
        <f t="shared" ca="1" si="8"/>
        <v>2000</v>
      </c>
      <c r="K5" s="134">
        <f t="shared" ref="K5:O5" ca="1" si="10">PRODUCT(K8,1/0.75)</f>
        <v>2000</v>
      </c>
      <c r="L5" s="134">
        <f t="shared" ca="1" si="10"/>
        <v>2000</v>
      </c>
      <c r="M5" s="134">
        <f t="shared" ca="1" si="10"/>
        <v>2000</v>
      </c>
      <c r="N5" s="134">
        <f t="shared" ca="1" si="10"/>
        <v>2000</v>
      </c>
      <c r="O5" s="134">
        <f t="shared" ca="1" si="10"/>
        <v>2000</v>
      </c>
      <c r="P5" s="134">
        <f t="shared" ref="P5" ca="1" si="11">PRODUCT(P8,1/0.75)</f>
        <v>2000</v>
      </c>
      <c r="Q5" s="275">
        <f t="shared" si="8"/>
        <v>3200</v>
      </c>
      <c r="R5" s="278">
        <f t="shared" ref="R5:R8" ca="1" si="12">SUM(B5:Q5)</f>
        <v>38800</v>
      </c>
    </row>
    <row r="6" spans="1:18" ht="24.75" customHeight="1" thickTop="1" thickBot="1">
      <c r="A6" s="138" t="s">
        <v>131</v>
      </c>
      <c r="B6" s="132">
        <f t="shared" ref="B6:Q6" si="13">PRODUCT(B5,0.25)</f>
        <v>1000</v>
      </c>
      <c r="C6" s="133">
        <f t="shared" ca="1" si="13"/>
        <v>766.66666666666663</v>
      </c>
      <c r="D6" s="133">
        <f t="shared" ca="1" si="13"/>
        <v>766.66666666666663</v>
      </c>
      <c r="E6" s="133">
        <f t="shared" ca="1" si="13"/>
        <v>733.33333333333326</v>
      </c>
      <c r="F6" s="142">
        <f t="shared" ref="F6:H6" si="14">PRODUCT(F5,0.25)</f>
        <v>900</v>
      </c>
      <c r="G6" s="142">
        <f t="shared" si="14"/>
        <v>733.33333333333326</v>
      </c>
      <c r="H6" s="142">
        <f t="shared" si="14"/>
        <v>0</v>
      </c>
      <c r="I6" s="134">
        <f t="shared" ca="1" si="13"/>
        <v>500</v>
      </c>
      <c r="J6" s="134">
        <f t="shared" ca="1" si="13"/>
        <v>500</v>
      </c>
      <c r="K6" s="134">
        <f t="shared" ref="K6:O6" ca="1" si="15">PRODUCT(K5,0.25)</f>
        <v>500</v>
      </c>
      <c r="L6" s="134">
        <f t="shared" ca="1" si="15"/>
        <v>500</v>
      </c>
      <c r="M6" s="134">
        <f t="shared" ca="1" si="15"/>
        <v>500</v>
      </c>
      <c r="N6" s="134">
        <f t="shared" ca="1" si="15"/>
        <v>500</v>
      </c>
      <c r="O6" s="134">
        <f t="shared" ca="1" si="15"/>
        <v>500</v>
      </c>
      <c r="P6" s="134">
        <f t="shared" ref="P6" ca="1" si="16">PRODUCT(P5,0.25)</f>
        <v>500</v>
      </c>
      <c r="Q6" s="275">
        <f t="shared" si="13"/>
        <v>800</v>
      </c>
      <c r="R6" s="278">
        <f t="shared" ca="1" si="12"/>
        <v>9700</v>
      </c>
    </row>
    <row r="7" spans="1:18" ht="24.75" customHeight="1" thickTop="1" thickBot="1">
      <c r="A7" s="138" t="s">
        <v>132</v>
      </c>
      <c r="B7" s="132">
        <f t="shared" ref="B7:Q7" si="17">PRODUCT(B5,0.4)</f>
        <v>1600</v>
      </c>
      <c r="C7" s="133">
        <f t="shared" ca="1" si="17"/>
        <v>1226.6666666666667</v>
      </c>
      <c r="D7" s="133">
        <f t="shared" ca="1" si="17"/>
        <v>1226.6666666666667</v>
      </c>
      <c r="E7" s="133">
        <f t="shared" ca="1" si="17"/>
        <v>1173.3333333333333</v>
      </c>
      <c r="F7" s="143">
        <f t="shared" ref="F7:H7" si="18">PRODUCT(F5,0.4)</f>
        <v>1440</v>
      </c>
      <c r="G7" s="143">
        <f t="shared" si="18"/>
        <v>1173.3333333333333</v>
      </c>
      <c r="H7" s="143">
        <f t="shared" si="18"/>
        <v>0</v>
      </c>
      <c r="I7" s="135">
        <f t="shared" ca="1" si="17"/>
        <v>800</v>
      </c>
      <c r="J7" s="135">
        <f t="shared" ca="1" si="17"/>
        <v>800</v>
      </c>
      <c r="K7" s="135">
        <f t="shared" ref="K7:O7" ca="1" si="19">PRODUCT(K5,0.4)</f>
        <v>800</v>
      </c>
      <c r="L7" s="135">
        <f t="shared" ca="1" si="19"/>
        <v>800</v>
      </c>
      <c r="M7" s="135">
        <f t="shared" ca="1" si="19"/>
        <v>800</v>
      </c>
      <c r="N7" s="135">
        <f t="shared" ca="1" si="19"/>
        <v>800</v>
      </c>
      <c r="O7" s="135">
        <f t="shared" ca="1" si="19"/>
        <v>800</v>
      </c>
      <c r="P7" s="135">
        <f t="shared" ref="P7" ca="1" si="20">PRODUCT(P5,0.4)</f>
        <v>800</v>
      </c>
      <c r="Q7" s="275">
        <f t="shared" si="17"/>
        <v>1280</v>
      </c>
      <c r="R7" s="278">
        <f t="shared" ca="1" si="12"/>
        <v>15520</v>
      </c>
    </row>
    <row r="8" spans="1:18" ht="24.75" customHeight="1" thickTop="1" thickBot="1">
      <c r="A8" s="138" t="s">
        <v>46</v>
      </c>
      <c r="B8" s="136">
        <v>3000</v>
      </c>
      <c r="C8" s="137">
        <f ca="1">INDIRECT("chif!Q9")</f>
        <v>2300</v>
      </c>
      <c r="D8" s="137">
        <f ca="1">INDIRECT("chif!Q10")</f>
        <v>2300</v>
      </c>
      <c r="E8" s="137">
        <f ca="1">INDIRECT("chif!Q11")</f>
        <v>2200</v>
      </c>
      <c r="F8" s="137">
        <f>maint!C3</f>
        <v>2700</v>
      </c>
      <c r="G8" s="137">
        <f>maint!C4</f>
        <v>2200</v>
      </c>
      <c r="H8" s="137">
        <f>maint!C5</f>
        <v>0</v>
      </c>
      <c r="I8" s="137">
        <f ca="1">INDIRECT("chif!Q8")</f>
        <v>1500</v>
      </c>
      <c r="J8" s="137">
        <f t="shared" ref="J8:P8" ca="1" si="21">INDIRECT("chif!Q8")</f>
        <v>1500</v>
      </c>
      <c r="K8" s="137">
        <f t="shared" ca="1" si="21"/>
        <v>1500</v>
      </c>
      <c r="L8" s="137">
        <f t="shared" ca="1" si="21"/>
        <v>1500</v>
      </c>
      <c r="M8" s="137">
        <f t="shared" ca="1" si="21"/>
        <v>1500</v>
      </c>
      <c r="N8" s="137">
        <f t="shared" ca="1" si="21"/>
        <v>1500</v>
      </c>
      <c r="O8" s="137">
        <f t="shared" ca="1" si="21"/>
        <v>1500</v>
      </c>
      <c r="P8" s="137">
        <f t="shared" ca="1" si="21"/>
        <v>1500</v>
      </c>
      <c r="Q8" s="137">
        <v>2400</v>
      </c>
      <c r="R8" s="278">
        <f t="shared" ca="1" si="12"/>
        <v>29100</v>
      </c>
    </row>
    <row r="9" spans="1:18" ht="15.75" thickTop="1"/>
  </sheetData>
  <mergeCells count="3">
    <mergeCell ref="C1:E1"/>
    <mergeCell ref="F1:H1"/>
    <mergeCell ref="I1:P1"/>
  </mergeCells>
  <pageMargins left="0.7" right="0.7" top="0.75" bottom="0.75" header="0.3" footer="0.3"/>
  <pageSetup paperSize="9" scale="64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5"/>
  <sheetViews>
    <sheetView workbookViewId="0">
      <selection activeCell="O7" sqref="O7"/>
    </sheetView>
  </sheetViews>
  <sheetFormatPr baseColWidth="10" defaultRowHeight="15"/>
  <cols>
    <col min="1" max="1" width="34.140625" customWidth="1"/>
    <col min="2" max="2" width="14.140625" style="48" customWidth="1"/>
    <col min="3" max="3" width="2.140625" customWidth="1"/>
    <col min="4" max="4" width="14" customWidth="1"/>
    <col min="6" max="6" width="11.5703125" bestFit="1" customWidth="1"/>
    <col min="7" max="8" width="2.140625" customWidth="1"/>
    <col min="9" max="9" width="29.5703125" customWidth="1"/>
    <col min="10" max="10" width="13.28515625" style="48" bestFit="1" customWidth="1"/>
    <col min="11" max="11" width="2.140625" customWidth="1"/>
    <col min="12" max="12" width="28.5703125" customWidth="1"/>
    <col min="13" max="13" width="13.28515625" bestFit="1" customWidth="1"/>
    <col min="14" max="14" width="2.140625" customWidth="1"/>
    <col min="15" max="15" width="13.5703125" customWidth="1"/>
    <col min="16" max="16" width="14.28515625" customWidth="1"/>
  </cols>
  <sheetData>
    <row r="1" spans="1:16" s="59" customFormat="1">
      <c r="A1" s="312" t="s">
        <v>168</v>
      </c>
      <c r="B1" s="312"/>
      <c r="D1" s="313" t="s">
        <v>4</v>
      </c>
      <c r="E1" s="313"/>
      <c r="F1" s="313"/>
      <c r="I1" s="312" t="s">
        <v>312</v>
      </c>
      <c r="J1" s="312"/>
      <c r="L1" s="312" t="s">
        <v>190</v>
      </c>
      <c r="M1" s="312"/>
      <c r="N1" s="60"/>
      <c r="O1" s="312" t="s">
        <v>21</v>
      </c>
      <c r="P1" s="312"/>
    </row>
    <row r="2" spans="1:16" s="59" customFormat="1">
      <c r="A2" s="146" t="s">
        <v>165</v>
      </c>
      <c r="B2" s="147" t="s">
        <v>167</v>
      </c>
      <c r="D2" s="146" t="s">
        <v>165</v>
      </c>
      <c r="E2" s="146" t="s">
        <v>166</v>
      </c>
      <c r="F2" s="146" t="s">
        <v>167</v>
      </c>
      <c r="I2" s="146" t="s">
        <v>165</v>
      </c>
      <c r="J2" s="147" t="s">
        <v>178</v>
      </c>
      <c r="L2" s="146" t="s">
        <v>165</v>
      </c>
      <c r="M2" s="146" t="s">
        <v>192</v>
      </c>
      <c r="O2" s="146" t="s">
        <v>165</v>
      </c>
      <c r="P2" s="146" t="s">
        <v>193</v>
      </c>
    </row>
    <row r="3" spans="1:16">
      <c r="A3" s="46" t="s">
        <v>177</v>
      </c>
      <c r="B3" s="49">
        <v>150</v>
      </c>
      <c r="D3" s="46" t="s">
        <v>308</v>
      </c>
      <c r="E3" s="49"/>
      <c r="F3" s="49">
        <v>152.83000000000001</v>
      </c>
      <c r="I3" s="46" t="s">
        <v>313</v>
      </c>
      <c r="J3" s="49">
        <v>220</v>
      </c>
      <c r="L3" s="44" t="s">
        <v>314</v>
      </c>
      <c r="M3" s="44">
        <v>34450</v>
      </c>
      <c r="O3" s="46" t="s">
        <v>317</v>
      </c>
      <c r="P3" s="46">
        <v>7000</v>
      </c>
    </row>
    <row r="4" spans="1:16">
      <c r="A4" s="46" t="s">
        <v>187</v>
      </c>
      <c r="B4" s="49">
        <f>[6]Feuil1!L16</f>
        <v>347.22222222222229</v>
      </c>
      <c r="D4" s="46" t="s">
        <v>169</v>
      </c>
      <c r="E4" s="49"/>
      <c r="F4" s="49">
        <v>297.83999999999997</v>
      </c>
      <c r="I4" s="46" t="s">
        <v>182</v>
      </c>
      <c r="J4" s="49">
        <v>3</v>
      </c>
      <c r="L4" s="46" t="s">
        <v>315</v>
      </c>
      <c r="M4" s="46">
        <v>18000</v>
      </c>
      <c r="O4" s="46">
        <v>1</v>
      </c>
      <c r="P4" s="46">
        <v>7170</v>
      </c>
    </row>
    <row r="5" spans="1:16">
      <c r="A5" s="46" t="s">
        <v>188</v>
      </c>
      <c r="B5" s="49">
        <f>[6]Feuil1!L29-B4</f>
        <v>44.4444444444444</v>
      </c>
      <c r="D5" s="46"/>
      <c r="E5" s="49"/>
      <c r="F5" s="49"/>
      <c r="I5" s="46" t="s">
        <v>183</v>
      </c>
      <c r="J5" s="49">
        <v>50</v>
      </c>
      <c r="L5" s="46" t="s">
        <v>316</v>
      </c>
      <c r="M5" s="46">
        <v>20000</v>
      </c>
      <c r="O5" s="46">
        <v>2</v>
      </c>
      <c r="P5" s="46">
        <f>8890-P4</f>
        <v>1720</v>
      </c>
    </row>
    <row r="6" spans="1:16">
      <c r="A6" s="46" t="s">
        <v>19</v>
      </c>
      <c r="B6" s="49">
        <v>700</v>
      </c>
      <c r="D6" s="46"/>
      <c r="E6" s="49"/>
      <c r="F6" s="49"/>
      <c r="I6" s="46" t="s">
        <v>7</v>
      </c>
      <c r="J6" s="49">
        <v>21</v>
      </c>
      <c r="L6" s="46" t="s">
        <v>191</v>
      </c>
      <c r="M6" s="46">
        <v>13300</v>
      </c>
      <c r="O6" s="46" t="s">
        <v>194</v>
      </c>
      <c r="P6" s="46">
        <v>2400</v>
      </c>
    </row>
    <row r="7" spans="1:16">
      <c r="A7" s="46" t="s">
        <v>176</v>
      </c>
      <c r="B7" s="49">
        <v>200</v>
      </c>
      <c r="D7" s="46"/>
      <c r="E7" s="49"/>
      <c r="F7" s="49"/>
      <c r="I7" s="46" t="s">
        <v>179</v>
      </c>
      <c r="J7" s="49">
        <v>150</v>
      </c>
      <c r="L7" s="46"/>
      <c r="M7" s="46"/>
      <c r="O7" s="46" t="s">
        <v>205</v>
      </c>
      <c r="P7" s="46">
        <v>10000</v>
      </c>
    </row>
    <row r="8" spans="1:16">
      <c r="A8" s="46" t="s">
        <v>309</v>
      </c>
      <c r="B8" s="49">
        <v>500</v>
      </c>
      <c r="D8" s="46"/>
      <c r="E8" s="49"/>
      <c r="F8" s="49"/>
      <c r="I8" s="46" t="s">
        <v>184</v>
      </c>
      <c r="J8" s="49">
        <v>95</v>
      </c>
      <c r="L8" s="46"/>
      <c r="M8" s="46"/>
      <c r="O8" s="46"/>
      <c r="P8" s="46"/>
    </row>
    <row r="9" spans="1:16">
      <c r="A9" s="46" t="s">
        <v>172</v>
      </c>
      <c r="B9" s="49">
        <v>15</v>
      </c>
      <c r="D9" s="46"/>
      <c r="E9" s="49"/>
      <c r="F9" s="49"/>
      <c r="I9" s="46" t="s">
        <v>180</v>
      </c>
      <c r="J9" s="49">
        <v>32.5</v>
      </c>
      <c r="L9" s="46"/>
      <c r="M9" s="46"/>
      <c r="O9" s="46"/>
      <c r="P9" s="46"/>
    </row>
    <row r="10" spans="1:16">
      <c r="A10" s="46" t="s">
        <v>310</v>
      </c>
      <c r="B10" s="49">
        <v>200</v>
      </c>
      <c r="D10" s="46"/>
      <c r="E10" s="49"/>
      <c r="F10" s="49"/>
      <c r="I10" s="46" t="s">
        <v>181</v>
      </c>
      <c r="J10" s="49">
        <v>205</v>
      </c>
      <c r="L10" s="46"/>
      <c r="M10" s="46"/>
      <c r="O10" s="46"/>
      <c r="P10" s="46"/>
    </row>
    <row r="11" spans="1:16">
      <c r="A11" s="46" t="s">
        <v>175</v>
      </c>
      <c r="B11" s="49">
        <v>250</v>
      </c>
      <c r="D11" s="46"/>
      <c r="E11" s="49"/>
      <c r="F11" s="49">
        <f>SUM(F3:F10)</f>
        <v>450.66999999999996</v>
      </c>
      <c r="I11" s="46"/>
      <c r="J11" s="49"/>
      <c r="L11" s="46"/>
      <c r="M11" s="46"/>
      <c r="O11" s="46"/>
      <c r="P11" s="46"/>
    </row>
    <row r="12" spans="1:16">
      <c r="A12" s="46" t="s">
        <v>14</v>
      </c>
      <c r="B12" s="49">
        <v>220</v>
      </c>
      <c r="D12" s="46" t="s">
        <v>87</v>
      </c>
      <c r="E12" s="49"/>
      <c r="F12" s="279">
        <f>F11/1.196</f>
        <v>376.81438127090297</v>
      </c>
      <c r="I12" s="46"/>
      <c r="J12" s="49"/>
      <c r="L12" s="46"/>
      <c r="M12" s="46"/>
      <c r="O12" s="46"/>
      <c r="P12" s="46"/>
    </row>
    <row r="13" spans="1:16">
      <c r="A13" s="46" t="s">
        <v>171</v>
      </c>
      <c r="B13" s="49">
        <v>70</v>
      </c>
      <c r="I13" s="46"/>
      <c r="J13" s="49"/>
      <c r="L13" s="46"/>
      <c r="M13" s="46"/>
      <c r="O13" s="46"/>
      <c r="P13" s="46"/>
    </row>
    <row r="14" spans="1:16">
      <c r="A14" s="46" t="s">
        <v>170</v>
      </c>
      <c r="B14" s="49">
        <v>300</v>
      </c>
      <c r="I14" s="46" t="s">
        <v>87</v>
      </c>
      <c r="J14" s="279">
        <f>SUM(J3:J13)</f>
        <v>776.5</v>
      </c>
      <c r="L14" s="46" t="s">
        <v>87</v>
      </c>
      <c r="M14" s="279">
        <f>SUM(M2:M13)</f>
        <v>85750</v>
      </c>
      <c r="O14" s="46"/>
      <c r="P14" s="46"/>
    </row>
    <row r="15" spans="1:16">
      <c r="A15" s="46" t="s">
        <v>34</v>
      </c>
      <c r="B15" s="49">
        <v>100</v>
      </c>
      <c r="D15" s="311"/>
      <c r="E15" s="311"/>
      <c r="F15" s="311"/>
      <c r="L15" s="46"/>
      <c r="M15" s="46"/>
      <c r="O15" s="46"/>
      <c r="P15" s="46"/>
    </row>
    <row r="16" spans="1:16">
      <c r="A16" s="46" t="s">
        <v>174</v>
      </c>
      <c r="B16" s="49">
        <v>200</v>
      </c>
      <c r="D16" s="36"/>
      <c r="E16" s="36"/>
      <c r="F16" s="36"/>
      <c r="I16" s="312" t="s">
        <v>311</v>
      </c>
      <c r="J16" s="312"/>
      <c r="L16" s="46" t="s">
        <v>289</v>
      </c>
      <c r="M16" s="280">
        <f>M14/6</f>
        <v>14291.666666666666</v>
      </c>
      <c r="O16" s="46" t="s">
        <v>87</v>
      </c>
      <c r="P16" s="279">
        <f>SUM(P3:P15)</f>
        <v>28290</v>
      </c>
    </row>
    <row r="17" spans="1:10">
      <c r="A17" s="46" t="s">
        <v>173</v>
      </c>
      <c r="B17" s="49">
        <v>200</v>
      </c>
      <c r="I17" s="146" t="s">
        <v>165</v>
      </c>
      <c r="J17" s="147" t="s">
        <v>178</v>
      </c>
    </row>
    <row r="18" spans="1:10">
      <c r="A18" s="46" t="s">
        <v>199</v>
      </c>
      <c r="B18" s="49">
        <v>300</v>
      </c>
      <c r="I18" s="46" t="s">
        <v>201</v>
      </c>
      <c r="J18" s="49">
        <v>15000</v>
      </c>
    </row>
    <row r="19" spans="1:10">
      <c r="A19" s="46"/>
      <c r="B19" s="49"/>
      <c r="I19" s="46" t="s">
        <v>17</v>
      </c>
      <c r="J19" s="49">
        <v>35000</v>
      </c>
    </row>
    <row r="20" spans="1:10">
      <c r="A20" s="46"/>
      <c r="B20" s="49"/>
      <c r="I20" s="46" t="s">
        <v>202</v>
      </c>
      <c r="J20" s="49">
        <v>4000</v>
      </c>
    </row>
    <row r="21" spans="1:10">
      <c r="A21" s="46" t="s">
        <v>186</v>
      </c>
      <c r="B21" s="279">
        <f>SUM(B3:B20)</f>
        <v>3796.666666666667</v>
      </c>
      <c r="I21" s="46"/>
      <c r="J21" s="49"/>
    </row>
    <row r="22" spans="1:10">
      <c r="I22" s="46"/>
      <c r="J22" s="49"/>
    </row>
    <row r="23" spans="1:10">
      <c r="I23" s="46"/>
      <c r="J23" s="49"/>
    </row>
    <row r="24" spans="1:10">
      <c r="I24" s="46" t="s">
        <v>87</v>
      </c>
      <c r="J24" s="279">
        <f>SUM(J18:J23)</f>
        <v>54000</v>
      </c>
    </row>
    <row r="25" spans="1:10">
      <c r="I25" s="46" t="s">
        <v>289</v>
      </c>
      <c r="J25" s="279">
        <f>J24/6</f>
        <v>9000</v>
      </c>
    </row>
  </sheetData>
  <sortState ref="I3:J10">
    <sortCondition ref="I3"/>
  </sortState>
  <mergeCells count="7">
    <mergeCell ref="D15:F15"/>
    <mergeCell ref="I16:J16"/>
    <mergeCell ref="O1:P1"/>
    <mergeCell ref="A1:B1"/>
    <mergeCell ref="D1:F1"/>
    <mergeCell ref="I1:J1"/>
    <mergeCell ref="L1:M1"/>
  </mergeCells>
  <pageMargins left="0.7" right="0.7" top="0.75" bottom="0.75" header="0.3" footer="0.3"/>
  <pageSetup paperSize="9" scale="6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L80"/>
  <sheetViews>
    <sheetView topLeftCell="A9" zoomScaleSheetLayoutView="40" zoomScalePageLayoutView="25" workbookViewId="0">
      <selection activeCell="Y41" sqref="Y41"/>
    </sheetView>
  </sheetViews>
  <sheetFormatPr baseColWidth="10" defaultRowHeight="15"/>
  <cols>
    <col min="1" max="1" width="10.140625" style="2" customWidth="1"/>
    <col min="2" max="2" width="10.140625" style="1" customWidth="1"/>
    <col min="3" max="7" width="10.140625" style="2" customWidth="1"/>
    <col min="8" max="12" width="10.28515625" style="2" customWidth="1"/>
    <col min="13" max="15" width="10.28515625" customWidth="1"/>
    <col min="16" max="16" width="30" style="150" customWidth="1"/>
    <col min="17" max="36" width="10.28515625" customWidth="1"/>
  </cols>
  <sheetData>
    <row r="1" spans="1:38" ht="6.6" customHeight="1">
      <c r="A1" s="103"/>
      <c r="B1" s="189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82"/>
      <c r="N1" s="82"/>
      <c r="O1" s="82"/>
      <c r="P1" s="195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</row>
    <row r="2" spans="1:38" ht="6.6" customHeight="1">
      <c r="A2" s="103"/>
      <c r="B2" s="189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82"/>
      <c r="N2" s="82"/>
      <c r="O2" s="82"/>
      <c r="P2" s="195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</row>
    <row r="3" spans="1:38" ht="6.6" customHeight="1" thickBot="1">
      <c r="A3" s="103"/>
      <c r="B3" s="189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82"/>
      <c r="N3" s="82"/>
      <c r="O3" s="196"/>
      <c r="P3" s="195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</row>
    <row r="4" spans="1:38" ht="16.5" thickTop="1" thickBot="1">
      <c r="A4" s="315" t="s">
        <v>297</v>
      </c>
      <c r="B4" s="316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7"/>
      <c r="O4" s="197"/>
      <c r="P4" s="198"/>
      <c r="Q4" s="82"/>
      <c r="R4" s="82"/>
      <c r="S4" s="318" t="s">
        <v>240</v>
      </c>
      <c r="T4" s="319"/>
      <c r="U4" s="319"/>
      <c r="V4" s="319"/>
      <c r="W4" s="319"/>
      <c r="X4" s="319"/>
      <c r="Y4" s="319"/>
      <c r="Z4" s="320"/>
      <c r="AA4" s="199"/>
      <c r="AB4" s="318" t="s">
        <v>278</v>
      </c>
      <c r="AC4" s="319"/>
      <c r="AD4" s="319"/>
      <c r="AE4" s="319"/>
      <c r="AF4" s="319"/>
      <c r="AG4" s="319"/>
      <c r="AH4" s="319"/>
      <c r="AI4" s="320"/>
      <c r="AJ4" s="199"/>
      <c r="AK4" s="82"/>
      <c r="AL4" s="82"/>
    </row>
    <row r="5" spans="1:38" ht="53.45" customHeight="1" thickTop="1">
      <c r="A5" s="151" t="s">
        <v>211</v>
      </c>
      <c r="B5" s="152" t="s">
        <v>212</v>
      </c>
      <c r="C5" s="153" t="s">
        <v>213</v>
      </c>
      <c r="D5" s="153" t="s">
        <v>214</v>
      </c>
      <c r="E5" s="153" t="s">
        <v>215</v>
      </c>
      <c r="F5" s="153" t="s">
        <v>216</v>
      </c>
      <c r="G5" s="153" t="s">
        <v>217</v>
      </c>
      <c r="H5" s="153" t="s">
        <v>218</v>
      </c>
      <c r="I5" s="153" t="s">
        <v>219</v>
      </c>
      <c r="J5" s="154" t="s">
        <v>220</v>
      </c>
      <c r="K5" s="154" t="s">
        <v>221</v>
      </c>
      <c r="L5" s="154" t="s">
        <v>222</v>
      </c>
      <c r="M5" s="155" t="s">
        <v>223</v>
      </c>
      <c r="N5" s="156" t="s">
        <v>224</v>
      </c>
      <c r="O5" s="200"/>
      <c r="P5" s="201" t="s">
        <v>211</v>
      </c>
      <c r="Q5" s="202" t="s">
        <v>241</v>
      </c>
      <c r="R5" s="203" t="s">
        <v>242</v>
      </c>
      <c r="S5" s="204" t="s">
        <v>243</v>
      </c>
      <c r="T5" s="202" t="s">
        <v>244</v>
      </c>
      <c r="U5" s="202" t="s">
        <v>245</v>
      </c>
      <c r="V5" s="202" t="s">
        <v>246</v>
      </c>
      <c r="W5" s="202" t="s">
        <v>247</v>
      </c>
      <c r="X5" s="202" t="s">
        <v>248</v>
      </c>
      <c r="Y5" s="202" t="s">
        <v>249</v>
      </c>
      <c r="Z5" s="203" t="s">
        <v>250</v>
      </c>
      <c r="AA5" s="205" t="s">
        <v>251</v>
      </c>
      <c r="AB5" s="204" t="s">
        <v>243</v>
      </c>
      <c r="AC5" s="202" t="s">
        <v>244</v>
      </c>
      <c r="AD5" s="202" t="s">
        <v>245</v>
      </c>
      <c r="AE5" s="202" t="s">
        <v>246</v>
      </c>
      <c r="AF5" s="202" t="s">
        <v>247</v>
      </c>
      <c r="AG5" s="202" t="s">
        <v>252</v>
      </c>
      <c r="AH5" s="202" t="s">
        <v>249</v>
      </c>
      <c r="AI5" s="203" t="s">
        <v>250</v>
      </c>
      <c r="AJ5" s="246" t="s">
        <v>251</v>
      </c>
      <c r="AK5" s="195"/>
      <c r="AL5" s="195"/>
    </row>
    <row r="6" spans="1:38">
      <c r="A6" s="157" t="s">
        <v>225</v>
      </c>
      <c r="B6" s="158" t="s">
        <v>226</v>
      </c>
      <c r="C6" s="159" t="s">
        <v>227</v>
      </c>
      <c r="D6" s="159" t="s">
        <v>228</v>
      </c>
      <c r="E6" s="159" t="s">
        <v>229</v>
      </c>
      <c r="F6" s="159" t="s">
        <v>228</v>
      </c>
      <c r="G6" s="159" t="s">
        <v>230</v>
      </c>
      <c r="H6" s="159" t="s">
        <v>231</v>
      </c>
      <c r="I6" s="159" t="s">
        <v>232</v>
      </c>
      <c r="J6" s="160" t="s">
        <v>233</v>
      </c>
      <c r="K6" s="160" t="s">
        <v>234</v>
      </c>
      <c r="L6" s="161" t="s">
        <v>235</v>
      </c>
      <c r="M6" s="162" t="s">
        <v>236</v>
      </c>
      <c r="N6" s="163" t="s">
        <v>237</v>
      </c>
      <c r="O6" s="206"/>
      <c r="P6" s="207"/>
      <c r="Q6" s="208"/>
      <c r="R6" s="209"/>
      <c r="S6" s="210"/>
      <c r="T6" s="208"/>
      <c r="U6" s="208"/>
      <c r="V6" s="208"/>
      <c r="W6" s="208"/>
      <c r="X6" s="208"/>
      <c r="Y6" s="208"/>
      <c r="Z6" s="209"/>
      <c r="AA6" s="211"/>
      <c r="AB6" s="210"/>
      <c r="AC6" s="208"/>
      <c r="AD6" s="208"/>
      <c r="AE6" s="208"/>
      <c r="AF6" s="208"/>
      <c r="AG6" s="208"/>
      <c r="AH6" s="208"/>
      <c r="AI6" s="209"/>
      <c r="AJ6" s="247"/>
      <c r="AK6" s="248"/>
      <c r="AL6" s="248"/>
    </row>
    <row r="7" spans="1:38">
      <c r="A7" s="164" t="s">
        <v>291</v>
      </c>
      <c r="B7" s="165">
        <v>40000</v>
      </c>
      <c r="C7" s="166">
        <f>B7*1.196</f>
        <v>47840</v>
      </c>
      <c r="D7" s="167">
        <v>2</v>
      </c>
      <c r="E7" s="168">
        <f>B7*D7</f>
        <v>80000</v>
      </c>
      <c r="F7" s="144">
        <f t="shared" ref="F7:F11" ca="1" si="0">INDIRECT("Q28")</f>
        <v>6</v>
      </c>
      <c r="G7" s="166">
        <f ca="1">B7/F7</f>
        <v>6666.666666666667</v>
      </c>
      <c r="H7" s="166">
        <f ca="1">G7/12</f>
        <v>555.55555555555554</v>
      </c>
      <c r="I7" s="166">
        <f ca="1">H7/47.3*1.5</f>
        <v>17.618040873854827</v>
      </c>
      <c r="J7" s="169">
        <f ca="1">I7*D7</f>
        <v>35.236081747709655</v>
      </c>
      <c r="K7" s="170">
        <f t="shared" ref="K7:K11" ca="1" si="1">H7*D7*(INDIRECT("Q32")/100)</f>
        <v>277.77777777777777</v>
      </c>
      <c r="L7" s="170">
        <f t="shared" ref="L7:L11" ca="1" si="2">H7*D7*(INDIRECT("Q34")/100)</f>
        <v>44.444444444444443</v>
      </c>
      <c r="M7" s="171">
        <f t="shared" ref="M7:M8" ca="1" si="3">J7*(INDIRECT("Q26")/100+1)</f>
        <v>45.454545454545453</v>
      </c>
      <c r="N7" s="172">
        <f ca="1">D7*H7</f>
        <v>1111.1111111111111</v>
      </c>
      <c r="O7" s="212"/>
      <c r="P7" s="201" t="s">
        <v>300</v>
      </c>
      <c r="Q7" s="168">
        <v>0</v>
      </c>
      <c r="R7" s="213">
        <f>(Q7*1/0.75)+(Q7*1/0.75*0.4)</f>
        <v>0</v>
      </c>
      <c r="S7" s="164">
        <v>0</v>
      </c>
      <c r="T7" s="144">
        <v>3</v>
      </c>
      <c r="U7" s="168">
        <v>0</v>
      </c>
      <c r="V7" s="168">
        <f>R7/161.5+U7/1135.2</f>
        <v>0</v>
      </c>
      <c r="W7" s="168">
        <f>V7*1.2</f>
        <v>0</v>
      </c>
      <c r="X7" s="168">
        <f>V7*0.55+W7</f>
        <v>0</v>
      </c>
      <c r="Y7" s="168">
        <f t="shared" ref="Y7:Y15" si="4">X7*S7</f>
        <v>0</v>
      </c>
      <c r="Z7" s="214">
        <f>Y7*47.3</f>
        <v>0</v>
      </c>
      <c r="AA7" s="215">
        <f>Y7*(Q30/100+1)</f>
        <v>0</v>
      </c>
      <c r="AB7" s="164">
        <v>1</v>
      </c>
      <c r="AC7" s="144">
        <v>3</v>
      </c>
      <c r="AD7" s="168">
        <v>4100</v>
      </c>
      <c r="AE7" s="168">
        <f>R7/161.5+U7/1135.2</f>
        <v>0</v>
      </c>
      <c r="AF7" s="168">
        <f>AE7*1.2</f>
        <v>0</v>
      </c>
      <c r="AG7" s="168">
        <f t="shared" ref="AG7:AG15" si="5">AE7*0.55+AF7</f>
        <v>0</v>
      </c>
      <c r="AH7" s="168">
        <f>AG7*AB7</f>
        <v>0</v>
      </c>
      <c r="AI7" s="214">
        <f>AH7*47.3</f>
        <v>0</v>
      </c>
      <c r="AJ7" s="215">
        <f>AH7*1.2</f>
        <v>0</v>
      </c>
      <c r="AK7" s="82"/>
      <c r="AL7" s="82"/>
    </row>
    <row r="8" spans="1:38">
      <c r="A8" s="164" t="s">
        <v>292</v>
      </c>
      <c r="B8" s="165">
        <v>150000</v>
      </c>
      <c r="C8" s="166">
        <f t="shared" ref="C8:C13" si="6">B8*1.196</f>
        <v>179400</v>
      </c>
      <c r="D8" s="167">
        <v>2</v>
      </c>
      <c r="E8" s="168">
        <f t="shared" ref="E8:E13" si="7">B8*D8</f>
        <v>300000</v>
      </c>
      <c r="F8" s="144">
        <f t="shared" ca="1" si="0"/>
        <v>6</v>
      </c>
      <c r="G8" s="166">
        <f t="shared" ref="G8:G13" ca="1" si="8">B8/F8</f>
        <v>25000</v>
      </c>
      <c r="H8" s="166">
        <f t="shared" ref="H8:H13" ca="1" si="9">G8/12</f>
        <v>2083.3333333333335</v>
      </c>
      <c r="I8" s="166">
        <f t="shared" ref="I8:I13" ca="1" si="10">H8/47.3*1.5</f>
        <v>66.06765327695561</v>
      </c>
      <c r="J8" s="169">
        <f t="shared" ref="J8:J13" ca="1" si="11">I8*D8</f>
        <v>132.13530655391122</v>
      </c>
      <c r="K8" s="170">
        <f t="shared" ca="1" si="1"/>
        <v>1041.6666666666667</v>
      </c>
      <c r="L8" s="170">
        <f t="shared" ca="1" si="2"/>
        <v>166.66666666666669</v>
      </c>
      <c r="M8" s="171">
        <f t="shared" ca="1" si="3"/>
        <v>170.45454545454547</v>
      </c>
      <c r="N8" s="172">
        <f t="shared" ref="N8:N13" ca="1" si="12">D8*H8</f>
        <v>4166.666666666667</v>
      </c>
      <c r="O8" s="212"/>
      <c r="P8" s="201" t="s">
        <v>301</v>
      </c>
      <c r="Q8" s="168">
        <v>1500</v>
      </c>
      <c r="R8" s="213">
        <f t="shared" ref="R8:R11" si="13">(Q8*1/0.75)+(Q8*1/0.75*0.4)</f>
        <v>2800</v>
      </c>
      <c r="S8" s="164">
        <v>5</v>
      </c>
      <c r="T8" s="144">
        <v>6</v>
      </c>
      <c r="U8" s="168">
        <v>5000</v>
      </c>
      <c r="V8" s="168">
        <f>R8/161.5+U8/1135.2</f>
        <v>21.741971518773305</v>
      </c>
      <c r="W8" s="168">
        <f t="shared" ref="W8:W15" si="14">V8*1.2</f>
        <v>26.090365822527964</v>
      </c>
      <c r="X8" s="168">
        <f t="shared" ref="X8:X15" si="15">V8*0.55+W8</f>
        <v>38.048450157853281</v>
      </c>
      <c r="Y8" s="168">
        <f t="shared" si="4"/>
        <v>190.24225078926639</v>
      </c>
      <c r="Z8" s="214">
        <f t="shared" ref="Z8:Z15" si="16">Y8*47.3</f>
        <v>8998.458462332299</v>
      </c>
      <c r="AA8" s="215">
        <f>Y8*(Q30/100+1)</f>
        <v>247.31492602604632</v>
      </c>
      <c r="AB8" s="164">
        <v>10</v>
      </c>
      <c r="AC8" s="144">
        <v>12</v>
      </c>
      <c r="AD8" s="168">
        <v>600</v>
      </c>
      <c r="AE8" s="168">
        <f t="shared" ref="AE8:AE15" si="17">R8/161.5+U8/1135.2</f>
        <v>21.741971518773305</v>
      </c>
      <c r="AF8" s="168">
        <f t="shared" ref="AF8:AF15" si="18">AE8*1.2</f>
        <v>26.090365822527964</v>
      </c>
      <c r="AG8" s="168">
        <f t="shared" si="5"/>
        <v>38.048450157853281</v>
      </c>
      <c r="AH8" s="168">
        <f t="shared" ref="AH8:AH15" si="19">AG8*AB8</f>
        <v>380.48450157853279</v>
      </c>
      <c r="AI8" s="214">
        <f t="shared" ref="AI8:AI15" si="20">AH8*47.3</f>
        <v>17996.916924664598</v>
      </c>
      <c r="AJ8" s="215">
        <f t="shared" ref="AJ8:AJ15" si="21">AH8*1.2</f>
        <v>456.58140189423932</v>
      </c>
      <c r="AK8" s="82"/>
      <c r="AL8" s="82"/>
    </row>
    <row r="9" spans="1:38">
      <c r="A9" s="164" t="s">
        <v>293</v>
      </c>
      <c r="B9" s="165">
        <v>45000</v>
      </c>
      <c r="C9" s="166">
        <f t="shared" si="6"/>
        <v>53820</v>
      </c>
      <c r="D9" s="167">
        <v>1</v>
      </c>
      <c r="E9" s="168">
        <f t="shared" si="7"/>
        <v>45000</v>
      </c>
      <c r="F9" s="144">
        <f t="shared" ca="1" si="0"/>
        <v>6</v>
      </c>
      <c r="G9" s="166">
        <f t="shared" ca="1" si="8"/>
        <v>7500</v>
      </c>
      <c r="H9" s="166">
        <f t="shared" ca="1" si="9"/>
        <v>625</v>
      </c>
      <c r="I9" s="166">
        <f t="shared" ca="1" si="10"/>
        <v>19.82029598308668</v>
      </c>
      <c r="J9" s="169">
        <f t="shared" ca="1" si="11"/>
        <v>19.82029598308668</v>
      </c>
      <c r="K9" s="170">
        <f t="shared" ca="1" si="1"/>
        <v>156.25</v>
      </c>
      <c r="L9" s="170">
        <f t="shared" ca="1" si="2"/>
        <v>25</v>
      </c>
      <c r="M9" s="171">
        <f ca="1">J9*(INDIRECT("Q26")/100+1)</f>
        <v>25.568181818181817</v>
      </c>
      <c r="N9" s="172">
        <f t="shared" ca="1" si="12"/>
        <v>625</v>
      </c>
      <c r="O9" s="212"/>
      <c r="P9" s="201" t="s">
        <v>302</v>
      </c>
      <c r="Q9" s="170">
        <v>2300</v>
      </c>
      <c r="R9" s="213">
        <f t="shared" si="13"/>
        <v>4293.333333333333</v>
      </c>
      <c r="S9" s="217">
        <v>0.33</v>
      </c>
      <c r="T9" s="218">
        <v>0</v>
      </c>
      <c r="U9" s="168">
        <v>10000</v>
      </c>
      <c r="V9" s="168">
        <f t="shared" ref="V9:V15" si="22">R9/161.5+U9/1135.2</f>
        <v>35.393127764068794</v>
      </c>
      <c r="W9" s="168">
        <f t="shared" si="14"/>
        <v>42.471753316882548</v>
      </c>
      <c r="X9" s="168">
        <f t="shared" si="15"/>
        <v>61.937973587120382</v>
      </c>
      <c r="Y9" s="168">
        <f t="shared" si="4"/>
        <v>20.439531283749726</v>
      </c>
      <c r="Z9" s="214">
        <f t="shared" si="16"/>
        <v>966.78982972136203</v>
      </c>
      <c r="AA9" s="215">
        <f t="shared" ref="AA9:AA15" si="23">Y9*1.2</f>
        <v>24.527437540499673</v>
      </c>
      <c r="AB9" s="217"/>
      <c r="AC9" s="218"/>
      <c r="AD9" s="170"/>
      <c r="AE9" s="168">
        <f t="shared" si="17"/>
        <v>35.393127764068794</v>
      </c>
      <c r="AF9" s="168">
        <f t="shared" si="18"/>
        <v>42.471753316882548</v>
      </c>
      <c r="AG9" s="168">
        <f t="shared" si="5"/>
        <v>61.937973587120382</v>
      </c>
      <c r="AH9" s="168">
        <f t="shared" si="19"/>
        <v>0</v>
      </c>
      <c r="AI9" s="214">
        <f t="shared" si="20"/>
        <v>0</v>
      </c>
      <c r="AJ9" s="215">
        <f t="shared" si="21"/>
        <v>0</v>
      </c>
      <c r="AK9" s="82"/>
      <c r="AL9" s="82"/>
    </row>
    <row r="10" spans="1:38">
      <c r="A10" s="164" t="s">
        <v>294</v>
      </c>
      <c r="B10" s="165">
        <v>7000</v>
      </c>
      <c r="C10" s="166">
        <f t="shared" si="6"/>
        <v>8372</v>
      </c>
      <c r="D10" s="167">
        <v>2</v>
      </c>
      <c r="E10" s="168">
        <f t="shared" si="7"/>
        <v>14000</v>
      </c>
      <c r="F10" s="144">
        <f t="shared" ca="1" si="0"/>
        <v>6</v>
      </c>
      <c r="G10" s="166">
        <f t="shared" ca="1" si="8"/>
        <v>1166.6666666666667</v>
      </c>
      <c r="H10" s="166">
        <f t="shared" ca="1" si="9"/>
        <v>97.222222222222229</v>
      </c>
      <c r="I10" s="166">
        <f t="shared" ca="1" si="10"/>
        <v>3.0831571529245951</v>
      </c>
      <c r="J10" s="169">
        <f t="shared" ca="1" si="11"/>
        <v>6.1663143058491903</v>
      </c>
      <c r="K10" s="170">
        <f t="shared" ca="1" si="1"/>
        <v>48.611111111111114</v>
      </c>
      <c r="L10" s="170"/>
      <c r="M10" s="171">
        <f t="shared" ref="M10:M13" ca="1" si="24">J10*(INDIRECT("Q26")/100+1)</f>
        <v>7.9545454545454559</v>
      </c>
      <c r="N10" s="172">
        <f t="shared" ca="1" si="12"/>
        <v>194.44444444444446</v>
      </c>
      <c r="O10" s="212"/>
      <c r="P10" s="201" t="s">
        <v>303</v>
      </c>
      <c r="Q10" s="170">
        <v>2300</v>
      </c>
      <c r="R10" s="213">
        <f t="shared" si="13"/>
        <v>4293.333333333333</v>
      </c>
      <c r="S10" s="217">
        <v>0.33</v>
      </c>
      <c r="T10" s="218">
        <v>0</v>
      </c>
      <c r="U10" s="168">
        <f>+U9</f>
        <v>10000</v>
      </c>
      <c r="V10" s="168">
        <f t="shared" si="22"/>
        <v>35.393127764068794</v>
      </c>
      <c r="W10" s="168">
        <f t="shared" si="14"/>
        <v>42.471753316882548</v>
      </c>
      <c r="X10" s="168">
        <f t="shared" si="15"/>
        <v>61.937973587120382</v>
      </c>
      <c r="Y10" s="168">
        <f t="shared" si="4"/>
        <v>20.439531283749726</v>
      </c>
      <c r="Z10" s="214">
        <f t="shared" si="16"/>
        <v>966.78982972136203</v>
      </c>
      <c r="AA10" s="215">
        <f t="shared" si="23"/>
        <v>24.527437540499673</v>
      </c>
      <c r="AB10" s="217"/>
      <c r="AC10" s="218"/>
      <c r="AD10" s="170"/>
      <c r="AE10" s="168">
        <f t="shared" si="17"/>
        <v>35.393127764068794</v>
      </c>
      <c r="AF10" s="168">
        <f t="shared" si="18"/>
        <v>42.471753316882548</v>
      </c>
      <c r="AG10" s="168">
        <f t="shared" si="5"/>
        <v>61.937973587120382</v>
      </c>
      <c r="AH10" s="168">
        <f t="shared" si="19"/>
        <v>0</v>
      </c>
      <c r="AI10" s="214">
        <f t="shared" si="20"/>
        <v>0</v>
      </c>
      <c r="AJ10" s="215">
        <f t="shared" si="21"/>
        <v>0</v>
      </c>
      <c r="AK10" s="82"/>
      <c r="AL10" s="82"/>
    </row>
    <row r="11" spans="1:38">
      <c r="A11" s="164" t="s">
        <v>295</v>
      </c>
      <c r="B11" s="165">
        <v>120000</v>
      </c>
      <c r="C11" s="166">
        <f t="shared" si="6"/>
        <v>143520</v>
      </c>
      <c r="D11" s="167">
        <v>1</v>
      </c>
      <c r="E11" s="168">
        <f t="shared" si="7"/>
        <v>120000</v>
      </c>
      <c r="F11" s="144">
        <f t="shared" ca="1" si="0"/>
        <v>6</v>
      </c>
      <c r="G11" s="166">
        <f t="shared" ca="1" si="8"/>
        <v>20000</v>
      </c>
      <c r="H11" s="166">
        <f t="shared" ca="1" si="9"/>
        <v>1666.6666666666667</v>
      </c>
      <c r="I11" s="166">
        <f t="shared" ca="1" si="10"/>
        <v>52.854122621564493</v>
      </c>
      <c r="J11" s="169">
        <f t="shared" ca="1" si="11"/>
        <v>52.854122621564493</v>
      </c>
      <c r="K11" s="170">
        <f t="shared" ca="1" si="1"/>
        <v>416.66666666666669</v>
      </c>
      <c r="L11" s="170">
        <f t="shared" ca="1" si="2"/>
        <v>66.666666666666671</v>
      </c>
      <c r="M11" s="171">
        <f t="shared" ca="1" si="24"/>
        <v>68.181818181818201</v>
      </c>
      <c r="N11" s="172">
        <f t="shared" ca="1" si="12"/>
        <v>1666.6666666666667</v>
      </c>
      <c r="O11" s="212"/>
      <c r="P11" s="201" t="s">
        <v>304</v>
      </c>
      <c r="Q11" s="170">
        <v>2200</v>
      </c>
      <c r="R11" s="213">
        <f t="shared" si="13"/>
        <v>4106.666666666667</v>
      </c>
      <c r="S11" s="217">
        <v>0.33</v>
      </c>
      <c r="T11" s="218">
        <v>1</v>
      </c>
      <c r="U11" s="168">
        <f>+U10</f>
        <v>10000</v>
      </c>
      <c r="V11" s="168">
        <f t="shared" si="22"/>
        <v>34.237297010714826</v>
      </c>
      <c r="W11" s="168">
        <f t="shared" si="14"/>
        <v>41.084756412857793</v>
      </c>
      <c r="X11" s="168">
        <f t="shared" si="15"/>
        <v>59.915269768750946</v>
      </c>
      <c r="Y11" s="168">
        <f t="shared" si="4"/>
        <v>19.772039023687814</v>
      </c>
      <c r="Z11" s="214">
        <f t="shared" si="16"/>
        <v>935.21744582043357</v>
      </c>
      <c r="AA11" s="215">
        <f t="shared" si="23"/>
        <v>23.726446828425377</v>
      </c>
      <c r="AB11" s="217"/>
      <c r="AC11" s="218"/>
      <c r="AD11" s="170"/>
      <c r="AE11" s="168">
        <f t="shared" si="17"/>
        <v>34.237297010714826</v>
      </c>
      <c r="AF11" s="168">
        <f t="shared" si="18"/>
        <v>41.084756412857793</v>
      </c>
      <c r="AG11" s="168">
        <f t="shared" si="5"/>
        <v>59.915269768750946</v>
      </c>
      <c r="AH11" s="168">
        <f t="shared" si="19"/>
        <v>0</v>
      </c>
      <c r="AI11" s="214">
        <f t="shared" si="20"/>
        <v>0</v>
      </c>
      <c r="AJ11" s="215">
        <f t="shared" si="21"/>
        <v>0</v>
      </c>
      <c r="AK11" s="82"/>
      <c r="AL11" s="82"/>
    </row>
    <row r="12" spans="1:38">
      <c r="A12" s="164" t="s">
        <v>296</v>
      </c>
      <c r="B12" s="165">
        <v>40000</v>
      </c>
      <c r="C12" s="166">
        <f t="shared" si="6"/>
        <v>47840</v>
      </c>
      <c r="D12" s="144">
        <v>2</v>
      </c>
      <c r="E12" s="168">
        <f t="shared" si="7"/>
        <v>80000</v>
      </c>
      <c r="F12" s="144">
        <f ca="1">INDIRECT("Q28")</f>
        <v>6</v>
      </c>
      <c r="G12" s="166">
        <f t="shared" ca="1" si="8"/>
        <v>6666.666666666667</v>
      </c>
      <c r="H12" s="166">
        <f t="shared" ca="1" si="9"/>
        <v>555.55555555555554</v>
      </c>
      <c r="I12" s="166">
        <f t="shared" ca="1" si="10"/>
        <v>17.618040873854827</v>
      </c>
      <c r="J12" s="169">
        <f t="shared" ca="1" si="11"/>
        <v>35.236081747709655</v>
      </c>
      <c r="K12" s="170">
        <f ca="1">H12*D12*(INDIRECT("Q32")/100)</f>
        <v>277.77777777777777</v>
      </c>
      <c r="L12" s="170">
        <f ca="1">H12*D12*(INDIRECT("Q34")/100)</f>
        <v>44.444444444444443</v>
      </c>
      <c r="M12" s="171">
        <f t="shared" ca="1" si="24"/>
        <v>45.454545454545453</v>
      </c>
      <c r="N12" s="172">
        <f t="shared" ca="1" si="12"/>
        <v>1111.1111111111111</v>
      </c>
      <c r="O12" s="212"/>
      <c r="P12" s="201"/>
      <c r="Q12" s="170"/>
      <c r="R12" s="213"/>
      <c r="S12" s="217"/>
      <c r="T12" s="218"/>
      <c r="U12" s="170"/>
      <c r="V12" s="168">
        <f t="shared" si="22"/>
        <v>0</v>
      </c>
      <c r="W12" s="168">
        <f t="shared" si="14"/>
        <v>0</v>
      </c>
      <c r="X12" s="168">
        <f t="shared" si="15"/>
        <v>0</v>
      </c>
      <c r="Y12" s="168">
        <f t="shared" si="4"/>
        <v>0</v>
      </c>
      <c r="Z12" s="214">
        <f t="shared" si="16"/>
        <v>0</v>
      </c>
      <c r="AA12" s="215">
        <f t="shared" si="23"/>
        <v>0</v>
      </c>
      <c r="AB12" s="217"/>
      <c r="AC12" s="218"/>
      <c r="AD12" s="170"/>
      <c r="AE12" s="168">
        <f t="shared" si="17"/>
        <v>0</v>
      </c>
      <c r="AF12" s="168">
        <f t="shared" si="18"/>
        <v>0</v>
      </c>
      <c r="AG12" s="168">
        <f t="shared" si="5"/>
        <v>0</v>
      </c>
      <c r="AH12" s="168">
        <f t="shared" si="19"/>
        <v>0</v>
      </c>
      <c r="AI12" s="214">
        <f t="shared" si="20"/>
        <v>0</v>
      </c>
      <c r="AJ12" s="215">
        <f t="shared" si="21"/>
        <v>0</v>
      </c>
      <c r="AK12" s="82"/>
      <c r="AL12" s="82"/>
    </row>
    <row r="13" spans="1:38">
      <c r="A13" s="164" t="s">
        <v>238</v>
      </c>
      <c r="B13" s="165">
        <v>15000</v>
      </c>
      <c r="C13" s="168">
        <f t="shared" si="6"/>
        <v>17940</v>
      </c>
      <c r="D13" s="144">
        <v>2</v>
      </c>
      <c r="E13" s="168">
        <f t="shared" si="7"/>
        <v>30000</v>
      </c>
      <c r="F13" s="144">
        <f t="shared" ref="F13:F15" ca="1" si="25">INDIRECT("Q28")</f>
        <v>6</v>
      </c>
      <c r="G13" s="166">
        <f t="shared" ca="1" si="8"/>
        <v>2500</v>
      </c>
      <c r="H13" s="166">
        <f t="shared" ca="1" si="9"/>
        <v>208.33333333333334</v>
      </c>
      <c r="I13" s="166">
        <f t="shared" ca="1" si="10"/>
        <v>6.6067653276955616</v>
      </c>
      <c r="J13" s="169">
        <f t="shared" ca="1" si="11"/>
        <v>13.213530655391123</v>
      </c>
      <c r="K13" s="170"/>
      <c r="L13" s="170">
        <f t="shared" ref="L13" ca="1" si="26">H13*D13*(INDIRECT("Q34")/100)</f>
        <v>16.666666666666668</v>
      </c>
      <c r="M13" s="171">
        <f t="shared" ca="1" si="24"/>
        <v>17.04545454545455</v>
      </c>
      <c r="N13" s="172">
        <f t="shared" ca="1" si="12"/>
        <v>416.66666666666669</v>
      </c>
      <c r="O13" s="212"/>
      <c r="P13" s="201"/>
      <c r="Q13" s="170"/>
      <c r="R13" s="213"/>
      <c r="S13" s="217"/>
      <c r="T13" s="218"/>
      <c r="U13" s="170"/>
      <c r="V13" s="168">
        <f t="shared" si="22"/>
        <v>0</v>
      </c>
      <c r="W13" s="168">
        <f t="shared" si="14"/>
        <v>0</v>
      </c>
      <c r="X13" s="168">
        <f t="shared" si="15"/>
        <v>0</v>
      </c>
      <c r="Y13" s="168">
        <f t="shared" si="4"/>
        <v>0</v>
      </c>
      <c r="Z13" s="214">
        <f t="shared" si="16"/>
        <v>0</v>
      </c>
      <c r="AA13" s="215">
        <f t="shared" si="23"/>
        <v>0</v>
      </c>
      <c r="AB13" s="217"/>
      <c r="AC13" s="218"/>
      <c r="AD13" s="170"/>
      <c r="AE13" s="168">
        <f t="shared" si="17"/>
        <v>0</v>
      </c>
      <c r="AF13" s="168">
        <f t="shared" si="18"/>
        <v>0</v>
      </c>
      <c r="AG13" s="168">
        <f t="shared" si="5"/>
        <v>0</v>
      </c>
      <c r="AH13" s="168">
        <f t="shared" si="19"/>
        <v>0</v>
      </c>
      <c r="AI13" s="214">
        <f t="shared" si="20"/>
        <v>0</v>
      </c>
      <c r="AJ13" s="215">
        <f t="shared" si="21"/>
        <v>0</v>
      </c>
      <c r="AK13" s="82"/>
      <c r="AL13" s="82"/>
    </row>
    <row r="14" spans="1:38">
      <c r="A14" s="164"/>
      <c r="B14" s="173"/>
      <c r="C14" s="144"/>
      <c r="D14" s="144"/>
      <c r="E14" s="168"/>
      <c r="F14" s="144">
        <f t="shared" ca="1" si="25"/>
        <v>6</v>
      </c>
      <c r="G14" s="144"/>
      <c r="H14" s="144"/>
      <c r="I14" s="144"/>
      <c r="J14" s="174"/>
      <c r="K14" s="170"/>
      <c r="L14" s="170"/>
      <c r="M14" s="171"/>
      <c r="N14" s="172"/>
      <c r="O14" s="212"/>
      <c r="P14" s="216"/>
      <c r="Q14" s="170"/>
      <c r="R14" s="213"/>
      <c r="S14" s="217"/>
      <c r="T14" s="218"/>
      <c r="U14" s="170"/>
      <c r="V14" s="168">
        <f t="shared" si="22"/>
        <v>0</v>
      </c>
      <c r="W14" s="168">
        <f t="shared" si="14"/>
        <v>0</v>
      </c>
      <c r="X14" s="168">
        <f t="shared" si="15"/>
        <v>0</v>
      </c>
      <c r="Y14" s="168">
        <f t="shared" si="4"/>
        <v>0</v>
      </c>
      <c r="Z14" s="214">
        <f t="shared" si="16"/>
        <v>0</v>
      </c>
      <c r="AA14" s="215">
        <f t="shared" si="23"/>
        <v>0</v>
      </c>
      <c r="AB14" s="217"/>
      <c r="AC14" s="218"/>
      <c r="AD14" s="170"/>
      <c r="AE14" s="168">
        <f t="shared" si="17"/>
        <v>0</v>
      </c>
      <c r="AF14" s="168">
        <f t="shared" si="18"/>
        <v>0</v>
      </c>
      <c r="AG14" s="168">
        <f t="shared" si="5"/>
        <v>0</v>
      </c>
      <c r="AH14" s="168">
        <f t="shared" si="19"/>
        <v>0</v>
      </c>
      <c r="AI14" s="214">
        <f t="shared" si="20"/>
        <v>0</v>
      </c>
      <c r="AJ14" s="215">
        <f t="shared" si="21"/>
        <v>0</v>
      </c>
      <c r="AK14" s="82"/>
      <c r="AL14" s="82"/>
    </row>
    <row r="15" spans="1:38" ht="15.75" thickBot="1">
      <c r="A15" s="175"/>
      <c r="B15" s="176"/>
      <c r="C15" s="177"/>
      <c r="D15" s="177"/>
      <c r="E15" s="178"/>
      <c r="F15" s="177">
        <f t="shared" ca="1" si="25"/>
        <v>6</v>
      </c>
      <c r="G15" s="177"/>
      <c r="H15" s="177"/>
      <c r="I15" s="177"/>
      <c r="J15" s="179"/>
      <c r="K15" s="180"/>
      <c r="L15" s="180"/>
      <c r="M15" s="181"/>
      <c r="N15" s="182"/>
      <c r="O15" s="212"/>
      <c r="P15" s="216"/>
      <c r="Q15" s="170"/>
      <c r="R15" s="213"/>
      <c r="S15" s="217"/>
      <c r="T15" s="218"/>
      <c r="U15" s="170"/>
      <c r="V15" s="168">
        <f t="shared" si="22"/>
        <v>0</v>
      </c>
      <c r="W15" s="168">
        <f t="shared" si="14"/>
        <v>0</v>
      </c>
      <c r="X15" s="168">
        <f t="shared" si="15"/>
        <v>0</v>
      </c>
      <c r="Y15" s="168">
        <f t="shared" si="4"/>
        <v>0</v>
      </c>
      <c r="Z15" s="214">
        <f t="shared" si="16"/>
        <v>0</v>
      </c>
      <c r="AA15" s="215">
        <f t="shared" si="23"/>
        <v>0</v>
      </c>
      <c r="AB15" s="217"/>
      <c r="AC15" s="218"/>
      <c r="AD15" s="170"/>
      <c r="AE15" s="168">
        <f t="shared" si="17"/>
        <v>0</v>
      </c>
      <c r="AF15" s="168">
        <f t="shared" si="18"/>
        <v>0</v>
      </c>
      <c r="AG15" s="168">
        <f t="shared" si="5"/>
        <v>0</v>
      </c>
      <c r="AH15" s="168">
        <f t="shared" si="19"/>
        <v>0</v>
      </c>
      <c r="AI15" s="214">
        <f t="shared" si="20"/>
        <v>0</v>
      </c>
      <c r="AJ15" s="215">
        <f t="shared" si="21"/>
        <v>0</v>
      </c>
      <c r="AK15" s="82"/>
      <c r="AL15" s="82"/>
    </row>
    <row r="16" spans="1:38" ht="16.5" thickTop="1" thickBot="1">
      <c r="A16" s="183" t="s">
        <v>87</v>
      </c>
      <c r="B16" s="184">
        <f>SUM(B7:B15)</f>
        <v>417000</v>
      </c>
      <c r="C16" s="185">
        <f>SUM(C7:C15)</f>
        <v>498732</v>
      </c>
      <c r="D16" s="185"/>
      <c r="E16" s="185">
        <f>SUM(E7:E15)</f>
        <v>669000</v>
      </c>
      <c r="F16" s="183"/>
      <c r="G16" s="185">
        <f ca="1">SUM(G7:G15)</f>
        <v>69500</v>
      </c>
      <c r="H16" s="185">
        <f ca="1">SUM(H7:H15)</f>
        <v>5791.666666666667</v>
      </c>
      <c r="I16" s="185">
        <f ca="1">SUM(I7:I15)</f>
        <v>183.66807610993661</v>
      </c>
      <c r="J16" s="186">
        <f ca="1">SUM(J7:J15)</f>
        <v>294.66173361522203</v>
      </c>
      <c r="K16" s="186">
        <f ca="1">SUM(K7:K11)</f>
        <v>1940.9722222222224</v>
      </c>
      <c r="L16" s="186">
        <f ca="1">SUM(L7:L12)</f>
        <v>347.22222222222229</v>
      </c>
      <c r="M16" s="187">
        <f ca="1">SUM(M7:M15)</f>
        <v>380.11363636363643</v>
      </c>
      <c r="N16" s="188">
        <f ca="1">SUM(N7:N15)</f>
        <v>9291.6666666666661</v>
      </c>
      <c r="O16" s="212"/>
      <c r="P16" s="216"/>
      <c r="Q16" s="170"/>
      <c r="R16" s="213"/>
      <c r="S16" s="219"/>
      <c r="T16" s="220"/>
      <c r="U16" s="220"/>
      <c r="V16" s="221">
        <f>SUM(V7:V15)</f>
        <v>126.76552405762573</v>
      </c>
      <c r="W16" s="221">
        <f>SUM(W7:W15)</f>
        <v>152.11862886915085</v>
      </c>
      <c r="X16" s="221">
        <f>SUM(X7:X15)</f>
        <v>221.83966710084496</v>
      </c>
      <c r="Y16" s="222">
        <f>SUM(Y7:Y15)</f>
        <v>250.89335238045365</v>
      </c>
      <c r="Z16" s="223">
        <f>SUM(Z7:Z15)</f>
        <v>11867.255567595455</v>
      </c>
      <c r="AA16" s="224">
        <f>Y16*((Q30*0.01)+1)</f>
        <v>326.16135809458973</v>
      </c>
      <c r="AB16" s="219"/>
      <c r="AC16" s="220"/>
      <c r="AD16" s="220"/>
      <c r="AE16" s="221">
        <f>SUM(AE7:AE15)</f>
        <v>126.76552405762573</v>
      </c>
      <c r="AF16" s="221">
        <f>SUM(AF7:AF15)</f>
        <v>152.11862886915085</v>
      </c>
      <c r="AG16" s="221">
        <f>SUM(AG7:AG15)</f>
        <v>221.83966710084496</v>
      </c>
      <c r="AH16" s="222">
        <f>SUM(AH7:AH15)</f>
        <v>380.48450157853279</v>
      </c>
      <c r="AI16" s="223">
        <f>SUM(AI7:AI15)</f>
        <v>17996.916924664598</v>
      </c>
      <c r="AJ16" s="224">
        <f>AH16*((Q30*0.01)+1)</f>
        <v>494.62985205209264</v>
      </c>
      <c r="AK16" s="82"/>
      <c r="AL16" s="82"/>
    </row>
    <row r="17" spans="1:38" ht="16.5" thickTop="1" thickBot="1">
      <c r="A17" s="103"/>
      <c r="B17" s="189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82"/>
      <c r="N17" s="82"/>
      <c r="O17" s="82"/>
      <c r="P17" s="195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</row>
    <row r="18" spans="1:38" ht="16.5" thickTop="1" thickBot="1">
      <c r="A18" s="315" t="s">
        <v>298</v>
      </c>
      <c r="B18" s="316"/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7"/>
      <c r="O18" s="82"/>
      <c r="P18" s="195"/>
      <c r="Q18" s="82"/>
      <c r="R18" s="82"/>
      <c r="S18" s="321" t="s">
        <v>253</v>
      </c>
      <c r="T18" s="322"/>
      <c r="U18" s="32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</row>
    <row r="19" spans="1:38" ht="57" thickTop="1">
      <c r="A19" s="151" t="s">
        <v>211</v>
      </c>
      <c r="B19" s="152" t="s">
        <v>212</v>
      </c>
      <c r="C19" s="153" t="s">
        <v>213</v>
      </c>
      <c r="D19" s="153" t="s">
        <v>214</v>
      </c>
      <c r="E19" s="153" t="s">
        <v>215</v>
      </c>
      <c r="F19" s="153" t="s">
        <v>216</v>
      </c>
      <c r="G19" s="153" t="s">
        <v>217</v>
      </c>
      <c r="H19" s="153" t="s">
        <v>218</v>
      </c>
      <c r="I19" s="153" t="s">
        <v>219</v>
      </c>
      <c r="J19" s="154" t="s">
        <v>220</v>
      </c>
      <c r="K19" s="154" t="s">
        <v>221</v>
      </c>
      <c r="L19" s="154" t="s">
        <v>222</v>
      </c>
      <c r="M19" s="155" t="s">
        <v>239</v>
      </c>
      <c r="N19" s="156" t="s">
        <v>224</v>
      </c>
      <c r="O19" s="82"/>
      <c r="P19" s="195"/>
      <c r="Q19" s="82"/>
      <c r="R19" s="82"/>
      <c r="S19" s="217"/>
      <c r="T19" s="144" t="s">
        <v>254</v>
      </c>
      <c r="U19" s="225" t="s">
        <v>255</v>
      </c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</row>
    <row r="20" spans="1:38" ht="24" thickBot="1">
      <c r="A20" s="164" t="s">
        <v>291</v>
      </c>
      <c r="B20" s="165">
        <f t="shared" ref="B20:B22" si="27">B7</f>
        <v>40000</v>
      </c>
      <c r="C20" s="165">
        <f>B20*1.196</f>
        <v>47840</v>
      </c>
      <c r="D20" s="167">
        <v>4</v>
      </c>
      <c r="E20" s="168">
        <f t="shared" ref="E20:E27" si="28">B20*D20</f>
        <v>160000</v>
      </c>
      <c r="F20" s="144">
        <f t="shared" ref="F20:F28" ca="1" si="29">INDIRECT("Q28")</f>
        <v>6</v>
      </c>
      <c r="G20" s="166">
        <f ca="1">B20/F20</f>
        <v>6666.666666666667</v>
      </c>
      <c r="H20" s="166">
        <f ca="1">G20/12</f>
        <v>555.55555555555554</v>
      </c>
      <c r="I20" s="166">
        <f t="shared" ref="I20:I27" ca="1" si="30">H20/47.3*1.5</f>
        <v>17.618040873854827</v>
      </c>
      <c r="J20" s="169">
        <f ca="1">I20*D20</f>
        <v>70.472163495419309</v>
      </c>
      <c r="K20" s="170">
        <f t="shared" ref="K20:K26" ca="1" si="31">H20*D20*(INDIRECT("Q32")/100)</f>
        <v>555.55555555555554</v>
      </c>
      <c r="L20" s="170">
        <f t="shared" ref="L20:L27" ca="1" si="32">H20*D20*(INDIRECT("Q34")/100)</f>
        <v>88.888888888888886</v>
      </c>
      <c r="M20" s="171">
        <f t="shared" ref="M20:M27" ca="1" si="33">J20*(INDIRECT("Q26")/100+1)</f>
        <v>90.909090909090907</v>
      </c>
      <c r="N20" s="172">
        <f t="shared" ref="N20:N27" ca="1" si="34">D20*H20</f>
        <v>2222.2222222222222</v>
      </c>
      <c r="O20" s="226"/>
      <c r="P20" s="314" t="s">
        <v>256</v>
      </c>
      <c r="Q20" s="195"/>
      <c r="R20" s="195"/>
      <c r="S20" s="227" t="s">
        <v>257</v>
      </c>
      <c r="T20" s="228">
        <v>7170</v>
      </c>
      <c r="U20" s="229">
        <v>8890</v>
      </c>
      <c r="V20" s="195"/>
      <c r="W20" s="195"/>
      <c r="X20" s="195"/>
      <c r="Y20" s="195"/>
      <c r="Z20" s="195"/>
      <c r="AA20" s="195"/>
      <c r="AB20" s="195"/>
      <c r="AC20" s="195"/>
      <c r="AD20" s="195"/>
      <c r="AE20" s="195"/>
      <c r="AF20" s="195"/>
      <c r="AG20" s="195"/>
      <c r="AH20" s="195"/>
      <c r="AI20" s="195"/>
      <c r="AJ20" s="195"/>
      <c r="AK20" s="195"/>
      <c r="AL20" s="195"/>
    </row>
    <row r="21" spans="1:38" ht="15.75" thickTop="1">
      <c r="A21" s="164" t="s">
        <v>292</v>
      </c>
      <c r="B21" s="165">
        <f t="shared" si="27"/>
        <v>150000</v>
      </c>
      <c r="C21" s="165">
        <f t="shared" ref="C21:C27" si="35">B21*1.196</f>
        <v>179400</v>
      </c>
      <c r="D21" s="167">
        <v>2</v>
      </c>
      <c r="E21" s="168">
        <f t="shared" si="28"/>
        <v>300000</v>
      </c>
      <c r="F21" s="144">
        <f t="shared" ca="1" si="29"/>
        <v>6</v>
      </c>
      <c r="G21" s="166">
        <f t="shared" ref="G21:G27" ca="1" si="36">B21/F21</f>
        <v>25000</v>
      </c>
      <c r="H21" s="166">
        <f t="shared" ref="H21:H27" ca="1" si="37">G21/12</f>
        <v>2083.3333333333335</v>
      </c>
      <c r="I21" s="166">
        <f t="shared" ca="1" si="30"/>
        <v>66.06765327695561</v>
      </c>
      <c r="J21" s="169">
        <f t="shared" ref="J21:J27" ca="1" si="38">I21*D21</f>
        <v>132.13530655391122</v>
      </c>
      <c r="K21" s="170">
        <f t="shared" ca="1" si="31"/>
        <v>1041.6666666666667</v>
      </c>
      <c r="L21" s="170">
        <f t="shared" ca="1" si="32"/>
        <v>166.66666666666669</v>
      </c>
      <c r="M21" s="171">
        <f t="shared" ca="1" si="33"/>
        <v>170.45454545454547</v>
      </c>
      <c r="N21" s="172">
        <f t="shared" ca="1" si="34"/>
        <v>4166.666666666667</v>
      </c>
      <c r="O21" s="82"/>
      <c r="P21" s="314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</row>
    <row r="22" spans="1:38">
      <c r="A22" s="164" t="s">
        <v>293</v>
      </c>
      <c r="B22" s="165">
        <f t="shared" si="27"/>
        <v>45000</v>
      </c>
      <c r="C22" s="165">
        <f t="shared" si="35"/>
        <v>53820</v>
      </c>
      <c r="D22" s="167">
        <v>1</v>
      </c>
      <c r="E22" s="168">
        <f t="shared" si="28"/>
        <v>45000</v>
      </c>
      <c r="F22" s="144">
        <f t="shared" ca="1" si="29"/>
        <v>6</v>
      </c>
      <c r="G22" s="166">
        <f t="shared" ca="1" si="36"/>
        <v>7500</v>
      </c>
      <c r="H22" s="166">
        <f t="shared" ca="1" si="37"/>
        <v>625</v>
      </c>
      <c r="I22" s="166">
        <f t="shared" ca="1" si="30"/>
        <v>19.82029598308668</v>
      </c>
      <c r="J22" s="169">
        <f t="shared" ca="1" si="38"/>
        <v>19.82029598308668</v>
      </c>
      <c r="K22" s="170">
        <f t="shared" ca="1" si="31"/>
        <v>156.25</v>
      </c>
      <c r="L22" s="170">
        <f t="shared" ca="1" si="32"/>
        <v>25</v>
      </c>
      <c r="M22" s="171">
        <f t="shared" ca="1" si="33"/>
        <v>25.568181818181817</v>
      </c>
      <c r="N22" s="172">
        <f t="shared" ca="1" si="34"/>
        <v>625</v>
      </c>
      <c r="O22" s="82"/>
      <c r="P22" s="314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</row>
    <row r="23" spans="1:38">
      <c r="A23" s="164" t="s">
        <v>294</v>
      </c>
      <c r="B23" s="165">
        <f>B10</f>
        <v>7000</v>
      </c>
      <c r="C23" s="165">
        <f t="shared" si="35"/>
        <v>8372</v>
      </c>
      <c r="D23" s="167">
        <v>2</v>
      </c>
      <c r="E23" s="168">
        <f t="shared" si="28"/>
        <v>14000</v>
      </c>
      <c r="F23" s="144">
        <f t="shared" ca="1" si="29"/>
        <v>6</v>
      </c>
      <c r="G23" s="166">
        <f t="shared" ca="1" si="36"/>
        <v>1166.6666666666667</v>
      </c>
      <c r="H23" s="166">
        <f t="shared" ca="1" si="37"/>
        <v>97.222222222222229</v>
      </c>
      <c r="I23" s="166">
        <f t="shared" ca="1" si="30"/>
        <v>3.0831571529245951</v>
      </c>
      <c r="J23" s="169">
        <f t="shared" ca="1" si="38"/>
        <v>6.1663143058491903</v>
      </c>
      <c r="K23" s="170">
        <f t="shared" ca="1" si="31"/>
        <v>48.611111111111114</v>
      </c>
      <c r="L23" s="170"/>
      <c r="M23" s="171">
        <f t="shared" ca="1" si="33"/>
        <v>7.9545454545454559</v>
      </c>
      <c r="N23" s="172">
        <f t="shared" ca="1" si="34"/>
        <v>194.44444444444446</v>
      </c>
      <c r="O23" s="82"/>
      <c r="P23" s="314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</row>
    <row r="24" spans="1:38">
      <c r="A24" s="164" t="s">
        <v>295</v>
      </c>
      <c r="B24" s="165">
        <f>B11</f>
        <v>120000</v>
      </c>
      <c r="C24" s="165">
        <f t="shared" si="35"/>
        <v>143520</v>
      </c>
      <c r="D24" s="167">
        <v>1</v>
      </c>
      <c r="E24" s="168">
        <f t="shared" si="28"/>
        <v>120000</v>
      </c>
      <c r="F24" s="144">
        <f t="shared" ca="1" si="29"/>
        <v>6</v>
      </c>
      <c r="G24" s="166">
        <f t="shared" ca="1" si="36"/>
        <v>20000</v>
      </c>
      <c r="H24" s="166">
        <f t="shared" ca="1" si="37"/>
        <v>1666.6666666666667</v>
      </c>
      <c r="I24" s="166">
        <f t="shared" ca="1" si="30"/>
        <v>52.854122621564493</v>
      </c>
      <c r="J24" s="169">
        <f t="shared" ca="1" si="38"/>
        <v>52.854122621564493</v>
      </c>
      <c r="K24" s="170">
        <f t="shared" ca="1" si="31"/>
        <v>416.66666666666669</v>
      </c>
      <c r="L24" s="170">
        <f t="shared" ca="1" si="32"/>
        <v>66.666666666666671</v>
      </c>
      <c r="M24" s="171">
        <f t="shared" ca="1" si="33"/>
        <v>68.181818181818201</v>
      </c>
      <c r="N24" s="172">
        <f t="shared" ca="1" si="34"/>
        <v>1666.6666666666667</v>
      </c>
      <c r="O24" s="82"/>
      <c r="P24" s="314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</row>
    <row r="25" spans="1:38" ht="15.75" thickBot="1">
      <c r="A25" s="164" t="s">
        <v>299</v>
      </c>
      <c r="B25" s="190">
        <v>2500</v>
      </c>
      <c r="C25" s="190">
        <f t="shared" si="35"/>
        <v>2990</v>
      </c>
      <c r="D25" s="144">
        <v>0</v>
      </c>
      <c r="E25" s="168">
        <f t="shared" si="28"/>
        <v>0</v>
      </c>
      <c r="F25" s="144">
        <f t="shared" ca="1" si="29"/>
        <v>6</v>
      </c>
      <c r="G25" s="166">
        <f t="shared" ca="1" si="36"/>
        <v>416.66666666666669</v>
      </c>
      <c r="H25" s="166">
        <f t="shared" ca="1" si="37"/>
        <v>34.722222222222221</v>
      </c>
      <c r="I25" s="166">
        <f t="shared" ca="1" si="30"/>
        <v>1.1011275546159267</v>
      </c>
      <c r="J25" s="169">
        <f t="shared" ca="1" si="38"/>
        <v>0</v>
      </c>
      <c r="K25" s="170">
        <f t="shared" ca="1" si="31"/>
        <v>0</v>
      </c>
      <c r="L25" s="170"/>
      <c r="M25" s="171">
        <f t="shared" ca="1" si="33"/>
        <v>0</v>
      </c>
      <c r="N25" s="172">
        <f t="shared" ca="1" si="34"/>
        <v>0</v>
      </c>
      <c r="O25" s="82"/>
      <c r="P25" s="195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</row>
    <row r="26" spans="1:38" ht="16.5" thickTop="1" thickBot="1">
      <c r="A26" s="164" t="s">
        <v>296</v>
      </c>
      <c r="B26" s="165">
        <f>B12</f>
        <v>40000</v>
      </c>
      <c r="C26" s="166">
        <f t="shared" si="35"/>
        <v>47840</v>
      </c>
      <c r="D26" s="144">
        <v>2</v>
      </c>
      <c r="E26" s="168">
        <f t="shared" si="28"/>
        <v>80000</v>
      </c>
      <c r="F26" s="144">
        <f t="shared" ca="1" si="29"/>
        <v>6</v>
      </c>
      <c r="G26" s="166">
        <f t="shared" ca="1" si="36"/>
        <v>6666.666666666667</v>
      </c>
      <c r="H26" s="166">
        <f t="shared" ca="1" si="37"/>
        <v>555.55555555555554</v>
      </c>
      <c r="I26" s="166">
        <f t="shared" ca="1" si="30"/>
        <v>17.618040873854827</v>
      </c>
      <c r="J26" s="169">
        <f t="shared" ca="1" si="38"/>
        <v>35.236081747709655</v>
      </c>
      <c r="K26" s="170">
        <f t="shared" ca="1" si="31"/>
        <v>277.77777777777777</v>
      </c>
      <c r="L26" s="170">
        <f t="shared" ca="1" si="32"/>
        <v>44.444444444444443</v>
      </c>
      <c r="M26" s="171">
        <f t="shared" ca="1" si="33"/>
        <v>45.454545454545453</v>
      </c>
      <c r="N26" s="172">
        <f t="shared" ca="1" si="34"/>
        <v>1111.1111111111111</v>
      </c>
      <c r="O26" s="82"/>
      <c r="P26" s="230" t="s">
        <v>258</v>
      </c>
      <c r="Q26" s="231">
        <f>Q32+Q34</f>
        <v>29</v>
      </c>
      <c r="R26" s="82"/>
      <c r="S26" s="82"/>
      <c r="T26" s="82"/>
      <c r="U26" s="232"/>
      <c r="V26" s="232"/>
      <c r="W26" s="233" t="s">
        <v>259</v>
      </c>
      <c r="X26" s="232" t="s">
        <v>260</v>
      </c>
      <c r="Y26" s="232"/>
      <c r="Z26" s="232" t="s">
        <v>261</v>
      </c>
      <c r="AA26" s="232" t="s">
        <v>262</v>
      </c>
      <c r="AB26" s="82"/>
      <c r="AC26" s="232" t="s">
        <v>263</v>
      </c>
      <c r="AD26" s="232" t="s">
        <v>264</v>
      </c>
      <c r="AE26" s="82"/>
      <c r="AF26" s="82"/>
      <c r="AG26" s="82"/>
      <c r="AH26" s="82"/>
      <c r="AI26" s="82"/>
      <c r="AJ26" s="82"/>
      <c r="AK26" s="82"/>
      <c r="AL26" s="82"/>
    </row>
    <row r="27" spans="1:38" ht="16.5" thickTop="1" thickBot="1">
      <c r="A27" s="164" t="s">
        <v>238</v>
      </c>
      <c r="B27" s="165">
        <v>15000</v>
      </c>
      <c r="C27" s="168">
        <f t="shared" si="35"/>
        <v>17940</v>
      </c>
      <c r="D27" s="144">
        <v>2</v>
      </c>
      <c r="E27" s="168">
        <f t="shared" si="28"/>
        <v>30000</v>
      </c>
      <c r="F27" s="144">
        <f t="shared" ca="1" si="29"/>
        <v>6</v>
      </c>
      <c r="G27" s="166">
        <f t="shared" ca="1" si="36"/>
        <v>2500</v>
      </c>
      <c r="H27" s="166">
        <f t="shared" ca="1" si="37"/>
        <v>208.33333333333334</v>
      </c>
      <c r="I27" s="166">
        <f t="shared" ca="1" si="30"/>
        <v>6.6067653276955616</v>
      </c>
      <c r="J27" s="169">
        <f t="shared" ca="1" si="38"/>
        <v>13.213530655391123</v>
      </c>
      <c r="K27" s="170"/>
      <c r="L27" s="170">
        <f t="shared" ca="1" si="32"/>
        <v>16.666666666666668</v>
      </c>
      <c r="M27" s="171">
        <f t="shared" ca="1" si="33"/>
        <v>17.04545454545455</v>
      </c>
      <c r="N27" s="172">
        <f t="shared" ca="1" si="34"/>
        <v>416.66666666666669</v>
      </c>
      <c r="O27" s="82"/>
      <c r="P27" s="234"/>
      <c r="Q27" s="235"/>
      <c r="R27" s="82"/>
      <c r="S27" s="82"/>
      <c r="T27" s="82"/>
      <c r="U27" s="232" t="s">
        <v>265</v>
      </c>
      <c r="V27" s="232"/>
      <c r="W27" s="233">
        <f ca="1">+M16</f>
        <v>380.11363636363643</v>
      </c>
      <c r="X27" s="233">
        <f ca="1">M29</f>
        <v>425.56818181818181</v>
      </c>
      <c r="Y27" s="232"/>
      <c r="Z27" s="233">
        <f ca="1">W27*47.3*12</f>
        <v>215752.50000000006</v>
      </c>
      <c r="AA27" s="233">
        <f t="shared" ref="AA27:AA30" ca="1" si="39">X27*47.3*12</f>
        <v>241552.5</v>
      </c>
      <c r="AB27" s="82"/>
      <c r="AC27" s="233">
        <f ca="1">W27*47.3</f>
        <v>17979.375000000004</v>
      </c>
      <c r="AD27" s="233">
        <f t="shared" ref="AD27:AD30" ca="1" si="40">X27*47.3</f>
        <v>20129.375</v>
      </c>
      <c r="AE27" s="82"/>
      <c r="AF27" s="82"/>
      <c r="AG27" s="82"/>
      <c r="AH27" s="82"/>
      <c r="AI27" s="82"/>
      <c r="AJ27" s="82"/>
      <c r="AK27" s="82"/>
      <c r="AL27" s="82"/>
    </row>
    <row r="28" spans="1:38" ht="16.5" thickTop="1" thickBot="1">
      <c r="A28" s="175"/>
      <c r="B28" s="191"/>
      <c r="C28" s="191"/>
      <c r="D28" s="177"/>
      <c r="E28" s="178"/>
      <c r="F28" s="177">
        <f t="shared" ca="1" si="29"/>
        <v>6</v>
      </c>
      <c r="G28" s="192"/>
      <c r="H28" s="192"/>
      <c r="I28" s="192"/>
      <c r="J28" s="193"/>
      <c r="K28" s="180"/>
      <c r="L28" s="180"/>
      <c r="M28" s="181"/>
      <c r="N28" s="194"/>
      <c r="O28" s="82"/>
      <c r="P28" s="230" t="s">
        <v>266</v>
      </c>
      <c r="Q28" s="231">
        <v>6</v>
      </c>
      <c r="R28" s="82"/>
      <c r="S28" s="82"/>
      <c r="T28" s="82"/>
      <c r="U28" s="232" t="s">
        <v>267</v>
      </c>
      <c r="V28" s="232"/>
      <c r="W28" s="233">
        <f>+AA16</f>
        <v>326.16135809458973</v>
      </c>
      <c r="X28" s="233">
        <f>AJ16</f>
        <v>494.62985205209264</v>
      </c>
      <c r="Y28" s="232"/>
      <c r="Z28" s="233">
        <f t="shared" ref="Z28:Z30" si="41">W28*47.3*12</f>
        <v>185129.18685448912</v>
      </c>
      <c r="AA28" s="233">
        <f t="shared" si="39"/>
        <v>280751.90402476775</v>
      </c>
      <c r="AB28" s="82"/>
      <c r="AC28" s="233">
        <f t="shared" ref="AC28:AC30" si="42">W28*47.3</f>
        <v>15427.432237874093</v>
      </c>
      <c r="AD28" s="233">
        <f t="shared" si="40"/>
        <v>23395.99200206398</v>
      </c>
      <c r="AE28" s="82"/>
      <c r="AF28" s="82"/>
      <c r="AG28" s="82"/>
      <c r="AH28" s="82"/>
      <c r="AI28" s="82"/>
      <c r="AJ28" s="82"/>
      <c r="AK28" s="82"/>
      <c r="AL28" s="82"/>
    </row>
    <row r="29" spans="1:38" ht="16.5" thickTop="1" thickBot="1">
      <c r="A29" s="183" t="s">
        <v>87</v>
      </c>
      <c r="B29" s="184">
        <f>SUM(B20:B28)</f>
        <v>419500</v>
      </c>
      <c r="C29" s="184">
        <f>SUM(C20:C28)</f>
        <v>501722</v>
      </c>
      <c r="D29" s="185"/>
      <c r="E29" s="185">
        <f>SUM(E20:E28)</f>
        <v>749000</v>
      </c>
      <c r="F29" s="183"/>
      <c r="G29" s="185">
        <f ca="1">SUM(G20:G28)</f>
        <v>69916.666666666672</v>
      </c>
      <c r="H29" s="185">
        <f ca="1">SUM(H20:H28)</f>
        <v>5826.3888888888896</v>
      </c>
      <c r="I29" s="185">
        <f ca="1">SUM(I20:I28)</f>
        <v>184.76920366455252</v>
      </c>
      <c r="J29" s="186">
        <f ca="1">SUM(J20:J28)</f>
        <v>329.89781536293168</v>
      </c>
      <c r="K29" s="186">
        <f ca="1">SUM(K20:K24)</f>
        <v>2218.75</v>
      </c>
      <c r="L29" s="186">
        <f ca="1">SUM(L20:L26)</f>
        <v>391.66666666666669</v>
      </c>
      <c r="M29" s="187">
        <f ca="1">SUM(M20:M28)</f>
        <v>425.56818181818181</v>
      </c>
      <c r="N29" s="188">
        <f ca="1">SUM(N20:N28)</f>
        <v>10402.777777777777</v>
      </c>
      <c r="O29" s="82"/>
      <c r="P29" s="195"/>
      <c r="Q29" s="103"/>
      <c r="R29" s="82"/>
      <c r="S29" s="82"/>
      <c r="T29" s="82"/>
      <c r="U29" s="232" t="s">
        <v>253</v>
      </c>
      <c r="V29" s="232"/>
      <c r="W29" s="233">
        <f>T20/(12*47.3)</f>
        <v>12.632135306553913</v>
      </c>
      <c r="X29" s="233">
        <f>U20/(12*47.3)</f>
        <v>15.662438336856944</v>
      </c>
      <c r="Y29" s="232"/>
      <c r="Z29" s="233">
        <f t="shared" si="41"/>
        <v>7170</v>
      </c>
      <c r="AA29" s="233">
        <f t="shared" si="39"/>
        <v>8890</v>
      </c>
      <c r="AB29" s="82"/>
      <c r="AC29" s="233">
        <f t="shared" si="42"/>
        <v>597.5</v>
      </c>
      <c r="AD29" s="233">
        <f t="shared" si="40"/>
        <v>740.83333333333337</v>
      </c>
      <c r="AE29" s="82"/>
      <c r="AF29" s="82"/>
      <c r="AG29" s="82"/>
      <c r="AH29" s="82"/>
      <c r="AI29" s="82"/>
      <c r="AJ29" s="82"/>
      <c r="AK29" s="82"/>
      <c r="AL29" s="82"/>
    </row>
    <row r="30" spans="1:38" ht="18" customHeight="1" thickTop="1" thickBot="1">
      <c r="A30" s="103"/>
      <c r="B30" s="189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82"/>
      <c r="N30" s="236"/>
      <c r="O30" s="82"/>
      <c r="P30" s="230" t="s">
        <v>268</v>
      </c>
      <c r="Q30" s="237">
        <v>30</v>
      </c>
      <c r="R30" s="82"/>
      <c r="S30" s="82"/>
      <c r="T30" s="82"/>
      <c r="U30" s="232" t="s">
        <v>269</v>
      </c>
      <c r="V30" s="238">
        <v>10</v>
      </c>
      <c r="W30" s="233">
        <f ca="1">V30/100*(W27+W28+W29)</f>
        <v>71.890712976478014</v>
      </c>
      <c r="X30" s="233">
        <f ca="1">V30/100*(X27+X28+X29)</f>
        <v>93.586047220713141</v>
      </c>
      <c r="Y30" s="232"/>
      <c r="Z30" s="233">
        <f t="shared" ca="1" si="41"/>
        <v>40805.168685448923</v>
      </c>
      <c r="AA30" s="233">
        <f t="shared" ca="1" si="39"/>
        <v>53119.440402476779</v>
      </c>
      <c r="AB30" s="82"/>
      <c r="AC30" s="233">
        <f t="shared" ca="1" si="42"/>
        <v>3400.43072378741</v>
      </c>
      <c r="AD30" s="233">
        <f t="shared" ca="1" si="40"/>
        <v>4426.6200335397316</v>
      </c>
      <c r="AE30" s="82"/>
      <c r="AF30" s="82"/>
      <c r="AG30" s="82"/>
      <c r="AH30" s="82"/>
      <c r="AI30" s="82"/>
      <c r="AJ30" s="82"/>
      <c r="AK30" s="82"/>
      <c r="AL30" s="82"/>
    </row>
    <row r="31" spans="1:38" ht="6.6" customHeight="1" thickTop="1" thickBot="1">
      <c r="A31" s="103"/>
      <c r="B31" s="189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82"/>
      <c r="N31" s="82"/>
      <c r="O31" s="82"/>
      <c r="P31" s="195"/>
      <c r="Q31" s="82"/>
      <c r="R31" s="82"/>
      <c r="S31" s="82"/>
      <c r="T31" s="82"/>
      <c r="U31" s="232"/>
      <c r="V31" s="232"/>
      <c r="W31" s="233"/>
      <c r="X31" s="233"/>
      <c r="Y31" s="232"/>
      <c r="Z31" s="233"/>
      <c r="AA31" s="233"/>
      <c r="AB31" s="82"/>
      <c r="AC31" s="233"/>
      <c r="AD31" s="233"/>
      <c r="AE31" s="82"/>
      <c r="AF31" s="82"/>
      <c r="AG31" s="82"/>
      <c r="AH31" s="82"/>
      <c r="AI31" s="82"/>
      <c r="AJ31" s="82"/>
      <c r="AK31" s="82"/>
      <c r="AL31" s="82"/>
    </row>
    <row r="32" spans="1:38" ht="18" customHeight="1" thickTop="1" thickBot="1">
      <c r="A32" s="103"/>
      <c r="B32" s="189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82"/>
      <c r="N32" s="82"/>
      <c r="O32" s="82"/>
      <c r="P32" s="230" t="s">
        <v>270</v>
      </c>
      <c r="Q32" s="231">
        <v>25</v>
      </c>
      <c r="R32" s="82"/>
      <c r="S32" s="82"/>
      <c r="T32" s="82"/>
      <c r="U32" s="232" t="s">
        <v>193</v>
      </c>
      <c r="V32" s="232"/>
      <c r="W32" s="239">
        <f ca="1">SUM(W27:W31)</f>
        <v>790.79784274125802</v>
      </c>
      <c r="X32" s="239">
        <f ca="1">SUM(X27:X31)</f>
        <v>1029.4465194278446</v>
      </c>
      <c r="Y32" s="232"/>
      <c r="Z32" s="233">
        <f ca="1">SUM(Z27:Z31)</f>
        <v>448856.85553993809</v>
      </c>
      <c r="AA32" s="233">
        <f ca="1">SUM(AA27:AA31)</f>
        <v>584313.8444272445</v>
      </c>
      <c r="AB32" s="82"/>
      <c r="AC32" s="233">
        <f ca="1">SUM(AC27:AC31)</f>
        <v>37404.737961661507</v>
      </c>
      <c r="AD32" s="233">
        <f ca="1">SUM(AD27:AD31)</f>
        <v>48692.820368937049</v>
      </c>
      <c r="AE32" s="82"/>
      <c r="AF32" s="82"/>
      <c r="AG32" s="82"/>
      <c r="AH32" s="82"/>
      <c r="AI32" s="82"/>
      <c r="AJ32" s="82"/>
      <c r="AK32" s="82"/>
      <c r="AL32" s="82"/>
    </row>
    <row r="33" spans="1:38" ht="16.5" thickTop="1" thickBot="1">
      <c r="A33" s="103"/>
      <c r="B33" s="189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82"/>
      <c r="N33" s="82"/>
      <c r="O33" s="82"/>
      <c r="P33" s="195"/>
      <c r="Q33" s="82"/>
      <c r="R33" s="82"/>
      <c r="S33" s="82"/>
      <c r="T33" s="82"/>
      <c r="U33" s="240" t="s">
        <v>305</v>
      </c>
      <c r="V33" s="218"/>
      <c r="W33" s="241">
        <v>800</v>
      </c>
      <c r="X33" s="241">
        <v>1050</v>
      </c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</row>
    <row r="34" spans="1:38" ht="18" customHeight="1" thickTop="1" thickBot="1">
      <c r="A34" s="103"/>
      <c r="B34" s="189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82"/>
      <c r="N34" s="82"/>
      <c r="O34" s="82"/>
      <c r="P34" s="230" t="s">
        <v>271</v>
      </c>
      <c r="Q34" s="231">
        <v>4</v>
      </c>
      <c r="R34" s="82"/>
      <c r="S34" s="82"/>
      <c r="T34" s="82"/>
      <c r="U34" s="240" t="s">
        <v>272</v>
      </c>
      <c r="V34" s="218"/>
      <c r="W34" s="241">
        <f>W33*47.3</f>
        <v>37840</v>
      </c>
      <c r="X34" s="241">
        <f>X33*47.3-W34</f>
        <v>11825</v>
      </c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</row>
    <row r="35" spans="1:38" ht="6" customHeight="1" thickTop="1">
      <c r="A35" s="103"/>
      <c r="B35" s="189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82"/>
      <c r="N35" s="82"/>
      <c r="O35" s="82"/>
      <c r="P35" s="195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</row>
    <row r="36" spans="1:38" ht="7.15" customHeight="1" thickBot="1">
      <c r="A36" s="103"/>
      <c r="B36" s="189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82"/>
      <c r="N36" s="82"/>
      <c r="O36" s="82"/>
      <c r="P36" s="195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</row>
    <row r="37" spans="1:38" ht="18" customHeight="1" thickTop="1" thickBot="1">
      <c r="A37" s="103"/>
      <c r="B37" s="189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82"/>
      <c r="N37" s="82"/>
      <c r="O37" s="82"/>
      <c r="P37" s="242" t="s">
        <v>273</v>
      </c>
      <c r="Q37" s="243">
        <f ca="1">L16/1.5</f>
        <v>231.48148148148152</v>
      </c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</row>
    <row r="38" spans="1:38" ht="4.1500000000000004" customHeight="1" thickTop="1" thickBot="1">
      <c r="A38" s="103"/>
      <c r="B38" s="189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82"/>
      <c r="N38" s="82"/>
      <c r="O38" s="82"/>
      <c r="P38" s="195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</row>
    <row r="39" spans="1:38" ht="18" customHeight="1" thickTop="1" thickBot="1">
      <c r="A39" s="103"/>
      <c r="B39" s="189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82"/>
      <c r="N39" s="82"/>
      <c r="O39" s="82"/>
      <c r="P39" s="244" t="s">
        <v>274</v>
      </c>
      <c r="Q39" s="245">
        <f ca="1">INDIRECT("m16")*47.3</f>
        <v>17979.375000000004</v>
      </c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</row>
    <row r="40" spans="1:38" ht="6.6" customHeight="1" thickTop="1" thickBot="1">
      <c r="A40" s="103"/>
      <c r="B40" s="189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82"/>
      <c r="N40" s="82"/>
      <c r="O40" s="82"/>
      <c r="P40" s="195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</row>
    <row r="41" spans="1:38" ht="18" customHeight="1" thickTop="1" thickBot="1">
      <c r="A41" s="103"/>
      <c r="B41" s="189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82"/>
      <c r="N41" s="82"/>
      <c r="O41" s="82"/>
      <c r="P41" s="244" t="s">
        <v>275</v>
      </c>
      <c r="Q41" s="245">
        <f ca="1">INDIRECT("m29")*47.3</f>
        <v>20129.375</v>
      </c>
      <c r="R41" s="270" t="s">
        <v>276</v>
      </c>
      <c r="S41" s="271">
        <f ca="1">Q41-Q39</f>
        <v>2149.9999999999964</v>
      </c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</row>
    <row r="42" spans="1:38" ht="4.1500000000000004" customHeight="1" thickTop="1" thickBot="1">
      <c r="A42" s="103"/>
      <c r="B42" s="189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82"/>
      <c r="N42" s="82"/>
      <c r="O42" s="82"/>
      <c r="P42" s="195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</row>
    <row r="43" spans="1:38" ht="18" customHeight="1" thickTop="1" thickBot="1">
      <c r="A43" s="103"/>
      <c r="B43" s="189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82"/>
      <c r="N43" s="82"/>
      <c r="O43" s="82"/>
      <c r="P43" s="244" t="s">
        <v>277</v>
      </c>
      <c r="Q43" s="245">
        <f ca="1">W30*47.3</f>
        <v>3400.43072378741</v>
      </c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</row>
    <row r="44" spans="1:38" ht="15.75" thickTop="1">
      <c r="A44" s="103"/>
      <c r="B44" s="189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82"/>
      <c r="N44" s="82"/>
      <c r="O44" s="82"/>
      <c r="P44" s="195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</row>
    <row r="45" spans="1:38">
      <c r="A45" s="103"/>
      <c r="B45" s="189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82"/>
      <c r="N45" s="82"/>
      <c r="O45" s="82"/>
      <c r="P45" s="195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</row>
    <row r="46" spans="1:38">
      <c r="A46" s="103"/>
      <c r="B46" s="189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82"/>
      <c r="N46" s="82"/>
      <c r="O46" s="82"/>
      <c r="P46" s="195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</row>
    <row r="47" spans="1:38">
      <c r="A47" s="103"/>
      <c r="B47" s="189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82"/>
      <c r="N47" s="82"/>
      <c r="O47" s="82"/>
      <c r="P47" s="195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</row>
    <row r="48" spans="1:38">
      <c r="A48" s="103"/>
      <c r="B48" s="189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82"/>
      <c r="N48" s="82"/>
      <c r="O48" s="82"/>
      <c r="P48" s="195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</row>
    <row r="49" spans="1:38">
      <c r="A49" s="103"/>
      <c r="B49" s="189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82"/>
      <c r="N49" s="82"/>
      <c r="O49" s="82"/>
      <c r="P49" s="195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</row>
    <row r="50" spans="1:38">
      <c r="A50" s="103"/>
      <c r="B50" s="189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82"/>
      <c r="N50" s="82"/>
      <c r="O50" s="82"/>
      <c r="P50" s="195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</row>
    <row r="51" spans="1:38">
      <c r="A51" s="103"/>
      <c r="B51" s="189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82"/>
      <c r="N51" s="82"/>
      <c r="O51" s="82"/>
      <c r="P51" s="195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</row>
    <row r="52" spans="1:38">
      <c r="A52" s="103"/>
      <c r="B52" s="189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82"/>
      <c r="N52" s="82"/>
      <c r="O52" s="82"/>
      <c r="P52" s="195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</row>
    <row r="53" spans="1:38">
      <c r="A53" s="103"/>
      <c r="B53" s="189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82"/>
      <c r="N53" s="82"/>
      <c r="O53" s="82"/>
      <c r="P53" s="195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</row>
    <row r="54" spans="1:38">
      <c r="A54" s="103"/>
      <c r="B54" s="189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82"/>
      <c r="N54" s="82"/>
      <c r="O54" s="82"/>
      <c r="P54" s="195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</row>
    <row r="55" spans="1:38">
      <c r="A55" s="103"/>
      <c r="B55" s="189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82"/>
      <c r="N55" s="82"/>
      <c r="O55" s="82"/>
      <c r="P55" s="195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</row>
    <row r="56" spans="1:38">
      <c r="A56" s="103"/>
      <c r="B56" s="189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82"/>
      <c r="N56" s="82"/>
      <c r="O56" s="82"/>
      <c r="P56" s="195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</row>
    <row r="57" spans="1:38">
      <c r="A57" s="103"/>
      <c r="B57" s="189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82"/>
      <c r="N57" s="82"/>
      <c r="O57" s="82"/>
      <c r="P57" s="195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</row>
    <row r="58" spans="1:38">
      <c r="A58" s="103"/>
      <c r="B58" s="189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82"/>
      <c r="N58" s="82"/>
      <c r="O58" s="82"/>
      <c r="P58" s="195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</row>
    <row r="59" spans="1:38">
      <c r="A59" s="103"/>
      <c r="B59" s="189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82"/>
      <c r="N59" s="82"/>
      <c r="O59" s="82"/>
      <c r="P59" s="195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</row>
    <row r="60" spans="1:38">
      <c r="A60" s="103"/>
      <c r="B60" s="189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82"/>
      <c r="N60" s="82"/>
      <c r="O60" s="82"/>
      <c r="P60" s="195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</row>
    <row r="61" spans="1:38">
      <c r="A61" s="103"/>
      <c r="B61" s="189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82"/>
      <c r="N61" s="82"/>
      <c r="O61" s="82"/>
      <c r="P61" s="195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</row>
    <row r="62" spans="1:38">
      <c r="A62" s="103"/>
      <c r="B62" s="189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82"/>
      <c r="N62" s="82"/>
      <c r="O62" s="82"/>
      <c r="P62" s="195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</row>
    <row r="63" spans="1:38">
      <c r="A63" s="103"/>
      <c r="B63" s="189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82"/>
      <c r="N63" s="82"/>
      <c r="O63" s="82"/>
      <c r="P63" s="195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</row>
    <row r="64" spans="1:38">
      <c r="A64" s="103"/>
      <c r="B64" s="189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82"/>
      <c r="N64" s="82"/>
      <c r="O64" s="82"/>
      <c r="P64" s="195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</row>
    <row r="65" spans="1:38">
      <c r="A65" s="103"/>
      <c r="B65" s="189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82"/>
      <c r="N65" s="82"/>
      <c r="O65" s="82"/>
      <c r="P65" s="195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</row>
    <row r="66" spans="1:38">
      <c r="A66" s="103"/>
      <c r="B66" s="189"/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82"/>
      <c r="N66" s="82"/>
      <c r="O66" s="82"/>
      <c r="P66" s="195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</row>
    <row r="67" spans="1:38">
      <c r="A67" s="103"/>
      <c r="B67" s="189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82"/>
      <c r="N67" s="82"/>
      <c r="O67" s="82"/>
      <c r="P67" s="195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</row>
    <row r="68" spans="1:38">
      <c r="A68" s="103"/>
      <c r="B68" s="189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82"/>
      <c r="N68" s="82"/>
      <c r="O68" s="82"/>
      <c r="P68" s="195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</row>
    <row r="69" spans="1:38">
      <c r="A69" s="103"/>
      <c r="B69" s="189"/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82"/>
      <c r="N69" s="82"/>
      <c r="O69" s="82"/>
      <c r="P69" s="195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</row>
    <row r="70" spans="1:38">
      <c r="A70" s="103"/>
      <c r="B70" s="189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82"/>
      <c r="N70" s="82"/>
      <c r="O70" s="82"/>
      <c r="P70" s="195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</row>
    <row r="71" spans="1:38">
      <c r="A71" s="103"/>
      <c r="B71" s="189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82"/>
      <c r="N71" s="82"/>
      <c r="O71" s="82"/>
      <c r="P71" s="195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</row>
    <row r="72" spans="1:38">
      <c r="A72" s="103"/>
      <c r="B72" s="189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82"/>
      <c r="N72" s="82"/>
      <c r="O72" s="82"/>
      <c r="P72" s="195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</row>
    <row r="73" spans="1:38">
      <c r="A73" s="103"/>
      <c r="B73" s="189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82"/>
      <c r="N73" s="82"/>
      <c r="O73" s="82"/>
      <c r="P73" s="195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</row>
    <row r="74" spans="1:38">
      <c r="A74" s="103"/>
      <c r="B74" s="189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82"/>
      <c r="N74" s="82"/>
      <c r="O74" s="82"/>
      <c r="P74" s="195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</row>
    <row r="75" spans="1:38">
      <c r="A75" s="103"/>
      <c r="B75" s="189"/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82"/>
      <c r="N75" s="82"/>
      <c r="O75" s="82"/>
      <c r="P75" s="195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</row>
    <row r="76" spans="1:38">
      <c r="A76" s="103"/>
      <c r="B76" s="189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82"/>
      <c r="N76" s="82"/>
      <c r="O76" s="82"/>
      <c r="P76" s="195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</row>
    <row r="77" spans="1:38">
      <c r="A77" s="103"/>
      <c r="B77" s="189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82"/>
      <c r="N77" s="82"/>
      <c r="O77" s="82"/>
      <c r="P77" s="195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</row>
    <row r="78" spans="1:38">
      <c r="A78" s="103"/>
      <c r="B78" s="189"/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82"/>
      <c r="N78" s="82"/>
      <c r="O78" s="82"/>
      <c r="P78" s="195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</row>
    <row r="79" spans="1:38">
      <c r="A79" s="103"/>
      <c r="B79" s="189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82"/>
      <c r="N79" s="82"/>
      <c r="O79" s="82"/>
      <c r="P79" s="195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</row>
    <row r="80" spans="1:38">
      <c r="A80" s="103"/>
      <c r="B80" s="189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82"/>
      <c r="N80" s="82"/>
      <c r="O80" s="82"/>
      <c r="P80" s="195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</row>
  </sheetData>
  <mergeCells count="6">
    <mergeCell ref="P20:P24"/>
    <mergeCell ref="A4:N4"/>
    <mergeCell ref="S4:Z4"/>
    <mergeCell ref="AB4:AI4"/>
    <mergeCell ref="A18:N18"/>
    <mergeCell ref="S18:U18"/>
  </mergeCells>
  <pageMargins left="0" right="0" top="0" bottom="0" header="0" footer="0"/>
  <pageSetup paperSize="287" scale="87" orientation="landscape" r:id="rId1"/>
  <colBreaks count="1" manualBreakCount="1">
    <brk id="15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M30"/>
  <sheetViews>
    <sheetView workbookViewId="0">
      <selection activeCell="E19" sqref="E19"/>
    </sheetView>
  </sheetViews>
  <sheetFormatPr baseColWidth="10" defaultRowHeight="15"/>
  <cols>
    <col min="1" max="1" width="29.42578125" customWidth="1"/>
    <col min="2" max="2" width="11" customWidth="1"/>
    <col min="3" max="4" width="11.5703125" bestFit="1" customWidth="1"/>
    <col min="5" max="5" width="12.5703125" bestFit="1" customWidth="1"/>
    <col min="6" max="6" width="13.42578125" customWidth="1"/>
    <col min="7" max="7" width="0" hidden="1" customWidth="1"/>
    <col min="8" max="10" width="11.5703125" hidden="1" customWidth="1"/>
    <col min="11" max="11" width="17.5703125" customWidth="1"/>
    <col min="12" max="12" width="13.85546875" customWidth="1"/>
  </cols>
  <sheetData>
    <row r="1" spans="1:12">
      <c r="A1" s="324" t="s">
        <v>286</v>
      </c>
      <c r="B1" s="324"/>
      <c r="C1" s="324"/>
      <c r="D1" s="324"/>
      <c r="E1" s="324"/>
      <c r="F1" s="324"/>
    </row>
    <row r="2" spans="1:12">
      <c r="A2" s="251"/>
      <c r="B2" s="251" t="s">
        <v>279</v>
      </c>
      <c r="C2" s="251" t="s">
        <v>280</v>
      </c>
      <c r="D2" s="251" t="s">
        <v>242</v>
      </c>
      <c r="E2" s="251" t="s">
        <v>281</v>
      </c>
      <c r="F2" s="251" t="s">
        <v>282</v>
      </c>
    </row>
    <row r="3" spans="1:12">
      <c r="A3" s="46" t="s">
        <v>307</v>
      </c>
      <c r="B3" s="46">
        <v>1</v>
      </c>
      <c r="C3" s="249">
        <v>2700</v>
      </c>
      <c r="D3" s="250">
        <f>(C3*1/0.75)+(C3*1/0.75*0.4)</f>
        <v>5040</v>
      </c>
      <c r="E3" s="249">
        <f>D3*12*B3</f>
        <v>60480</v>
      </c>
      <c r="F3" s="249">
        <f>E3/12</f>
        <v>5040</v>
      </c>
    </row>
    <row r="4" spans="1:12">
      <c r="A4" s="46" t="s">
        <v>306</v>
      </c>
      <c r="B4" s="46">
        <v>1</v>
      </c>
      <c r="C4" s="249">
        <v>2200</v>
      </c>
      <c r="D4" s="250">
        <f>(C4*1/0.75)+(C4*1/0.75*0.4)</f>
        <v>4106.666666666667</v>
      </c>
      <c r="E4" s="249">
        <f>D4*12*B4</f>
        <v>49280</v>
      </c>
      <c r="F4" s="249">
        <f>E4/12</f>
        <v>4106.666666666667</v>
      </c>
    </row>
    <row r="5" spans="1:12">
      <c r="A5" s="46" t="s">
        <v>306</v>
      </c>
      <c r="B5" s="46">
        <v>1</v>
      </c>
      <c r="C5" s="46">
        <v>0</v>
      </c>
      <c r="D5" s="46"/>
      <c r="E5" s="46"/>
      <c r="F5" s="46"/>
    </row>
    <row r="6" spans="1:12">
      <c r="A6" s="325" t="s">
        <v>287</v>
      </c>
      <c r="B6" s="326"/>
      <c r="C6" s="326"/>
      <c r="D6" s="327"/>
      <c r="E6" s="46"/>
      <c r="F6" s="46"/>
    </row>
    <row r="7" spans="1:12">
      <c r="A7" s="328"/>
      <c r="B7" s="329"/>
      <c r="C7" s="329"/>
      <c r="D7" s="330"/>
      <c r="E7" s="46"/>
      <c r="F7" s="46"/>
    </row>
    <row r="8" spans="1:12">
      <c r="A8" s="331"/>
      <c r="B8" s="332"/>
      <c r="C8" s="332"/>
      <c r="D8" s="333"/>
      <c r="E8" s="46"/>
      <c r="F8" s="46"/>
    </row>
    <row r="9" spans="1:12">
      <c r="A9" s="46"/>
      <c r="B9" s="46"/>
      <c r="C9" s="46"/>
      <c r="D9" s="249"/>
      <c r="E9" s="249">
        <f>SUM(E3:E8)</f>
        <v>109760</v>
      </c>
      <c r="F9" s="249">
        <f>SUM(F3:F8)</f>
        <v>9146.6666666666679</v>
      </c>
    </row>
    <row r="15" spans="1:12">
      <c r="K15" s="252" t="s">
        <v>282</v>
      </c>
      <c r="L15" s="253">
        <f>F9+C30</f>
        <v>13940.000000000002</v>
      </c>
    </row>
    <row r="16" spans="1:12" ht="15.75" thickBot="1"/>
    <row r="17" spans="1:13" ht="16.5" thickBot="1">
      <c r="A17" s="251"/>
      <c r="B17" s="251" t="s">
        <v>283</v>
      </c>
      <c r="C17" s="251" t="s">
        <v>284</v>
      </c>
      <c r="K17" s="289" t="s">
        <v>290</v>
      </c>
      <c r="L17" s="290">
        <v>17500</v>
      </c>
      <c r="M17" s="288"/>
    </row>
    <row r="18" spans="1:13">
      <c r="A18" s="46" t="s">
        <v>253</v>
      </c>
      <c r="B18" s="249">
        <v>10000</v>
      </c>
      <c r="C18" s="249">
        <f>B18/12</f>
        <v>833.33333333333337</v>
      </c>
      <c r="L18" s="287"/>
    </row>
    <row r="19" spans="1:13">
      <c r="A19" s="46" t="s">
        <v>184</v>
      </c>
      <c r="B19" s="249">
        <v>1500</v>
      </c>
      <c r="C19" s="249">
        <f t="shared" ref="C19:C24" si="0">B19/12</f>
        <v>125</v>
      </c>
    </row>
    <row r="20" spans="1:13">
      <c r="A20" s="46" t="s">
        <v>285</v>
      </c>
      <c r="B20" s="249">
        <f>C20*12</f>
        <v>1800</v>
      </c>
      <c r="C20" s="249">
        <v>150</v>
      </c>
    </row>
    <row r="21" spans="1:13">
      <c r="A21" s="46" t="s">
        <v>238</v>
      </c>
      <c r="B21" s="249">
        <f>C21*12</f>
        <v>1800</v>
      </c>
      <c r="C21" s="249">
        <v>150</v>
      </c>
    </row>
    <row r="22" spans="1:13">
      <c r="A22" s="46" t="s">
        <v>265</v>
      </c>
      <c r="B22" s="249">
        <v>40000</v>
      </c>
      <c r="C22" s="249">
        <f t="shared" si="0"/>
        <v>3333.3333333333335</v>
      </c>
    </row>
    <row r="23" spans="1:13">
      <c r="A23" s="46" t="s">
        <v>34</v>
      </c>
      <c r="B23" s="249">
        <v>2000</v>
      </c>
      <c r="C23" s="249">
        <f t="shared" si="0"/>
        <v>166.66666666666666</v>
      </c>
    </row>
    <row r="24" spans="1:13">
      <c r="A24" s="46" t="s">
        <v>296</v>
      </c>
      <c r="B24" s="249">
        <v>420</v>
      </c>
      <c r="C24" s="249">
        <f t="shared" si="0"/>
        <v>35</v>
      </c>
    </row>
    <row r="25" spans="1:13">
      <c r="A25" s="46"/>
      <c r="B25" s="46"/>
      <c r="C25" s="46"/>
    </row>
    <row r="26" spans="1:13">
      <c r="A26" s="46"/>
      <c r="B26" s="46"/>
      <c r="C26" s="46"/>
    </row>
    <row r="27" spans="1:13">
      <c r="A27" s="46"/>
      <c r="B27" s="46"/>
      <c r="C27" s="46"/>
    </row>
    <row r="28" spans="1:13">
      <c r="A28" s="46"/>
      <c r="B28" s="46"/>
      <c r="C28" s="46"/>
    </row>
    <row r="29" spans="1:13">
      <c r="A29" s="46"/>
      <c r="B29" s="46"/>
      <c r="C29" s="46"/>
    </row>
    <row r="30" spans="1:13">
      <c r="A30" s="46"/>
      <c r="B30" s="46">
        <f>SUM(B18:B29)</f>
        <v>57520</v>
      </c>
      <c r="C30" s="46">
        <f>SUM(C18:C29)</f>
        <v>4793.3333333333339</v>
      </c>
    </row>
  </sheetData>
  <mergeCells count="2">
    <mergeCell ref="A1:F1"/>
    <mergeCell ref="A6:D8"/>
  </mergeCells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simu</vt:lpstr>
      <vt:lpstr>detail depenses</vt:lpstr>
      <vt:lpstr>buletin de paye</vt:lpstr>
      <vt:lpstr>salaires</vt:lpstr>
      <vt:lpstr>details charges</vt:lpstr>
      <vt:lpstr>chif</vt:lpstr>
      <vt:lpstr>maint</vt:lpstr>
      <vt:lpstr>chif!Zone_d_impression</vt:lpstr>
      <vt:lpstr>maint!Zone_d_impression</vt:lpstr>
      <vt:lpstr>simu!Zone_d_impression</vt:lpstr>
    </vt:vector>
  </TitlesOfParts>
  <Company>XPSP2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sarl clean service</cp:lastModifiedBy>
  <cp:lastPrinted>2012-03-30T06:04:29Z</cp:lastPrinted>
  <dcterms:created xsi:type="dcterms:W3CDTF">2008-06-02T16:28:48Z</dcterms:created>
  <dcterms:modified xsi:type="dcterms:W3CDTF">2012-04-05T09:00:56Z</dcterms:modified>
</cp:coreProperties>
</file>