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U:\Projets\03 - GESTION CONSULTANTS\"/>
    </mc:Choice>
  </mc:AlternateContent>
  <bookViews>
    <workbookView xWindow="-105" yWindow="-105" windowWidth="19425" windowHeight="6525" tabRatio="753"/>
  </bookViews>
  <sheets>
    <sheet name="onglet 1" sheetId="2" r:id="rId1"/>
    <sheet name="Export données " sheetId="15" r:id="rId2"/>
    <sheet name="Jours fériés" sheetId="14" r:id="rId3"/>
    <sheet name="Liste déroulante" sheetId="11" state="hidden" r:id="rId4"/>
    <sheet name="Suivi Matériels 2022" sheetId="8" state="hidden" r:id="rId5"/>
    <sheet name="Engagés (Facturés) 2022" sheetId="12" state="hidden" r:id="rId6"/>
    <sheet name="Enveloppes" sheetId="13" state="hidden" r:id="rId7"/>
  </sheets>
  <definedNames>
    <definedName name="_xlnm._FilterDatabase" localSheetId="5" hidden="1">'Engagés (Facturés) 2022'!$A$15:$A$22</definedName>
    <definedName name="_xlnm._FilterDatabase" localSheetId="4" hidden="1">'Suivi Matériels 2022'!$A$2:$J$35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J9" i="2" s="1"/>
  <c r="I10" i="2"/>
  <c r="J10" i="2" s="1"/>
  <c r="I13" i="2"/>
  <c r="I12" i="2" l="1"/>
  <c r="J12" i="2" s="1"/>
  <c r="K12" i="2" s="1"/>
  <c r="K3" i="2" l="1"/>
  <c r="I3" i="2"/>
  <c r="K8" i="2" l="1"/>
  <c r="I8" i="2"/>
  <c r="J8" i="2" s="1"/>
  <c r="J3" i="2" l="1"/>
  <c r="K11" i="2" l="1"/>
  <c r="I11" i="2"/>
  <c r="J11" i="2" s="1"/>
  <c r="K7" i="2" l="1"/>
  <c r="I7" i="2"/>
  <c r="J7" i="2" s="1"/>
  <c r="K6" i="2" l="1"/>
  <c r="I6" i="2"/>
  <c r="J6" i="2" s="1"/>
  <c r="K5" i="2"/>
  <c r="I5" i="2"/>
  <c r="J5" i="2" s="1"/>
  <c r="K4" i="2"/>
  <c r="I4" i="2"/>
  <c r="J4" i="2" s="1"/>
  <c r="J13" i="2" l="1"/>
  <c r="G26" i="12" l="1"/>
  <c r="G24" i="12"/>
  <c r="J23" i="8"/>
  <c r="Y23" i="12"/>
  <c r="V23" i="12"/>
  <c r="S23" i="12"/>
  <c r="P23" i="12"/>
  <c r="M23" i="12"/>
  <c r="J23" i="12"/>
  <c r="G23" i="12"/>
  <c r="D23" i="12"/>
  <c r="AB22" i="12"/>
  <c r="Y22" i="12"/>
  <c r="V22" i="12"/>
  <c r="S22" i="12"/>
  <c r="P22" i="12"/>
  <c r="M22" i="12"/>
  <c r="J22" i="12"/>
  <c r="G22" i="12"/>
  <c r="AB20" i="12"/>
  <c r="Y20" i="12"/>
  <c r="V20" i="12"/>
  <c r="S20" i="12"/>
  <c r="P20" i="12"/>
  <c r="M20" i="12"/>
  <c r="J20" i="12"/>
  <c r="G20" i="12"/>
  <c r="D20" i="12"/>
  <c r="AB16" i="12"/>
  <c r="Y16" i="12"/>
  <c r="V16" i="12"/>
  <c r="S16" i="12"/>
  <c r="P16" i="12"/>
  <c r="M16" i="12"/>
  <c r="J16" i="12"/>
  <c r="G16" i="12"/>
  <c r="D16" i="12"/>
  <c r="AB19" i="12"/>
  <c r="Y19" i="12"/>
  <c r="V19" i="12"/>
  <c r="S19" i="12"/>
  <c r="P19" i="12"/>
  <c r="M19" i="12"/>
  <c r="J19" i="12"/>
  <c r="G19" i="12"/>
  <c r="D19" i="12"/>
  <c r="F6" i="12" l="1"/>
  <c r="I6" i="12"/>
  <c r="C7" i="12"/>
  <c r="G6" i="12"/>
  <c r="H6" i="12"/>
  <c r="AB18" i="12"/>
  <c r="Y18" i="12"/>
  <c r="V18" i="12"/>
  <c r="S18" i="12"/>
  <c r="P18" i="12"/>
  <c r="M18" i="12"/>
  <c r="J18" i="12"/>
  <c r="G18" i="12"/>
  <c r="D18" i="12"/>
  <c r="M8" i="12"/>
  <c r="L8" i="12"/>
  <c r="K8" i="12"/>
  <c r="J8" i="12"/>
  <c r="I8" i="12"/>
  <c r="H8" i="12"/>
  <c r="G8" i="12"/>
  <c r="F8" i="12"/>
  <c r="E8" i="12"/>
  <c r="D8" i="12"/>
  <c r="C8" i="12"/>
  <c r="M7" i="12"/>
  <c r="L7" i="12"/>
  <c r="K7" i="12"/>
  <c r="J7" i="12"/>
  <c r="I7" i="12"/>
  <c r="H7" i="12"/>
  <c r="G7" i="12"/>
  <c r="F7" i="12"/>
  <c r="E7" i="12"/>
  <c r="D7" i="12"/>
  <c r="M6" i="12"/>
  <c r="L6" i="12"/>
  <c r="K6" i="12"/>
  <c r="J6" i="12"/>
  <c r="E6" i="12"/>
  <c r="D6" i="12"/>
  <c r="M3" i="12"/>
  <c r="L3" i="12"/>
  <c r="K3" i="12"/>
  <c r="J3" i="12"/>
  <c r="I3" i="12"/>
  <c r="H3" i="12"/>
  <c r="G3" i="12"/>
  <c r="F3" i="12"/>
  <c r="E3" i="12"/>
  <c r="D3" i="12"/>
  <c r="C3" i="12"/>
  <c r="J26" i="8"/>
  <c r="AG17" i="12" l="1"/>
  <c r="AG18" i="12"/>
  <c r="AG19" i="12"/>
  <c r="AG20" i="12"/>
  <c r="AG21" i="12"/>
  <c r="AG22" i="12"/>
  <c r="AG23" i="12"/>
  <c r="AG24" i="12"/>
  <c r="AG25" i="12"/>
  <c r="AG26" i="12"/>
  <c r="AG16" i="12"/>
  <c r="C26" i="12" l="1" a="1"/>
  <c r="C26" i="12" s="1"/>
  <c r="F26" i="12" a="1"/>
  <c r="F26" i="12" s="1"/>
  <c r="I26" i="12" a="1"/>
  <c r="I26" i="12" s="1"/>
  <c r="L26" i="12" a="1"/>
  <c r="L26" i="12" s="1"/>
  <c r="O26" i="12" a="1"/>
  <c r="O26" i="12" s="1"/>
  <c r="R26" i="12" a="1"/>
  <c r="R26" i="12" s="1"/>
  <c r="U26" i="12" a="1"/>
  <c r="U26" i="12" s="1"/>
  <c r="X26" i="12" a="1"/>
  <c r="X26" i="12" s="1"/>
  <c r="AA26" i="12" a="1"/>
  <c r="AA26" i="12" s="1"/>
  <c r="AC26" i="12" a="1"/>
  <c r="AC26" i="12" s="1"/>
  <c r="C25" i="12" a="1"/>
  <c r="C25" i="12" s="1"/>
  <c r="F25" i="12" a="1"/>
  <c r="F25" i="12" s="1"/>
  <c r="I25" i="12" a="1"/>
  <c r="I25" i="12" s="1"/>
  <c r="L25" i="12" a="1"/>
  <c r="L25" i="12" s="1"/>
  <c r="O25" i="12" a="1"/>
  <c r="O25" i="12" s="1"/>
  <c r="R25" i="12" a="1"/>
  <c r="R25" i="12" s="1"/>
  <c r="U25" i="12" a="1"/>
  <c r="U25" i="12" s="1"/>
  <c r="X25" i="12" a="1"/>
  <c r="X25" i="12" s="1"/>
  <c r="AA25" i="12" a="1"/>
  <c r="AA25" i="12" s="1"/>
  <c r="AC25" i="12" a="1"/>
  <c r="AC25" i="12" s="1"/>
  <c r="AE26" i="12" l="1"/>
  <c r="AE25" i="12"/>
  <c r="C17" i="12" a="1"/>
  <c r="C17" i="12" s="1"/>
  <c r="F17" i="12" a="1"/>
  <c r="F17" i="12" s="1"/>
  <c r="I17" i="12" a="1"/>
  <c r="I17" i="12" s="1"/>
  <c r="L17" i="12" a="1"/>
  <c r="L17" i="12" s="1"/>
  <c r="O17" i="12" a="1"/>
  <c r="O17" i="12" s="1"/>
  <c r="R17" i="12" a="1"/>
  <c r="R17" i="12" s="1"/>
  <c r="U17" i="12" a="1"/>
  <c r="U17" i="12" s="1"/>
  <c r="X17" i="12" a="1"/>
  <c r="X17" i="12" s="1"/>
  <c r="AA17" i="12" a="1"/>
  <c r="AA17" i="12" s="1"/>
  <c r="AC17" i="12" a="1"/>
  <c r="AC17" i="12" s="1"/>
  <c r="C18" i="12" a="1"/>
  <c r="C18" i="12" s="1"/>
  <c r="F18" i="12" a="1"/>
  <c r="F18" i="12" s="1"/>
  <c r="I18" i="12" a="1"/>
  <c r="I18" i="12" s="1"/>
  <c r="L18" i="12" a="1"/>
  <c r="L18" i="12" s="1"/>
  <c r="O18" i="12" a="1"/>
  <c r="O18" i="12" s="1"/>
  <c r="R18" i="12" a="1"/>
  <c r="R18" i="12" s="1"/>
  <c r="U18" i="12" a="1"/>
  <c r="U18" i="12" s="1"/>
  <c r="X18" i="12" a="1"/>
  <c r="X18" i="12" s="1"/>
  <c r="AA18" i="12" a="1"/>
  <c r="AA18" i="12" s="1"/>
  <c r="AC18" i="12" a="1"/>
  <c r="AC18" i="12" s="1"/>
  <c r="C19" i="12" a="1"/>
  <c r="C19" i="12" s="1"/>
  <c r="F19" i="12" a="1"/>
  <c r="F19" i="12" s="1"/>
  <c r="I19" i="12" a="1"/>
  <c r="I19" i="12" s="1"/>
  <c r="L19" i="12" a="1"/>
  <c r="L19" i="12" s="1"/>
  <c r="O19" i="12" a="1"/>
  <c r="O19" i="12" s="1"/>
  <c r="R19" i="12" a="1"/>
  <c r="R19" i="12" s="1"/>
  <c r="U19" i="12" a="1"/>
  <c r="U19" i="12" s="1"/>
  <c r="X19" i="12" a="1"/>
  <c r="X19" i="12" s="1"/>
  <c r="AA19" i="12" a="1"/>
  <c r="AA19" i="12" s="1"/>
  <c r="AC19" i="12" a="1"/>
  <c r="AC19" i="12" s="1"/>
  <c r="C20" i="12" a="1"/>
  <c r="C20" i="12" s="1"/>
  <c r="F20" i="12" a="1"/>
  <c r="F20" i="12" s="1"/>
  <c r="I20" i="12" a="1"/>
  <c r="I20" i="12" s="1"/>
  <c r="L20" i="12" a="1"/>
  <c r="L20" i="12" s="1"/>
  <c r="O20" i="12" a="1"/>
  <c r="O20" i="12" s="1"/>
  <c r="R20" i="12" a="1"/>
  <c r="R20" i="12" s="1"/>
  <c r="U20" i="12" a="1"/>
  <c r="U20" i="12" s="1"/>
  <c r="X20" i="12" a="1"/>
  <c r="X20" i="12" s="1"/>
  <c r="AA20" i="12" a="1"/>
  <c r="AA20" i="12" s="1"/>
  <c r="AC20" i="12" a="1"/>
  <c r="AC20" i="12" s="1"/>
  <c r="C21" i="12" a="1"/>
  <c r="C21" i="12" s="1"/>
  <c r="F21" i="12" a="1"/>
  <c r="F21" i="12" s="1"/>
  <c r="I21" i="12" a="1"/>
  <c r="I21" i="12" s="1"/>
  <c r="L21" i="12" a="1"/>
  <c r="L21" i="12" s="1"/>
  <c r="O21" i="12" a="1"/>
  <c r="O21" i="12" s="1"/>
  <c r="R21" i="12" a="1"/>
  <c r="R21" i="12" s="1"/>
  <c r="U21" i="12" a="1"/>
  <c r="U21" i="12" s="1"/>
  <c r="X21" i="12" a="1"/>
  <c r="X21" i="12" s="1"/>
  <c r="AA21" i="12" a="1"/>
  <c r="AA21" i="12" s="1"/>
  <c r="AC21" i="12" a="1"/>
  <c r="AC21" i="12" s="1"/>
  <c r="C22" i="12" a="1"/>
  <c r="C22" i="12" s="1"/>
  <c r="F22" i="12" a="1"/>
  <c r="F22" i="12" s="1"/>
  <c r="I22" i="12" a="1"/>
  <c r="I22" i="12" s="1"/>
  <c r="L22" i="12" a="1"/>
  <c r="L22" i="12" s="1"/>
  <c r="O22" i="12" a="1"/>
  <c r="O22" i="12" s="1"/>
  <c r="R22" i="12" a="1"/>
  <c r="R22" i="12" s="1"/>
  <c r="U22" i="12" a="1"/>
  <c r="U22" i="12" s="1"/>
  <c r="X22" i="12" a="1"/>
  <c r="X22" i="12" s="1"/>
  <c r="AA22" i="12" a="1"/>
  <c r="AA22" i="12" s="1"/>
  <c r="AC22" i="12" a="1"/>
  <c r="AC22" i="12" s="1"/>
  <c r="C23" i="12" a="1"/>
  <c r="C23" i="12" s="1"/>
  <c r="F23" i="12" a="1"/>
  <c r="F23" i="12" s="1"/>
  <c r="I23" i="12" a="1"/>
  <c r="I23" i="12" s="1"/>
  <c r="L23" i="12" a="1"/>
  <c r="L23" i="12" s="1"/>
  <c r="O23" i="12" a="1"/>
  <c r="O23" i="12" s="1"/>
  <c r="R23" i="12" a="1"/>
  <c r="R23" i="12" s="1"/>
  <c r="U23" i="12" a="1"/>
  <c r="U23" i="12" s="1"/>
  <c r="X23" i="12" a="1"/>
  <c r="X23" i="12" s="1"/>
  <c r="AA23" i="12" a="1"/>
  <c r="AA23" i="12" s="1"/>
  <c r="AC23" i="12" a="1"/>
  <c r="AC23" i="12" s="1"/>
  <c r="C24" i="12" a="1"/>
  <c r="C24" i="12" s="1"/>
  <c r="F24" i="12" a="1"/>
  <c r="F24" i="12" s="1"/>
  <c r="I24" i="12" a="1"/>
  <c r="I24" i="12" s="1"/>
  <c r="L24" i="12" a="1"/>
  <c r="L24" i="12" s="1"/>
  <c r="O24" i="12" a="1"/>
  <c r="O24" i="12" s="1"/>
  <c r="R24" i="12" a="1"/>
  <c r="R24" i="12" s="1"/>
  <c r="U24" i="12" a="1"/>
  <c r="U24" i="12" s="1"/>
  <c r="X24" i="12" a="1"/>
  <c r="X24" i="12" s="1"/>
  <c r="AA24" i="12" a="1"/>
  <c r="AA24" i="12" s="1"/>
  <c r="AC24" i="12" a="1"/>
  <c r="AC24" i="12" s="1"/>
  <c r="F16" i="12" a="1"/>
  <c r="F16" i="12" s="1"/>
  <c r="I16" i="12" a="1"/>
  <c r="I16" i="12" s="1"/>
  <c r="L16" i="12" a="1"/>
  <c r="L16" i="12" s="1"/>
  <c r="O16" i="12" a="1"/>
  <c r="O16" i="12" s="1"/>
  <c r="R16" i="12" a="1"/>
  <c r="R16" i="12" s="1"/>
  <c r="U16" i="12" a="1"/>
  <c r="U16" i="12" s="1"/>
  <c r="X16" i="12" a="1"/>
  <c r="X16" i="12" s="1"/>
  <c r="AA16" i="12" a="1"/>
  <c r="AA16" i="12" s="1"/>
  <c r="AC16" i="12" a="1"/>
  <c r="AC16" i="12" s="1"/>
  <c r="AE21" i="12" l="1"/>
  <c r="AE20" i="12"/>
  <c r="AE17" i="12"/>
  <c r="AE22" i="12"/>
  <c r="AE19" i="12"/>
  <c r="AE18" i="12"/>
  <c r="AE24" i="12"/>
  <c r="AE23" i="12"/>
  <c r="C16" i="12" a="1"/>
  <c r="C16" i="12" s="1"/>
  <c r="AE16" i="12" s="1"/>
  <c r="K31" i="8" l="1"/>
  <c r="K19" i="8"/>
  <c r="K14" i="8"/>
  <c r="J5" i="8"/>
  <c r="J6" i="8"/>
  <c r="J7" i="8"/>
  <c r="J8" i="8"/>
  <c r="J9" i="8"/>
  <c r="J10" i="8"/>
  <c r="J11" i="8"/>
  <c r="J12" i="8"/>
  <c r="J13" i="8"/>
  <c r="J14" i="8"/>
  <c r="J15" i="8"/>
  <c r="J16" i="8"/>
  <c r="J18" i="8"/>
  <c r="J19" i="8"/>
  <c r="J20" i="8"/>
  <c r="J21" i="8"/>
  <c r="J22" i="8"/>
  <c r="J24" i="8"/>
  <c r="J25" i="8"/>
  <c r="J27" i="8"/>
  <c r="J28" i="8"/>
  <c r="J31" i="8"/>
  <c r="J32" i="8"/>
  <c r="J33" i="8"/>
  <c r="J34" i="8"/>
  <c r="J35" i="8"/>
  <c r="J3" i="8"/>
  <c r="C6" i="12" l="1"/>
  <c r="K4" i="12" a="1"/>
  <c r="K4" i="12" s="1"/>
  <c r="E4" i="12" a="1"/>
  <c r="E4" i="12" s="1"/>
  <c r="D4" i="12" a="1"/>
  <c r="D4" i="12" s="1"/>
  <c r="J4" i="12" a="1"/>
  <c r="J4" i="12" s="1"/>
  <c r="M4" i="12" a="1"/>
  <c r="M4" i="12" s="1"/>
  <c r="F4" i="12" a="1"/>
  <c r="F4" i="12" s="1"/>
  <c r="C4" i="12" a="1"/>
  <c r="C4" i="12" s="1"/>
  <c r="G4" i="12" a="1"/>
  <c r="G4" i="12" s="1"/>
  <c r="I4" i="12" a="1"/>
  <c r="I4" i="12" s="1"/>
  <c r="H4" i="12" a="1"/>
  <c r="H4" i="12" s="1"/>
  <c r="L4" i="12" a="1"/>
  <c r="L4" i="12" s="1"/>
  <c r="AH23" i="12" l="1"/>
  <c r="AF23" i="12"/>
  <c r="AH25" i="12"/>
  <c r="AF25" i="12"/>
  <c r="AH17" i="12"/>
  <c r="AF17" i="12"/>
  <c r="AH18" i="12"/>
  <c r="AF18" i="12"/>
  <c r="AH16" i="12"/>
  <c r="AF16" i="12"/>
  <c r="E21" i="12"/>
  <c r="H5" i="12" s="1"/>
  <c r="AH21" i="12"/>
  <c r="AF21" i="12"/>
  <c r="AH24" i="12"/>
  <c r="AF24" i="12"/>
  <c r="AH19" i="12"/>
  <c r="AF19" i="12"/>
  <c r="AH26" i="12"/>
  <c r="AF26" i="12"/>
  <c r="AH22" i="12"/>
  <c r="AF22" i="12"/>
  <c r="AH20" i="12"/>
  <c r="AF20" i="12"/>
  <c r="E16" i="12"/>
  <c r="C5" i="12" s="1"/>
  <c r="E23" i="12"/>
  <c r="J5" i="12" s="1"/>
  <c r="E19" i="12"/>
  <c r="F5" i="12" s="1"/>
  <c r="E25" i="12"/>
  <c r="L5" i="12" s="1"/>
  <c r="E22" i="12"/>
  <c r="I5" i="12" s="1"/>
  <c r="E18" i="12"/>
  <c r="E5" i="12" s="1"/>
  <c r="E20" i="12"/>
  <c r="G5" i="12" s="1"/>
  <c r="E24" i="12"/>
  <c r="K5" i="12" s="1"/>
  <c r="E17" i="12"/>
  <c r="D5" i="12" s="1"/>
  <c r="E26" i="12"/>
  <c r="M5" i="12" s="1"/>
</calcChain>
</file>

<file path=xl/comments1.xml><?xml version="1.0" encoding="utf-8"?>
<comments xmlns="http://schemas.openxmlformats.org/spreadsheetml/2006/main">
  <authors>
    <author>Royer, Elodie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commande passée par B Pessaud</t>
        </r>
      </text>
    </comment>
  </commentList>
</comments>
</file>

<file path=xl/comments2.xml><?xml version="1.0" encoding="utf-8"?>
<comments xmlns="http://schemas.openxmlformats.org/spreadsheetml/2006/main">
  <authors>
    <author>Royer, Elodie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commande passée par B Pessaud</t>
        </r>
      </text>
    </comment>
  </commentList>
</comments>
</file>

<file path=xl/comments3.xml><?xml version="1.0" encoding="utf-8"?>
<comments xmlns="http://schemas.openxmlformats.org/spreadsheetml/2006/main">
  <authors>
    <author>tc={CE0D2D31-47D0-4980-BFB2-233B2F054126}</author>
    <author>tc={682E8CE3-ADA6-4B70-A37F-41CC7EC91A63}</author>
    <author>tc={621D5005-B092-4D8A-A8CF-B05ED4BBEECC}</author>
    <author>tc={A5C4882D-95A7-4D21-9C61-6CCC93373B65}</author>
    <author>tc={F6846AF7-B398-49C6-B682-34B594375269}</author>
    <author>tc={D052EBB6-233B-442F-9435-B7413D97BA6A}</author>
    <author>tc={7D496807-6EBE-4993-9B6A-19B4723D226F}</author>
    <author>tc={DD6CC6D3-4C0C-47D7-A3F0-2FB84654981F}</author>
    <author>tc={8C962C89-50D2-4D20-918E-0BFFED4E3473}</author>
    <author>tc={0E5EDD20-AFB3-41D1-B349-3AD2109354CD}</author>
    <author>tc={E1554F45-1BB8-4FAC-8A14-80E2F819A8DF}</author>
    <author>tc={5825ED76-414C-495A-A955-99CD647EF5DF}</author>
    <author>tc={FFB904BA-3887-4993-BD3A-9EFD47879A8D}</author>
    <author>tc={9EDD4F68-E205-4C2A-9FC0-EA673A873BF9}</author>
    <author>tc={A1EB1FAC-784B-48BD-A87E-A980D1A6CD16}</author>
    <author>tc={2C714BCC-1C9A-4ED4-AAD3-57701627394B}</author>
    <author>tc={E779F4A3-5308-4009-A28C-85BBD9DD7A89}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données extraites du Tableau Reporting</t>
        </r>
      </text>
    </comment>
    <comment ref="G22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J22" authorId="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M22" authorId="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P22" authorId="4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S22" authorId="5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V22" authorId="6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Y22" authorId="7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AB22" authorId="8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Forfait Apsalys :69400/8=8675€ par mois</t>
        </r>
      </text>
    </comment>
    <comment ref="D23" authorId="9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G23" authorId="10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J23" authorId="1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M23" authorId="1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P23" authorId="13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S23" authorId="14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V23" authorId="15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  <comment ref="Y23" authorId="16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reste 13700€ à facturer sur PO-21-1161-00039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<sst xmlns="http://schemas.openxmlformats.org/spreadsheetml/2006/main" count="423" uniqueCount="205">
  <si>
    <t>Budget</t>
  </si>
  <si>
    <t>PO</t>
  </si>
  <si>
    <t>Société</t>
  </si>
  <si>
    <t>Désignation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</si>
  <si>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</si>
  <si>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</si>
  <si>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</si>
  <si>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</si>
  <si>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</si>
  <si>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</si>
  <si>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</si>
  <si>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</si>
  <si>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</si>
  <si>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</si>
  <si>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</si>
  <si>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</si>
  <si>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</si>
  <si>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CEI2</t>
  </si>
  <si>
    <t>TJM</t>
  </si>
  <si>
    <t>Début</t>
  </si>
  <si>
    <t>Fin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</si>
  <si>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</si>
  <si>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</si>
  <si>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</si>
  <si>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</si>
  <si>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</si>
  <si>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</si>
  <si>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</si>
  <si>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</si>
  <si>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</si>
  <si>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</si>
  <si>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</si>
  <si>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</si>
  <si>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</si>
  <si>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</si>
  <si>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Projet</t>
  </si>
  <si>
    <t xml:space="preserve">PO-21-1161-00047 </t>
  </si>
  <si>
    <t>ALSTEF</t>
  </si>
  <si>
    <t>601003 - STOCKWARE</t>
  </si>
  <si>
    <t>Portage de la plateforme Stockware</t>
  </si>
  <si>
    <t>APSALYS</t>
  </si>
  <si>
    <t>Formation MASTER CONTROL</t>
  </si>
  <si>
    <t>PO-21-1161-00745</t>
  </si>
  <si>
    <t>Formation Processus et Gap Analysis</t>
  </si>
  <si>
    <t>PO-21-1161-01103</t>
  </si>
  <si>
    <t>Initiation Reprise (réunion avec support et rédaction protocole)</t>
  </si>
  <si>
    <t>PO-21-1161-01172</t>
  </si>
  <si>
    <t>Rédaction des IM SSC restants</t>
  </si>
  <si>
    <t xml:space="preserve">601079 - Modernisation B80 L2 – 2022 </t>
  </si>
  <si>
    <t>PO-21-1161-01171</t>
  </si>
  <si>
    <t>Suivi et surveillance des Galaxies</t>
  </si>
  <si>
    <t>CHEOPS</t>
  </si>
  <si>
    <t>Infrastructure de
Sauvegarde V5 – HPE et VEEAM</t>
  </si>
  <si>
    <t>PO-21-1161-00832</t>
  </si>
  <si>
    <t>Installation des upgrades mémoire sur les 4 serveurs en production</t>
  </si>
  <si>
    <t>PO-21-1161-00875</t>
  </si>
  <si>
    <t>CF2C</t>
  </si>
  <si>
    <t>Climatisation réversible local info bâtiment 80</t>
  </si>
  <si>
    <t>601022 - B80: Sécurisation salle serveur</t>
  </si>
  <si>
    <t>PO-21-1161-00571</t>
  </si>
  <si>
    <t>COURBON</t>
  </si>
  <si>
    <t>Portage de l'application MIRAIM (Suivi projet)</t>
  </si>
  <si>
    <t>PO-21-1161-00039</t>
  </si>
  <si>
    <t>DELTA SECURITE</t>
  </si>
  <si>
    <t>LICENCES LOGICIEL
ONGUARD &amp;
MILESTONE</t>
  </si>
  <si>
    <t>DIMO SOFTWARE</t>
  </si>
  <si>
    <t>Mise enplace de BASWARE (demat compta fournisseur et remplacement SRM)</t>
  </si>
  <si>
    <t>600728 - BASEWARE</t>
  </si>
  <si>
    <t>PO-21-1161-00534</t>
  </si>
  <si>
    <t>Cadrage Migration SAP / Basware</t>
  </si>
  <si>
    <t>LABWARE</t>
  </si>
  <si>
    <t>Prestation Labware</t>
  </si>
  <si>
    <t>PO-21-1161-00143</t>
  </si>
  <si>
    <t>FAREVA GLIMS installation</t>
  </si>
  <si>
    <t>PO-21-1161-00722</t>
  </si>
  <si>
    <t xml:space="preserve">Prestation GLIMS </t>
  </si>
  <si>
    <t>ORACLE</t>
  </si>
  <si>
    <t>Licences Oracle Database Std Edition 2</t>
  </si>
  <si>
    <t>OSISOFT</t>
  </si>
  <si>
    <t>Licences PI Software</t>
  </si>
  <si>
    <t>601002 - PI</t>
  </si>
  <si>
    <t>PO-21-1161-00954</t>
  </si>
  <si>
    <t xml:space="preserve">SHI International SAS </t>
  </si>
  <si>
    <t>Minitab Statistical Software Annual Subscription 22 MONTH de décembre 2021 à novembre 2022</t>
  </si>
  <si>
    <t xml:space="preserve">PO-21-1161-00683 </t>
  </si>
  <si>
    <t>SPIE ICS</t>
  </si>
  <si>
    <t>Matériels informatiques</t>
  </si>
  <si>
    <t>PO-21-1161-01107</t>
  </si>
  <si>
    <t>CISCO ISR 4321 Bundle Licence</t>
  </si>
  <si>
    <t>PO-21-1161-00616</t>
  </si>
  <si>
    <t>TEKLYNX</t>
  </si>
  <si>
    <t>Licence de test / Transition Codesoft MIRAIM</t>
  </si>
  <si>
    <t>PO-21-1161-00014</t>
  </si>
  <si>
    <t>WATERS</t>
  </si>
  <si>
    <t>Empower Network</t>
  </si>
  <si>
    <t xml:space="preserve">WERUM IT SOLUTIONS </t>
  </si>
  <si>
    <t>Pré-étude technique PAS-X</t>
  </si>
  <si>
    <t>PAS-X Upgrade/Migration Fit Phase</t>
  </si>
  <si>
    <t>PO-21-1161-00643</t>
  </si>
  <si>
    <t>Upgrade PAS-X</t>
  </si>
  <si>
    <t>PO-21-1161-00849</t>
  </si>
  <si>
    <t>Total PO</t>
  </si>
  <si>
    <t>Fact PO</t>
  </si>
  <si>
    <t xml:space="preserve">custo MSDCORE-1014 </t>
  </si>
  <si>
    <t>Date création</t>
  </si>
  <si>
    <t>Reste PO</t>
  </si>
  <si>
    <t>Date prévue</t>
  </si>
  <si>
    <t>Dernière Réc</t>
  </si>
  <si>
    <t>Aout 2021</t>
  </si>
  <si>
    <t>10/01/022</t>
  </si>
  <si>
    <t>tout au long de l'année</t>
  </si>
  <si>
    <t>ProCalV5 Single Concurrent User Licenses - Oracle or SQL Server Edition</t>
  </si>
  <si>
    <t>PRIME TECHNOLOGIES</t>
  </si>
  <si>
    <t>Colonne1</t>
  </si>
  <si>
    <t>Budgétés
(Enveloppe)</t>
  </si>
  <si>
    <t>600727 - SAP ECC6</t>
  </si>
  <si>
    <t>600724 - DECIDIUM</t>
  </si>
  <si>
    <t>600723 - ETEMPTATION</t>
  </si>
  <si>
    <t>XXX - GUARDIAN</t>
  </si>
  <si>
    <t>XXX - TRACELINK</t>
  </si>
  <si>
    <t>XXX - GMAO</t>
  </si>
  <si>
    <t>XXX - REMEDY</t>
  </si>
  <si>
    <t>XXX - SIRH</t>
  </si>
  <si>
    <t>XXX - MYLEARNING</t>
  </si>
  <si>
    <t>Enveloppe</t>
  </si>
  <si>
    <t>Montants</t>
  </si>
  <si>
    <t xml:space="preserve">engagés </t>
  </si>
  <si>
    <t>restant</t>
  </si>
  <si>
    <t>PO-22-1161-00150</t>
  </si>
  <si>
    <t>Reprise interface BASWARE / SAP S4/HANA.</t>
  </si>
  <si>
    <t>estimés</t>
  </si>
  <si>
    <t>Aout</t>
  </si>
  <si>
    <t>Reste</t>
  </si>
  <si>
    <t>Total engagés</t>
  </si>
  <si>
    <t>Reste au 31/12/2021</t>
  </si>
  <si>
    <t>engagées  au 31/12/2021</t>
  </si>
  <si>
    <t>Reste au 31/01/2022</t>
  </si>
  <si>
    <t>Reste au 28/02/2022</t>
  </si>
  <si>
    <t>Reste au 31/03/2022</t>
  </si>
  <si>
    <t>Reste au 30/04/2022</t>
  </si>
  <si>
    <t>Reste au 31/05/2022</t>
  </si>
  <si>
    <t>Reste au 31/06/2022</t>
  </si>
  <si>
    <t>Reste au 30/07/2022</t>
  </si>
  <si>
    <t>Reste au 31/08/2022</t>
  </si>
  <si>
    <t>Reste au 30/09/2022</t>
  </si>
  <si>
    <t>Enveloppe au 30/09/2021</t>
  </si>
  <si>
    <t>AGILENT</t>
  </si>
  <si>
    <t>Kit LAN GC 6890</t>
  </si>
  <si>
    <t>PO-22-1161-00190</t>
  </si>
  <si>
    <t>PO-22-1161-00149</t>
  </si>
  <si>
    <t xml:space="preserve">prestation de migration de projets (jusqu’à 1 000 projets) </t>
  </si>
  <si>
    <t>PO-22-1161-00162</t>
  </si>
  <si>
    <t>Budget estimatif</t>
  </si>
  <si>
    <t>Total Septembre</t>
  </si>
  <si>
    <t>Projet Site</t>
  </si>
  <si>
    <t>Jours restants</t>
  </si>
  <si>
    <t>Reliquat 2022</t>
  </si>
  <si>
    <t>Jours Fériés</t>
  </si>
  <si>
    <t>Dates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</si>
  <si>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</si>
  <si>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</si>
  <si>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</si>
  <si>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</si>
  <si>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</si>
  <si>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</si>
  <si>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</si>
  <si>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</si>
  <si>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</si>
  <si>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</si>
  <si>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</si>
  <si>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ETU</t>
  </si>
  <si>
    <t>CME</t>
  </si>
  <si>
    <t>CLA</t>
  </si>
  <si>
    <t>EPE</t>
  </si>
  <si>
    <t>MUN</t>
  </si>
  <si>
    <t>NVE</t>
  </si>
  <si>
    <t>SAL</t>
  </si>
  <si>
    <t>LDU</t>
  </si>
  <si>
    <t>ASA</t>
  </si>
  <si>
    <t>BRU</t>
  </si>
  <si>
    <t>JLA</t>
  </si>
  <si>
    <t>1161-01932</t>
  </si>
  <si>
    <t>N°Commande</t>
  </si>
  <si>
    <t>1161-01933</t>
  </si>
  <si>
    <t>1161-01934</t>
  </si>
  <si>
    <t>1161-01935</t>
  </si>
  <si>
    <t>1161-01936</t>
  </si>
  <si>
    <t>1161-01926</t>
  </si>
  <si>
    <t>1161-01927</t>
  </si>
  <si>
    <t>1161-01928</t>
  </si>
  <si>
    <t>1161-01929</t>
  </si>
  <si>
    <t>1161-01930</t>
  </si>
  <si>
    <t>1161-01931</t>
  </si>
  <si>
    <t>N° Projet</t>
  </si>
  <si>
    <t>Jours estimés</t>
  </si>
  <si>
    <t xml:space="preserve">Jours travaillés </t>
  </si>
  <si>
    <t>BIDULE</t>
  </si>
  <si>
    <t>MACHIN</t>
  </si>
  <si>
    <t>CHOSE</t>
  </si>
  <si>
    <t>TRUC</t>
  </si>
  <si>
    <t>estimé Janvier</t>
  </si>
  <si>
    <t>estimée Février</t>
  </si>
  <si>
    <t>Reçu Janvier2</t>
  </si>
  <si>
    <t>Reçu Février2</t>
  </si>
  <si>
    <t>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</si>
</sst>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[$-40C]mmmm\-yy;@"/>
    <numFmt numFmtId="167" formatCode="[$-40C]mmm\-yy;@"/>
    <numFmt numFmtId="169" formatCode="#,##0\ &quot;€&quot;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7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9"/>
      <color rgb="FFFF0000"/>
      <name val="Arial"/>
      <family val="2"/>
    </font>
    <font>
      <b/>
      <sz val="10"/>
      <color rgb="FF00B050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8"/>
      <color rgb="FF7F7F7F"/>
      <name val="Calibri"/>
      <family val="2"/>
      <scheme val="minor"/>
    </font>
    <font>
      <b/>
      <i/>
      <sz val="8"/>
      <color theme="4"/>
      <name val="Calibri"/>
      <family val="2"/>
      <scheme val="minor"/>
    </font>
    <font>
      <b/>
      <sz val="8"/>
      <color theme="4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scheme val="minor"/>
    </font>
    <font>
      <b/>
      <sz val="8"/>
      <name val="Calibri"/>
      <scheme val="minor"/>
    </font>
    <font>
      <b/>
      <sz val="8"/>
      <color theme="1"/>
      <name val="Calibri"/>
      <scheme val="minor"/>
    </font>
    <font>
      <sz val="8"/>
      <color theme="1"/>
      <name val="Calibri"/>
      <scheme val="minor"/>
    </font>
    <font>
      <sz val="8"/>
      <color rgb="FF00B050"/>
      <name val="Calibri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6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left"/>
    </xf>
    <xf numFmtId="2" fontId="0" fillId="0" borderId="0" xfId="0" applyNumberFormat="1"/>
    <xf numFmtId="2" fontId="4" fillId="0" borderId="0" xfId="0" applyNumberFormat="1" applyFont="1"/>
    <xf numFmtId="0" fontId="3" fillId="0" borderId="0" xfId="0" applyFont="1"/>
    <xf numFmtId="0" fontId="7" fillId="0" borderId="0" xfId="0" applyFont="1"/>
    <xf numFmtId="0" fontId="9" fillId="0" borderId="0" xfId="0" applyFont="1"/>
    <xf numFmtId="0" fontId="11" fillId="0" borderId="0" xfId="0" applyFont="1" applyAlignment="1">
      <alignment horizontal="left"/>
    </xf>
    <xf numFmtId="0" fontId="13" fillId="0" borderId="0" xfId="0" applyFont="1"/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14" fontId="6" fillId="2" borderId="1" xfId="0" applyNumberFormat="1" applyFont="1" applyFill="1" applyBorder="1"/>
    <xf numFmtId="0" fontId="5" fillId="8" borderId="1" xfId="0" applyFont="1" applyFill="1" applyBorder="1"/>
    <xf numFmtId="0" fontId="5" fillId="8" borderId="1" xfId="0" applyFont="1" applyFill="1" applyBorder="1" applyAlignment="1">
      <alignment horizontal="left"/>
    </xf>
    <xf numFmtId="14" fontId="6" fillId="8" borderId="1" xfId="0" applyNumberFormat="1" applyFont="1" applyFill="1" applyBorder="1"/>
    <xf numFmtId="44" fontId="5" fillId="2" borderId="1" xfId="1" applyFont="1" applyFill="1" applyBorder="1" applyAlignment="1">
      <alignment horizontal="left"/>
    </xf>
    <xf numFmtId="166" fontId="6" fillId="6" borderId="4" xfId="0" applyNumberFormat="1" applyFont="1" applyFill="1" applyBorder="1" applyAlignment="1">
      <alignment horizontal="left"/>
    </xf>
    <xf numFmtId="167" fontId="6" fillId="6" borderId="5" xfId="0" applyNumberFormat="1" applyFont="1" applyFill="1" applyBorder="1" applyAlignment="1">
      <alignment horizontal="left"/>
    </xf>
    <xf numFmtId="166" fontId="6" fillId="6" borderId="5" xfId="0" applyNumberFormat="1" applyFont="1" applyFill="1" applyBorder="1" applyAlignment="1">
      <alignment horizontal="left"/>
    </xf>
    <xf numFmtId="0" fontId="2" fillId="0" borderId="0" xfId="0" applyFont="1"/>
    <xf numFmtId="164" fontId="16" fillId="2" borderId="1" xfId="0" applyNumberFormat="1" applyFont="1" applyFill="1" applyBorder="1"/>
    <xf numFmtId="44" fontId="16" fillId="2" borderId="1" xfId="1" applyFont="1" applyFill="1" applyBorder="1"/>
    <xf numFmtId="0" fontId="15" fillId="0" borderId="0" xfId="0" applyFont="1"/>
    <xf numFmtId="164" fontId="16" fillId="8" borderId="1" xfId="0" applyNumberFormat="1" applyFont="1" applyFill="1" applyBorder="1"/>
    <xf numFmtId="44" fontId="16" fillId="8" borderId="1" xfId="1" applyFont="1" applyFill="1" applyBorder="1" applyAlignment="1">
      <alignment horizontal="left"/>
    </xf>
    <xf numFmtId="44" fontId="16" fillId="2" borderId="1" xfId="1" applyFont="1" applyFill="1" applyBorder="1" applyAlignment="1">
      <alignment horizontal="left"/>
    </xf>
    <xf numFmtId="0" fontId="18" fillId="0" borderId="0" xfId="0" applyFont="1"/>
    <xf numFmtId="0" fontId="5" fillId="2" borderId="3" xfId="0" applyFont="1" applyFill="1" applyBorder="1" applyAlignment="1">
      <alignment horizontal="left"/>
    </xf>
    <xf numFmtId="0" fontId="5" fillId="2" borderId="3" xfId="0" applyFont="1" applyFill="1" applyBorder="1"/>
    <xf numFmtId="0" fontId="5" fillId="8" borderId="3" xfId="0" applyFont="1" applyFill="1" applyBorder="1"/>
    <xf numFmtId="0" fontId="5" fillId="8" borderId="3" xfId="0" applyFont="1" applyFill="1" applyBorder="1" applyAlignment="1">
      <alignment horizontal="left"/>
    </xf>
    <xf numFmtId="164" fontId="6" fillId="5" borderId="4" xfId="0" applyNumberFormat="1" applyFont="1" applyFill="1" applyBorder="1"/>
    <xf numFmtId="164" fontId="16" fillId="5" borderId="5" xfId="0" applyNumberFormat="1" applyFont="1" applyFill="1" applyBorder="1"/>
    <xf numFmtId="164" fontId="17" fillId="5" borderId="6" xfId="0" applyNumberFormat="1" applyFont="1" applyFill="1" applyBorder="1"/>
    <xf numFmtId="164" fontId="6" fillId="2" borderId="7" xfId="0" applyNumberFormat="1" applyFont="1" applyFill="1" applyBorder="1"/>
    <xf numFmtId="164" fontId="17" fillId="2" borderId="8" xfId="0" applyNumberFormat="1" applyFont="1" applyFill="1" applyBorder="1"/>
    <xf numFmtId="44" fontId="6" fillId="2" borderId="7" xfId="1" applyFont="1" applyFill="1" applyBorder="1"/>
    <xf numFmtId="44" fontId="6" fillId="8" borderId="7" xfId="1" applyFont="1" applyFill="1" applyBorder="1"/>
    <xf numFmtId="164" fontId="6" fillId="8" borderId="7" xfId="0" applyNumberFormat="1" applyFont="1" applyFill="1" applyBorder="1"/>
    <xf numFmtId="164" fontId="6" fillId="2" borderId="9" xfId="0" applyNumberFormat="1" applyFont="1" applyFill="1" applyBorder="1"/>
    <xf numFmtId="164" fontId="16" fillId="2" borderId="10" xfId="0" applyNumberFormat="1" applyFont="1" applyFill="1" applyBorder="1"/>
    <xf numFmtId="44" fontId="5" fillId="7" borderId="7" xfId="1" applyFont="1" applyFill="1" applyBorder="1" applyAlignment="1">
      <alignment horizontal="left"/>
    </xf>
    <xf numFmtId="44" fontId="5" fillId="7" borderId="1" xfId="1" applyFont="1" applyFill="1" applyBorder="1" applyAlignment="1">
      <alignment horizontal="left"/>
    </xf>
    <xf numFmtId="44" fontId="5" fillId="7" borderId="8" xfId="1" applyFont="1" applyFill="1" applyBorder="1" applyAlignment="1">
      <alignment horizontal="left"/>
    </xf>
    <xf numFmtId="44" fontId="5" fillId="2" borderId="7" xfId="1" applyFont="1" applyFill="1" applyBorder="1" applyAlignment="1">
      <alignment horizontal="left"/>
    </xf>
    <xf numFmtId="44" fontId="5" fillId="2" borderId="8" xfId="1" applyFont="1" applyFill="1" applyBorder="1" applyAlignment="1">
      <alignment horizontal="left"/>
    </xf>
    <xf numFmtId="44" fontId="5" fillId="2" borderId="9" xfId="1" applyFont="1" applyFill="1" applyBorder="1" applyAlignment="1">
      <alignment horizontal="left"/>
    </xf>
    <xf numFmtId="44" fontId="5" fillId="2" borderId="10" xfId="1" applyFont="1" applyFill="1" applyBorder="1" applyAlignment="1">
      <alignment horizontal="left"/>
    </xf>
    <xf numFmtId="44" fontId="5" fillId="2" borderId="11" xfId="1" applyFont="1" applyFill="1" applyBorder="1" applyAlignment="1">
      <alignment horizontal="left"/>
    </xf>
    <xf numFmtId="14" fontId="6" fillId="5" borderId="12" xfId="0" applyNumberFormat="1" applyFont="1" applyFill="1" applyBorder="1"/>
    <xf numFmtId="14" fontId="6" fillId="2" borderId="13" xfId="0" applyNumberFormat="1" applyFont="1" applyFill="1" applyBorder="1"/>
    <xf numFmtId="14" fontId="6" fillId="8" borderId="13" xfId="0" applyNumberFormat="1" applyFont="1" applyFill="1" applyBorder="1"/>
    <xf numFmtId="44" fontId="5" fillId="9" borderId="1" xfId="1" applyFont="1" applyFill="1" applyBorder="1" applyAlignment="1">
      <alignment horizontal="left"/>
    </xf>
    <xf numFmtId="44" fontId="5" fillId="9" borderId="7" xfId="1" applyFont="1" applyFill="1" applyBorder="1" applyAlignment="1">
      <alignment horizontal="left"/>
    </xf>
    <xf numFmtId="44" fontId="5" fillId="3" borderId="1" xfId="1" applyFont="1" applyFill="1" applyBorder="1" applyAlignment="1">
      <alignment horizontal="left"/>
    </xf>
    <xf numFmtId="44" fontId="5" fillId="3" borderId="7" xfId="1" applyFont="1" applyFill="1" applyBorder="1" applyAlignment="1">
      <alignment horizontal="left"/>
    </xf>
    <xf numFmtId="0" fontId="2" fillId="0" borderId="0" xfId="0" applyFont="1" applyAlignment="1">
      <alignment horizontal="right"/>
    </xf>
    <xf numFmtId="14" fontId="6" fillId="5" borderId="1" xfId="0" applyNumberFormat="1" applyFont="1" applyFill="1" applyBorder="1" applyAlignment="1">
      <alignment horizontal="right"/>
    </xf>
    <xf numFmtId="14" fontId="6" fillId="2" borderId="1" xfId="0" applyNumberFormat="1" applyFont="1" applyFill="1" applyBorder="1" applyAlignment="1">
      <alignment horizontal="right"/>
    </xf>
    <xf numFmtId="44" fontId="19" fillId="9" borderId="1" xfId="1" applyFont="1" applyFill="1" applyBorder="1" applyAlignment="1">
      <alignment horizontal="left"/>
    </xf>
    <xf numFmtId="14" fontId="6" fillId="10" borderId="13" xfId="0" applyNumberFormat="1" applyFont="1" applyFill="1" applyBorder="1"/>
    <xf numFmtId="14" fontId="6" fillId="4" borderId="13" xfId="0" applyNumberFormat="1" applyFont="1" applyFill="1" applyBorder="1"/>
    <xf numFmtId="14" fontId="6" fillId="8" borderId="1" xfId="0" applyNumberFormat="1" applyFont="1" applyFill="1" applyBorder="1" applyAlignment="1">
      <alignment horizontal="right"/>
    </xf>
    <xf numFmtId="44" fontId="5" fillId="3" borderId="10" xfId="1" applyFont="1" applyFill="1" applyBorder="1" applyAlignment="1">
      <alignment horizontal="left"/>
    </xf>
    <xf numFmtId="44" fontId="12" fillId="3" borderId="7" xfId="1" applyFont="1" applyFill="1" applyBorder="1" applyAlignment="1">
      <alignment horizontal="left"/>
    </xf>
    <xf numFmtId="165" fontId="21" fillId="0" borderId="2" xfId="0" applyNumberFormat="1" applyFont="1" applyBorder="1" applyAlignment="1">
      <alignment horizontal="center" vertical="center" wrapText="1"/>
    </xf>
    <xf numFmtId="44" fontId="7" fillId="0" borderId="0" xfId="1" applyFont="1"/>
    <xf numFmtId="169" fontId="21" fillId="2" borderId="14" xfId="0" applyNumberFormat="1" applyFont="1" applyFill="1" applyBorder="1" applyAlignment="1">
      <alignment horizontal="center" vertical="center"/>
    </xf>
    <xf numFmtId="44" fontId="21" fillId="2" borderId="3" xfId="1" applyFont="1" applyFill="1" applyBorder="1" applyAlignment="1">
      <alignment horizontal="left" vertical="center"/>
    </xf>
    <xf numFmtId="169" fontId="21" fillId="2" borderId="3" xfId="0" applyNumberFormat="1" applyFont="1" applyFill="1" applyBorder="1" applyAlignment="1">
      <alignment horizontal="center" vertical="center"/>
    </xf>
    <xf numFmtId="44" fontId="13" fillId="0" borderId="0" xfId="1" applyFont="1"/>
    <xf numFmtId="0" fontId="22" fillId="0" borderId="0" xfId="0" applyFont="1"/>
    <xf numFmtId="44" fontId="13" fillId="2" borderId="0" xfId="1" applyFont="1" applyFill="1"/>
    <xf numFmtId="44" fontId="8" fillId="2" borderId="0" xfId="1" applyFont="1" applyFill="1"/>
    <xf numFmtId="44" fontId="25" fillId="0" borderId="0" xfId="1" applyFont="1"/>
    <xf numFmtId="44" fontId="7" fillId="11" borderId="0" xfId="1" applyFont="1" applyFill="1"/>
    <xf numFmtId="0" fontId="7" fillId="11" borderId="0" xfId="0" applyFont="1" applyFill="1"/>
    <xf numFmtId="44" fontId="13" fillId="2" borderId="15" xfId="1" applyFont="1" applyFill="1" applyBorder="1"/>
    <xf numFmtId="44" fontId="10" fillId="2" borderId="16" xfId="1" applyFont="1" applyFill="1" applyBorder="1" applyAlignment="1">
      <alignment horizontal="center"/>
    </xf>
    <xf numFmtId="44" fontId="13" fillId="2" borderId="20" xfId="1" applyFont="1" applyFill="1" applyBorder="1"/>
    <xf numFmtId="0" fontId="13" fillId="2" borderId="21" xfId="0" applyFont="1" applyFill="1" applyBorder="1"/>
    <xf numFmtId="44" fontId="10" fillId="2" borderId="22" xfId="1" applyFont="1" applyFill="1" applyBorder="1" applyAlignment="1">
      <alignment horizontal="center"/>
    </xf>
    <xf numFmtId="44" fontId="10" fillId="2" borderId="23" xfId="1" applyFont="1" applyFill="1" applyBorder="1" applyAlignment="1">
      <alignment horizontal="center"/>
    </xf>
    <xf numFmtId="44" fontId="10" fillId="2" borderId="24" xfId="1" applyFont="1" applyFill="1" applyBorder="1" applyAlignment="1">
      <alignment horizontal="center"/>
    </xf>
    <xf numFmtId="44" fontId="10" fillId="2" borderId="25" xfId="1" applyFont="1" applyFill="1" applyBorder="1" applyAlignment="1">
      <alignment horizontal="center"/>
    </xf>
    <xf numFmtId="44" fontId="10" fillId="2" borderId="26" xfId="1" applyFont="1" applyFill="1" applyBorder="1" applyAlignment="1">
      <alignment horizontal="center"/>
    </xf>
    <xf numFmtId="164" fontId="18" fillId="0" borderId="0" xfId="0" applyNumberFormat="1" applyFont="1"/>
    <xf numFmtId="44" fontId="9" fillId="0" borderId="0" xfId="0" applyNumberFormat="1" applyFont="1"/>
    <xf numFmtId="44" fontId="9" fillId="0" borderId="0" xfId="1" applyFont="1"/>
    <xf numFmtId="0" fontId="10" fillId="2" borderId="0" xfId="0" applyFont="1" applyFill="1" applyAlignment="1">
      <alignment horizontal="left"/>
    </xf>
    <xf numFmtId="44" fontId="10" fillId="3" borderId="23" xfId="1" applyFont="1" applyFill="1" applyBorder="1" applyAlignment="1">
      <alignment horizontal="center"/>
    </xf>
    <xf numFmtId="44" fontId="26" fillId="3" borderId="23" xfId="1" applyFont="1" applyFill="1" applyBorder="1" applyAlignment="1">
      <alignment horizontal="center"/>
    </xf>
    <xf numFmtId="0" fontId="13" fillId="0" borderId="0" xfId="0" applyFont="1" applyAlignment="1">
      <alignment horizontal="left"/>
    </xf>
    <xf numFmtId="0" fontId="23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11" borderId="0" xfId="0" applyFont="1" applyFill="1" applyAlignment="1">
      <alignment horizontal="left"/>
    </xf>
    <xf numFmtId="0" fontId="13" fillId="0" borderId="3" xfId="0" applyFont="1" applyBorder="1"/>
    <xf numFmtId="44" fontId="7" fillId="0" borderId="3" xfId="1" applyFont="1" applyBorder="1"/>
    <xf numFmtId="0" fontId="0" fillId="0" borderId="31" xfId="0" applyBorder="1"/>
    <xf numFmtId="0" fontId="0" fillId="0" borderId="3" xfId="0" applyBorder="1"/>
    <xf numFmtId="0" fontId="9" fillId="0" borderId="3" xfId="0" applyFont="1" applyBorder="1"/>
    <xf numFmtId="0" fontId="14" fillId="2" borderId="32" xfId="0" applyFont="1" applyFill="1" applyBorder="1" applyAlignment="1">
      <alignment horizontal="center"/>
    </xf>
    <xf numFmtId="0" fontId="14" fillId="3" borderId="32" xfId="0" applyFont="1" applyFill="1" applyBorder="1" applyAlignment="1">
      <alignment horizontal="center"/>
    </xf>
    <xf numFmtId="0" fontId="14" fillId="3" borderId="33" xfId="0" applyFont="1" applyFill="1" applyBorder="1" applyAlignment="1">
      <alignment horizontal="center"/>
    </xf>
    <xf numFmtId="44" fontId="8" fillId="3" borderId="22" xfId="1" applyFont="1" applyFill="1" applyBorder="1" applyAlignment="1">
      <alignment horizontal="center"/>
    </xf>
    <xf numFmtId="44" fontId="27" fillId="3" borderId="23" xfId="0" applyNumberFormat="1" applyFont="1" applyFill="1" applyBorder="1"/>
    <xf numFmtId="44" fontId="24" fillId="3" borderId="23" xfId="0" applyNumberFormat="1" applyFont="1" applyFill="1" applyBorder="1"/>
    <xf numFmtId="44" fontId="8" fillId="3" borderId="24" xfId="1" applyFont="1" applyFill="1" applyBorder="1" applyAlignment="1">
      <alignment horizontal="center"/>
    </xf>
    <xf numFmtId="44" fontId="24" fillId="3" borderId="26" xfId="0" applyNumberFormat="1" applyFont="1" applyFill="1" applyBorder="1"/>
    <xf numFmtId="0" fontId="30" fillId="0" borderId="0" xfId="2" applyFont="1" applyAlignment="1">
      <alignment horizontal="left"/>
    </xf>
    <xf numFmtId="44" fontId="6" fillId="2" borderId="29" xfId="1" applyNumberFormat="1" applyFont="1" applyFill="1" applyBorder="1"/>
    <xf numFmtId="0" fontId="6" fillId="2" borderId="30" xfId="0" applyFont="1" applyFill="1" applyBorder="1"/>
    <xf numFmtId="44" fontId="11" fillId="0" borderId="0" xfId="1" applyFont="1" applyAlignment="1">
      <alignment horizontal="left"/>
    </xf>
    <xf numFmtId="44" fontId="11" fillId="0" borderId="0" xfId="1" applyFont="1"/>
    <xf numFmtId="44" fontId="6" fillId="2" borderId="27" xfId="1" applyNumberFormat="1" applyFont="1" applyFill="1" applyBorder="1"/>
    <xf numFmtId="44" fontId="6" fillId="2" borderId="28" xfId="1" applyNumberFormat="1" applyFont="1" applyFill="1" applyBorder="1"/>
    <xf numFmtId="44" fontId="31" fillId="0" borderId="0" xfId="1" applyFont="1" applyAlignment="1">
      <alignment horizontal="left"/>
    </xf>
    <xf numFmtId="44" fontId="32" fillId="0" borderId="0" xfId="1" applyFont="1"/>
    <xf numFmtId="44" fontId="32" fillId="2" borderId="0" xfId="1" applyFont="1" applyFill="1"/>
    <xf numFmtId="44" fontId="6" fillId="2" borderId="0" xfId="1" applyFont="1" applyFill="1" applyAlignment="1">
      <alignment horizontal="left"/>
    </xf>
    <xf numFmtId="44" fontId="6" fillId="2" borderId="0" xfId="1" applyFont="1" applyFill="1"/>
    <xf numFmtId="44" fontId="16" fillId="2" borderId="0" xfId="1" applyFont="1" applyFill="1"/>
    <xf numFmtId="44" fontId="33" fillId="2" borderId="0" xfId="1" applyFont="1" applyFill="1"/>
    <xf numFmtId="44" fontId="11" fillId="2" borderId="0" xfId="1" applyFont="1" applyFill="1" applyAlignment="1">
      <alignment horizontal="left"/>
    </xf>
    <xf numFmtId="44" fontId="11" fillId="2" borderId="0" xfId="1" applyFont="1" applyFill="1"/>
    <xf numFmtId="44" fontId="16" fillId="3" borderId="0" xfId="1" applyFont="1" applyFill="1"/>
    <xf numFmtId="44" fontId="33" fillId="3" borderId="0" xfId="1" applyFont="1" applyFill="1"/>
    <xf numFmtId="0" fontId="14" fillId="2" borderId="33" xfId="0" applyFont="1" applyFill="1" applyBorder="1" applyAlignment="1">
      <alignment horizontal="center"/>
    </xf>
    <xf numFmtId="44" fontId="28" fillId="2" borderId="22" xfId="1" applyFont="1" applyFill="1" applyBorder="1" applyAlignment="1">
      <alignment horizontal="center"/>
    </xf>
    <xf numFmtId="44" fontId="29" fillId="2" borderId="23" xfId="0" applyNumberFormat="1" applyFont="1" applyFill="1" applyBorder="1"/>
    <xf numFmtId="44" fontId="28" fillId="2" borderId="24" xfId="1" applyFont="1" applyFill="1" applyBorder="1" applyAlignment="1">
      <alignment horizontal="center"/>
    </xf>
    <xf numFmtId="44" fontId="28" fillId="2" borderId="23" xfId="0" applyNumberFormat="1" applyFont="1" applyFill="1" applyBorder="1"/>
    <xf numFmtId="0" fontId="10" fillId="12" borderId="0" xfId="0" applyFont="1" applyFill="1" applyAlignment="1">
      <alignment horizontal="left"/>
    </xf>
    <xf numFmtId="0" fontId="23" fillId="1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164" fontId="11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9" fillId="2" borderId="0" xfId="0" applyNumberFormat="1" applyFont="1" applyFill="1" applyAlignment="1">
      <alignment horizontal="center"/>
    </xf>
    <xf numFmtId="0" fontId="5" fillId="2" borderId="0" xfId="0" applyNumberFormat="1" applyFont="1" applyFill="1" applyAlignment="1">
      <alignment horizontal="center"/>
    </xf>
    <xf numFmtId="0" fontId="3" fillId="2" borderId="0" xfId="0" applyFont="1" applyFill="1"/>
    <xf numFmtId="0" fontId="34" fillId="0" borderId="0" xfId="0" applyNumberFormat="1" applyFont="1" applyFill="1" applyAlignment="1">
      <alignment horizontal="center"/>
    </xf>
    <xf numFmtId="0" fontId="3" fillId="0" borderId="0" xfId="0" applyFont="1" applyFill="1"/>
    <xf numFmtId="164" fontId="6" fillId="0" borderId="0" xfId="0" applyNumberFormat="1" applyFont="1" applyFill="1" applyAlignment="1">
      <alignment horizontal="left"/>
    </xf>
    <xf numFmtId="164" fontId="0" fillId="0" borderId="0" xfId="0" applyNumberFormat="1" applyFont="1" applyAlignment="1">
      <alignment horizontal="left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2" fontId="3" fillId="0" borderId="0" xfId="0" applyNumberFormat="1" applyFont="1"/>
    <xf numFmtId="0" fontId="37" fillId="2" borderId="0" xfId="0" applyFont="1" applyFill="1" applyAlignment="1">
      <alignment horizontal="center"/>
    </xf>
    <xf numFmtId="0" fontId="37" fillId="2" borderId="0" xfId="0" applyNumberFormat="1" applyFont="1" applyFill="1" applyAlignment="1">
      <alignment horizontal="center"/>
    </xf>
    <xf numFmtId="2" fontId="39" fillId="0" borderId="0" xfId="0" applyNumberFormat="1" applyFont="1"/>
    <xf numFmtId="0" fontId="40" fillId="2" borderId="0" xfId="0" applyFont="1" applyFill="1" applyAlignment="1">
      <alignment horizontal="center"/>
    </xf>
    <xf numFmtId="0" fontId="40" fillId="2" borderId="0" xfId="0" applyNumberFormat="1" applyFont="1" applyFill="1" applyAlignment="1">
      <alignment horizontal="center"/>
    </xf>
    <xf numFmtId="2" fontId="9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5" fillId="2" borderId="0" xfId="0" applyNumberFormat="1" applyFont="1" applyFill="1" applyAlignment="1">
      <alignment horizontal="left"/>
    </xf>
    <xf numFmtId="14" fontId="5" fillId="0" borderId="0" xfId="0" applyNumberFormat="1" applyFont="1" applyFill="1" applyAlignment="1">
      <alignment horizontal="left"/>
    </xf>
    <xf numFmtId="14" fontId="40" fillId="2" borderId="0" xfId="0" applyNumberFormat="1" applyFont="1" applyFill="1" applyAlignment="1">
      <alignment horizontal="left"/>
    </xf>
    <xf numFmtId="2" fontId="2" fillId="0" borderId="0" xfId="0" applyNumberFormat="1" applyFont="1" applyAlignment="1">
      <alignment horizontal="left"/>
    </xf>
    <xf numFmtId="2" fontId="6" fillId="0" borderId="0" xfId="0" applyNumberFormat="1" applyFont="1" applyFill="1" applyAlignment="1">
      <alignment horizontal="left"/>
    </xf>
    <xf numFmtId="2" fontId="6" fillId="2" borderId="0" xfId="0" applyNumberFormat="1" applyFont="1" applyFill="1" applyAlignment="1">
      <alignment horizontal="left"/>
    </xf>
    <xf numFmtId="2" fontId="11" fillId="2" borderId="0" xfId="0" applyNumberFormat="1" applyFont="1" applyFill="1" applyAlignment="1">
      <alignment horizontal="left"/>
    </xf>
    <xf numFmtId="14" fontId="0" fillId="0" borderId="0" xfId="0" applyNumberFormat="1"/>
    <xf numFmtId="14" fontId="41" fillId="2" borderId="0" xfId="0" applyNumberFormat="1" applyFont="1" applyFill="1" applyAlignment="1">
      <alignment horizontal="left"/>
    </xf>
    <xf numFmtId="0" fontId="42" fillId="2" borderId="0" xfId="0" applyFont="1" applyFill="1" applyAlignment="1">
      <alignment horizontal="left"/>
    </xf>
    <xf numFmtId="164" fontId="43" fillId="2" borderId="0" xfId="0" applyNumberFormat="1" applyFont="1" applyFill="1" applyAlignment="1">
      <alignment horizontal="left"/>
    </xf>
    <xf numFmtId="0" fontId="44" fillId="2" borderId="0" xfId="0" applyFont="1" applyFill="1" applyAlignment="1">
      <alignment horizontal="center"/>
    </xf>
    <xf numFmtId="164" fontId="42" fillId="2" borderId="0" xfId="0" applyNumberFormat="1" applyFont="1" applyFill="1" applyAlignment="1">
      <alignment horizontal="left"/>
    </xf>
    <xf numFmtId="2" fontId="42" fillId="13" borderId="0" xfId="0" applyNumberFormat="1" applyFont="1" applyFill="1" applyAlignment="1">
      <alignment horizontal="left"/>
    </xf>
    <xf numFmtId="2" fontId="44" fillId="2" borderId="0" xfId="0" applyNumberFormat="1" applyFont="1" applyFill="1" applyAlignment="1">
      <alignment horizontal="left"/>
    </xf>
    <xf numFmtId="49" fontId="45" fillId="2" borderId="0" xfId="0" applyNumberFormat="1" applyFont="1" applyFill="1" applyAlignment="1">
      <alignment horizontal="left"/>
    </xf>
    <xf numFmtId="0" fontId="44" fillId="2" borderId="0" xfId="0" applyNumberFormat="1" applyFont="1" applyFill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5" fillId="2" borderId="34" xfId="0" applyFont="1" applyFill="1" applyBorder="1" applyAlignment="1">
      <alignment horizontal="left"/>
    </xf>
    <xf numFmtId="0" fontId="5" fillId="2" borderId="35" xfId="0" applyFont="1" applyFill="1" applyBorder="1" applyAlignment="1">
      <alignment horizontal="left"/>
    </xf>
    <xf numFmtId="14" fontId="5" fillId="2" borderId="35" xfId="0" applyNumberFormat="1" applyFont="1" applyFill="1" applyBorder="1" applyAlignment="1">
      <alignment horizontal="left"/>
    </xf>
    <xf numFmtId="0" fontId="6" fillId="2" borderId="35" xfId="0" applyFont="1" applyFill="1" applyBorder="1" applyAlignment="1">
      <alignment horizontal="left"/>
    </xf>
    <xf numFmtId="49" fontId="38" fillId="2" borderId="35" xfId="0" applyNumberFormat="1" applyFont="1" applyFill="1" applyBorder="1" applyAlignment="1">
      <alignment horizontal="left"/>
    </xf>
    <xf numFmtId="14" fontId="5" fillId="0" borderId="35" xfId="0" applyNumberFormat="1" applyFont="1" applyBorder="1" applyAlignment="1">
      <alignment horizontal="left"/>
    </xf>
    <xf numFmtId="14" fontId="5" fillId="15" borderId="35" xfId="0" applyNumberFormat="1" applyFont="1" applyFill="1" applyBorder="1" applyAlignment="1">
      <alignment horizontal="left"/>
    </xf>
    <xf numFmtId="14" fontId="9" fillId="2" borderId="35" xfId="0" applyNumberFormat="1" applyFont="1" applyFill="1" applyBorder="1" applyAlignment="1">
      <alignment horizontal="left"/>
    </xf>
    <xf numFmtId="0" fontId="11" fillId="2" borderId="35" xfId="0" applyFont="1" applyFill="1" applyBorder="1" applyAlignment="1">
      <alignment horizontal="left"/>
    </xf>
    <xf numFmtId="0" fontId="47" fillId="0" borderId="0" xfId="0" applyFont="1" applyAlignment="1">
      <alignment horizontal="left"/>
    </xf>
    <xf numFmtId="164" fontId="47" fillId="0" borderId="0" xfId="0" applyNumberFormat="1" applyFont="1" applyAlignment="1">
      <alignment horizontal="left"/>
    </xf>
    <xf numFmtId="2" fontId="47" fillId="0" borderId="0" xfId="0" applyNumberFormat="1" applyFont="1" applyAlignment="1">
      <alignment horizontal="left"/>
    </xf>
    <xf numFmtId="49" fontId="47" fillId="0" borderId="0" xfId="0" applyNumberFormat="1" applyFont="1" applyAlignment="1">
      <alignment horizontal="left"/>
    </xf>
    <xf numFmtId="14" fontId="47" fillId="0" borderId="0" xfId="0" applyNumberFormat="1" applyFont="1" applyAlignment="1">
      <alignment horizontal="left"/>
    </xf>
    <xf numFmtId="0" fontId="47" fillId="0" borderId="0" xfId="0" applyFont="1" applyAlignment="1">
      <alignment horizontal="center"/>
    </xf>
    <xf numFmtId="2" fontId="47" fillId="0" borderId="0" xfId="0" applyNumberFormat="1" applyFont="1"/>
    <xf numFmtId="0" fontId="47" fillId="0" borderId="0" xfId="0" applyFont="1"/>
    <xf numFmtId="14" fontId="5" fillId="16" borderId="0" xfId="0" applyNumberFormat="1" applyFont="1" applyFill="1" applyAlignment="1">
      <alignment horizontal="left"/>
    </xf>
    <xf numFmtId="14" fontId="5" fillId="16" borderId="35" xfId="0" applyNumberFormat="1" applyFont="1" applyFill="1" applyBorder="1" applyAlignment="1">
      <alignment horizontal="left"/>
    </xf>
    <xf numFmtId="2" fontId="6" fillId="16" borderId="0" xfId="0" applyNumberFormat="1" applyFont="1" applyFill="1" applyAlignment="1">
      <alignment horizontal="left"/>
    </xf>
    <xf numFmtId="0" fontId="9" fillId="16" borderId="0" xfId="0" applyFont="1" applyFill="1" applyAlignment="1">
      <alignment horizontal="center"/>
    </xf>
    <xf numFmtId="0" fontId="0" fillId="14" borderId="0" xfId="0" applyFont="1" applyFill="1" applyAlignment="1">
      <alignment horizontal="left" vertical="center" wrapText="1"/>
    </xf>
    <xf numFmtId="49" fontId="0" fillId="14" borderId="0" xfId="0" applyNumberFormat="1" applyFont="1" applyFill="1" applyAlignment="1">
      <alignment horizontal="left" vertical="center" wrapText="1"/>
    </xf>
    <xf numFmtId="14" fontId="0" fillId="14" borderId="0" xfId="0" applyNumberFormat="1" applyFont="1" applyFill="1" applyAlignment="1">
      <alignment horizontal="left" vertical="center" wrapText="1"/>
    </xf>
    <xf numFmtId="0" fontId="2" fillId="14" borderId="0" xfId="0" applyFont="1" applyFill="1" applyAlignment="1">
      <alignment horizontal="left" vertical="center" wrapText="1"/>
    </xf>
    <xf numFmtId="164" fontId="2" fillId="14" borderId="0" xfId="0" applyNumberFormat="1" applyFont="1" applyFill="1" applyAlignment="1">
      <alignment horizontal="left" vertical="center" wrapText="1"/>
    </xf>
    <xf numFmtId="0" fontId="0" fillId="14" borderId="0" xfId="0" applyFont="1" applyFill="1" applyAlignment="1">
      <alignment horizontal="center" vertical="center" wrapText="1"/>
    </xf>
    <xf numFmtId="2" fontId="2" fillId="14" borderId="0" xfId="0" applyNumberFormat="1" applyFont="1" applyFill="1" applyAlignment="1">
      <alignment horizontal="left" vertical="center" wrapText="1"/>
    </xf>
    <xf numFmtId="166" fontId="0" fillId="14" borderId="0" xfId="0" applyNumberFormat="1" applyFont="1" applyFill="1" applyAlignment="1">
      <alignment horizontal="left" vertical="center" wrapText="1"/>
    </xf>
    <xf numFmtId="166" fontId="3" fillId="14" borderId="0" xfId="0" applyNumberFormat="1" applyFont="1" applyFill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46" fillId="14" borderId="34" xfId="0" applyFont="1" applyFill="1" applyBorder="1" applyAlignment="1">
      <alignment horizontal="left" vertical="center" wrapText="1"/>
    </xf>
    <xf numFmtId="49" fontId="46" fillId="14" borderId="35" xfId="0" applyNumberFormat="1" applyFont="1" applyFill="1" applyBorder="1" applyAlignment="1">
      <alignment horizontal="left" vertical="center" wrapText="1"/>
    </xf>
    <xf numFmtId="0" fontId="46" fillId="14" borderId="35" xfId="0" applyFont="1" applyFill="1" applyBorder="1" applyAlignment="1">
      <alignment horizontal="left" vertical="center" wrapText="1"/>
    </xf>
    <xf numFmtId="14" fontId="46" fillId="14" borderId="35" xfId="0" applyNumberFormat="1" applyFont="1" applyFill="1" applyBorder="1" applyAlignment="1">
      <alignment horizontal="left" vertical="center" wrapText="1"/>
    </xf>
  </cellXfs>
  <cellStyles count="3">
    <cellStyle name="Monétaire" xfId="1" builtinId="4"/>
    <cellStyle name="Normal" xfId="0" builtinId="0"/>
    <cellStyle name="Texte explicatif" xfId="2" builtinId="53"/>
  </cellStyles>
  <dxfs count="58">
    <dxf>
      <font>
        <b/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9" formatCode="#,##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38100</xdr:rowOff>
    </xdr:from>
    <xdr:to>
      <xdr:col>8</xdr:col>
      <xdr:colOff>400050</xdr:colOff>
      <xdr:row>0</xdr:row>
      <xdr:rowOff>647700</xdr:rowOff>
    </xdr:to>
    <xdr:sp macro="" textlink="">
      <xdr:nvSpPr>
        <xdr:cNvPr id="2" name="ZoneTexte 1"/>
        <xdr:cNvSpPr txBox="1"/>
      </xdr:nvSpPr>
      <xdr:spPr>
        <a:xfrm>
          <a:off x="2695575" y="38100"/>
          <a:ext cx="741997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: soustraire</a:t>
          </a:r>
          <a:r>
            <a:rPr lang="fr-FR" sz="1100" baseline="0"/>
            <a:t> dans la colonne "E" la date de début "D" - le reliquat colonne "L" et rajouter le nombre de jours estimées colonne "H" pour déterminer la date de fin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4</xdr:row>
      <xdr:rowOff>161925</xdr:rowOff>
    </xdr:from>
    <xdr:to>
      <xdr:col>14</xdr:col>
      <xdr:colOff>304800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4791075" y="1114425"/>
          <a:ext cx="635317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Calculer</a:t>
          </a:r>
          <a:r>
            <a:rPr lang="fr-FR" sz="1100" baseline="0"/>
            <a:t> le montant facturé par mois pour chaque prestataire: multiplier le tjm du prestataire (colonne G onglet 1) par le nombre de jours travaillés (colonne J onglet 1) pour chaque mois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oyer, Elodie" id="{C17EE081-845F-42F8-B4A9-1E27C2C12E22}" userId="S::royerel@merck.com::3b1a6fdc-e8c8-44ce-8ef1-ee30cf93c7f4" providerId="AD"/>
</personList>
</file>

<file path=xl/tables/table1.xml><?xml version="1.0" encoding="utf-8"?>
<table xmlns="http://schemas.openxmlformats.org/spreadsheetml/2006/main" id="1" name="BDD_PRESTA_ESTIME3" displayName="BDD_PRESTA_ESTIME3" ref="A2:Z13" totalsRowShown="0" headerRowDxfId="8" dataDxfId="10" totalsRowDxfId="9">
  <autoFilter ref="A2:Z13"/>
  <tableColumns count="26">
    <tableColumn id="1" name="N° Projet" dataDxfId="57" totalsRowDxfId="33"/>
    <tableColumn id="2" name="N°Commande" dataDxfId="56" totalsRowDxfId="32"/>
    <tableColumn id="28" name="Société" dataDxfId="55" totalsRowDxfId="31"/>
    <tableColumn id="10" name="Début" dataDxfId="1" totalsRowDxfId="30"/>
    <tableColumn id="5" name="Fin" dataDxfId="2"/>
    <tableColumn id="4" name="Prestataires" dataDxfId="0" totalsRowDxfId="29"/>
    <tableColumn id="27" name="TJM" dataDxfId="54" totalsRowDxfId="28"/>
    <tableColumn id="6" name="Jours estimés" dataDxfId="53" totalsRowDxfId="27"/>
    <tableColumn id="13" name="Jours travaillés " dataDxfId="52" totalsRowDxfId="26">
      <calculatedColumnFormula>SUM(#REF!)</calculatedColumnFormula>
    </tableColumn>
    <tableColumn id="14" name="Jours restants" dataDxfId="51" totalsRowDxfId="25">
      <calculatedColumnFormula>BDD_PRESTA_ESTIME3[[#This Row],[Jours estimés]]-BDD_PRESTA_ESTIME3[[#This Row],[Jours travaillés ]]</calculatedColumnFormula>
    </tableColumn>
    <tableColumn id="9" name="Total" dataDxfId="50" totalsRowDxfId="24"/>
    <tableColumn id="7" name="Reliquat 2022" dataDxfId="49" totalsRowDxfId="23"/>
    <tableColumn id="15" name="estimé Janvier" dataDxfId="48" totalsRowDxfId="22"/>
    <tableColumn id="8" name="Reçu Janvier2" dataDxfId="6" totalsRowDxfId="7"/>
    <tableColumn id="16" name="estimée Février" dataDxfId="47" totalsRowDxfId="21"/>
    <tableColumn id="11" name="Reçu Février2" dataDxfId="3" totalsRowDxfId="4"/>
    <tableColumn id="17" name="Mars" dataDxfId="46" totalsRowDxfId="20"/>
    <tableColumn id="18" name="Avril" dataDxfId="45" totalsRowDxfId="19"/>
    <tableColumn id="19" name="Mai" dataDxfId="44" totalsRowDxfId="18"/>
    <tableColumn id="20" name="Juin" dataDxfId="43" totalsRowDxfId="17"/>
    <tableColumn id="21" name="Juillet" dataDxfId="42" totalsRowDxfId="16"/>
    <tableColumn id="22" name="Août" dataDxfId="41" totalsRowDxfId="15"/>
    <tableColumn id="29" name="Septembre" dataDxfId="40" totalsRowDxfId="14"/>
    <tableColumn id="30" name="Octobre" dataDxfId="39" totalsRowDxfId="13"/>
    <tableColumn id="31" name="Novembre" dataDxfId="38" totalsRowDxfId="12"/>
    <tableColumn id="32" name="Décembre" dataDxfId="37" totalsRowDxfId="1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IO" displayName="IO" ref="A1:A13" totalsRowShown="0">
  <autoFilter ref="A1:A13"/>
  <tableColumns count="1">
    <tableColumn id="1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3:B24" totalsRowShown="0" tableBorderDxfId="36">
  <autoFilter ref="A3:B24"/>
  <tableColumns count="2">
    <tableColumn id="1" name="Enveloppe" dataDxfId="35"/>
    <tableColumn id="2" name="Montants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" dT="2022-06-15T14:45:41.45" personId="{C17EE081-845F-42F8-B4A9-1E27C2C12E22}" id="{BF924ADC-CB04-4EA4-B728-F78C15814CDA}">
    <text>Commande passée par Laurent Eydieu</text>
  </threadedComment>
  <threadedComment ref="G13" dT="2022-03-10T17:52:55.09" personId="{C17EE081-845F-42F8-B4A9-1E27C2C12E22}" id="{2332B50A-B412-4823-A1D1-F118B3CEF954}">
    <text>60% OFM</text>
  </threadedComment>
  <threadedComment ref="G15" dT="2022-03-10T17:53:15.11" personId="{C17EE081-845F-42F8-B4A9-1E27C2C12E22}" id="{337AEFE9-9B02-4942-BE08-9DE64A5F0BB0}">
    <text>40% Modernisation</text>
  </threadedComment>
  <threadedComment ref="B26" dT="2022-07-21T07:19:57.07" personId="{C17EE081-845F-42F8-B4A9-1E27C2C12E22}" id="{6FE6D4A0-3B35-4681-B2A1-3B69FAC75F39}">
    <text>passsée par LEydieu</text>
  </threadedComment>
  <threadedComment ref="G32" dT="2022-03-10T17:55:31.08" personId="{C17EE081-845F-42F8-B4A9-1E27C2C12E22}" id="{B1041A2E-D420-44FC-80B9-4632C630C02A}">
    <text>50% SEGREGATION</text>
  </threadedComment>
  <threadedComment ref="G33" dT="2022-03-10T17:56:16.97" personId="{C17EE081-845F-42F8-B4A9-1E27C2C12E22}" id="{91ECE6D3-668C-4A1A-A572-1399A64CE807}">
    <text>50% OFM</text>
  </threadedComment>
  <threadedComment ref="N50" dT="2022-03-18T08:12:26.62" personId="{C17EE081-845F-42F8-B4A9-1E27C2C12E22}" id="{3227F050-12A0-46EE-AC13-87635892BA1B}">
    <text>FACTURE 9 JOURS</text>
  </threadedComment>
  <threadedComment ref="B116" dT="2022-03-21T10:59:47.47" personId="{C17EE081-845F-42F8-B4A9-1E27C2C12E22}" id="{53E24620-8EBA-4C5F-A1A6-D085347672D8}">
    <text>pas facturer sur cette commande du 07 au 25/03</text>
  </threadedComment>
  <threadedComment ref="B138" dT="2022-03-24T09:40:11.39" personId="{C17EE081-845F-42F8-B4A9-1E27C2C12E22}" id="{52385A0C-DD61-484F-B432-01BE3B867292}">
    <text>commande à cloturer car la prestation s'est terminée début mars</text>
  </threadedComment>
  <threadedComment ref="N140" dT="2022-03-10T15:04:07.02" personId="{C17EE081-845F-42F8-B4A9-1E27C2C12E22}" id="{1A46730D-F920-4C76-98D0-615AB7B1F03B}">
    <text>le TJM de JF Clavel n'est pas identique à celui de Pauline</text>
  </threadedComment>
  <threadedComment ref="N141" dT="2022-03-10T15:03:14.70" personId="{C17EE081-845F-42F8-B4A9-1E27C2C12E22}" id="{989EDD17-DD8F-4688-991E-7D5B940DCE20}">
    <text>4 jours de JF Clavel reporté sur la commande de Pauline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2" dT="2022-01-26T10:12:53.09" personId="{C17EE081-845F-42F8-B4A9-1E27C2C12E22}" id="{CE0D2D31-47D0-4980-BFB2-233B2F054126}">
    <text>données extraites du Tableau Reporting</text>
  </threadedComment>
  <threadedComment ref="G22" dT="2022-01-26T13:27:36.91" personId="{C17EE081-845F-42F8-B4A9-1E27C2C12E22}" id="{682E8CE3-ADA6-4B70-A37F-41CC7EC91A63}">
    <text>Forfait Apsalys :69400/8=8675€ par mois</text>
  </threadedComment>
  <threadedComment ref="J22" dT="2022-01-26T13:27:36.91" personId="{C17EE081-845F-42F8-B4A9-1E27C2C12E22}" id="{621D5005-B092-4D8A-A8CF-B05ED4BBEECC}">
    <text>Forfait Apsalys :69400/8=8675€ par mois</text>
  </threadedComment>
  <threadedComment ref="M22" dT="2022-01-26T13:27:36.91" personId="{C17EE081-845F-42F8-B4A9-1E27C2C12E22}" id="{A5C4882D-95A7-4D21-9C61-6CCC93373B65}">
    <text>Forfait Apsalys :69400/8=8675€ par mois</text>
  </threadedComment>
  <threadedComment ref="P22" dT="2022-01-26T13:27:36.91" personId="{C17EE081-845F-42F8-B4A9-1E27C2C12E22}" id="{F6846AF7-B398-49C6-B682-34B594375269}">
    <text>Forfait Apsalys :69400/8=8675€ par mois</text>
  </threadedComment>
  <threadedComment ref="S22" dT="2022-01-26T13:27:36.91" personId="{C17EE081-845F-42F8-B4A9-1E27C2C12E22}" id="{D052EBB6-233B-442F-9435-B7413D97BA6A}">
    <text>Forfait Apsalys :69400/8=8675€ par mois</text>
  </threadedComment>
  <threadedComment ref="V22" dT="2022-01-26T13:27:36.91" personId="{C17EE081-845F-42F8-B4A9-1E27C2C12E22}" id="{7D496807-6EBE-4993-9B6A-19B4723D226F}">
    <text>Forfait Apsalys :69400/8=8675€ par mois</text>
  </threadedComment>
  <threadedComment ref="Y22" dT="2022-01-26T13:27:36.91" personId="{C17EE081-845F-42F8-B4A9-1E27C2C12E22}" id="{DD6CC6D3-4C0C-47D7-A3F0-2FB84654981F}">
    <text>Forfait Apsalys :69400/8=8675€ par mois</text>
  </threadedComment>
  <threadedComment ref="AB22" dT="2022-01-26T13:27:36.91" personId="{C17EE081-845F-42F8-B4A9-1E27C2C12E22}" id="{8C962C89-50D2-4D20-918E-0BFFED4E3473}">
    <text>Forfait Apsalys :69400/8=8675€ par mois</text>
  </threadedComment>
  <threadedComment ref="D23" dT="2022-01-26T13:38:03.64" personId="{C17EE081-845F-42F8-B4A9-1E27C2C12E22}" id="{0E5EDD20-AFB3-41D1-B349-3AD2109354CD}">
    <text>reste 13700€ à facturer sur PO-21-1161-00039</text>
  </threadedComment>
  <threadedComment ref="G23" dT="2022-01-26T13:38:03.64" personId="{C17EE081-845F-42F8-B4A9-1E27C2C12E22}" id="{E1554F45-1BB8-4FAC-8A14-80E2F819A8DF}">
    <text>reste 13700€ à facturer sur PO-21-1161-00039</text>
  </threadedComment>
  <threadedComment ref="J23" dT="2022-01-26T13:38:03.64" personId="{C17EE081-845F-42F8-B4A9-1E27C2C12E22}" id="{5825ED76-414C-495A-A955-99CD647EF5DF}">
    <text>reste 13700€ à facturer sur PO-21-1161-00039</text>
  </threadedComment>
  <threadedComment ref="M23" dT="2022-01-26T13:38:03.64" personId="{C17EE081-845F-42F8-B4A9-1E27C2C12E22}" id="{FFB904BA-3887-4993-BD3A-9EFD47879A8D}">
    <text>reste 13700€ à facturer sur PO-21-1161-00039</text>
  </threadedComment>
  <threadedComment ref="P23" dT="2022-01-26T13:38:03.64" personId="{C17EE081-845F-42F8-B4A9-1E27C2C12E22}" id="{9EDD4F68-E205-4C2A-9FC0-EA673A873BF9}">
    <text>reste 13700€ à facturer sur PO-21-1161-00039</text>
  </threadedComment>
  <threadedComment ref="S23" dT="2022-01-26T13:38:03.64" personId="{C17EE081-845F-42F8-B4A9-1E27C2C12E22}" id="{A1EB1FAC-784B-48BD-A87E-A980D1A6CD16}">
    <text>reste 13700€ à facturer sur PO-21-1161-00039</text>
  </threadedComment>
  <threadedComment ref="V23" dT="2022-01-26T13:38:03.64" personId="{C17EE081-845F-42F8-B4A9-1E27C2C12E22}" id="{2C714BCC-1C9A-4ED4-AAD3-57701627394B}">
    <text>reste 13700€ à facturer sur PO-21-1161-00039</text>
  </threadedComment>
  <threadedComment ref="Y23" dT="2022-01-26T13:38:03.64" personId="{C17EE081-845F-42F8-B4A9-1E27C2C12E22}" id="{E779F4A3-5308-4009-A28C-85BBD9DD7A89}">
    <text>reste 13700€ à facturer sur PO-21-1161-00039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Z17"/>
  <sheetViews>
    <sheetView tabSelected="1" zoomScaleNormal="100"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11.7109375" style="1" customWidth="1"/>
    <col min="2" max="2" width="14.28515625" style="2" customWidth="1"/>
    <col min="3" max="3" width="13.5703125" style="1" customWidth="1"/>
    <col min="4" max="4" width="21.85546875" style="167" customWidth="1"/>
    <col min="5" max="5" width="17.28515625" style="167" customWidth="1"/>
    <col min="6" max="6" width="14.85546875" style="3" customWidth="1"/>
    <col min="7" max="7" width="19.5703125" style="154" customWidth="1"/>
    <col min="8" max="8" width="11" style="156" customWidth="1"/>
    <col min="9" max="9" width="9.28515625" style="4" customWidth="1"/>
    <col min="10" max="10" width="10.140625" style="4" customWidth="1"/>
    <col min="11" max="11" width="10.85546875" style="5" customWidth="1"/>
    <col min="12" max="12" width="12.85546875" style="171" customWidth="1"/>
    <col min="13" max="14" width="8.85546875" style="6" customWidth="1"/>
    <col min="15" max="16" width="8.5703125" style="6" customWidth="1"/>
    <col min="17" max="17" width="10.85546875" style="6" customWidth="1"/>
    <col min="18" max="18" width="8.28515625" style="6" bestFit="1" customWidth="1"/>
    <col min="19" max="19" width="7.28515625" style="6" bestFit="1" customWidth="1"/>
    <col min="20" max="20" width="6.28515625" style="6" customWidth="1"/>
    <col min="21" max="22" width="5.5703125" style="6" customWidth="1"/>
    <col min="23" max="23" width="8" style="160" customWidth="1"/>
    <col min="24" max="26" width="5.5703125" style="7" customWidth="1"/>
  </cols>
  <sheetData>
    <row r="1" spans="1:26" s="204" customFormat="1" ht="56.25" customHeight="1" x14ac:dyDescent="0.25">
      <c r="A1" s="197"/>
      <c r="B1" s="200"/>
      <c r="C1" s="197"/>
      <c r="D1" s="201"/>
      <c r="E1" s="201"/>
      <c r="F1" s="197"/>
      <c r="G1" s="198"/>
      <c r="H1" s="202"/>
      <c r="I1" s="202"/>
      <c r="J1" s="202"/>
      <c r="K1" s="198"/>
      <c r="L1" s="199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</row>
    <row r="2" spans="1:26" s="218" customFormat="1" ht="45" x14ac:dyDescent="0.25">
      <c r="A2" s="209" t="s">
        <v>193</v>
      </c>
      <c r="B2" s="210" t="s">
        <v>182</v>
      </c>
      <c r="C2" s="209" t="s">
        <v>2</v>
      </c>
      <c r="D2" s="211" t="s">
        <v>19</v>
      </c>
      <c r="E2" s="211" t="s">
        <v>20</v>
      </c>
      <c r="F2" s="212" t="s">
        <v>4</v>
      </c>
      <c r="G2" s="213" t="s">
        <v>18</v>
      </c>
      <c r="H2" s="214" t="s">
        <v>194</v>
      </c>
      <c r="I2" s="214" t="s">
        <v>195</v>
      </c>
      <c r="J2" s="214" t="s">
        <v>155</v>
      </c>
      <c r="K2" s="213" t="s">
        <v>21</v>
      </c>
      <c r="L2" s="215" t="s">
        <v>156</v>
      </c>
      <c r="M2" s="216" t="s">
        <v>200</v>
      </c>
      <c r="N2" s="216" t="s">
        <v>202</v>
      </c>
      <c r="O2" s="216" t="s">
        <v>201</v>
      </c>
      <c r="P2" s="216" t="s">
        <v>203</v>
      </c>
      <c r="Q2" s="216" t="s">
        <v>24</v>
      </c>
      <c r="R2" s="216" t="s">
        <v>25</v>
      </c>
      <c r="S2" s="216" t="s">
        <v>26</v>
      </c>
      <c r="T2" s="216" t="s">
        <v>27</v>
      </c>
      <c r="U2" s="216" t="s">
        <v>28</v>
      </c>
      <c r="V2" s="216" t="s">
        <v>29</v>
      </c>
      <c r="W2" s="217" t="s">
        <v>30</v>
      </c>
      <c r="X2" s="216" t="s">
        <v>31</v>
      </c>
      <c r="Y2" s="216" t="s">
        <v>32</v>
      </c>
      <c r="Z2" s="216" t="s">
        <v>33</v>
      </c>
    </row>
    <row r="3" spans="1:26" s="150" customFormat="1" x14ac:dyDescent="0.25">
      <c r="A3" s="143">
        <v>60001</v>
      </c>
      <c r="B3" s="183" t="s">
        <v>187</v>
      </c>
      <c r="C3" s="143" t="s">
        <v>196</v>
      </c>
      <c r="D3" s="205">
        <v>44928</v>
      </c>
      <c r="E3" s="205"/>
      <c r="F3" s="141" t="s">
        <v>170</v>
      </c>
      <c r="G3" s="146">
        <v>637</v>
      </c>
      <c r="H3" s="208">
        <v>44</v>
      </c>
      <c r="I3" s="145">
        <f>SUM(BDD_PRESTA_ESTIME3[[#This Row],[estimé Janvier]:[Décembre]])</f>
        <v>37</v>
      </c>
      <c r="J3" s="149">
        <f>BDD_PRESTA_ESTIME3[[#This Row],[Jours estimés]]-BDD_PRESTA_ESTIME3[[#This Row],[Jours travaillés ]]</f>
        <v>7</v>
      </c>
      <c r="K3" s="153">
        <f>BDD_PRESTA_ESTIME3[[#This Row],[Jours estimés]]*BDD_PRESTA_ESTIME3[[#This Row],[TJM]]</f>
        <v>28028</v>
      </c>
      <c r="L3" s="207">
        <v>14</v>
      </c>
      <c r="M3" s="166">
        <v>15</v>
      </c>
      <c r="N3" s="166">
        <v>22</v>
      </c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</row>
    <row r="4" spans="1:26" s="152" customFormat="1" x14ac:dyDescent="0.25">
      <c r="A4" s="143">
        <v>60004</v>
      </c>
      <c r="B4" s="183" t="s">
        <v>188</v>
      </c>
      <c r="C4" s="143" t="s">
        <v>197</v>
      </c>
      <c r="D4" s="169">
        <v>44958</v>
      </c>
      <c r="E4" s="169"/>
      <c r="F4" s="141" t="s">
        <v>171</v>
      </c>
      <c r="G4" s="146">
        <v>448</v>
      </c>
      <c r="H4" s="157">
        <v>25</v>
      </c>
      <c r="I4" s="145">
        <f>SUM(BDD_PRESTA_ESTIME3[[#This Row],[estimé Janvier]:[Décembre]])</f>
        <v>0</v>
      </c>
      <c r="J4" s="151">
        <f>BDD_PRESTA_ESTIME3[[#This Row],[Jours estimés]]-BDD_PRESTA_ESTIME3[[#This Row],[Jours travaillés ]]</f>
        <v>25</v>
      </c>
      <c r="K4" s="153">
        <f>BDD_PRESTA_ESTIME3[[#This Row],[Jours estimés]]*BDD_PRESTA_ESTIME3[[#This Row],[TJM]]</f>
        <v>11200</v>
      </c>
      <c r="L4" s="172">
        <v>22</v>
      </c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</row>
    <row r="5" spans="1:26" s="152" customFormat="1" x14ac:dyDescent="0.25">
      <c r="A5" s="143">
        <v>60006</v>
      </c>
      <c r="B5" s="183" t="s">
        <v>189</v>
      </c>
      <c r="C5" s="143" t="s">
        <v>198</v>
      </c>
      <c r="D5" s="169">
        <v>44942</v>
      </c>
      <c r="E5" s="169"/>
      <c r="F5" s="141" t="s">
        <v>172</v>
      </c>
      <c r="G5" s="146">
        <v>474</v>
      </c>
      <c r="H5" s="157">
        <v>27</v>
      </c>
      <c r="I5" s="158">
        <f>SUM(BDD_PRESTA_ESTIME3[[#This Row],[estimé Janvier]:[Décembre]])</f>
        <v>0</v>
      </c>
      <c r="J5" s="159">
        <f>BDD_PRESTA_ESTIME3[[#This Row],[Jours estimés]]-BDD_PRESTA_ESTIME3[[#This Row],[Jours travaillés ]]</f>
        <v>27</v>
      </c>
      <c r="K5" s="153">
        <f>BDD_PRESTA_ESTIME3[[#This Row],[Jours estimés]]*BDD_PRESTA_ESTIME3[[#This Row],[TJM]]</f>
        <v>12798</v>
      </c>
      <c r="L5" s="172">
        <v>10</v>
      </c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</row>
    <row r="6" spans="1:26" s="150" customFormat="1" x14ac:dyDescent="0.25">
      <c r="A6" s="143">
        <v>60008</v>
      </c>
      <c r="B6" s="183" t="s">
        <v>190</v>
      </c>
      <c r="C6" s="143" t="s">
        <v>199</v>
      </c>
      <c r="D6" s="168">
        <v>44942</v>
      </c>
      <c r="E6" s="168"/>
      <c r="F6" s="141" t="s">
        <v>173</v>
      </c>
      <c r="G6" s="146">
        <v>515</v>
      </c>
      <c r="H6" s="147">
        <v>57</v>
      </c>
      <c r="I6" s="145">
        <f>SUM(BDD_PRESTA_ESTIME3[[#This Row],[estimé Janvier]:[Décembre]])</f>
        <v>0</v>
      </c>
      <c r="J6" s="149">
        <f>BDD_PRESTA_ESTIME3[[#This Row],[Jours estimés]]-BDD_PRESTA_ESTIME3[[#This Row],[Jours travaillés ]]</f>
        <v>57</v>
      </c>
      <c r="K6" s="144">
        <f>BDD_PRESTA_ESTIME3[[#This Row],[Jours estimés]]*BDD_PRESTA_ESTIME3[[#This Row],[TJM]]</f>
        <v>29355</v>
      </c>
      <c r="L6" s="173">
        <v>15</v>
      </c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</row>
    <row r="7" spans="1:26" s="150" customFormat="1" ht="13.5" customHeight="1" x14ac:dyDescent="0.25">
      <c r="A7" s="143">
        <v>60011</v>
      </c>
      <c r="B7" s="183" t="s">
        <v>191</v>
      </c>
      <c r="C7" s="143" t="s">
        <v>196</v>
      </c>
      <c r="D7" s="168">
        <v>44942</v>
      </c>
      <c r="E7" s="168"/>
      <c r="F7" s="141" t="s">
        <v>174</v>
      </c>
      <c r="G7" s="146">
        <v>493</v>
      </c>
      <c r="H7" s="161">
        <v>49</v>
      </c>
      <c r="I7" s="147">
        <f>SUM(BDD_PRESTA_ESTIME3[[#This Row],[estimé Janvier]:[Décembre]])</f>
        <v>0</v>
      </c>
      <c r="J7" s="162">
        <f>BDD_PRESTA_ESTIME3[[#This Row],[Jours estimés]]-BDD_PRESTA_ESTIME3[[#This Row],[Jours travaillés ]]</f>
        <v>49</v>
      </c>
      <c r="K7" s="144">
        <f>BDD_PRESTA_ESTIME3[[#This Row],[Jours estimés]]*BDD_PRESTA_ESTIME3[[#This Row],[TJM]]</f>
        <v>24157</v>
      </c>
      <c r="L7" s="173">
        <v>24.5</v>
      </c>
      <c r="M7" s="166"/>
      <c r="N7" s="166"/>
      <c r="O7" s="166"/>
      <c r="P7" s="166"/>
      <c r="Q7" s="166"/>
      <c r="R7" s="166"/>
      <c r="S7" s="166"/>
      <c r="T7" s="166"/>
      <c r="U7" s="166"/>
      <c r="V7" s="166"/>
      <c r="W7" s="166"/>
      <c r="X7" s="166"/>
      <c r="Y7" s="166"/>
      <c r="Z7" s="166"/>
    </row>
    <row r="8" spans="1:26" s="152" customFormat="1" ht="13.5" customHeight="1" x14ac:dyDescent="0.25">
      <c r="A8" s="143">
        <v>60013</v>
      </c>
      <c r="B8" s="183" t="s">
        <v>192</v>
      </c>
      <c r="C8" s="143" t="s">
        <v>197</v>
      </c>
      <c r="D8" s="168">
        <v>44942</v>
      </c>
      <c r="E8" s="168"/>
      <c r="F8" s="141" t="s">
        <v>175</v>
      </c>
      <c r="G8" s="146">
        <v>468</v>
      </c>
      <c r="H8" s="147">
        <v>29</v>
      </c>
      <c r="I8" s="157">
        <f>SUM(BDD_PRESTA_ESTIME3[[#This Row],[estimé Janvier]:[Décembre]])</f>
        <v>0</v>
      </c>
      <c r="J8" s="148">
        <f>BDD_PRESTA_ESTIME3[[#This Row],[Jours estimés]]-BDD_PRESTA_ESTIME3[[#This Row],[Jours travaillés ]]</f>
        <v>29</v>
      </c>
      <c r="K8" s="153">
        <f>BDD_PRESTA_ESTIME3[[#This Row],[Jours estimés]]*BDD_PRESTA_ESTIME3[[#This Row],[TJM]]</f>
        <v>13572</v>
      </c>
      <c r="L8" s="172">
        <v>18</v>
      </c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</row>
    <row r="9" spans="1:26" s="152" customFormat="1" ht="13.5" customHeight="1" x14ac:dyDescent="0.25">
      <c r="A9" s="143">
        <v>60006</v>
      </c>
      <c r="B9" s="183" t="s">
        <v>181</v>
      </c>
      <c r="C9" s="143" t="s">
        <v>198</v>
      </c>
      <c r="D9" s="176">
        <v>44928</v>
      </c>
      <c r="E9" s="176"/>
      <c r="F9" s="177" t="s">
        <v>176</v>
      </c>
      <c r="G9" s="178">
        <v>558</v>
      </c>
      <c r="H9" s="179">
        <v>23</v>
      </c>
      <c r="I9" s="157">
        <f>SUM(BDD_PRESTA_ESTIME3[[#This Row],[estimé Janvier]:[Décembre]])</f>
        <v>0</v>
      </c>
      <c r="J9" s="184">
        <f>BDD_PRESTA_ESTIME3[[#This Row],[Jours estimés]]-BDD_PRESTA_ESTIME3[[#This Row],[Jours travaillés ]]</f>
        <v>23</v>
      </c>
      <c r="K9" s="180"/>
      <c r="L9" s="181">
        <v>11.5</v>
      </c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</row>
    <row r="10" spans="1:26" s="152" customFormat="1" ht="13.5" customHeight="1" x14ac:dyDescent="0.25">
      <c r="A10" s="143">
        <v>60008</v>
      </c>
      <c r="B10" s="183" t="s">
        <v>183</v>
      </c>
      <c r="C10" s="143" t="s">
        <v>196</v>
      </c>
      <c r="D10" s="176">
        <v>44928</v>
      </c>
      <c r="E10" s="176"/>
      <c r="F10" s="177" t="s">
        <v>177</v>
      </c>
      <c r="G10" s="178">
        <v>325</v>
      </c>
      <c r="H10" s="179">
        <v>43</v>
      </c>
      <c r="I10" s="157">
        <f>SUM(BDD_PRESTA_ESTIME3[[#This Row],[estimé Janvier]:[Décembre]])</f>
        <v>0</v>
      </c>
      <c r="J10" s="184">
        <f>BDD_PRESTA_ESTIME3[[#This Row],[Jours estimés]]-BDD_PRESTA_ESTIME3[[#This Row],[Jours travaillés ]]</f>
        <v>43</v>
      </c>
      <c r="K10" s="180"/>
      <c r="L10" s="181">
        <v>12</v>
      </c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82"/>
    </row>
    <row r="11" spans="1:26" s="152" customFormat="1" x14ac:dyDescent="0.25">
      <c r="A11" s="143">
        <v>60011</v>
      </c>
      <c r="B11" s="183" t="s">
        <v>184</v>
      </c>
      <c r="C11" s="143" t="s">
        <v>197</v>
      </c>
      <c r="D11" s="176">
        <v>44928</v>
      </c>
      <c r="E11" s="170"/>
      <c r="F11" s="142" t="s">
        <v>178</v>
      </c>
      <c r="G11" s="146">
        <v>490</v>
      </c>
      <c r="H11" s="164">
        <v>44</v>
      </c>
      <c r="I11" s="147">
        <f>SUM(BDD_PRESTA_ESTIME3[[#This Row],[estimé Janvier]:[Décembre]])</f>
        <v>0</v>
      </c>
      <c r="J11" s="165">
        <f>BDD_PRESTA_ESTIME3[[#This Row],[Jours estimés]]-BDD_PRESTA_ESTIME3[[#This Row],[Jours travaillés ]]</f>
        <v>44</v>
      </c>
      <c r="K11" s="146">
        <f>BDD_PRESTA_ESTIME3[[#This Row],[Jours estimés]]*BDD_PRESTA_ESTIME3[[#This Row],[TJM]]</f>
        <v>21560</v>
      </c>
      <c r="L11" s="174"/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</row>
    <row r="12" spans="1:26" s="8" customFormat="1" x14ac:dyDescent="0.25">
      <c r="A12" s="143">
        <v>60013</v>
      </c>
      <c r="B12" s="183" t="s">
        <v>185</v>
      </c>
      <c r="C12" s="143" t="s">
        <v>198</v>
      </c>
      <c r="D12" s="176">
        <v>44928</v>
      </c>
      <c r="E12" s="168"/>
      <c r="F12" s="141" t="s">
        <v>179</v>
      </c>
      <c r="G12" s="146">
        <v>545</v>
      </c>
      <c r="H12" s="147">
        <v>56</v>
      </c>
      <c r="I12" s="145">
        <f>SUM(BDD_PRESTA_ESTIME3[[#This Row],[estimé Janvier]:[Décembre]])</f>
        <v>0</v>
      </c>
      <c r="J12" s="149">
        <f>BDD_PRESTA_ESTIME3[[#This Row],[Jours estimés]]-BDD_PRESTA_ESTIME3[[#This Row],[Jours travaillés ]]</f>
        <v>56</v>
      </c>
      <c r="K12" s="144">
        <f>BDD_PRESTA_ESTIME3[[#This Row],[Jours restants]]*BDD_PRESTA_ESTIME3[[#This Row],[TJM]]</f>
        <v>30520</v>
      </c>
      <c r="L12" s="173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</row>
    <row r="13" spans="1:26" s="150" customFormat="1" x14ac:dyDescent="0.25">
      <c r="A13" s="143">
        <v>60013</v>
      </c>
      <c r="B13" s="183" t="s">
        <v>186</v>
      </c>
      <c r="C13" s="143" t="s">
        <v>196</v>
      </c>
      <c r="D13" s="176">
        <v>44928</v>
      </c>
      <c r="E13" s="168"/>
      <c r="F13" s="141" t="s">
        <v>180</v>
      </c>
      <c r="G13" s="146">
        <v>520</v>
      </c>
      <c r="H13" s="147">
        <v>22</v>
      </c>
      <c r="I13" s="145">
        <f>SUM(BDD_PRESTA_ESTIME3[[#This Row],[estimé Janvier]:[Décembre]])</f>
        <v>0</v>
      </c>
      <c r="J13" s="149">
        <f>BDD_PRESTA_ESTIME3[[#This Row],[Jours estimés]]-BDD_PRESTA_ESTIME3[[#This Row],[Jours travaillés ]]</f>
        <v>22</v>
      </c>
      <c r="K13" s="144">
        <v>2730</v>
      </c>
      <c r="L13" s="173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</row>
    <row r="14" spans="1:26" x14ac:dyDescent="0.25">
      <c r="F14" s="5"/>
      <c r="G14" s="155"/>
      <c r="W14" s="163"/>
    </row>
    <row r="15" spans="1:26" x14ac:dyDescent="0.25">
      <c r="G15" s="155"/>
      <c r="W15" s="163"/>
    </row>
    <row r="16" spans="1:26" x14ac:dyDescent="0.25">
      <c r="G16" s="155"/>
    </row>
    <row r="17" spans="7:7" x14ac:dyDescent="0.25">
      <c r="G17" s="155"/>
    </row>
  </sheetData>
  <phoneticPr fontId="5" type="noConversion"/>
  <conditionalFormatting sqref="M3:Z13">
    <cfRule type="cellIs" dxfId="5" priority="1" operator="greaterThan">
      <formula>0</formula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4"/>
  <sheetViews>
    <sheetView workbookViewId="0">
      <selection activeCell="K10" sqref="K10"/>
    </sheetView>
  </sheetViews>
  <sheetFormatPr baseColWidth="10" defaultRowHeight="15" x14ac:dyDescent="0.25"/>
  <cols>
    <col min="7" max="7" width="14" customWidth="1"/>
  </cols>
  <sheetData>
    <row r="2" spans="1:17" x14ac:dyDescent="0.25">
      <c r="G2" t="s">
        <v>204</v>
      </c>
    </row>
    <row r="3" spans="1:17" ht="30" x14ac:dyDescent="0.25">
      <c r="A3" s="219" t="s">
        <v>193</v>
      </c>
      <c r="B3" s="220" t="s">
        <v>182</v>
      </c>
      <c r="C3" s="221" t="s">
        <v>2</v>
      </c>
      <c r="D3" s="222" t="s">
        <v>19</v>
      </c>
      <c r="E3" s="222" t="s">
        <v>20</v>
      </c>
      <c r="F3" s="221" t="s">
        <v>4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  <c r="Q3" t="s">
        <v>32</v>
      </c>
    </row>
    <row r="4" spans="1:17" x14ac:dyDescent="0.25">
      <c r="A4" s="188">
        <v>60001</v>
      </c>
      <c r="B4" s="192" t="s">
        <v>187</v>
      </c>
      <c r="C4" s="189" t="s">
        <v>196</v>
      </c>
      <c r="D4" s="206">
        <v>44928</v>
      </c>
      <c r="E4" s="206"/>
      <c r="F4" s="191" t="s">
        <v>170</v>
      </c>
    </row>
    <row r="5" spans="1:17" x14ac:dyDescent="0.25">
      <c r="A5" s="188">
        <v>60004</v>
      </c>
      <c r="B5" s="192" t="s">
        <v>188</v>
      </c>
      <c r="C5" s="189" t="s">
        <v>197</v>
      </c>
      <c r="D5" s="193">
        <v>44958</v>
      </c>
      <c r="E5" s="193"/>
      <c r="F5" s="191" t="s">
        <v>171</v>
      </c>
    </row>
    <row r="6" spans="1:17" x14ac:dyDescent="0.25">
      <c r="A6" s="188">
        <v>60006</v>
      </c>
      <c r="B6" s="192" t="s">
        <v>189</v>
      </c>
      <c r="C6" s="189" t="s">
        <v>198</v>
      </c>
      <c r="D6" s="194">
        <v>44942</v>
      </c>
      <c r="E6" s="194"/>
      <c r="F6" s="191" t="s">
        <v>172</v>
      </c>
    </row>
    <row r="7" spans="1:17" x14ac:dyDescent="0.25">
      <c r="A7" s="188">
        <v>60008</v>
      </c>
      <c r="B7" s="192" t="s">
        <v>190</v>
      </c>
      <c r="C7" s="189" t="s">
        <v>199</v>
      </c>
      <c r="D7" s="190">
        <v>44942</v>
      </c>
      <c r="E7" s="190"/>
      <c r="F7" s="191" t="s">
        <v>173</v>
      </c>
    </row>
    <row r="8" spans="1:17" x14ac:dyDescent="0.25">
      <c r="A8" s="188">
        <v>60011</v>
      </c>
      <c r="B8" s="192" t="s">
        <v>191</v>
      </c>
      <c r="C8" s="189" t="s">
        <v>196</v>
      </c>
      <c r="D8" s="190">
        <v>44942</v>
      </c>
      <c r="E8" s="190"/>
      <c r="F8" s="191" t="s">
        <v>174</v>
      </c>
    </row>
    <row r="9" spans="1:17" x14ac:dyDescent="0.25">
      <c r="A9" s="188">
        <v>60013</v>
      </c>
      <c r="B9" s="192" t="s">
        <v>192</v>
      </c>
      <c r="C9" s="189" t="s">
        <v>197</v>
      </c>
      <c r="D9" s="190">
        <v>44942</v>
      </c>
      <c r="E9" s="190"/>
      <c r="F9" s="191" t="s">
        <v>175</v>
      </c>
    </row>
    <row r="10" spans="1:17" x14ac:dyDescent="0.25">
      <c r="A10" s="188">
        <v>60006</v>
      </c>
      <c r="B10" s="192" t="s">
        <v>181</v>
      </c>
      <c r="C10" s="189" t="s">
        <v>198</v>
      </c>
      <c r="D10" s="190">
        <v>44928</v>
      </c>
      <c r="E10" s="190"/>
      <c r="F10" s="191" t="s">
        <v>176</v>
      </c>
    </row>
    <row r="11" spans="1:17" x14ac:dyDescent="0.25">
      <c r="A11" s="188">
        <v>60008</v>
      </c>
      <c r="B11" s="192" t="s">
        <v>183</v>
      </c>
      <c r="C11" s="189" t="s">
        <v>196</v>
      </c>
      <c r="D11" s="190">
        <v>44928</v>
      </c>
      <c r="E11" s="190"/>
      <c r="F11" s="191" t="s">
        <v>177</v>
      </c>
    </row>
    <row r="12" spans="1:17" x14ac:dyDescent="0.25">
      <c r="A12" s="188">
        <v>60011</v>
      </c>
      <c r="B12" s="192" t="s">
        <v>184</v>
      </c>
      <c r="C12" s="189" t="s">
        <v>197</v>
      </c>
      <c r="D12" s="190">
        <v>44928</v>
      </c>
      <c r="E12" s="195"/>
      <c r="F12" s="196" t="s">
        <v>178</v>
      </c>
    </row>
    <row r="13" spans="1:17" x14ac:dyDescent="0.25">
      <c r="A13" s="188">
        <v>60013</v>
      </c>
      <c r="B13" s="192" t="s">
        <v>185</v>
      </c>
      <c r="C13" s="189" t="s">
        <v>198</v>
      </c>
      <c r="D13" s="190">
        <v>44928</v>
      </c>
      <c r="E13" s="190"/>
      <c r="F13" s="191" t="s">
        <v>179</v>
      </c>
    </row>
    <row r="14" spans="1:17" x14ac:dyDescent="0.25">
      <c r="A14" s="188">
        <v>60013</v>
      </c>
      <c r="B14" s="192" t="s">
        <v>186</v>
      </c>
      <c r="C14" s="189" t="s">
        <v>196</v>
      </c>
      <c r="D14" s="190">
        <v>44928</v>
      </c>
      <c r="E14" s="190"/>
      <c r="F14" s="191" t="s">
        <v>180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2"/>
  <sheetViews>
    <sheetView workbookViewId="0">
      <selection activeCell="E11" sqref="E11"/>
    </sheetView>
  </sheetViews>
  <sheetFormatPr baseColWidth="10" defaultRowHeight="15" x14ac:dyDescent="0.25"/>
  <cols>
    <col min="3" max="3" width="15.42578125" bestFit="1" customWidth="1"/>
  </cols>
  <sheetData>
    <row r="1" spans="3:4" x14ac:dyDescent="0.25">
      <c r="C1" t="s">
        <v>157</v>
      </c>
      <c r="D1" t="s">
        <v>158</v>
      </c>
    </row>
    <row r="2" spans="3:4" x14ac:dyDescent="0.25">
      <c r="C2" t="s">
        <v>159</v>
      </c>
      <c r="D2" s="175">
        <v>44927</v>
      </c>
    </row>
    <row r="3" spans="3:4" x14ac:dyDescent="0.25">
      <c r="C3" t="s">
        <v>160</v>
      </c>
      <c r="D3" s="175">
        <v>45026</v>
      </c>
    </row>
    <row r="4" spans="3:4" x14ac:dyDescent="0.25">
      <c r="C4" t="s">
        <v>161</v>
      </c>
      <c r="D4" s="175">
        <v>45047</v>
      </c>
    </row>
    <row r="5" spans="3:4" x14ac:dyDescent="0.25">
      <c r="C5" t="s">
        <v>162</v>
      </c>
      <c r="D5" s="175">
        <v>45054</v>
      </c>
    </row>
    <row r="6" spans="3:4" x14ac:dyDescent="0.25">
      <c r="C6" t="s">
        <v>163</v>
      </c>
      <c r="D6" s="175">
        <v>45064</v>
      </c>
    </row>
    <row r="7" spans="3:4" x14ac:dyDescent="0.25">
      <c r="C7" t="s">
        <v>164</v>
      </c>
      <c r="D7" s="175">
        <v>45075</v>
      </c>
    </row>
    <row r="8" spans="3:4" x14ac:dyDescent="0.25">
      <c r="C8" t="s">
        <v>165</v>
      </c>
      <c r="D8" s="175">
        <v>45121</v>
      </c>
    </row>
    <row r="9" spans="3:4" x14ac:dyDescent="0.25">
      <c r="C9" t="s">
        <v>166</v>
      </c>
      <c r="D9" s="175">
        <v>45153</v>
      </c>
    </row>
    <row r="10" spans="3:4" x14ac:dyDescent="0.25">
      <c r="C10" t="s">
        <v>167</v>
      </c>
      <c r="D10" s="175">
        <v>45231</v>
      </c>
    </row>
    <row r="11" spans="3:4" x14ac:dyDescent="0.25">
      <c r="C11" t="s">
        <v>168</v>
      </c>
      <c r="D11" s="175">
        <v>45241</v>
      </c>
    </row>
    <row r="12" spans="3:4" x14ac:dyDescent="0.25">
      <c r="C12" t="s">
        <v>169</v>
      </c>
      <c r="D12" s="175">
        <v>45285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46.28515625" bestFit="1" customWidth="1"/>
  </cols>
  <sheetData>
    <row r="1" spans="1:1" x14ac:dyDescent="0.25">
      <c r="A1" t="s">
        <v>113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9</v>
      </c>
    </row>
    <row r="7" spans="1:1" x14ac:dyDescent="0.25">
      <c r="A7" t="s">
        <v>10</v>
      </c>
    </row>
    <row r="8" spans="1:1" x14ac:dyDescent="0.25">
      <c r="A8" t="s">
        <v>11</v>
      </c>
    </row>
    <row r="9" spans="1:1" x14ac:dyDescent="0.25">
      <c r="A9" t="s">
        <v>12</v>
      </c>
    </row>
    <row r="10" spans="1:1" x14ac:dyDescent="0.25">
      <c r="A10" t="s">
        <v>13</v>
      </c>
    </row>
    <row r="11" spans="1:1" x14ac:dyDescent="0.25">
      <c r="A11" t="s">
        <v>14</v>
      </c>
    </row>
    <row r="12" spans="1:1" x14ac:dyDescent="0.25">
      <c r="A12" t="s">
        <v>15</v>
      </c>
    </row>
    <row r="13" spans="1:1" x14ac:dyDescent="0.25">
      <c r="A13" t="s">
        <v>16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theme="4" tint="0.79998168889431442"/>
  </sheetPr>
  <dimension ref="A1:AB37"/>
  <sheetViews>
    <sheetView zoomScale="110" zoomScaleNormal="110" workbookViewId="0">
      <pane ySplit="2" topLeftCell="A3" activePane="bottomLeft" state="frozen"/>
      <selection pane="bottomLeft" activeCell="B35" sqref="B35"/>
    </sheetView>
  </sheetViews>
  <sheetFormatPr baseColWidth="10" defaultRowHeight="15" outlineLevelCol="1" x14ac:dyDescent="0.25"/>
  <cols>
    <col min="1" max="1" width="16.85546875" customWidth="1"/>
    <col min="2" max="2" width="12.42578125" customWidth="1"/>
    <col min="4" max="4" width="30.140625" customWidth="1"/>
    <col min="5" max="5" width="8.5703125" style="26" customWidth="1"/>
    <col min="6" max="6" width="10.28515625" style="63" customWidth="1"/>
    <col min="7" max="7" width="10.5703125" style="26" customWidth="1"/>
    <col min="8" max="8" width="10.42578125" style="26" customWidth="1"/>
    <col min="9" max="9" width="10.140625" style="29" customWidth="1"/>
    <col min="10" max="10" width="12.42578125" style="33" customWidth="1"/>
    <col min="11" max="11" width="9.28515625" hidden="1" customWidth="1" outlineLevel="1"/>
    <col min="12" max="16" width="8.5703125" hidden="1" customWidth="1" outlineLevel="1"/>
    <col min="17" max="17" width="14.28515625" customWidth="1" collapsed="1"/>
    <col min="18" max="28" width="8.5703125" customWidth="1"/>
  </cols>
  <sheetData>
    <row r="1" spans="1:28" ht="15.75" thickBot="1" x14ac:dyDescent="0.3"/>
    <row r="2" spans="1:28" x14ac:dyDescent="0.25">
      <c r="A2" s="13" t="s">
        <v>0</v>
      </c>
      <c r="B2" s="13" t="s">
        <v>1</v>
      </c>
      <c r="C2" s="13" t="s">
        <v>2</v>
      </c>
      <c r="D2" s="14" t="s">
        <v>3</v>
      </c>
      <c r="E2" s="14" t="s">
        <v>104</v>
      </c>
      <c r="F2" s="64" t="s">
        <v>106</v>
      </c>
      <c r="G2" s="56" t="s">
        <v>107</v>
      </c>
      <c r="H2" s="38" t="s">
        <v>101</v>
      </c>
      <c r="I2" s="39" t="s">
        <v>102</v>
      </c>
      <c r="J2" s="40" t="s">
        <v>105</v>
      </c>
      <c r="K2" s="23">
        <v>44378</v>
      </c>
      <c r="L2" s="24" t="s">
        <v>108</v>
      </c>
      <c r="M2" s="24">
        <v>44440</v>
      </c>
      <c r="N2" s="25">
        <v>44470</v>
      </c>
      <c r="O2" s="24">
        <v>44501</v>
      </c>
      <c r="P2" s="24">
        <v>44531</v>
      </c>
      <c r="Q2" s="23" t="s">
        <v>22</v>
      </c>
      <c r="R2" s="23" t="s">
        <v>23</v>
      </c>
      <c r="S2" s="23" t="s">
        <v>24</v>
      </c>
      <c r="T2" s="23" t="s">
        <v>25</v>
      </c>
      <c r="U2" s="23" t="s">
        <v>26</v>
      </c>
      <c r="V2" s="23" t="s">
        <v>27</v>
      </c>
      <c r="W2" s="23" t="s">
        <v>28</v>
      </c>
      <c r="X2" s="23" t="s">
        <v>29</v>
      </c>
      <c r="Y2" s="23" t="s">
        <v>30</v>
      </c>
      <c r="Z2" s="23" t="s">
        <v>31</v>
      </c>
      <c r="AA2" s="23" t="s">
        <v>32</v>
      </c>
      <c r="AB2" s="23" t="s">
        <v>33</v>
      </c>
    </row>
    <row r="3" spans="1:28" hidden="1" x14ac:dyDescent="0.25">
      <c r="A3" s="34" t="s">
        <v>38</v>
      </c>
      <c r="B3" s="15" t="s">
        <v>36</v>
      </c>
      <c r="C3" s="15" t="s">
        <v>37</v>
      </c>
      <c r="D3" s="16" t="s">
        <v>39</v>
      </c>
      <c r="E3" s="18">
        <v>44391</v>
      </c>
      <c r="F3" s="65">
        <v>44651</v>
      </c>
      <c r="G3" s="57">
        <v>44431</v>
      </c>
      <c r="H3" s="41">
        <v>161600</v>
      </c>
      <c r="I3" s="27">
        <v>64640</v>
      </c>
      <c r="J3" s="42">
        <f>H3-I3</f>
        <v>96960</v>
      </c>
      <c r="K3" s="60"/>
      <c r="L3" s="66">
        <v>64640</v>
      </c>
      <c r="M3" s="59"/>
      <c r="N3" s="59"/>
      <c r="O3" s="59"/>
      <c r="P3" s="59"/>
      <c r="Q3" s="60"/>
      <c r="R3" s="59"/>
      <c r="S3" s="59"/>
      <c r="T3" s="49"/>
      <c r="U3" s="49"/>
      <c r="V3" s="49"/>
      <c r="W3" s="49"/>
      <c r="X3" s="49"/>
      <c r="Y3" s="49"/>
      <c r="Z3" s="49"/>
      <c r="AA3" s="49"/>
      <c r="AB3" s="50"/>
    </row>
    <row r="4" spans="1:28" hidden="1" x14ac:dyDescent="0.25">
      <c r="A4" s="16" t="s">
        <v>38</v>
      </c>
      <c r="B4" s="15" t="s">
        <v>151</v>
      </c>
      <c r="C4" s="15" t="s">
        <v>37</v>
      </c>
      <c r="D4" s="16" t="s">
        <v>39</v>
      </c>
      <c r="E4" s="18">
        <v>44580</v>
      </c>
      <c r="F4" s="65">
        <v>44620</v>
      </c>
      <c r="G4" s="57"/>
      <c r="H4" s="41">
        <v>34700</v>
      </c>
      <c r="I4" s="27"/>
      <c r="J4" s="42"/>
      <c r="K4" s="60"/>
      <c r="L4" s="66"/>
      <c r="M4" s="59"/>
      <c r="N4" s="59"/>
      <c r="O4" s="59"/>
      <c r="P4" s="59"/>
      <c r="Q4" s="60"/>
      <c r="R4" s="59"/>
      <c r="S4" s="59"/>
      <c r="T4" s="49"/>
      <c r="U4" s="49"/>
      <c r="V4" s="49"/>
      <c r="W4" s="49"/>
      <c r="X4" s="49"/>
      <c r="Y4" s="49"/>
      <c r="Z4" s="49"/>
      <c r="AA4" s="49"/>
      <c r="AB4" s="50"/>
    </row>
    <row r="5" spans="1:28" hidden="1" x14ac:dyDescent="0.25">
      <c r="A5" s="34" t="s">
        <v>13</v>
      </c>
      <c r="B5" s="15">
        <v>8103503267</v>
      </c>
      <c r="C5" s="15" t="s">
        <v>40</v>
      </c>
      <c r="D5" s="17" t="s">
        <v>41</v>
      </c>
      <c r="E5" s="18">
        <v>44347</v>
      </c>
      <c r="F5" s="65">
        <v>44560</v>
      </c>
      <c r="G5" s="57">
        <v>44448</v>
      </c>
      <c r="H5" s="41">
        <v>5600</v>
      </c>
      <c r="I5" s="27">
        <v>5600</v>
      </c>
      <c r="J5" s="42">
        <f t="shared" ref="J5:J35" si="0">H5-I5</f>
        <v>0</v>
      </c>
      <c r="K5" s="62"/>
      <c r="L5" s="61"/>
      <c r="M5" s="61"/>
      <c r="N5" s="61"/>
      <c r="O5" s="61"/>
      <c r="P5" s="61"/>
      <c r="Q5" s="51"/>
      <c r="R5" s="22"/>
      <c r="S5" s="22"/>
      <c r="T5" s="22"/>
      <c r="U5" s="22"/>
      <c r="V5" s="22"/>
      <c r="W5" s="22"/>
      <c r="X5" s="22"/>
      <c r="Y5" s="22"/>
      <c r="Z5" s="22"/>
      <c r="AA5" s="22"/>
      <c r="AB5" s="52"/>
    </row>
    <row r="6" spans="1:28" hidden="1" x14ac:dyDescent="0.25">
      <c r="A6" s="35" t="s">
        <v>13</v>
      </c>
      <c r="B6" s="15" t="s">
        <v>42</v>
      </c>
      <c r="C6" s="15" t="s">
        <v>40</v>
      </c>
      <c r="D6" s="17" t="s">
        <v>43</v>
      </c>
      <c r="E6" s="18">
        <v>44506</v>
      </c>
      <c r="F6" s="65">
        <v>44565</v>
      </c>
      <c r="G6" s="57">
        <v>44554</v>
      </c>
      <c r="H6" s="41">
        <v>9374.5</v>
      </c>
      <c r="I6" s="27">
        <v>0</v>
      </c>
      <c r="J6" s="42">
        <f t="shared" si="0"/>
        <v>9374.5</v>
      </c>
      <c r="K6" s="48"/>
      <c r="L6" s="49"/>
      <c r="M6" s="49"/>
      <c r="N6" s="49"/>
      <c r="O6" s="59"/>
      <c r="P6" s="59"/>
      <c r="Q6" s="48"/>
      <c r="R6" s="49"/>
      <c r="S6" s="49"/>
      <c r="T6" s="49"/>
      <c r="U6" s="49"/>
      <c r="V6" s="49"/>
      <c r="W6" s="49"/>
      <c r="X6" s="49"/>
      <c r="Y6" s="49"/>
      <c r="Z6" s="49"/>
      <c r="AA6" s="49"/>
      <c r="AB6" s="50"/>
    </row>
    <row r="7" spans="1:28" hidden="1" x14ac:dyDescent="0.25">
      <c r="A7" s="35" t="s">
        <v>13</v>
      </c>
      <c r="B7" s="15" t="s">
        <v>44</v>
      </c>
      <c r="C7" s="15" t="s">
        <v>40</v>
      </c>
      <c r="D7" s="17" t="s">
        <v>45</v>
      </c>
      <c r="E7" s="18">
        <v>44551</v>
      </c>
      <c r="F7" s="69">
        <v>44591</v>
      </c>
      <c r="G7" s="67"/>
      <c r="H7" s="41">
        <v>3000</v>
      </c>
      <c r="I7" s="27">
        <v>0</v>
      </c>
      <c r="J7" s="42">
        <f t="shared" si="0"/>
        <v>3000</v>
      </c>
      <c r="K7" s="51"/>
      <c r="L7" s="22"/>
      <c r="M7" s="22"/>
      <c r="N7" s="22"/>
      <c r="O7" s="22"/>
      <c r="P7" s="61"/>
      <c r="Q7" s="71">
        <v>5111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52"/>
    </row>
    <row r="8" spans="1:28" hidden="1" x14ac:dyDescent="0.25">
      <c r="A8" s="35" t="s">
        <v>48</v>
      </c>
      <c r="B8" s="17" t="s">
        <v>46</v>
      </c>
      <c r="C8" s="15" t="s">
        <v>17</v>
      </c>
      <c r="D8" s="17" t="s">
        <v>47</v>
      </c>
      <c r="E8" s="18">
        <v>44554</v>
      </c>
      <c r="F8" s="65">
        <v>44926</v>
      </c>
      <c r="G8" s="68" t="s">
        <v>110</v>
      </c>
      <c r="H8" s="43">
        <v>25725</v>
      </c>
      <c r="I8" s="27">
        <v>0</v>
      </c>
      <c r="J8" s="42">
        <f t="shared" si="0"/>
        <v>25725</v>
      </c>
      <c r="K8" s="48"/>
      <c r="L8" s="49"/>
      <c r="M8" s="49"/>
      <c r="N8" s="49"/>
      <c r="O8" s="49"/>
      <c r="P8" s="59"/>
      <c r="Q8" s="60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</row>
    <row r="9" spans="1:28" hidden="1" x14ac:dyDescent="0.25">
      <c r="A9" s="36" t="s">
        <v>48</v>
      </c>
      <c r="B9" s="19" t="s">
        <v>49</v>
      </c>
      <c r="C9" s="20" t="s">
        <v>17</v>
      </c>
      <c r="D9" s="19" t="s">
        <v>50</v>
      </c>
      <c r="E9" s="21">
        <v>44554</v>
      </c>
      <c r="F9" s="65">
        <v>44926</v>
      </c>
      <c r="G9" s="68" t="s">
        <v>110</v>
      </c>
      <c r="H9" s="44">
        <v>9135</v>
      </c>
      <c r="I9" s="27">
        <v>0</v>
      </c>
      <c r="J9" s="42">
        <f t="shared" si="0"/>
        <v>9135</v>
      </c>
      <c r="K9" s="51"/>
      <c r="L9" s="22"/>
      <c r="M9" s="22"/>
      <c r="N9" s="22"/>
      <c r="O9" s="22"/>
      <c r="P9" s="61"/>
      <c r="Q9" s="62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</row>
    <row r="10" spans="1:28" hidden="1" x14ac:dyDescent="0.25">
      <c r="A10" s="34" t="s">
        <v>8</v>
      </c>
      <c r="B10" s="15">
        <v>8103511932</v>
      </c>
      <c r="C10" s="15" t="s">
        <v>51</v>
      </c>
      <c r="D10" s="17" t="s">
        <v>52</v>
      </c>
      <c r="E10" s="18">
        <v>44347</v>
      </c>
      <c r="F10" s="65">
        <v>44560</v>
      </c>
      <c r="G10" s="57">
        <v>44554</v>
      </c>
      <c r="H10" s="41">
        <v>111217</v>
      </c>
      <c r="I10" s="27">
        <v>111217</v>
      </c>
      <c r="J10" s="42">
        <f t="shared" si="0"/>
        <v>0</v>
      </c>
      <c r="K10" s="60"/>
      <c r="L10" s="59"/>
      <c r="M10" s="59"/>
      <c r="N10" s="59"/>
      <c r="O10" s="59"/>
      <c r="P10" s="59"/>
      <c r="Q10" s="48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0"/>
    </row>
    <row r="11" spans="1:28" hidden="1" x14ac:dyDescent="0.25">
      <c r="A11" s="34" t="s">
        <v>8</v>
      </c>
      <c r="B11" s="15" t="s">
        <v>53</v>
      </c>
      <c r="C11" s="15" t="s">
        <v>51</v>
      </c>
      <c r="D11" s="17" t="s">
        <v>54</v>
      </c>
      <c r="E11" s="18">
        <v>44519</v>
      </c>
      <c r="F11" s="65">
        <v>44550</v>
      </c>
      <c r="G11" s="57">
        <v>44554</v>
      </c>
      <c r="H11" s="41">
        <v>74142.720000000001</v>
      </c>
      <c r="I11" s="27">
        <v>73242.720000000001</v>
      </c>
      <c r="J11" s="42">
        <f>H11-I11</f>
        <v>900</v>
      </c>
      <c r="K11" s="51"/>
      <c r="L11" s="22"/>
      <c r="M11" s="22"/>
      <c r="N11" s="22"/>
      <c r="O11" s="61"/>
      <c r="P11" s="61">
        <v>73242.720000000001</v>
      </c>
      <c r="Q11" s="5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52"/>
    </row>
    <row r="12" spans="1:28" hidden="1" x14ac:dyDescent="0.25">
      <c r="A12" s="34" t="s">
        <v>58</v>
      </c>
      <c r="B12" s="15" t="s">
        <v>55</v>
      </c>
      <c r="C12" s="15" t="s">
        <v>56</v>
      </c>
      <c r="D12" s="17" t="s">
        <v>57</v>
      </c>
      <c r="E12" s="18">
        <v>44525</v>
      </c>
      <c r="F12" s="65">
        <v>44620</v>
      </c>
      <c r="G12" s="57">
        <v>44565</v>
      </c>
      <c r="H12" s="41">
        <v>5132.8</v>
      </c>
      <c r="I12" s="27">
        <v>5132.8</v>
      </c>
      <c r="J12" s="42">
        <f t="shared" si="0"/>
        <v>0</v>
      </c>
      <c r="K12" s="48"/>
      <c r="L12" s="49"/>
      <c r="M12" s="49"/>
      <c r="N12" s="49"/>
      <c r="O12" s="49"/>
      <c r="P12" s="59">
        <v>5132.8</v>
      </c>
      <c r="Q12" s="60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50"/>
    </row>
    <row r="13" spans="1:28" x14ac:dyDescent="0.25">
      <c r="A13" s="36" t="s">
        <v>5</v>
      </c>
      <c r="B13" s="20" t="s">
        <v>59</v>
      </c>
      <c r="C13" s="20" t="s">
        <v>60</v>
      </c>
      <c r="D13" s="19" t="s">
        <v>61</v>
      </c>
      <c r="E13" s="21">
        <v>44482</v>
      </c>
      <c r="F13" s="69">
        <v>44834</v>
      </c>
      <c r="G13" s="58">
        <v>44494</v>
      </c>
      <c r="H13" s="45">
        <v>53900</v>
      </c>
      <c r="I13" s="30">
        <v>16170</v>
      </c>
      <c r="J13" s="42">
        <f t="shared" si="0"/>
        <v>37730</v>
      </c>
      <c r="K13" s="51"/>
      <c r="L13" s="22"/>
      <c r="M13" s="22"/>
      <c r="N13" s="61">
        <v>16170</v>
      </c>
      <c r="O13" s="61"/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22"/>
      <c r="AA13" s="22"/>
      <c r="AB13" s="52"/>
    </row>
    <row r="14" spans="1:28" hidden="1" x14ac:dyDescent="0.25">
      <c r="A14" s="37" t="s">
        <v>14</v>
      </c>
      <c r="B14" s="20" t="s">
        <v>62</v>
      </c>
      <c r="C14" s="20" t="s">
        <v>63</v>
      </c>
      <c r="D14" s="19" t="s">
        <v>64</v>
      </c>
      <c r="E14" s="21">
        <v>44390</v>
      </c>
      <c r="F14" s="69"/>
      <c r="G14" s="58">
        <v>44564</v>
      </c>
      <c r="H14" s="45">
        <v>102300</v>
      </c>
      <c r="I14" s="30">
        <v>88600</v>
      </c>
      <c r="J14" s="42">
        <f t="shared" si="0"/>
        <v>13700</v>
      </c>
      <c r="K14" s="62">
        <f>33964.55+30690</f>
        <v>64654.55</v>
      </c>
      <c r="L14" s="61"/>
      <c r="M14" s="61"/>
      <c r="N14" s="61">
        <v>8145</v>
      </c>
      <c r="O14" s="61"/>
      <c r="P14" s="61">
        <v>8145</v>
      </c>
      <c r="Q14" s="6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52"/>
    </row>
    <row r="15" spans="1:28" hidden="1" x14ac:dyDescent="0.25">
      <c r="A15" s="34" t="s">
        <v>67</v>
      </c>
      <c r="B15" s="15">
        <v>8103484676</v>
      </c>
      <c r="C15" s="15" t="s">
        <v>65</v>
      </c>
      <c r="D15" s="17" t="s">
        <v>66</v>
      </c>
      <c r="E15" s="18">
        <v>44316</v>
      </c>
      <c r="F15" s="65">
        <v>44560</v>
      </c>
      <c r="G15" s="57">
        <v>44554</v>
      </c>
      <c r="H15" s="41">
        <v>76740</v>
      </c>
      <c r="I15" s="27">
        <v>76740</v>
      </c>
      <c r="J15" s="42">
        <f t="shared" si="0"/>
        <v>0</v>
      </c>
      <c r="K15" s="60"/>
      <c r="L15" s="59"/>
      <c r="M15" s="59"/>
      <c r="N15" s="59"/>
      <c r="O15" s="59"/>
      <c r="P15" s="59"/>
      <c r="Q15" s="48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50"/>
    </row>
    <row r="16" spans="1:28" hidden="1" x14ac:dyDescent="0.25">
      <c r="A16" s="34" t="s">
        <v>67</v>
      </c>
      <c r="B16" s="15" t="s">
        <v>68</v>
      </c>
      <c r="C16" s="15" t="s">
        <v>65</v>
      </c>
      <c r="D16" s="17" t="s">
        <v>69</v>
      </c>
      <c r="E16" s="18">
        <v>44480</v>
      </c>
      <c r="F16" s="65">
        <v>44560</v>
      </c>
      <c r="G16" s="57">
        <v>44554</v>
      </c>
      <c r="H16" s="41">
        <v>4560</v>
      </c>
      <c r="I16" s="27">
        <v>4560</v>
      </c>
      <c r="J16" s="42">
        <f t="shared" si="0"/>
        <v>0</v>
      </c>
      <c r="K16" s="51"/>
      <c r="L16" s="22"/>
      <c r="M16" s="61">
        <v>250</v>
      </c>
      <c r="N16" s="61">
        <v>2560</v>
      </c>
      <c r="O16" s="61">
        <v>1250</v>
      </c>
      <c r="P16" s="61">
        <v>250</v>
      </c>
      <c r="Q16" s="51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52"/>
    </row>
    <row r="17" spans="1:28" hidden="1" x14ac:dyDescent="0.25">
      <c r="A17" s="34" t="s">
        <v>6</v>
      </c>
      <c r="B17" s="15" t="s">
        <v>128</v>
      </c>
      <c r="C17" s="15" t="s">
        <v>65</v>
      </c>
      <c r="D17" s="17" t="s">
        <v>129</v>
      </c>
      <c r="E17" s="18">
        <v>44580</v>
      </c>
      <c r="F17" s="65">
        <v>44681</v>
      </c>
      <c r="G17" s="57"/>
      <c r="H17" s="41">
        <v>6095</v>
      </c>
      <c r="I17" s="27"/>
      <c r="J17" s="42"/>
      <c r="K17" s="51"/>
      <c r="L17" s="22"/>
      <c r="M17" s="61"/>
      <c r="N17" s="61"/>
      <c r="O17" s="61"/>
      <c r="P17" s="61"/>
      <c r="Q17" s="51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52"/>
    </row>
    <row r="18" spans="1:28" hidden="1" x14ac:dyDescent="0.25">
      <c r="A18" s="34" t="s">
        <v>9</v>
      </c>
      <c r="B18" s="15">
        <v>8103472111</v>
      </c>
      <c r="C18" s="15" t="s">
        <v>70</v>
      </c>
      <c r="D18" s="17" t="s">
        <v>71</v>
      </c>
      <c r="E18" s="18">
        <v>44310</v>
      </c>
      <c r="F18" s="65">
        <v>44560</v>
      </c>
      <c r="G18" s="57">
        <v>44554</v>
      </c>
      <c r="H18" s="41">
        <v>4562</v>
      </c>
      <c r="I18" s="27">
        <v>4562</v>
      </c>
      <c r="J18" s="42">
        <f t="shared" si="0"/>
        <v>0</v>
      </c>
      <c r="K18" s="60"/>
      <c r="L18" s="59"/>
      <c r="M18" s="59"/>
      <c r="N18" s="59"/>
      <c r="O18" s="59"/>
      <c r="P18" s="59"/>
      <c r="Q18" s="48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50"/>
    </row>
    <row r="19" spans="1:28" hidden="1" x14ac:dyDescent="0.25">
      <c r="A19" s="37" t="s">
        <v>9</v>
      </c>
      <c r="B19" s="20" t="s">
        <v>72</v>
      </c>
      <c r="C19" s="20" t="s">
        <v>70</v>
      </c>
      <c r="D19" s="19" t="s">
        <v>73</v>
      </c>
      <c r="E19" s="21">
        <v>44407</v>
      </c>
      <c r="F19" s="69"/>
      <c r="G19" s="57">
        <v>44554</v>
      </c>
      <c r="H19" s="45">
        <v>452610</v>
      </c>
      <c r="I19" s="31">
        <v>273922.5</v>
      </c>
      <c r="J19" s="42">
        <f t="shared" si="0"/>
        <v>178687.5</v>
      </c>
      <c r="K19" s="62">
        <f>234960+650+8500</f>
        <v>244110</v>
      </c>
      <c r="L19" s="61">
        <v>1687.5</v>
      </c>
      <c r="M19" s="61">
        <v>5325</v>
      </c>
      <c r="N19" s="61">
        <v>8300</v>
      </c>
      <c r="O19" s="61">
        <v>14687.5</v>
      </c>
      <c r="P19" s="61"/>
      <c r="Q19" s="51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52"/>
    </row>
    <row r="20" spans="1:28" hidden="1" x14ac:dyDescent="0.25">
      <c r="A20" s="34" t="s">
        <v>9</v>
      </c>
      <c r="B20" s="15" t="s">
        <v>74</v>
      </c>
      <c r="C20" s="15" t="s">
        <v>70</v>
      </c>
      <c r="D20" s="17" t="s">
        <v>75</v>
      </c>
      <c r="E20" s="18">
        <v>44533</v>
      </c>
      <c r="F20" s="65"/>
      <c r="G20" s="57">
        <v>44519</v>
      </c>
      <c r="H20" s="41">
        <v>7500</v>
      </c>
      <c r="I20" s="27">
        <v>7500</v>
      </c>
      <c r="J20" s="42">
        <f t="shared" si="0"/>
        <v>0</v>
      </c>
      <c r="K20" s="48"/>
      <c r="L20" s="49"/>
      <c r="M20" s="49"/>
      <c r="N20" s="49"/>
      <c r="O20" s="59">
        <v>3750</v>
      </c>
      <c r="P20" s="59">
        <v>1500</v>
      </c>
      <c r="Q20" s="48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50"/>
    </row>
    <row r="21" spans="1:28" hidden="1" x14ac:dyDescent="0.25">
      <c r="A21" s="34" t="s">
        <v>8</v>
      </c>
      <c r="B21" s="15">
        <v>8103499922</v>
      </c>
      <c r="C21" s="15" t="s">
        <v>76</v>
      </c>
      <c r="D21" s="17" t="s">
        <v>77</v>
      </c>
      <c r="E21" s="18">
        <v>44310</v>
      </c>
      <c r="F21" s="65">
        <v>44560</v>
      </c>
      <c r="G21" s="57">
        <v>44390</v>
      </c>
      <c r="H21" s="41">
        <v>90505</v>
      </c>
      <c r="I21" s="27">
        <v>90504.77</v>
      </c>
      <c r="J21" s="42">
        <f t="shared" si="0"/>
        <v>0.22999999999592546</v>
      </c>
      <c r="K21" s="62"/>
      <c r="L21" s="61"/>
      <c r="M21" s="61"/>
      <c r="N21" s="61"/>
      <c r="O21" s="61"/>
      <c r="P21" s="61"/>
      <c r="Q21" s="51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52"/>
    </row>
    <row r="22" spans="1:28" hidden="1" x14ac:dyDescent="0.25">
      <c r="A22" s="34" t="s">
        <v>80</v>
      </c>
      <c r="B22" s="15">
        <v>8103500571</v>
      </c>
      <c r="C22" s="15" t="s">
        <v>78</v>
      </c>
      <c r="D22" s="17" t="s">
        <v>79</v>
      </c>
      <c r="E22" s="18">
        <v>44292</v>
      </c>
      <c r="F22" s="65">
        <v>44560</v>
      </c>
      <c r="G22" s="57">
        <v>44554</v>
      </c>
      <c r="H22" s="41">
        <v>240350</v>
      </c>
      <c r="I22" s="27">
        <v>240350</v>
      </c>
      <c r="J22" s="42">
        <f t="shared" si="0"/>
        <v>0</v>
      </c>
      <c r="K22" s="60"/>
      <c r="L22" s="59"/>
      <c r="M22" s="59"/>
      <c r="N22" s="59"/>
      <c r="O22" s="59"/>
      <c r="P22" s="59"/>
      <c r="Q22" s="48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50"/>
    </row>
    <row r="23" spans="1:28" hidden="1" x14ac:dyDescent="0.25">
      <c r="A23" s="34" t="s">
        <v>16</v>
      </c>
      <c r="B23" s="15"/>
      <c r="C23" s="15" t="s">
        <v>112</v>
      </c>
      <c r="D23" s="17" t="s">
        <v>111</v>
      </c>
      <c r="E23" s="18">
        <v>44572</v>
      </c>
      <c r="F23" s="65"/>
      <c r="G23" s="57">
        <v>44742</v>
      </c>
      <c r="H23" s="41">
        <v>59308</v>
      </c>
      <c r="I23" s="27">
        <v>39308</v>
      </c>
      <c r="J23" s="42">
        <f>H23-I23</f>
        <v>20000</v>
      </c>
      <c r="K23" s="48"/>
      <c r="L23" s="49"/>
      <c r="M23" s="49"/>
      <c r="N23" s="49"/>
      <c r="O23" s="49"/>
      <c r="P23" s="49"/>
      <c r="Q23" s="60">
        <v>39308</v>
      </c>
      <c r="R23" s="59"/>
      <c r="S23" s="59"/>
      <c r="T23" s="59"/>
      <c r="U23" s="59"/>
      <c r="V23" s="59"/>
      <c r="W23" s="49"/>
      <c r="X23" s="49"/>
      <c r="Y23" s="49"/>
      <c r="Z23" s="49"/>
      <c r="AA23" s="49"/>
      <c r="AB23" s="50"/>
    </row>
    <row r="24" spans="1:28" hidden="1" x14ac:dyDescent="0.25">
      <c r="A24" s="35" t="s">
        <v>8</v>
      </c>
      <c r="B24" s="15" t="s">
        <v>81</v>
      </c>
      <c r="C24" s="15" t="s">
        <v>82</v>
      </c>
      <c r="D24" s="17" t="s">
        <v>83</v>
      </c>
      <c r="E24" s="18">
        <v>44533</v>
      </c>
      <c r="F24" s="65">
        <v>44546</v>
      </c>
      <c r="G24" s="18">
        <v>44546</v>
      </c>
      <c r="H24" s="41">
        <v>19530</v>
      </c>
      <c r="I24" s="28">
        <v>19530</v>
      </c>
      <c r="J24" s="42">
        <f t="shared" si="0"/>
        <v>0</v>
      </c>
      <c r="K24" s="51"/>
      <c r="L24" s="22"/>
      <c r="M24" s="22"/>
      <c r="N24" s="22"/>
      <c r="O24" s="22"/>
      <c r="P24" s="61">
        <v>19530</v>
      </c>
      <c r="Q24" s="51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52"/>
    </row>
    <row r="25" spans="1:28" hidden="1" x14ac:dyDescent="0.25">
      <c r="A25" s="34" t="s">
        <v>8</v>
      </c>
      <c r="B25" s="15" t="s">
        <v>84</v>
      </c>
      <c r="C25" s="15" t="s">
        <v>85</v>
      </c>
      <c r="D25" s="17" t="s">
        <v>86</v>
      </c>
      <c r="E25" s="18">
        <v>44495</v>
      </c>
      <c r="F25" s="65">
        <v>44527</v>
      </c>
      <c r="G25" s="57">
        <v>44527</v>
      </c>
      <c r="H25" s="41">
        <v>17314.759999999998</v>
      </c>
      <c r="I25" s="27">
        <v>17314.759999999998</v>
      </c>
      <c r="J25" s="42">
        <f t="shared" si="0"/>
        <v>0</v>
      </c>
      <c r="K25" s="48"/>
      <c r="L25" s="49"/>
      <c r="M25" s="49"/>
      <c r="N25" s="49"/>
      <c r="O25" s="59">
        <v>17314.759999999998</v>
      </c>
      <c r="P25" s="59"/>
      <c r="Q25" s="48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50"/>
    </row>
    <row r="26" spans="1:28" hidden="1" x14ac:dyDescent="0.25">
      <c r="A26" s="34" t="s">
        <v>8</v>
      </c>
      <c r="B26" s="15" t="s">
        <v>53</v>
      </c>
      <c r="C26" s="15" t="s">
        <v>51</v>
      </c>
      <c r="D26" s="17" t="s">
        <v>54</v>
      </c>
      <c r="E26" s="18"/>
      <c r="F26" s="65"/>
      <c r="G26" s="57">
        <v>44536</v>
      </c>
      <c r="H26" s="41">
        <v>74142.720000000001</v>
      </c>
      <c r="I26" s="27">
        <v>73242.720000000001</v>
      </c>
      <c r="J26" s="42">
        <f t="shared" si="0"/>
        <v>900</v>
      </c>
      <c r="K26" s="48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50"/>
    </row>
    <row r="27" spans="1:28" hidden="1" x14ac:dyDescent="0.25">
      <c r="A27" s="35" t="s">
        <v>8</v>
      </c>
      <c r="B27" s="19" t="s">
        <v>87</v>
      </c>
      <c r="C27" s="15" t="s">
        <v>85</v>
      </c>
      <c r="D27" s="17" t="s">
        <v>88</v>
      </c>
      <c r="E27" s="18">
        <v>44551</v>
      </c>
      <c r="F27" s="65" t="s">
        <v>109</v>
      </c>
      <c r="G27" s="57">
        <v>44571</v>
      </c>
      <c r="H27" s="41">
        <v>1637.65</v>
      </c>
      <c r="I27" s="27"/>
      <c r="J27" s="42">
        <f t="shared" si="0"/>
        <v>1637.65</v>
      </c>
      <c r="K27" s="51"/>
      <c r="L27" s="22"/>
      <c r="M27" s="22"/>
      <c r="N27" s="22"/>
      <c r="O27" s="22"/>
      <c r="P27" s="22"/>
      <c r="Q27" s="62">
        <v>1637.665</v>
      </c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52"/>
    </row>
    <row r="28" spans="1:28" x14ac:dyDescent="0.25">
      <c r="A28" s="34" t="s">
        <v>5</v>
      </c>
      <c r="B28" s="15" t="s">
        <v>89</v>
      </c>
      <c r="C28" s="15" t="s">
        <v>90</v>
      </c>
      <c r="D28" s="17" t="s">
        <v>91</v>
      </c>
      <c r="E28" s="18">
        <v>44487</v>
      </c>
      <c r="F28" s="65"/>
      <c r="G28" s="57">
        <v>44545</v>
      </c>
      <c r="H28" s="41">
        <v>500</v>
      </c>
      <c r="I28" s="32">
        <v>500</v>
      </c>
      <c r="J28" s="42">
        <f t="shared" si="0"/>
        <v>0</v>
      </c>
      <c r="K28" s="48"/>
      <c r="L28" s="49"/>
      <c r="M28" s="49"/>
      <c r="N28" s="59">
        <v>500</v>
      </c>
      <c r="O28" s="49"/>
      <c r="P28" s="49"/>
      <c r="Q28" s="48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50"/>
    </row>
    <row r="29" spans="1:28" hidden="1" x14ac:dyDescent="0.25">
      <c r="A29" s="37" t="s">
        <v>10</v>
      </c>
      <c r="B29" s="20" t="s">
        <v>148</v>
      </c>
      <c r="C29" s="20" t="s">
        <v>146</v>
      </c>
      <c r="D29" s="19" t="s">
        <v>147</v>
      </c>
      <c r="E29" s="21">
        <v>44586</v>
      </c>
      <c r="F29" s="69"/>
      <c r="G29" s="58"/>
      <c r="H29" s="45">
        <v>2000</v>
      </c>
      <c r="I29" s="31"/>
      <c r="J29" s="42"/>
      <c r="K29" s="5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52"/>
    </row>
    <row r="30" spans="1:28" hidden="1" x14ac:dyDescent="0.25">
      <c r="A30" s="37" t="s">
        <v>10</v>
      </c>
      <c r="B30" s="20" t="s">
        <v>149</v>
      </c>
      <c r="C30" s="20" t="s">
        <v>93</v>
      </c>
      <c r="D30" s="19" t="s">
        <v>150</v>
      </c>
      <c r="E30" s="18">
        <v>44573</v>
      </c>
      <c r="F30" s="65"/>
      <c r="G30" s="57"/>
      <c r="H30" s="41">
        <v>2688</v>
      </c>
      <c r="I30" s="32"/>
      <c r="J30" s="42"/>
      <c r="K30" s="48"/>
      <c r="L30" s="49"/>
      <c r="M30" s="49"/>
      <c r="N30" s="59"/>
      <c r="O30" s="49"/>
      <c r="P30" s="49"/>
      <c r="Q30" s="48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50"/>
    </row>
    <row r="31" spans="1:28" hidden="1" x14ac:dyDescent="0.25">
      <c r="A31" s="37" t="s">
        <v>10</v>
      </c>
      <c r="B31" s="20" t="s">
        <v>92</v>
      </c>
      <c r="C31" s="20" t="s">
        <v>93</v>
      </c>
      <c r="D31" s="19" t="s">
        <v>94</v>
      </c>
      <c r="E31" s="21">
        <v>44384</v>
      </c>
      <c r="F31" s="69"/>
      <c r="G31" s="58">
        <v>44538</v>
      </c>
      <c r="H31" s="45">
        <v>510407</v>
      </c>
      <c r="I31" s="31">
        <v>366666.4</v>
      </c>
      <c r="J31" s="42">
        <f t="shared" si="0"/>
        <v>143740.59999999998</v>
      </c>
      <c r="K31" s="62">
        <f>62976.9+297307.4</f>
        <v>360284.30000000005</v>
      </c>
      <c r="L31" s="61"/>
      <c r="M31" s="61"/>
      <c r="N31" s="61">
        <v>5262.4</v>
      </c>
      <c r="O31" s="61"/>
      <c r="P31" s="61"/>
      <c r="Q31" s="51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52"/>
    </row>
    <row r="32" spans="1:28" x14ac:dyDescent="0.25">
      <c r="A32" s="34" t="s">
        <v>5</v>
      </c>
      <c r="B32" s="15">
        <v>8103451390</v>
      </c>
      <c r="C32" s="15" t="s">
        <v>95</v>
      </c>
      <c r="D32" s="17" t="s">
        <v>96</v>
      </c>
      <c r="E32" s="18">
        <v>44292</v>
      </c>
      <c r="F32" s="65">
        <v>44560</v>
      </c>
      <c r="G32" s="57">
        <v>44554</v>
      </c>
      <c r="H32" s="41">
        <v>15995</v>
      </c>
      <c r="I32" s="27">
        <v>15995</v>
      </c>
      <c r="J32" s="42">
        <f t="shared" si="0"/>
        <v>0</v>
      </c>
      <c r="K32" s="60"/>
      <c r="L32" s="59"/>
      <c r="M32" s="59"/>
      <c r="N32" s="59"/>
      <c r="O32" s="59"/>
      <c r="P32" s="59"/>
      <c r="Q32" s="48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50"/>
    </row>
    <row r="33" spans="1:28" x14ac:dyDescent="0.25">
      <c r="A33" s="34" t="s">
        <v>5</v>
      </c>
      <c r="B33" s="15">
        <v>8103497818</v>
      </c>
      <c r="C33" s="15" t="s">
        <v>95</v>
      </c>
      <c r="D33" s="17" t="s">
        <v>97</v>
      </c>
      <c r="E33" s="18">
        <v>44340</v>
      </c>
      <c r="F33" s="65">
        <v>44560</v>
      </c>
      <c r="G33" s="57">
        <v>44554</v>
      </c>
      <c r="H33" s="41">
        <v>46910</v>
      </c>
      <c r="I33" s="27">
        <v>46910</v>
      </c>
      <c r="J33" s="42">
        <f t="shared" si="0"/>
        <v>0</v>
      </c>
      <c r="K33" s="62"/>
      <c r="L33" s="61"/>
      <c r="M33" s="61"/>
      <c r="N33" s="61"/>
      <c r="O33" s="61"/>
      <c r="P33" s="61"/>
      <c r="Q33" s="51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52"/>
    </row>
    <row r="34" spans="1:28" x14ac:dyDescent="0.25">
      <c r="A34" s="35" t="s">
        <v>5</v>
      </c>
      <c r="B34" s="15" t="s">
        <v>98</v>
      </c>
      <c r="C34" s="15" t="s">
        <v>95</v>
      </c>
      <c r="D34" s="17" t="s">
        <v>99</v>
      </c>
      <c r="E34" s="18">
        <v>44489</v>
      </c>
      <c r="F34" s="65"/>
      <c r="G34" s="57">
        <v>44495</v>
      </c>
      <c r="H34" s="41">
        <v>7650</v>
      </c>
      <c r="I34" s="27">
        <v>7650</v>
      </c>
      <c r="J34" s="42">
        <f t="shared" si="0"/>
        <v>0</v>
      </c>
      <c r="K34" s="48"/>
      <c r="L34" s="49"/>
      <c r="M34" s="49"/>
      <c r="N34" s="59">
        <v>7650</v>
      </c>
      <c r="O34" s="49"/>
      <c r="P34" s="49"/>
      <c r="Q34" s="48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50"/>
    </row>
    <row r="35" spans="1:28" ht="15.75" thickBot="1" x14ac:dyDescent="0.3">
      <c r="A35" s="34" t="s">
        <v>5</v>
      </c>
      <c r="B35" s="20" t="s">
        <v>100</v>
      </c>
      <c r="C35" s="20" t="s">
        <v>95</v>
      </c>
      <c r="D35" s="19" t="s">
        <v>103</v>
      </c>
      <c r="E35" s="21">
        <v>44520</v>
      </c>
      <c r="F35" s="69">
        <v>44681</v>
      </c>
      <c r="G35" s="57">
        <v>44538</v>
      </c>
      <c r="H35" s="46">
        <v>132430</v>
      </c>
      <c r="I35" s="47">
        <v>29205</v>
      </c>
      <c r="J35" s="42">
        <f t="shared" si="0"/>
        <v>103225</v>
      </c>
      <c r="K35" s="53"/>
      <c r="L35" s="54"/>
      <c r="M35" s="54"/>
      <c r="N35" s="54"/>
      <c r="O35" s="54"/>
      <c r="P35" s="70">
        <v>29205</v>
      </c>
      <c r="Q35" s="53">
        <v>34408.33</v>
      </c>
      <c r="R35" s="53"/>
      <c r="S35" s="53"/>
      <c r="T35" s="54"/>
      <c r="U35" s="54"/>
      <c r="V35" s="54"/>
      <c r="W35" s="54"/>
      <c r="X35" s="54"/>
      <c r="Y35" s="54"/>
      <c r="Z35" s="54"/>
      <c r="AA35" s="54"/>
      <c r="AB35" s="55"/>
    </row>
    <row r="37" spans="1:28" x14ac:dyDescent="0.25">
      <c r="J37" s="93"/>
      <c r="Q37" s="94"/>
      <c r="R37" s="94"/>
      <c r="S37" s="94"/>
      <c r="T37" s="94"/>
      <c r="U37" s="94"/>
      <c r="V37" s="94"/>
      <c r="W37" s="94"/>
      <c r="X37" s="94"/>
      <c r="Y37" s="94"/>
    </row>
  </sheetData>
  <autoFilter ref="A2:J35">
    <filterColumn colId="0">
      <filters>
        <filter val="601004 - PAS-X"/>
      </filters>
    </filterColumn>
  </autoFilter>
  <phoneticPr fontId="5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AH44"/>
  <sheetViews>
    <sheetView showGridLines="0" zoomScaleNormal="100" workbookViewId="0">
      <pane xSplit="2" ySplit="14" topLeftCell="W15" activePane="bottomRight" state="frozen"/>
      <selection pane="topRight" activeCell="C1" sqref="C1"/>
      <selection pane="bottomLeft" activeCell="A15" sqref="A15"/>
      <selection pane="bottomRight" activeCell="A24" sqref="A24"/>
    </sheetView>
  </sheetViews>
  <sheetFormatPr baseColWidth="10" defaultColWidth="10.85546875" defaultRowHeight="12.75" x14ac:dyDescent="0.2"/>
  <cols>
    <col min="1" max="1" width="15.85546875" style="101" customWidth="1"/>
    <col min="2" max="2" width="1.5703125" style="9" customWidth="1"/>
    <col min="3" max="3" width="12.5703125" style="73" customWidth="1"/>
    <col min="4" max="4" width="13.42578125" style="73" customWidth="1"/>
    <col min="5" max="5" width="17.5703125" style="9" customWidth="1"/>
    <col min="6" max="7" width="14.42578125" style="9" customWidth="1"/>
    <col min="8" max="8" width="14.5703125" style="9" customWidth="1"/>
    <col min="9" max="10" width="18" style="9" customWidth="1"/>
    <col min="11" max="11" width="17.28515625" style="9" customWidth="1"/>
    <col min="12" max="13" width="18" style="9" customWidth="1"/>
    <col min="14" max="14" width="17.5703125" style="9" customWidth="1"/>
    <col min="15" max="16" width="15.85546875" style="9" customWidth="1"/>
    <col min="17" max="17" width="12.5703125" style="9" customWidth="1"/>
    <col min="18" max="18" width="19.42578125" style="9" customWidth="1"/>
    <col min="19" max="21" width="14.42578125" style="9" customWidth="1"/>
    <col min="22" max="23" width="12.140625" style="9" customWidth="1"/>
    <col min="24" max="24" width="10.85546875" style="9"/>
    <col min="25" max="25" width="11.42578125" style="9" bestFit="1" customWidth="1"/>
    <col min="26" max="26" width="10.85546875" style="9"/>
    <col min="27" max="28" width="12.28515625" style="9" customWidth="1"/>
    <col min="29" max="29" width="10.85546875" style="9"/>
    <col min="30" max="30" width="1.85546875" style="9" customWidth="1"/>
    <col min="31" max="31" width="13.28515625" style="9" customWidth="1"/>
    <col min="32" max="32" width="12.85546875" style="9" bestFit="1" customWidth="1"/>
    <col min="33" max="33" width="14.140625" style="9" customWidth="1"/>
    <col min="34" max="34" width="15" style="9" customWidth="1"/>
    <col min="35" max="16384" width="10.85546875" style="9"/>
  </cols>
  <sheetData>
    <row r="1" spans="1:34" s="78" customFormat="1" x14ac:dyDescent="0.2">
      <c r="A1" s="116"/>
      <c r="B1" s="10"/>
      <c r="C1" s="117" t="s">
        <v>5</v>
      </c>
      <c r="D1" s="118" t="s">
        <v>6</v>
      </c>
      <c r="E1" s="118" t="s">
        <v>8</v>
      </c>
      <c r="F1" s="118" t="s">
        <v>9</v>
      </c>
      <c r="G1" s="118" t="s">
        <v>10</v>
      </c>
      <c r="H1" s="118" t="s">
        <v>12</v>
      </c>
      <c r="I1" s="118" t="s">
        <v>13</v>
      </c>
      <c r="J1" s="118" t="s">
        <v>14</v>
      </c>
      <c r="K1" s="118" t="s">
        <v>16</v>
      </c>
      <c r="L1" s="118" t="s">
        <v>80</v>
      </c>
      <c r="M1" s="118" t="s">
        <v>38</v>
      </c>
      <c r="N1" s="80"/>
      <c r="O1" s="80"/>
      <c r="P1" s="80"/>
      <c r="Q1" s="80"/>
      <c r="R1" s="80"/>
      <c r="S1" s="80"/>
      <c r="T1" s="80"/>
      <c r="U1" s="80"/>
    </row>
    <row r="2" spans="1:34" s="77" customFormat="1" x14ac:dyDescent="0.2">
      <c r="A2" s="119" t="s">
        <v>135</v>
      </c>
      <c r="B2" s="120"/>
      <c r="C2" s="121">
        <v>436510</v>
      </c>
      <c r="D2" s="122">
        <v>2420146</v>
      </c>
      <c r="E2" s="122">
        <v>1275306.676</v>
      </c>
      <c r="F2" s="122">
        <v>585263.66200000001</v>
      </c>
      <c r="G2" s="122">
        <v>633341.5959999999</v>
      </c>
      <c r="H2" s="122">
        <v>0</v>
      </c>
      <c r="I2" s="122">
        <v>407653.9</v>
      </c>
      <c r="J2" s="122">
        <v>182000</v>
      </c>
      <c r="K2" s="122">
        <v>0</v>
      </c>
      <c r="L2" s="122">
        <v>248150</v>
      </c>
      <c r="M2" s="122">
        <v>228210</v>
      </c>
      <c r="N2" s="80"/>
      <c r="O2" s="80"/>
      <c r="P2" s="80"/>
      <c r="Q2" s="80"/>
      <c r="R2" s="80"/>
      <c r="S2" s="80"/>
      <c r="T2" s="80"/>
      <c r="U2" s="80"/>
    </row>
    <row r="3" spans="1:34" s="81" customFormat="1" x14ac:dyDescent="0.2">
      <c r="A3" s="123" t="s">
        <v>145</v>
      </c>
      <c r="B3" s="124"/>
      <c r="C3" s="125">
        <f>Enveloppes!B10</f>
        <v>523250</v>
      </c>
      <c r="D3" s="125">
        <f>Enveloppes!B5</f>
        <v>5517700</v>
      </c>
      <c r="E3" s="125">
        <f>Enveloppes!B21</f>
        <v>2300000</v>
      </c>
      <c r="F3" s="125">
        <f>Enveloppes!B15</f>
        <v>781750</v>
      </c>
      <c r="G3" s="125">
        <f>Enveloppes!B16</f>
        <v>775387</v>
      </c>
      <c r="H3" s="125">
        <f>Enveloppes!B24</f>
        <v>689900</v>
      </c>
      <c r="I3" s="125">
        <f>Enveloppes!B6</f>
        <v>367960</v>
      </c>
      <c r="J3" s="125">
        <f>Enveloppes!B17</f>
        <v>254300</v>
      </c>
      <c r="K3" s="125">
        <f>Enveloppes!B19</f>
        <v>152400</v>
      </c>
      <c r="L3" s="125">
        <f>Enveloppes!B12</f>
        <v>289750</v>
      </c>
      <c r="M3" s="125">
        <f>Enveloppes!B11</f>
        <v>220750</v>
      </c>
      <c r="N3" s="80"/>
      <c r="O3" s="80"/>
      <c r="P3" s="80"/>
      <c r="Q3" s="80"/>
      <c r="R3" s="80"/>
      <c r="S3" s="80"/>
      <c r="T3" s="80"/>
      <c r="U3" s="80"/>
    </row>
    <row r="4" spans="1:34" s="80" customFormat="1" x14ac:dyDescent="0.2">
      <c r="A4" s="126" t="s">
        <v>134</v>
      </c>
      <c r="B4" s="127"/>
      <c r="C4" s="128" cm="1">
        <f t="array" ref="C4">C3-'Engagés (Facturés) 2022'!$C$2:$C$2</f>
        <v>86740</v>
      </c>
      <c r="D4" s="128" cm="1">
        <f t="array" ref="D4">D3-'Engagés (Facturés) 2022'!$D$2:$D$2</f>
        <v>3097554</v>
      </c>
      <c r="E4" s="128" cm="1">
        <f t="array" ref="E4">E3-'Engagés (Facturés) 2022'!$E$2:$E$2</f>
        <v>1024693.324</v>
      </c>
      <c r="F4" s="128" cm="1">
        <f t="array" ref="F4">F3-'Engagés (Facturés) 2022'!$F$2:$F$2</f>
        <v>196486.33799999999</v>
      </c>
      <c r="G4" s="128" cm="1">
        <f t="array" ref="G4">G3-'Engagés (Facturés) 2022'!$G$2:$G$2</f>
        <v>142045.4040000001</v>
      </c>
      <c r="H4" s="128" cm="1">
        <f t="array" ref="H4">H3-'Engagés (Facturés) 2022'!$H$2:$H$2</f>
        <v>689900</v>
      </c>
      <c r="I4" s="129" cm="1">
        <f t="array" ref="I4">I3-'Engagés (Facturés) 2022'!$I$2:$I$2</f>
        <v>-39693.900000000023</v>
      </c>
      <c r="J4" s="128" cm="1">
        <f t="array" ref="J4">J3-'Engagés (Facturés) 2022'!$J$2:$J$2</f>
        <v>72300</v>
      </c>
      <c r="K4" s="128" cm="1">
        <f t="array" ref="K4">K3-'Engagés (Facturés) 2022'!$K$2:$K$2</f>
        <v>152400</v>
      </c>
      <c r="L4" s="128" cm="1">
        <f t="array" ref="L4">L3-'Engagés (Facturés) 2022'!$L$2:$L$2</f>
        <v>41600</v>
      </c>
      <c r="M4" s="129" cm="1">
        <f t="array" ref="M4">M3-'Engagés (Facturés) 2022'!$M$2:$M$2</f>
        <v>-7460</v>
      </c>
    </row>
    <row r="5" spans="1:34" s="79" customFormat="1" x14ac:dyDescent="0.2">
      <c r="A5" s="130" t="s">
        <v>136</v>
      </c>
      <c r="B5" s="131"/>
      <c r="C5" s="132">
        <f>E16</f>
        <v>52331.67</v>
      </c>
      <c r="D5" s="132">
        <f>E17</f>
        <v>3097554</v>
      </c>
      <c r="E5" s="132">
        <f>E18</f>
        <v>1023055.659</v>
      </c>
      <c r="F5" s="132">
        <f>E19</f>
        <v>196486.33799999999</v>
      </c>
      <c r="G5" s="132">
        <f>E20</f>
        <v>142045.4040000001</v>
      </c>
      <c r="H5" s="132">
        <f>E21</f>
        <v>689900</v>
      </c>
      <c r="I5" s="133">
        <f>E22</f>
        <v>-44804.900000000023</v>
      </c>
      <c r="J5" s="132">
        <f>E23</f>
        <v>72300</v>
      </c>
      <c r="K5" s="132">
        <f>E24</f>
        <v>113092</v>
      </c>
      <c r="L5" s="132">
        <f>E25</f>
        <v>41600</v>
      </c>
      <c r="M5" s="133">
        <f>E26</f>
        <v>-7460</v>
      </c>
    </row>
    <row r="6" spans="1:34" s="79" customFormat="1" x14ac:dyDescent="0.2">
      <c r="A6" s="130" t="s">
        <v>137</v>
      </c>
      <c r="B6" s="131"/>
      <c r="C6" s="131">
        <f>H16</f>
        <v>0</v>
      </c>
      <c r="D6" s="131">
        <f>H17</f>
        <v>0</v>
      </c>
      <c r="E6" s="131">
        <f>H18</f>
        <v>0</v>
      </c>
      <c r="F6" s="131">
        <f>H19</f>
        <v>0</v>
      </c>
      <c r="G6" s="131">
        <f>H20</f>
        <v>0</v>
      </c>
      <c r="H6" s="131">
        <f>H21</f>
        <v>0</v>
      </c>
      <c r="I6" s="131">
        <f>H22</f>
        <v>0</v>
      </c>
      <c r="J6" s="131">
        <f>H23</f>
        <v>0</v>
      </c>
      <c r="K6" s="131">
        <f>H24</f>
        <v>0</v>
      </c>
      <c r="L6" s="131">
        <f>H25</f>
        <v>0</v>
      </c>
      <c r="M6" s="131">
        <f>H26</f>
        <v>0</v>
      </c>
    </row>
    <row r="7" spans="1:34" s="79" customFormat="1" x14ac:dyDescent="0.2">
      <c r="A7" s="130" t="s">
        <v>138</v>
      </c>
      <c r="B7" s="131"/>
      <c r="C7" s="131">
        <f>K16</f>
        <v>0</v>
      </c>
      <c r="D7" s="131">
        <f>K17</f>
        <v>0</v>
      </c>
      <c r="E7" s="131">
        <f>K18</f>
        <v>0</v>
      </c>
      <c r="F7" s="131">
        <f>K19</f>
        <v>0</v>
      </c>
      <c r="G7" s="131">
        <f>K20</f>
        <v>0</v>
      </c>
      <c r="H7" s="131">
        <f>K21</f>
        <v>0</v>
      </c>
      <c r="I7" s="131">
        <f>K22</f>
        <v>0</v>
      </c>
      <c r="J7" s="131">
        <f>K23</f>
        <v>0</v>
      </c>
      <c r="K7" s="131">
        <f>K24</f>
        <v>0</v>
      </c>
      <c r="L7" s="131">
        <f>K25</f>
        <v>0</v>
      </c>
      <c r="M7" s="131">
        <f>K26</f>
        <v>0</v>
      </c>
    </row>
    <row r="8" spans="1:34" s="79" customFormat="1" x14ac:dyDescent="0.2">
      <c r="A8" s="130" t="s">
        <v>139</v>
      </c>
      <c r="B8" s="131"/>
      <c r="C8" s="131">
        <f>N16</f>
        <v>0</v>
      </c>
      <c r="D8" s="131">
        <f>N17</f>
        <v>0</v>
      </c>
      <c r="E8" s="131">
        <f>N19</f>
        <v>0</v>
      </c>
      <c r="F8" s="131">
        <f>N19</f>
        <v>0</v>
      </c>
      <c r="G8" s="131">
        <f>N20</f>
        <v>0</v>
      </c>
      <c r="H8" s="131">
        <f>N21</f>
        <v>0</v>
      </c>
      <c r="I8" s="131">
        <f>N22</f>
        <v>0</v>
      </c>
      <c r="J8" s="131">
        <f>N23</f>
        <v>0</v>
      </c>
      <c r="K8" s="131">
        <f>N24</f>
        <v>0</v>
      </c>
      <c r="L8" s="131">
        <f>N25</f>
        <v>0</v>
      </c>
      <c r="M8" s="131">
        <f>N26</f>
        <v>0</v>
      </c>
    </row>
    <row r="9" spans="1:34" s="79" customFormat="1" x14ac:dyDescent="0.2">
      <c r="A9" s="130" t="s">
        <v>140</v>
      </c>
      <c r="B9" s="131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80"/>
      <c r="O9" s="80"/>
      <c r="P9" s="80"/>
      <c r="Q9" s="80"/>
      <c r="R9" s="80"/>
      <c r="S9" s="80"/>
      <c r="T9" s="80"/>
      <c r="U9" s="80"/>
    </row>
    <row r="10" spans="1:34" s="79" customFormat="1" x14ac:dyDescent="0.2">
      <c r="A10" s="130" t="s">
        <v>141</v>
      </c>
      <c r="B10" s="131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80"/>
      <c r="O10" s="80"/>
      <c r="P10" s="80"/>
      <c r="Q10" s="80"/>
      <c r="R10" s="80"/>
      <c r="S10" s="80"/>
      <c r="T10" s="80"/>
      <c r="U10" s="80"/>
    </row>
    <row r="11" spans="1:34" x14ac:dyDescent="0.2">
      <c r="A11" s="11" t="s">
        <v>142</v>
      </c>
      <c r="B11" s="10"/>
      <c r="C11" s="95"/>
      <c r="D11" s="95"/>
      <c r="E11" s="10"/>
      <c r="F11" s="10"/>
      <c r="G11" s="10"/>
      <c r="H11" s="10"/>
      <c r="I11" s="10"/>
      <c r="J11" s="10"/>
      <c r="K11" s="10"/>
      <c r="L11" s="10"/>
      <c r="M11" s="10"/>
    </row>
    <row r="12" spans="1:34" x14ac:dyDescent="0.2">
      <c r="A12" s="11" t="s">
        <v>143</v>
      </c>
      <c r="B12" s="10"/>
      <c r="C12" s="95"/>
      <c r="D12" s="95"/>
      <c r="E12" s="10"/>
      <c r="F12" s="10"/>
      <c r="G12" s="10"/>
      <c r="H12" s="10"/>
      <c r="I12" s="10"/>
      <c r="J12" s="10"/>
      <c r="K12" s="10"/>
      <c r="L12" s="10"/>
      <c r="M12" s="10"/>
    </row>
    <row r="13" spans="1:34" ht="13.5" thickBot="1" x14ac:dyDescent="0.25">
      <c r="A13" s="11" t="s">
        <v>144</v>
      </c>
      <c r="B13" s="10"/>
      <c r="C13" s="95"/>
      <c r="D13" s="95"/>
      <c r="E13" s="10"/>
      <c r="F13" s="10"/>
      <c r="G13" s="10"/>
      <c r="H13" s="10"/>
      <c r="I13" s="10"/>
      <c r="J13" s="10"/>
      <c r="K13" s="10"/>
      <c r="L13" s="10"/>
      <c r="M13" s="10"/>
    </row>
    <row r="14" spans="1:34" s="12" customFormat="1" ht="13.5" thickBot="1" x14ac:dyDescent="0.25">
      <c r="A14" s="99"/>
      <c r="C14" s="185" t="s">
        <v>22</v>
      </c>
      <c r="D14" s="186"/>
      <c r="E14" s="187"/>
      <c r="F14" s="185" t="s">
        <v>23</v>
      </c>
      <c r="G14" s="186"/>
      <c r="H14" s="187"/>
      <c r="I14" s="185" t="s">
        <v>24</v>
      </c>
      <c r="J14" s="186"/>
      <c r="K14" s="187"/>
      <c r="L14" s="185" t="s">
        <v>25</v>
      </c>
      <c r="M14" s="186"/>
      <c r="N14" s="187"/>
      <c r="O14" s="185" t="s">
        <v>26</v>
      </c>
      <c r="P14" s="186"/>
      <c r="Q14" s="187"/>
      <c r="R14" s="185" t="s">
        <v>27</v>
      </c>
      <c r="S14" s="186"/>
      <c r="T14" s="187"/>
      <c r="U14" s="185" t="s">
        <v>28</v>
      </c>
      <c r="V14" s="186"/>
      <c r="W14" s="187"/>
      <c r="X14" s="185" t="s">
        <v>131</v>
      </c>
      <c r="Y14" s="186"/>
      <c r="Z14" s="187"/>
      <c r="AA14" s="185" t="s">
        <v>30</v>
      </c>
      <c r="AB14" s="186"/>
      <c r="AC14" s="187"/>
      <c r="AE14" s="109" t="s">
        <v>133</v>
      </c>
      <c r="AF14" s="110" t="s">
        <v>132</v>
      </c>
      <c r="AG14" s="108" t="s">
        <v>153</v>
      </c>
      <c r="AH14" s="134" t="s">
        <v>152</v>
      </c>
    </row>
    <row r="15" spans="1:34" x14ac:dyDescent="0.2">
      <c r="A15" s="99" t="s">
        <v>154</v>
      </c>
      <c r="C15" s="86" t="s">
        <v>126</v>
      </c>
      <c r="D15" s="84" t="s">
        <v>130</v>
      </c>
      <c r="E15" s="87" t="s">
        <v>127</v>
      </c>
      <c r="F15" s="86" t="s">
        <v>126</v>
      </c>
      <c r="G15" s="84" t="s">
        <v>130</v>
      </c>
      <c r="H15" s="87" t="s">
        <v>127</v>
      </c>
      <c r="I15" s="86" t="s">
        <v>126</v>
      </c>
      <c r="J15" s="84" t="s">
        <v>130</v>
      </c>
      <c r="K15" s="87" t="s">
        <v>127</v>
      </c>
      <c r="L15" s="86" t="s">
        <v>126</v>
      </c>
      <c r="M15" s="84" t="s">
        <v>130</v>
      </c>
      <c r="N15" s="87" t="s">
        <v>127</v>
      </c>
      <c r="O15" s="86" t="s">
        <v>126</v>
      </c>
      <c r="P15" s="84" t="s">
        <v>130</v>
      </c>
      <c r="Q15" s="87" t="s">
        <v>127</v>
      </c>
      <c r="R15" s="86" t="s">
        <v>126</v>
      </c>
      <c r="S15" s="84" t="s">
        <v>130</v>
      </c>
      <c r="T15" s="87" t="s">
        <v>127</v>
      </c>
      <c r="U15" s="86" t="s">
        <v>126</v>
      </c>
      <c r="V15" s="84" t="s">
        <v>130</v>
      </c>
      <c r="W15" s="87" t="s">
        <v>127</v>
      </c>
      <c r="X15" s="86" t="s">
        <v>126</v>
      </c>
      <c r="Y15" s="84" t="s">
        <v>130</v>
      </c>
      <c r="Z15" s="87" t="s">
        <v>127</v>
      </c>
      <c r="AA15" s="86" t="s">
        <v>126</v>
      </c>
      <c r="AB15" s="84" t="s">
        <v>130</v>
      </c>
      <c r="AC15" s="87" t="s">
        <v>127</v>
      </c>
      <c r="AD15" s="103"/>
      <c r="AE15" s="109"/>
      <c r="AF15" s="110"/>
      <c r="AG15" s="108"/>
      <c r="AH15" s="134"/>
    </row>
    <row r="16" spans="1:34" x14ac:dyDescent="0.2">
      <c r="A16" s="139" t="s">
        <v>5</v>
      </c>
      <c r="C16" s="88" cm="1">
        <f t="array" ref="C16">SUMPRODUCT((BDD_PRESTA_ESTIME3[[N° Projet]:[N° Projet]]=$A16)*(BDD_PRESTA_ESTIME3[estimé Janvier])*(BDD_PRESTA_ESTIME3[[TJM]:[TJM]]))+SUMPRODUCT(('Suivi Matériels 2022'!$A$3:$A$54=$A16)*('Suivi Matériels 2022'!Q$3:Q$54))</f>
        <v>34408.33</v>
      </c>
      <c r="D16" s="85">
        <f>27930+36046</f>
        <v>63976</v>
      </c>
      <c r="E16" s="97">
        <f>C4-C16</f>
        <v>52331.67</v>
      </c>
      <c r="F16" s="88" cm="1">
        <f t="array" ref="F16">SUMPRODUCT((BDD_PRESTA_ESTIME3[[N° Projet]:[N° Projet]]=$A16)*(BDD_PRESTA_ESTIME3[estimée Février])*(BDD_PRESTA_ESTIME3[[TJM]:[TJM]]))+SUMPRODUCT(('Suivi Matériels 2022'!$A$3:$A$54=$A16)*('Suivi Matériels 2022'!R$3:R$54))</f>
        <v>0</v>
      </c>
      <c r="G16" s="85">
        <f>27930+39124.58</f>
        <v>67054.58</v>
      </c>
      <c r="H16" s="89"/>
      <c r="I16" s="88" cm="1">
        <f t="array" ref="I16">SUMPRODUCT((BDD_PRESTA_ESTIME3[[N° Projet]:[N° Projet]]=$A16)*(BDD_PRESTA_ESTIME3[Mars])*(BDD_PRESTA_ESTIME3[[TJM]:[TJM]]))+SUMPRODUCT(('Suivi Matériels 2022'!$A$3:$A$54=$A16)*('Suivi Matériels 2022'!S$3:S$54))</f>
        <v>0</v>
      </c>
      <c r="J16" s="85">
        <f>27930+39124.58</f>
        <v>67054.58</v>
      </c>
      <c r="K16" s="89"/>
      <c r="L16" s="88" cm="1">
        <f t="array" ref="L16">SUMPRODUCT((BDD_PRESTA_ESTIME3[[N° Projet]:[N° Projet]]=$A16)*(BDD_PRESTA_ESTIME3[Avril])*(BDD_PRESTA_ESTIME3[[TJM]:[TJM]]))+SUMPRODUCT(('Suivi Matériels 2022'!$A$3:$A$54=$A16)*('Suivi Matériels 2022'!T$3:T$54))</f>
        <v>0</v>
      </c>
      <c r="M16" s="85">
        <f>4716.25+27930</f>
        <v>32646.25</v>
      </c>
      <c r="N16" s="89"/>
      <c r="O16" s="88" cm="1">
        <f t="array" ref="O16">SUMPRODUCT((BDD_PRESTA_ESTIME3[[N° Projet]:[N° Projet]]=$A16)*(BDD_PRESTA_ESTIME3[Mai])*(BDD_PRESTA_ESTIME3[[TJM]:[TJM]]))+SUMPRODUCT(('Suivi Matériels 2022'!$A$3:$A$54=$A16)*('Suivi Matériels 2022'!U$3:U$54))</f>
        <v>0</v>
      </c>
      <c r="P16" s="85">
        <f>4716.25+27930</f>
        <v>32646.25</v>
      </c>
      <c r="Q16" s="89"/>
      <c r="R16" s="88" cm="1">
        <f t="array" ref="R16">SUMPRODUCT((BDD_PRESTA_ESTIME3[[N° Projet]:[N° Projet]]=$A16)*(BDD_PRESTA_ESTIME3[Juin])*(BDD_PRESTA_ESTIME3[[TJM]:[TJM]]))+SUMPRODUCT(('Suivi Matériels 2022'!$A$3:$A$54=$A16)*('Suivi Matériels 2022'!V$3:V$54))</f>
        <v>0</v>
      </c>
      <c r="S16" s="85">
        <f>4716.25+27930</f>
        <v>32646.25</v>
      </c>
      <c r="T16" s="89"/>
      <c r="U16" s="88" cm="1">
        <f t="array" ref="U16">SUMPRODUCT((BDD_PRESTA_ESTIME3[[N° Projet]:[N° Projet]]=$A16)*(BDD_PRESTA_ESTIME3[Juillet])*(BDD_PRESTA_ESTIME3[[TJM]:[TJM]]))+SUMPRODUCT(('Suivi Matériels 2022'!$A$3:$A$54=$A16)*('Suivi Matériels 2022'!W$3:W$54))</f>
        <v>0</v>
      </c>
      <c r="V16" s="85">
        <f>4716.25+27930</f>
        <v>32646.25</v>
      </c>
      <c r="W16" s="89"/>
      <c r="X16" s="88" cm="1">
        <f t="array" ref="X16">SUMPRODUCT((BDD_PRESTA_ESTIME3[[N° Projet]:[N° Projet]]=$A16)*(BDD_PRESTA_ESTIME3[Août])*(BDD_PRESTA_ESTIME3[[TJM]:[TJM]]))+SUMPRODUCT(('Suivi Matériels 2022'!$A$3:$A$54=$A16)*('Suivi Matériels 2022'!X$3:X$54))</f>
        <v>0</v>
      </c>
      <c r="Y16" s="85">
        <f>4716.25+27930</f>
        <v>32646.25</v>
      </c>
      <c r="Z16" s="89"/>
      <c r="AA16" s="88" cm="1">
        <f t="array" ref="AA16">SUMPRODUCT((BDD_PRESTA_ESTIME3[[N° Projet]:[N° Projet]]=$A16)*(BDD_PRESTA_ESTIME3[Septembre])*(BDD_PRESTA_ESTIME3[[TJM]:[TJM]]))+SUMPRODUCT(('Suivi Matériels 2022'!$A$3:$A$54=$A16)*('Suivi Matériels 2022'!Y$3:Y$54))</f>
        <v>0</v>
      </c>
      <c r="AB16" s="85">
        <f>4716.25+27930</f>
        <v>32646.25</v>
      </c>
      <c r="AC16" s="89" cm="1">
        <f t="array" ref="AC16">SUMPRODUCT((BDD_PRESTA_ESTIME3[[N° Projet]:[N° Projet]]=$A16)*(BDD_PRESTA_ESTIME3[Octobre])*(BDD_PRESTA_ESTIME3[[TJM]:[TJM]]))+SUMPRODUCT(('Suivi Matériels 2022'!$A$3:$A$54=$A16)*('Suivi Matériels 2022'!Z$3:Z$54))</f>
        <v>0</v>
      </c>
      <c r="AD16" s="104"/>
      <c r="AE16" s="111">
        <f>SUM(C16+F16+I16+L16+O16+R16+U16+X16+AA16)</f>
        <v>34408.33</v>
      </c>
      <c r="AF16" s="112">
        <f>C4-AE16</f>
        <v>52331.67</v>
      </c>
      <c r="AG16" s="135">
        <f t="shared" ref="AG16:AG26" si="0">SUM(D16+G16+J16+M16+P16+S16+V16+Y16+AB16)</f>
        <v>393962.66000000003</v>
      </c>
      <c r="AH16" s="136">
        <f>C4-AG16</f>
        <v>-307222.66000000003</v>
      </c>
    </row>
    <row r="17" spans="1:34" ht="15" x14ac:dyDescent="0.25">
      <c r="A17" s="139" t="s">
        <v>6</v>
      </c>
      <c r="B17"/>
      <c r="C17" s="88" cm="1">
        <f t="array" ref="C17">SUMPRODUCT((BDD_PRESTA_ESTIME3[[N° Projet]:[N° Projet]]=$A17)*(BDD_PRESTA_ESTIME3[estimé Janvier])*(BDD_PRESTA_ESTIME3[[TJM]:[TJM]]))+SUMPRODUCT(('Suivi Matériels 2022'!$A$3:$A$54=$A17)*('Suivi Matériels 2022'!Q$3:Q$54))</f>
        <v>0</v>
      </c>
      <c r="D17" s="85">
        <v>311110</v>
      </c>
      <c r="E17" s="97">
        <f>D4-C17</f>
        <v>3097554</v>
      </c>
      <c r="F17" s="88" cm="1">
        <f t="array" ref="F17">SUMPRODUCT((BDD_PRESTA_ESTIME3[[N° Projet]:[N° Projet]]=$A17)*(BDD_PRESTA_ESTIME3[estimée Février])*(BDD_PRESTA_ESTIME3[[TJM]:[TJM]]))+SUMPRODUCT(('Suivi Matériels 2022'!$A$3:$A$54=$A17)*('Suivi Matériels 2022'!R$3:R$54))</f>
        <v>0</v>
      </c>
      <c r="G17" s="85">
        <v>308200</v>
      </c>
      <c r="H17" s="89"/>
      <c r="I17" s="88" cm="1">
        <f t="array" ref="I17">SUMPRODUCT((BDD_PRESTA_ESTIME3[[N° Projet]:[N° Projet]]=$A17)*(BDD_PRESTA_ESTIME3[Mars])*(BDD_PRESTA_ESTIME3[[TJM]:[TJM]]))+SUMPRODUCT(('Suivi Matériels 2022'!$A$3:$A$54=$A17)*('Suivi Matériels 2022'!S$3:S$54))</f>
        <v>0</v>
      </c>
      <c r="J17" s="85">
        <v>316930</v>
      </c>
      <c r="K17" s="89"/>
      <c r="L17" s="88" cm="1">
        <f t="array" ref="L17">SUMPRODUCT((BDD_PRESTA_ESTIME3[[N° Projet]:[N° Projet]]=$A17)*(BDD_PRESTA_ESTIME3[Avril])*(BDD_PRESTA_ESTIME3[[TJM]:[TJM]]))+SUMPRODUCT(('Suivi Matériels 2022'!$A$3:$A$54=$A17)*('Suivi Matériels 2022'!T$3:T$54))</f>
        <v>0</v>
      </c>
      <c r="M17" s="85">
        <v>305290</v>
      </c>
      <c r="N17" s="89"/>
      <c r="O17" s="88" cm="1">
        <f t="array" ref="O17">SUMPRODUCT((BDD_PRESTA_ESTIME3[[N° Projet]:[N° Projet]]=$A17)*(BDD_PRESTA_ESTIME3[Mai])*(BDD_PRESTA_ESTIME3[[TJM]:[TJM]]))+SUMPRODUCT(('Suivi Matériels 2022'!$A$3:$A$54=$A17)*('Suivi Matériels 2022'!U$3:U$54))</f>
        <v>0</v>
      </c>
      <c r="P17" s="85">
        <v>308200</v>
      </c>
      <c r="Q17" s="89"/>
      <c r="R17" s="88" cm="1">
        <f t="array" ref="R17">SUMPRODUCT((BDD_PRESTA_ESTIME3[[N° Projet]:[N° Projet]]=$A17)*(BDD_PRESTA_ESTIME3[Juin])*(BDD_PRESTA_ESTIME3[[TJM]:[TJM]]))+SUMPRODUCT(('Suivi Matériels 2022'!$A$3:$A$54=$A17)*('Suivi Matériels 2022'!V$3:V$54))</f>
        <v>0</v>
      </c>
      <c r="S17" s="85">
        <v>311110</v>
      </c>
      <c r="T17" s="89"/>
      <c r="U17" s="88" cm="1">
        <f t="array" ref="U17">SUMPRODUCT((BDD_PRESTA_ESTIME3[[N° Projet]:[N° Projet]]=$A17)*(BDD_PRESTA_ESTIME3[Juillet])*(BDD_PRESTA_ESTIME3[[TJM]:[TJM]]))+SUMPRODUCT(('Suivi Matériels 2022'!$A$3:$A$54=$A17)*('Suivi Matériels 2022'!W$3:W$54))</f>
        <v>0</v>
      </c>
      <c r="V17" s="85">
        <v>305290</v>
      </c>
      <c r="W17" s="89"/>
      <c r="X17" s="88" cm="1">
        <f t="array" ref="X17">SUMPRODUCT((BDD_PRESTA_ESTIME3[[N° Projet]:[N° Projet]]=$A17)*(BDD_PRESTA_ESTIME3[Août])*(BDD_PRESTA_ESTIME3[[TJM]:[TJM]]))+SUMPRODUCT(('Suivi Matériels 2022'!$A$3:$A$54=$A17)*('Suivi Matériels 2022'!X$3:X$54))</f>
        <v>0</v>
      </c>
      <c r="Y17" s="85">
        <v>282010</v>
      </c>
      <c r="Z17" s="89"/>
      <c r="AA17" s="88" cm="1">
        <f t="array" ref="AA17">SUMPRODUCT((BDD_PRESTA_ESTIME3[[N° Projet]:[N° Projet]]=$A17)*(BDD_PRESTA_ESTIME3[Septembre])*(BDD_PRESTA_ESTIME3[[TJM]:[TJM]]))+SUMPRODUCT(('Suivi Matériels 2022'!$A$3:$A$54=$A17)*('Suivi Matériels 2022'!Y$3:Y$54))</f>
        <v>0</v>
      </c>
      <c r="AB17" s="85">
        <v>311110</v>
      </c>
      <c r="AC17" s="89" cm="1">
        <f t="array" ref="AC17">SUMPRODUCT((BDD_PRESTA_ESTIME3[[N° Projet]:[N° Projet]]=$A17)*(BDD_PRESTA_ESTIME3[Octobre])*(BDD_PRESTA_ESTIME3[[TJM]:[TJM]]))+SUMPRODUCT(('Suivi Matériels 2022'!$A$3:$A$54=$A17)*('Suivi Matériels 2022'!Z$3:Z$54))</f>
        <v>0</v>
      </c>
      <c r="AD17" s="105"/>
      <c r="AE17" s="111">
        <f t="shared" ref="AE17:AE26" si="1">SUM(C17+F17+I17+L17+O17+R17+U17+X17+AA17)</f>
        <v>0</v>
      </c>
      <c r="AF17" s="112">
        <f>D4-AE17</f>
        <v>3097554</v>
      </c>
      <c r="AG17" s="135">
        <f t="shared" si="0"/>
        <v>2759250</v>
      </c>
      <c r="AH17" s="138">
        <f>D4-AG17</f>
        <v>338304</v>
      </c>
    </row>
    <row r="18" spans="1:34" ht="15" x14ac:dyDescent="0.25">
      <c r="A18" s="139" t="s">
        <v>8</v>
      </c>
      <c r="B18"/>
      <c r="C18" s="88" cm="1">
        <f t="array" ref="C18">SUMPRODUCT((BDD_PRESTA_ESTIME3[[N° Projet]:[N° Projet]]=$A18)*(BDD_PRESTA_ESTIME3[estimé Janvier])*(BDD_PRESTA_ESTIME3[[TJM]:[TJM]]))+SUMPRODUCT(('Suivi Matériels 2022'!$A$3:$A$54=$A18)*('Suivi Matériels 2022'!Q$3:Q$54))</f>
        <v>1637.665</v>
      </c>
      <c r="D18" s="85">
        <f>53387</f>
        <v>53387</v>
      </c>
      <c r="E18" s="97">
        <f>E4-C18</f>
        <v>1023055.659</v>
      </c>
      <c r="F18" s="88" cm="1">
        <f t="array" ref="F18">SUMPRODUCT((BDD_PRESTA_ESTIME3[[N° Projet]:[N° Projet]]=$A18)*(BDD_PRESTA_ESTIME3[estimée Février])*(BDD_PRESTA_ESTIME3[[TJM]:[TJM]]))+SUMPRODUCT(('Suivi Matériels 2022'!$A$3:$A$54=$A18)*('Suivi Matériels 2022'!R$3:R$54))</f>
        <v>0</v>
      </c>
      <c r="G18" s="85">
        <f>53387</f>
        <v>53387</v>
      </c>
      <c r="H18" s="89"/>
      <c r="I18" s="88" cm="1">
        <f t="array" ref="I18">SUMPRODUCT((BDD_PRESTA_ESTIME3[[N° Projet]:[N° Projet]]=$A18)*(BDD_PRESTA_ESTIME3[Mars])*(BDD_PRESTA_ESTIME3[[TJM]:[TJM]]))+SUMPRODUCT(('Suivi Matériels 2022'!$A$3:$A$54=$A18)*('Suivi Matériels 2022'!S$3:S$54))</f>
        <v>0</v>
      </c>
      <c r="J18" s="85">
        <f>53387</f>
        <v>53387</v>
      </c>
      <c r="K18" s="89"/>
      <c r="L18" s="88" cm="1">
        <f t="array" ref="L18">SUMPRODUCT((BDD_PRESTA_ESTIME3[[N° Projet]:[N° Projet]]=$A18)*(BDD_PRESTA_ESTIME3[Avril])*(BDD_PRESTA_ESTIME3[[TJM]:[TJM]]))+SUMPRODUCT(('Suivi Matériels 2022'!$A$3:$A$54=$A18)*('Suivi Matériels 2022'!T$3:T$54))</f>
        <v>0</v>
      </c>
      <c r="M18" s="85">
        <f>53387</f>
        <v>53387</v>
      </c>
      <c r="N18" s="89"/>
      <c r="O18" s="88" cm="1">
        <f t="array" ref="O18">SUMPRODUCT((BDD_PRESTA_ESTIME3[[N° Projet]:[N° Projet]]=$A18)*(BDD_PRESTA_ESTIME3[Mai])*(BDD_PRESTA_ESTIME3[[TJM]:[TJM]]))+SUMPRODUCT(('Suivi Matériels 2022'!$A$3:$A$54=$A18)*('Suivi Matériels 2022'!U$3:U$54))</f>
        <v>0</v>
      </c>
      <c r="P18" s="85">
        <f>53387</f>
        <v>53387</v>
      </c>
      <c r="Q18" s="89"/>
      <c r="R18" s="88" cm="1">
        <f t="array" ref="R18">SUMPRODUCT((BDD_PRESTA_ESTIME3[[N° Projet]:[N° Projet]]=$A18)*(BDD_PRESTA_ESTIME3[Juin])*(BDD_PRESTA_ESTIME3[[TJM]:[TJM]]))+SUMPRODUCT(('Suivi Matériels 2022'!$A$3:$A$54=$A18)*('Suivi Matériels 2022'!V$3:V$54))</f>
        <v>0</v>
      </c>
      <c r="S18" s="85">
        <f>53387</f>
        <v>53387</v>
      </c>
      <c r="T18" s="89"/>
      <c r="U18" s="88" cm="1">
        <f t="array" ref="U18">SUMPRODUCT((BDD_PRESTA_ESTIME3[[N° Projet]:[N° Projet]]=$A18)*(BDD_PRESTA_ESTIME3[Juillet])*(BDD_PRESTA_ESTIME3[[TJM]:[TJM]]))+SUMPRODUCT(('Suivi Matériels 2022'!$A$3:$A$54=$A18)*('Suivi Matériels 2022'!W$3:W$54))</f>
        <v>0</v>
      </c>
      <c r="V18" s="85">
        <f>53387</f>
        <v>53387</v>
      </c>
      <c r="W18" s="89"/>
      <c r="X18" s="88" cm="1">
        <f t="array" ref="X18">SUMPRODUCT((BDD_PRESTA_ESTIME3[[N° Projet]:[N° Projet]]=$A18)*(BDD_PRESTA_ESTIME3[Août])*(BDD_PRESTA_ESTIME3[[TJM]:[TJM]]))+SUMPRODUCT(('Suivi Matériels 2022'!$A$3:$A$54=$A18)*('Suivi Matériels 2022'!X$3:X$54))</f>
        <v>0</v>
      </c>
      <c r="Y18" s="85">
        <f>53387</f>
        <v>53387</v>
      </c>
      <c r="Z18" s="89"/>
      <c r="AA18" s="88" cm="1">
        <f t="array" ref="AA18">SUMPRODUCT((BDD_PRESTA_ESTIME3[[N° Projet]:[N° Projet]]=$A18)*(BDD_PRESTA_ESTIME3[Septembre])*(BDD_PRESTA_ESTIME3[[TJM]:[TJM]]))+SUMPRODUCT(('Suivi Matériels 2022'!$A$3:$A$54=$A18)*('Suivi Matériels 2022'!Y$3:Y$54))</f>
        <v>0</v>
      </c>
      <c r="AB18" s="85">
        <f>53387</f>
        <v>53387</v>
      </c>
      <c r="AC18" s="89" cm="1">
        <f t="array" ref="AC18">SUMPRODUCT((BDD_PRESTA_ESTIME3[[N° Projet]:[N° Projet]]=$A18)*(BDD_PRESTA_ESTIME3[Octobre])*(BDD_PRESTA_ESTIME3[[TJM]:[TJM]]))+SUMPRODUCT(('Suivi Matériels 2022'!$A$3:$A$54=$A18)*('Suivi Matériels 2022'!Z$3:Z$54))</f>
        <v>0</v>
      </c>
      <c r="AD18" s="106"/>
      <c r="AE18" s="111">
        <f t="shared" si="1"/>
        <v>1637.665</v>
      </c>
      <c r="AF18" s="112">
        <f>E4-AE18</f>
        <v>1023055.659</v>
      </c>
      <c r="AG18" s="135">
        <f t="shared" si="0"/>
        <v>480483</v>
      </c>
      <c r="AH18" s="138">
        <f>E4-AG18</f>
        <v>544210.32400000002</v>
      </c>
    </row>
    <row r="19" spans="1:34" ht="15" x14ac:dyDescent="0.25">
      <c r="A19" s="139" t="s">
        <v>9</v>
      </c>
      <c r="B19"/>
      <c r="C19" s="88" cm="1">
        <f t="array" ref="C19">SUMPRODUCT((BDD_PRESTA_ESTIME3[[N° Projet]:[N° Projet]]=$A19)*(BDD_PRESTA_ESTIME3[estimé Janvier])*(BDD_PRESTA_ESTIME3[[TJM]:[TJM]]))+SUMPRODUCT(('Suivi Matériels 2022'!$A$3:$A$54=$A19)*('Suivi Matériels 2022'!Q$3:Q$54))</f>
        <v>0</v>
      </c>
      <c r="D19" s="85">
        <f>7963.2+20006</f>
        <v>27969.200000000001</v>
      </c>
      <c r="E19" s="97">
        <f>F4-C19</f>
        <v>196486.33799999999</v>
      </c>
      <c r="F19" s="88" cm="1">
        <f t="array" ref="F19">SUMPRODUCT((BDD_PRESTA_ESTIME3[[N° Projet]:[N° Projet]]=$A19)*(BDD_PRESTA_ESTIME3[estimée Février])*(BDD_PRESTA_ESTIME3[[TJM]:[TJM]]))+SUMPRODUCT(('Suivi Matériels 2022'!$A$3:$A$54=$A19)*('Suivi Matériels 2022'!R$3:R$54))</f>
        <v>0</v>
      </c>
      <c r="G19" s="85">
        <f>7963.2+20006</f>
        <v>27969.200000000001</v>
      </c>
      <c r="H19" s="89"/>
      <c r="I19" s="88" cm="1">
        <f t="array" ref="I19">SUMPRODUCT((BDD_PRESTA_ESTIME3[[N° Projet]:[N° Projet]]=$A19)*(BDD_PRESTA_ESTIME3[Mars])*(BDD_PRESTA_ESTIME3[[TJM]:[TJM]]))+SUMPRODUCT(('Suivi Matériels 2022'!$A$3:$A$54=$A19)*('Suivi Matériels 2022'!S$3:S$54))</f>
        <v>0</v>
      </c>
      <c r="J19" s="85">
        <f>7963.2+20006</f>
        <v>27969.200000000001</v>
      </c>
      <c r="K19" s="89"/>
      <c r="L19" s="88" cm="1">
        <f t="array" ref="L19">SUMPRODUCT((BDD_PRESTA_ESTIME3[[N° Projet]:[N° Projet]]=$A19)*(BDD_PRESTA_ESTIME3[Avril])*(BDD_PRESTA_ESTIME3[[TJM]:[TJM]]))+SUMPRODUCT(('Suivi Matériels 2022'!$A$3:$A$54=$A19)*('Suivi Matériels 2022'!T$3:T$54))</f>
        <v>0</v>
      </c>
      <c r="M19" s="85">
        <f>7963.2+20006</f>
        <v>27969.200000000001</v>
      </c>
      <c r="N19" s="89"/>
      <c r="O19" s="88" cm="1">
        <f t="array" ref="O19">SUMPRODUCT((BDD_PRESTA_ESTIME3[[N° Projet]:[N° Projet]]=$A19)*(BDD_PRESTA_ESTIME3[Mai])*(BDD_PRESTA_ESTIME3[[TJM]:[TJM]]))+SUMPRODUCT(('Suivi Matériels 2022'!$A$3:$A$54=$A19)*('Suivi Matériels 2022'!U$3:U$54))</f>
        <v>0</v>
      </c>
      <c r="P19" s="85">
        <f>7963.2+20006</f>
        <v>27969.200000000001</v>
      </c>
      <c r="Q19" s="89"/>
      <c r="R19" s="88" cm="1">
        <f t="array" ref="R19">SUMPRODUCT((BDD_PRESTA_ESTIME3[[N° Projet]:[N° Projet]]=$A19)*(BDD_PRESTA_ESTIME3[Juin])*(BDD_PRESTA_ESTIME3[[TJM]:[TJM]]))+SUMPRODUCT(('Suivi Matériels 2022'!$A$3:$A$54=$A19)*('Suivi Matériels 2022'!V$3:V$54))</f>
        <v>0</v>
      </c>
      <c r="S19" s="85">
        <f>7963.2+20006</f>
        <v>27969.200000000001</v>
      </c>
      <c r="T19" s="89"/>
      <c r="U19" s="88" cm="1">
        <f t="array" ref="U19">SUMPRODUCT((BDD_PRESTA_ESTIME3[[N° Projet]:[N° Projet]]=$A19)*(BDD_PRESTA_ESTIME3[Juillet])*(BDD_PRESTA_ESTIME3[[TJM]:[TJM]]))+SUMPRODUCT(('Suivi Matériels 2022'!$A$3:$A$54=$A19)*('Suivi Matériels 2022'!W$3:W$54))</f>
        <v>0</v>
      </c>
      <c r="V19" s="85">
        <f>7963.2+20006</f>
        <v>27969.200000000001</v>
      </c>
      <c r="W19" s="89"/>
      <c r="X19" s="88" cm="1">
        <f t="array" ref="X19">SUMPRODUCT((BDD_PRESTA_ESTIME3[[N° Projet]:[N° Projet]]=$A19)*(BDD_PRESTA_ESTIME3[Août])*(BDD_PRESTA_ESTIME3[[TJM]:[TJM]]))+SUMPRODUCT(('Suivi Matériels 2022'!$A$3:$A$54=$A19)*('Suivi Matériels 2022'!X$3:X$54))</f>
        <v>0</v>
      </c>
      <c r="Y19" s="85">
        <f>7963.2+20006</f>
        <v>27969.200000000001</v>
      </c>
      <c r="Z19" s="89"/>
      <c r="AA19" s="88" cm="1">
        <f t="array" ref="AA19">SUMPRODUCT((BDD_PRESTA_ESTIME3[[N° Projet]:[N° Projet]]=$A19)*(BDD_PRESTA_ESTIME3[Septembre])*(BDD_PRESTA_ESTIME3[[TJM]:[TJM]]))+SUMPRODUCT(('Suivi Matériels 2022'!$A$3:$A$54=$A19)*('Suivi Matériels 2022'!Y$3:Y$54))</f>
        <v>0</v>
      </c>
      <c r="AB19" s="85">
        <f>7963.2+20006</f>
        <v>27969.200000000001</v>
      </c>
      <c r="AC19" s="89" cm="1">
        <f t="array" ref="AC19">SUMPRODUCT((BDD_PRESTA_ESTIME3[[N° Projet]:[N° Projet]]=$A19)*(BDD_PRESTA_ESTIME3[Octobre])*(BDD_PRESTA_ESTIME3[[TJM]:[TJM]]))+SUMPRODUCT(('Suivi Matériels 2022'!$A$3:$A$54=$A19)*('Suivi Matériels 2022'!Z$3:Z$54))</f>
        <v>0</v>
      </c>
      <c r="AD19" s="106"/>
      <c r="AE19" s="111">
        <f t="shared" si="1"/>
        <v>0</v>
      </c>
      <c r="AF19" s="112">
        <f>F4-AE19</f>
        <v>196486.33799999999</v>
      </c>
      <c r="AG19" s="135">
        <f t="shared" si="0"/>
        <v>251722.80000000005</v>
      </c>
      <c r="AH19" s="136">
        <f>F4-AG19</f>
        <v>-55236.462000000058</v>
      </c>
    </row>
    <row r="20" spans="1:34" ht="15" x14ac:dyDescent="0.25">
      <c r="A20" s="139" t="s">
        <v>10</v>
      </c>
      <c r="B20"/>
      <c r="C20" s="88" cm="1">
        <f t="array" ref="C20">SUMPRODUCT((BDD_PRESTA_ESTIME3[[N° Projet]:[N° Projet]]=$A20)*(BDD_PRESTA_ESTIME3[estimé Janvier])*(BDD_PRESTA_ESTIME3[[TJM]:[TJM]]))+SUMPRODUCT(('Suivi Matériels 2022'!$A$3:$A$54=$A20)*('Suivi Matériels 2022'!Q$3:Q$54))</f>
        <v>0</v>
      </c>
      <c r="D20" s="85">
        <f>12370+17967</f>
        <v>30337</v>
      </c>
      <c r="E20" s="97">
        <f>G4-C20</f>
        <v>142045.4040000001</v>
      </c>
      <c r="F20" s="88" cm="1">
        <f t="array" ref="F20">SUMPRODUCT((BDD_PRESTA_ESTIME3[[N° Projet]:[N° Projet]]=$A20)*(BDD_PRESTA_ESTIME3[estimée Février])*(BDD_PRESTA_ESTIME3[[TJM]:[TJM]]))+SUMPRODUCT(('Suivi Matériels 2022'!$A$3:$A$54=$A20)*('Suivi Matériels 2022'!R$3:R$54))</f>
        <v>0</v>
      </c>
      <c r="G20" s="85">
        <f>12370+17967</f>
        <v>30337</v>
      </c>
      <c r="H20" s="89"/>
      <c r="I20" s="88" cm="1">
        <f t="array" ref="I20">SUMPRODUCT((BDD_PRESTA_ESTIME3[[N° Projet]:[N° Projet]]=$A20)*(BDD_PRESTA_ESTIME3[Mars])*(BDD_PRESTA_ESTIME3[[TJM]:[TJM]]))+SUMPRODUCT(('Suivi Matériels 2022'!$A$3:$A$54=$A20)*('Suivi Matériels 2022'!S$3:S$54))</f>
        <v>0</v>
      </c>
      <c r="J20" s="85">
        <f>12370+17967</f>
        <v>30337</v>
      </c>
      <c r="K20" s="89"/>
      <c r="L20" s="88" cm="1">
        <f t="array" ref="L20">SUMPRODUCT((BDD_PRESTA_ESTIME3[[N° Projet]:[N° Projet]]=$A20)*(BDD_PRESTA_ESTIME3[Avril])*(BDD_PRESTA_ESTIME3[[TJM]:[TJM]]))+SUMPRODUCT(('Suivi Matériels 2022'!$A$3:$A$54=$A20)*('Suivi Matériels 2022'!T$3:T$54))</f>
        <v>0</v>
      </c>
      <c r="M20" s="85">
        <f>12370+17967</f>
        <v>30337</v>
      </c>
      <c r="N20" s="89"/>
      <c r="O20" s="88" cm="1">
        <f t="array" ref="O20">SUMPRODUCT((BDD_PRESTA_ESTIME3[[N° Projet]:[N° Projet]]=$A20)*(BDD_PRESTA_ESTIME3[Mai])*(BDD_PRESTA_ESTIME3[[TJM]:[TJM]]))+SUMPRODUCT(('Suivi Matériels 2022'!$A$3:$A$54=$A20)*('Suivi Matériels 2022'!U$3:U$54))</f>
        <v>0</v>
      </c>
      <c r="P20" s="85">
        <f>12370+17967</f>
        <v>30337</v>
      </c>
      <c r="Q20" s="89"/>
      <c r="R20" s="88" cm="1">
        <f t="array" ref="R20">SUMPRODUCT((BDD_PRESTA_ESTIME3[[N° Projet]:[N° Projet]]=$A20)*(BDD_PRESTA_ESTIME3[Juin])*(BDD_PRESTA_ESTIME3[[TJM]:[TJM]]))+SUMPRODUCT(('Suivi Matériels 2022'!$A$3:$A$54=$A20)*('Suivi Matériels 2022'!V$3:V$54))</f>
        <v>0</v>
      </c>
      <c r="S20" s="85">
        <f>12370+17967</f>
        <v>30337</v>
      </c>
      <c r="T20" s="89"/>
      <c r="U20" s="88" cm="1">
        <f t="array" ref="U20">SUMPRODUCT((BDD_PRESTA_ESTIME3[[N° Projet]:[N° Projet]]=$A20)*(BDD_PRESTA_ESTIME3[Juillet])*(BDD_PRESTA_ESTIME3[[TJM]:[TJM]]))+SUMPRODUCT(('Suivi Matériels 2022'!$A$3:$A$54=$A20)*('Suivi Matériels 2022'!W$3:W$54))</f>
        <v>0</v>
      </c>
      <c r="V20" s="85">
        <f>12370+17967</f>
        <v>30337</v>
      </c>
      <c r="W20" s="89"/>
      <c r="X20" s="88" cm="1">
        <f t="array" ref="X20">SUMPRODUCT((BDD_PRESTA_ESTIME3[[N° Projet]:[N° Projet]]=$A20)*(BDD_PRESTA_ESTIME3[Août])*(BDD_PRESTA_ESTIME3[[TJM]:[TJM]]))+SUMPRODUCT(('Suivi Matériels 2022'!$A$3:$A$54=$A20)*('Suivi Matériels 2022'!X$3:X$54))</f>
        <v>0</v>
      </c>
      <c r="Y20" s="85">
        <f>12370+17967</f>
        <v>30337</v>
      </c>
      <c r="Z20" s="89"/>
      <c r="AA20" s="88" cm="1">
        <f t="array" ref="AA20">SUMPRODUCT((BDD_PRESTA_ESTIME3[[N° Projet]:[N° Projet]]=$A20)*(BDD_PRESTA_ESTIME3[Septembre])*(BDD_PRESTA_ESTIME3[[TJM]:[TJM]]))+SUMPRODUCT(('Suivi Matériels 2022'!$A$3:$A$54=$A20)*('Suivi Matériels 2022'!Y$3:Y$54))</f>
        <v>0</v>
      </c>
      <c r="AB20" s="85">
        <f>12370+17967</f>
        <v>30337</v>
      </c>
      <c r="AC20" s="89" cm="1">
        <f t="array" ref="AC20">SUMPRODUCT((BDD_PRESTA_ESTIME3[[N° Projet]:[N° Projet]]=$A20)*(BDD_PRESTA_ESTIME3[Octobre])*(BDD_PRESTA_ESTIME3[[TJM]:[TJM]]))+SUMPRODUCT(('Suivi Matériels 2022'!$A$3:$A$54=$A20)*('Suivi Matériels 2022'!Z$3:Z$54))</f>
        <v>0</v>
      </c>
      <c r="AD20" s="107"/>
      <c r="AE20" s="111">
        <f t="shared" si="1"/>
        <v>0</v>
      </c>
      <c r="AF20" s="112">
        <f>G4-AE20</f>
        <v>142045.4040000001</v>
      </c>
      <c r="AG20" s="135">
        <f t="shared" si="0"/>
        <v>273033</v>
      </c>
      <c r="AH20" s="136">
        <f>G4-AG20</f>
        <v>-130987.5959999999</v>
      </c>
    </row>
    <row r="21" spans="1:34" ht="15" x14ac:dyDescent="0.25">
      <c r="A21" s="139" t="s">
        <v>12</v>
      </c>
      <c r="B21"/>
      <c r="C21" s="88" cm="1">
        <f t="array" ref="C21">SUMPRODUCT((BDD_PRESTA_ESTIME3[[N° Projet]:[N° Projet]]=$A21)*(BDD_PRESTA_ESTIME3[estimé Janvier])*(BDD_PRESTA_ESTIME3[[TJM]:[TJM]]))+SUMPRODUCT(('Suivi Matériels 2022'!$A$3:$A$54=$A21)*('Suivi Matériels 2022'!Q$3:Q$54))</f>
        <v>0</v>
      </c>
      <c r="D21" s="85">
        <v>62300</v>
      </c>
      <c r="E21" s="97">
        <f>H4-C21</f>
        <v>689900</v>
      </c>
      <c r="F21" s="88" cm="1">
        <f t="array" ref="F21">SUMPRODUCT((BDD_PRESTA_ESTIME3[[N° Projet]:[N° Projet]]=$A21)*(BDD_PRESTA_ESTIME3[estimée Février])*(BDD_PRESTA_ESTIME3[[TJM]:[TJM]]))+SUMPRODUCT(('Suivi Matériels 2022'!$A$3:$A$54=$A21)*('Suivi Matériels 2022'!R$3:R$54))</f>
        <v>0</v>
      </c>
      <c r="G21" s="85">
        <v>62300</v>
      </c>
      <c r="H21" s="89"/>
      <c r="I21" s="88" cm="1">
        <f t="array" ref="I21">SUMPRODUCT((BDD_PRESTA_ESTIME3[[N° Projet]:[N° Projet]]=$A21)*(BDD_PRESTA_ESTIME3[Mars])*(BDD_PRESTA_ESTIME3[[TJM]:[TJM]]))+SUMPRODUCT(('Suivi Matériels 2022'!$A$3:$A$54=$A21)*('Suivi Matériels 2022'!S$3:S$54))</f>
        <v>0</v>
      </c>
      <c r="J21" s="85">
        <v>62300</v>
      </c>
      <c r="K21" s="89"/>
      <c r="L21" s="88" cm="1">
        <f t="array" ref="L21">SUMPRODUCT((BDD_PRESTA_ESTIME3[[N° Projet]:[N° Projet]]=$A21)*(BDD_PRESTA_ESTIME3[Avril])*(BDD_PRESTA_ESTIME3[[TJM]:[TJM]]))+SUMPRODUCT(('Suivi Matériels 2022'!$A$3:$A$54=$A21)*('Suivi Matériels 2022'!T$3:T$54))</f>
        <v>0</v>
      </c>
      <c r="M21" s="85">
        <v>62300</v>
      </c>
      <c r="N21" s="89"/>
      <c r="O21" s="88" cm="1">
        <f t="array" ref="O21">SUMPRODUCT((BDD_PRESTA_ESTIME3[[N° Projet]:[N° Projet]]=$A21)*(BDD_PRESTA_ESTIME3[Mai])*(BDD_PRESTA_ESTIME3[[TJM]:[TJM]]))+SUMPRODUCT(('Suivi Matériels 2022'!$A$3:$A$54=$A21)*('Suivi Matériels 2022'!U$3:U$54))</f>
        <v>0</v>
      </c>
      <c r="P21" s="85">
        <v>62300</v>
      </c>
      <c r="Q21" s="89"/>
      <c r="R21" s="88" cm="1">
        <f t="array" ref="R21">SUMPRODUCT((BDD_PRESTA_ESTIME3[[N° Projet]:[N° Projet]]=$A21)*(BDD_PRESTA_ESTIME3[Juin])*(BDD_PRESTA_ESTIME3[[TJM]:[TJM]]))+SUMPRODUCT(('Suivi Matériels 2022'!$A$3:$A$54=$A21)*('Suivi Matériels 2022'!V$3:V$54))</f>
        <v>0</v>
      </c>
      <c r="S21" s="85">
        <v>62300</v>
      </c>
      <c r="T21" s="89"/>
      <c r="U21" s="88" cm="1">
        <f t="array" ref="U21">SUMPRODUCT((BDD_PRESTA_ESTIME3[[N° Projet]:[N° Projet]]=$A21)*(BDD_PRESTA_ESTIME3[Juillet])*(BDD_PRESTA_ESTIME3[[TJM]:[TJM]]))+SUMPRODUCT(('Suivi Matériels 2022'!$A$3:$A$54=$A21)*('Suivi Matériels 2022'!W$3:W$54))</f>
        <v>0</v>
      </c>
      <c r="V21" s="85">
        <v>62300</v>
      </c>
      <c r="W21" s="89"/>
      <c r="X21" s="88" cm="1">
        <f t="array" ref="X21">SUMPRODUCT((BDD_PRESTA_ESTIME3[[N° Projet]:[N° Projet]]=$A21)*(BDD_PRESTA_ESTIME3[Août])*(BDD_PRESTA_ESTIME3[[TJM]:[TJM]]))+SUMPRODUCT(('Suivi Matériels 2022'!$A$3:$A$54=$A21)*('Suivi Matériels 2022'!X$3:X$54))</f>
        <v>0</v>
      </c>
      <c r="Y21" s="85">
        <v>62300</v>
      </c>
      <c r="Z21" s="89"/>
      <c r="AA21" s="88" cm="1">
        <f t="array" ref="AA21">SUMPRODUCT((BDD_PRESTA_ESTIME3[[N° Projet]:[N° Projet]]=$A21)*(BDD_PRESTA_ESTIME3[Septembre])*(BDD_PRESTA_ESTIME3[[TJM]:[TJM]]))+SUMPRODUCT(('Suivi Matériels 2022'!$A$3:$A$54=$A21)*('Suivi Matériels 2022'!Y$3:Y$54))</f>
        <v>0</v>
      </c>
      <c r="AB21" s="85">
        <v>62300</v>
      </c>
      <c r="AC21" s="89" cm="1">
        <f t="array" ref="AC21">SUMPRODUCT((BDD_PRESTA_ESTIME3[[N° Projet]:[N° Projet]]=$A21)*(BDD_PRESTA_ESTIME3[Octobre])*(BDD_PRESTA_ESTIME3[[TJM]:[TJM]]))+SUMPRODUCT(('Suivi Matériels 2022'!$A$3:$A$54=$A21)*('Suivi Matériels 2022'!Z$3:Z$54))</f>
        <v>0</v>
      </c>
      <c r="AD21" s="106"/>
      <c r="AE21" s="111">
        <f t="shared" si="1"/>
        <v>0</v>
      </c>
      <c r="AF21" s="112">
        <f>H4-AE21</f>
        <v>689900</v>
      </c>
      <c r="AG21" s="135">
        <f t="shared" si="0"/>
        <v>560700</v>
      </c>
      <c r="AH21" s="138">
        <f>H4-AG21</f>
        <v>129200</v>
      </c>
    </row>
    <row r="22" spans="1:34" ht="15" x14ac:dyDescent="0.25">
      <c r="A22" s="96" t="s">
        <v>13</v>
      </c>
      <c r="B22"/>
      <c r="C22" s="88" cm="1">
        <f t="array" ref="C22">SUMPRODUCT((BDD_PRESTA_ESTIME3[[N° Projet]:[N° Projet]]=$A22)*(BDD_PRESTA_ESTIME3[estimé Janvier])*(BDD_PRESTA_ESTIME3[[TJM]:[TJM]]))+SUMPRODUCT(('Suivi Matériels 2022'!$A$3:$A$54=$A22)*('Suivi Matériels 2022'!Q$3:Q$54))</f>
        <v>5111</v>
      </c>
      <c r="D22" s="85">
        <v>42685</v>
      </c>
      <c r="E22" s="98">
        <f>I4-C22</f>
        <v>-44804.900000000023</v>
      </c>
      <c r="F22" s="88" cm="1">
        <f t="array" ref="F22">SUMPRODUCT((BDD_PRESTA_ESTIME3[[N° Projet]:[N° Projet]]=$A22)*(BDD_PRESTA_ESTIME3[estimée Février])*(BDD_PRESTA_ESTIME3[[TJM]:[TJM]]))+SUMPRODUCT(('Suivi Matériels 2022'!$A$3:$A$54=$A22)*('Suivi Matériels 2022'!R$3:R$54))</f>
        <v>0</v>
      </c>
      <c r="G22" s="85">
        <f>42685+8675</f>
        <v>51360</v>
      </c>
      <c r="H22" s="89"/>
      <c r="I22" s="88" cm="1">
        <f t="array" ref="I22">SUMPRODUCT((BDD_PRESTA_ESTIME3[[N° Projet]:[N° Projet]]=$A22)*(BDD_PRESTA_ESTIME3[Mars])*(BDD_PRESTA_ESTIME3[[TJM]:[TJM]]))+SUMPRODUCT(('Suivi Matériels 2022'!$A$3:$A$54=$A22)*('Suivi Matériels 2022'!S$3:S$54))</f>
        <v>0</v>
      </c>
      <c r="J22" s="85">
        <f>42685+8675</f>
        <v>51360</v>
      </c>
      <c r="K22" s="89"/>
      <c r="L22" s="88" cm="1">
        <f t="array" ref="L22">SUMPRODUCT((BDD_PRESTA_ESTIME3[[N° Projet]:[N° Projet]]=$A22)*(BDD_PRESTA_ESTIME3[Avril])*(BDD_PRESTA_ESTIME3[[TJM]:[TJM]]))+SUMPRODUCT(('Suivi Matériels 2022'!$A$3:$A$54=$A22)*('Suivi Matériels 2022'!T$3:T$54))</f>
        <v>0</v>
      </c>
      <c r="M22" s="85">
        <f>42685+8675</f>
        <v>51360</v>
      </c>
      <c r="N22" s="89"/>
      <c r="O22" s="88" cm="1">
        <f t="array" ref="O22">SUMPRODUCT((BDD_PRESTA_ESTIME3[[N° Projet]:[N° Projet]]=$A22)*(BDD_PRESTA_ESTIME3[Mai])*(BDD_PRESTA_ESTIME3[[TJM]:[TJM]]))+SUMPRODUCT(('Suivi Matériels 2022'!$A$3:$A$54=$A22)*('Suivi Matériels 2022'!U$3:U$54))</f>
        <v>0</v>
      </c>
      <c r="P22" s="85">
        <f>42685+8675</f>
        <v>51360</v>
      </c>
      <c r="Q22" s="89"/>
      <c r="R22" s="88" cm="1">
        <f t="array" ref="R22">SUMPRODUCT((BDD_PRESTA_ESTIME3[[N° Projet]:[N° Projet]]=$A22)*(BDD_PRESTA_ESTIME3[Juin])*(BDD_PRESTA_ESTIME3[[TJM]:[TJM]]))+SUMPRODUCT(('Suivi Matériels 2022'!$A$3:$A$54=$A22)*('Suivi Matériels 2022'!V$3:V$54))</f>
        <v>0</v>
      </c>
      <c r="S22" s="85">
        <f>42685+8675</f>
        <v>51360</v>
      </c>
      <c r="T22" s="89"/>
      <c r="U22" s="88" cm="1">
        <f t="array" ref="U22">SUMPRODUCT((BDD_PRESTA_ESTIME3[[N° Projet]:[N° Projet]]=$A22)*(BDD_PRESTA_ESTIME3[Juillet])*(BDD_PRESTA_ESTIME3[[TJM]:[TJM]]))+SUMPRODUCT(('Suivi Matériels 2022'!$A$3:$A$54=$A22)*('Suivi Matériels 2022'!W$3:W$54))</f>
        <v>0</v>
      </c>
      <c r="V22" s="85">
        <f>42685+8675</f>
        <v>51360</v>
      </c>
      <c r="W22" s="89"/>
      <c r="X22" s="88" cm="1">
        <f t="array" ref="X22">SUMPRODUCT((BDD_PRESTA_ESTIME3[[N° Projet]:[N° Projet]]=$A22)*(BDD_PRESTA_ESTIME3[Août])*(BDD_PRESTA_ESTIME3[[TJM]:[TJM]]))+SUMPRODUCT(('Suivi Matériels 2022'!$A$3:$A$54=$A22)*('Suivi Matériels 2022'!X$3:X$54))</f>
        <v>0</v>
      </c>
      <c r="Y22" s="85">
        <f>42685+8675</f>
        <v>51360</v>
      </c>
      <c r="Z22" s="89"/>
      <c r="AA22" s="88" cm="1">
        <f t="array" ref="AA22">SUMPRODUCT((BDD_PRESTA_ESTIME3[[N° Projet]:[N° Projet]]=$A22)*(BDD_PRESTA_ESTIME3[Septembre])*(BDD_PRESTA_ESTIME3[[TJM]:[TJM]]))+SUMPRODUCT(('Suivi Matériels 2022'!$A$3:$A$54=$A22)*('Suivi Matériels 2022'!Y$3:Y$54))</f>
        <v>0</v>
      </c>
      <c r="AB22" s="85">
        <f>42685+8675</f>
        <v>51360</v>
      </c>
      <c r="AC22" s="89" cm="1">
        <f t="array" ref="AC22">SUMPRODUCT((BDD_PRESTA_ESTIME3[[N° Projet]:[N° Projet]]=$A22)*(BDD_PRESTA_ESTIME3[Octobre])*(BDD_PRESTA_ESTIME3[[TJM]:[TJM]]))+SUMPRODUCT(('Suivi Matériels 2022'!$A$3:$A$54=$A22)*('Suivi Matériels 2022'!Z$3:Z$54))</f>
        <v>0</v>
      </c>
      <c r="AD22" s="106"/>
      <c r="AE22" s="111">
        <f t="shared" si="1"/>
        <v>5111</v>
      </c>
      <c r="AF22" s="113">
        <f>I4-AE22</f>
        <v>-44804.900000000023</v>
      </c>
      <c r="AG22" s="135">
        <f t="shared" si="0"/>
        <v>453565</v>
      </c>
      <c r="AH22" s="136">
        <f>I4-AG22</f>
        <v>-493258.9</v>
      </c>
    </row>
    <row r="23" spans="1:34" x14ac:dyDescent="0.2">
      <c r="A23" s="140" t="s">
        <v>14</v>
      </c>
      <c r="C23" s="88" cm="1">
        <f t="array" ref="C23">SUMPRODUCT((BDD_PRESTA_ESTIME3[[N° Projet]:[N° Projet]]=$A23)*(BDD_PRESTA_ESTIME3[estimé Janvier])*(BDD_PRESTA_ESTIME3[[TJM]:[TJM]]))+SUMPRODUCT(('Suivi Matériels 2022'!$A$3:$A$54=$A23)*('Suivi Matériels 2022'!Q$3:Q$54))</f>
        <v>0</v>
      </c>
      <c r="D23" s="85">
        <f>18550</f>
        <v>18550</v>
      </c>
      <c r="E23" s="97">
        <f>J4-C23</f>
        <v>72300</v>
      </c>
      <c r="F23" s="88" cm="1">
        <f t="array" ref="F23">SUMPRODUCT((BDD_PRESTA_ESTIME3[[N° Projet]:[N° Projet]]=$A23)*(BDD_PRESTA_ESTIME3[estimée Février])*(BDD_PRESTA_ESTIME3[[TJM]:[TJM]]))+SUMPRODUCT(('Suivi Matériels 2022'!$A$3:$A$54=$A23)*('Suivi Matériels 2022'!R$3:R$54))</f>
        <v>0</v>
      </c>
      <c r="G23" s="85">
        <f>18550+2650</f>
        <v>21200</v>
      </c>
      <c r="H23" s="89"/>
      <c r="I23" s="88" cm="1">
        <f t="array" ref="I23">SUMPRODUCT((BDD_PRESTA_ESTIME3[[N° Projet]:[N° Projet]]=$A23)*(BDD_PRESTA_ESTIME3[Mars])*(BDD_PRESTA_ESTIME3[[TJM]:[TJM]]))+SUMPRODUCT(('Suivi Matériels 2022'!$A$3:$A$54=$A23)*('Suivi Matériels 2022'!S$3:S$54))</f>
        <v>0</v>
      </c>
      <c r="J23" s="85">
        <f>18550+2650</f>
        <v>21200</v>
      </c>
      <c r="K23" s="89"/>
      <c r="L23" s="88" cm="1">
        <f t="array" ref="L23">SUMPRODUCT((BDD_PRESTA_ESTIME3[[N° Projet]:[N° Projet]]=$A23)*(BDD_PRESTA_ESTIME3[Avril])*(BDD_PRESTA_ESTIME3[[TJM]:[TJM]]))+SUMPRODUCT(('Suivi Matériels 2022'!$A$3:$A$54=$A23)*('Suivi Matériels 2022'!T$3:T$54))</f>
        <v>0</v>
      </c>
      <c r="M23" s="85">
        <f>18550+2650</f>
        <v>21200</v>
      </c>
      <c r="N23" s="89"/>
      <c r="O23" s="88" cm="1">
        <f t="array" ref="O23">SUMPRODUCT((BDD_PRESTA_ESTIME3[[N° Projet]:[N° Projet]]=$A23)*(BDD_PRESTA_ESTIME3[Mai])*(BDD_PRESTA_ESTIME3[[TJM]:[TJM]]))+SUMPRODUCT(('Suivi Matériels 2022'!$A$3:$A$54=$A23)*('Suivi Matériels 2022'!U$3:U$54))</f>
        <v>0</v>
      </c>
      <c r="P23" s="85">
        <f>18550+2650</f>
        <v>21200</v>
      </c>
      <c r="Q23" s="89"/>
      <c r="R23" s="88" cm="1">
        <f t="array" ref="R23">SUMPRODUCT((BDD_PRESTA_ESTIME3[[N° Projet]:[N° Projet]]=$A23)*(BDD_PRESTA_ESTIME3[Juin])*(BDD_PRESTA_ESTIME3[[TJM]:[TJM]]))+SUMPRODUCT(('Suivi Matériels 2022'!$A$3:$A$54=$A23)*('Suivi Matériels 2022'!V$3:V$54))</f>
        <v>0</v>
      </c>
      <c r="S23" s="85">
        <f>18550+2650</f>
        <v>21200</v>
      </c>
      <c r="T23" s="89"/>
      <c r="U23" s="88" cm="1">
        <f t="array" ref="U23">SUMPRODUCT((BDD_PRESTA_ESTIME3[[N° Projet]:[N° Projet]]=$A23)*(BDD_PRESTA_ESTIME3[Juillet])*(BDD_PRESTA_ESTIME3[[TJM]:[TJM]]))+SUMPRODUCT(('Suivi Matériels 2022'!$A$3:$A$54=$A23)*('Suivi Matériels 2022'!W$3:W$54))</f>
        <v>0</v>
      </c>
      <c r="V23" s="85">
        <f>18550+2650</f>
        <v>21200</v>
      </c>
      <c r="W23" s="89"/>
      <c r="X23" s="88" cm="1">
        <f t="array" ref="X23">SUMPRODUCT((BDD_PRESTA_ESTIME3[[N° Projet]:[N° Projet]]=$A23)*(BDD_PRESTA_ESTIME3[Août])*(BDD_PRESTA_ESTIME3[[TJM]:[TJM]]))+SUMPRODUCT(('Suivi Matériels 2022'!$A$3:$A$54=$A23)*('Suivi Matériels 2022'!X$3:X$54))</f>
        <v>0</v>
      </c>
      <c r="Y23" s="85">
        <f>18550+2650</f>
        <v>21200</v>
      </c>
      <c r="Z23" s="89"/>
      <c r="AA23" s="88" cm="1">
        <f t="array" ref="AA23">SUMPRODUCT((BDD_PRESTA_ESTIME3[[N° Projet]:[N° Projet]]=$A23)*(BDD_PRESTA_ESTIME3[Septembre])*(BDD_PRESTA_ESTIME3[[TJM]:[TJM]]))+SUMPRODUCT(('Suivi Matériels 2022'!$A$3:$A$54=$A23)*('Suivi Matériels 2022'!Y$3:Y$54))</f>
        <v>0</v>
      </c>
      <c r="AB23" s="85">
        <v>18550</v>
      </c>
      <c r="AC23" s="89" cm="1">
        <f t="array" ref="AC23">SUMPRODUCT((BDD_PRESTA_ESTIME3[[N° Projet]:[N° Projet]]=$A23)*(BDD_PRESTA_ESTIME3[Octobre])*(BDD_PRESTA_ESTIME3[[TJM]:[TJM]]))+SUMPRODUCT(('Suivi Matériels 2022'!$A$3:$A$54=$A23)*('Suivi Matériels 2022'!Z$3:Z$54))</f>
        <v>0</v>
      </c>
      <c r="AE23" s="111">
        <f t="shared" si="1"/>
        <v>0</v>
      </c>
      <c r="AF23" s="112">
        <f>J4-AE23</f>
        <v>72300</v>
      </c>
      <c r="AG23" s="135">
        <f t="shared" si="0"/>
        <v>185500</v>
      </c>
      <c r="AH23" s="136">
        <f>J4-AG23</f>
        <v>-113200</v>
      </c>
    </row>
    <row r="24" spans="1:34" x14ac:dyDescent="0.2">
      <c r="A24" s="100" t="s">
        <v>16</v>
      </c>
      <c r="C24" s="88" cm="1">
        <f t="array" ref="C24">SUMPRODUCT((BDD_PRESTA_ESTIME3[[N° Projet]:[N° Projet]]=$A24)*(BDD_PRESTA_ESTIME3[estimé Janvier])*(BDD_PRESTA_ESTIME3[[TJM]:[TJM]]))+SUMPRODUCT(('Suivi Matériels 2022'!$A$3:$A$54=$A24)*('Suivi Matériels 2022'!Q$3:Q$54))</f>
        <v>39308</v>
      </c>
      <c r="D24" s="85">
        <v>44808</v>
      </c>
      <c r="E24" s="97">
        <f>K4-C24</f>
        <v>113092</v>
      </c>
      <c r="F24" s="88" cm="1">
        <f t="array" ref="F24">SUMPRODUCT((BDD_PRESTA_ESTIME3[[N° Projet]:[N° Projet]]=$A24)*(BDD_PRESTA_ESTIME3[estimée Février])*(BDD_PRESTA_ESTIME3[[TJM]:[TJM]]))+SUMPRODUCT(('Suivi Matériels 2022'!$A$3:$A$54=$A24)*('Suivi Matériels 2022'!R$3:R$54))</f>
        <v>0</v>
      </c>
      <c r="G24" s="85">
        <f>5500+20000</f>
        <v>25500</v>
      </c>
      <c r="H24" s="89"/>
      <c r="I24" s="88" cm="1">
        <f t="array" ref="I24">SUMPRODUCT((BDD_PRESTA_ESTIME3[[N° Projet]:[N° Projet]]=$A24)*(BDD_PRESTA_ESTIME3[Mars])*(BDD_PRESTA_ESTIME3[[TJM]:[TJM]]))+SUMPRODUCT(('Suivi Matériels 2022'!$A$3:$A$54=$A24)*('Suivi Matériels 2022'!S$3:S$54))</f>
        <v>0</v>
      </c>
      <c r="J24" s="85">
        <v>5500</v>
      </c>
      <c r="K24" s="89"/>
      <c r="L24" s="88" cm="1">
        <f t="array" ref="L24">SUMPRODUCT((BDD_PRESTA_ESTIME3[[N° Projet]:[N° Projet]]=$A24)*(BDD_PRESTA_ESTIME3[Avril])*(BDD_PRESTA_ESTIME3[[TJM]:[TJM]]))+SUMPRODUCT(('Suivi Matériels 2022'!$A$3:$A$54=$A24)*('Suivi Matériels 2022'!T$3:T$54))</f>
        <v>0</v>
      </c>
      <c r="M24" s="85">
        <v>5500</v>
      </c>
      <c r="N24" s="89"/>
      <c r="O24" s="88" cm="1">
        <f t="array" ref="O24">SUMPRODUCT((BDD_PRESTA_ESTIME3[[N° Projet]:[N° Projet]]=$A24)*(BDD_PRESTA_ESTIME3[Mai])*(BDD_PRESTA_ESTIME3[[TJM]:[TJM]]))+SUMPRODUCT(('Suivi Matériels 2022'!$A$3:$A$54=$A24)*('Suivi Matériels 2022'!U$3:U$54))</f>
        <v>0</v>
      </c>
      <c r="P24" s="85">
        <v>5500</v>
      </c>
      <c r="Q24" s="89"/>
      <c r="R24" s="88" cm="1">
        <f t="array" ref="R24">SUMPRODUCT((BDD_PRESTA_ESTIME3[[N° Projet]:[N° Projet]]=$A24)*(BDD_PRESTA_ESTIME3[Juin])*(BDD_PRESTA_ESTIME3[[TJM]:[TJM]]))+SUMPRODUCT(('Suivi Matériels 2022'!$A$3:$A$54=$A24)*('Suivi Matériels 2022'!V$3:V$54))</f>
        <v>0</v>
      </c>
      <c r="S24" s="85">
        <v>5500</v>
      </c>
      <c r="T24" s="89"/>
      <c r="U24" s="88" cm="1">
        <f t="array" ref="U24">SUMPRODUCT((BDD_PRESTA_ESTIME3[[N° Projet]:[N° Projet]]=$A24)*(BDD_PRESTA_ESTIME3[Juillet])*(BDD_PRESTA_ESTIME3[[TJM]:[TJM]]))+SUMPRODUCT(('Suivi Matériels 2022'!$A$3:$A$54=$A24)*('Suivi Matériels 2022'!W$3:W$54))</f>
        <v>0</v>
      </c>
      <c r="V24" s="85">
        <v>5500</v>
      </c>
      <c r="W24" s="89"/>
      <c r="X24" s="88" cm="1">
        <f t="array" ref="X24">SUMPRODUCT((BDD_PRESTA_ESTIME3[[N° Projet]:[N° Projet]]=$A24)*(BDD_PRESTA_ESTIME3[Août])*(BDD_PRESTA_ESTIME3[[TJM]:[TJM]]))+SUMPRODUCT(('Suivi Matériels 2022'!$A$3:$A$54=$A24)*('Suivi Matériels 2022'!X$3:X$54))</f>
        <v>0</v>
      </c>
      <c r="Y24" s="85">
        <v>5500</v>
      </c>
      <c r="Z24" s="89"/>
      <c r="AA24" s="88" cm="1">
        <f t="array" ref="AA24">SUMPRODUCT((BDD_PRESTA_ESTIME3[[N° Projet]:[N° Projet]]=$A24)*(BDD_PRESTA_ESTIME3[Septembre])*(BDD_PRESTA_ESTIME3[[TJM]:[TJM]]))+SUMPRODUCT(('Suivi Matériels 2022'!$A$3:$A$54=$A24)*('Suivi Matériels 2022'!Y$3:Y$54))</f>
        <v>0</v>
      </c>
      <c r="AB24" s="85">
        <v>5500</v>
      </c>
      <c r="AC24" s="89" cm="1">
        <f t="array" ref="AC24">SUMPRODUCT((BDD_PRESTA_ESTIME3[[N° Projet]:[N° Projet]]=$A24)*(BDD_PRESTA_ESTIME3[Octobre])*(BDD_PRESTA_ESTIME3[[TJM]:[TJM]]))+SUMPRODUCT(('Suivi Matériels 2022'!$A$3:$A$54=$A24)*('Suivi Matériels 2022'!Z$3:Z$54))</f>
        <v>0</v>
      </c>
      <c r="AE24" s="111">
        <f t="shared" si="1"/>
        <v>39308</v>
      </c>
      <c r="AF24" s="112">
        <f>K4-AE24</f>
        <v>113092</v>
      </c>
      <c r="AG24" s="135">
        <f t="shared" si="0"/>
        <v>108808</v>
      </c>
      <c r="AH24" s="138">
        <f>K4-AG24</f>
        <v>43592</v>
      </c>
    </row>
    <row r="25" spans="1:34" x14ac:dyDescent="0.2">
      <c r="A25" s="140" t="s">
        <v>80</v>
      </c>
      <c r="C25" s="88" cm="1">
        <f t="array" ref="C25">SUMPRODUCT((BDD_PRESTA_ESTIME3[[N° Projet]:[N° Projet]]=$A25)*(BDD_PRESTA_ESTIME3[estimé Janvier])*(BDD_PRESTA_ESTIME3[[TJM]:[TJM]]))+SUMPRODUCT(('Suivi Matériels 2022'!$A$3:$A$54=$A25)*('Suivi Matériels 2022'!Q$3:Q$54))</f>
        <v>0</v>
      </c>
      <c r="D25" s="85"/>
      <c r="E25" s="97">
        <f>L4-C25</f>
        <v>41600</v>
      </c>
      <c r="F25" s="88" cm="1">
        <f t="array" ref="F25">SUMPRODUCT((BDD_PRESTA_ESTIME3[[N° Projet]:[N° Projet]]=$A25)*(BDD_PRESTA_ESTIME3[estimée Février])*(BDD_PRESTA_ESTIME3[[TJM]:[TJM]]))+SUMPRODUCT(('Suivi Matériels 2022'!$A$3:$A$54=$A25)*('Suivi Matériels 2022'!R$3:R$54))</f>
        <v>0</v>
      </c>
      <c r="G25" s="85"/>
      <c r="H25" s="89"/>
      <c r="I25" s="88" cm="1">
        <f t="array" ref="I25">SUMPRODUCT((BDD_PRESTA_ESTIME3[[N° Projet]:[N° Projet]]=$A25)*(BDD_PRESTA_ESTIME3[Mars])*(BDD_PRESTA_ESTIME3[[TJM]:[TJM]]))+SUMPRODUCT(('Suivi Matériels 2022'!$A$3:$A$54=$A25)*('Suivi Matériels 2022'!S$3:S$54))</f>
        <v>0</v>
      </c>
      <c r="J25" s="85"/>
      <c r="K25" s="89"/>
      <c r="L25" s="88" cm="1">
        <f t="array" ref="L25">SUMPRODUCT((BDD_PRESTA_ESTIME3[[N° Projet]:[N° Projet]]=$A25)*(BDD_PRESTA_ESTIME3[Avril])*(BDD_PRESTA_ESTIME3[[TJM]:[TJM]]))+SUMPRODUCT(('Suivi Matériels 2022'!$A$3:$A$54=$A25)*('Suivi Matériels 2022'!T$3:T$54))</f>
        <v>0</v>
      </c>
      <c r="M25" s="85"/>
      <c r="N25" s="89"/>
      <c r="O25" s="88" cm="1">
        <f t="array" ref="O25">SUMPRODUCT((BDD_PRESTA_ESTIME3[[N° Projet]:[N° Projet]]=$A25)*(BDD_PRESTA_ESTIME3[Mai])*(BDD_PRESTA_ESTIME3[[TJM]:[TJM]]))+SUMPRODUCT(('Suivi Matériels 2022'!$A$3:$A$54=$A25)*('Suivi Matériels 2022'!U$3:U$54))</f>
        <v>0</v>
      </c>
      <c r="P25" s="85"/>
      <c r="Q25" s="89"/>
      <c r="R25" s="88" cm="1">
        <f t="array" ref="R25">SUMPRODUCT((BDD_PRESTA_ESTIME3[[N° Projet]:[N° Projet]]=$A25)*(BDD_PRESTA_ESTIME3[Juin])*(BDD_PRESTA_ESTIME3[[TJM]:[TJM]]))+SUMPRODUCT(('Suivi Matériels 2022'!$A$3:$A$54=$A25)*('Suivi Matériels 2022'!V$3:V$54))</f>
        <v>0</v>
      </c>
      <c r="S25" s="85"/>
      <c r="T25" s="89"/>
      <c r="U25" s="88" cm="1">
        <f t="array" ref="U25">SUMPRODUCT((BDD_PRESTA_ESTIME3[[N° Projet]:[N° Projet]]=$A25)*(BDD_PRESTA_ESTIME3[Juillet])*(BDD_PRESTA_ESTIME3[[TJM]:[TJM]]))+SUMPRODUCT(('Suivi Matériels 2022'!$A$3:$A$54=$A25)*('Suivi Matériels 2022'!W$3:W$54))</f>
        <v>0</v>
      </c>
      <c r="V25" s="85"/>
      <c r="W25" s="89"/>
      <c r="X25" s="88" cm="1">
        <f t="array" ref="X25">SUMPRODUCT((BDD_PRESTA_ESTIME3[[N° Projet]:[N° Projet]]=$A25)*(BDD_PRESTA_ESTIME3[Août])*(BDD_PRESTA_ESTIME3[[TJM]:[TJM]]))+SUMPRODUCT(('Suivi Matériels 2022'!$A$3:$A$54=$A25)*('Suivi Matériels 2022'!X$3:X$54))</f>
        <v>0</v>
      </c>
      <c r="Y25" s="85"/>
      <c r="Z25" s="89"/>
      <c r="AA25" s="88" cm="1">
        <f t="array" ref="AA25">SUMPRODUCT((BDD_PRESTA_ESTIME3[[N° Projet]:[N° Projet]]=$A25)*(BDD_PRESTA_ESTIME3[Septembre])*(BDD_PRESTA_ESTIME3[[TJM]:[TJM]]))+SUMPRODUCT(('Suivi Matériels 2022'!$A$3:$A$54=$A25)*('Suivi Matériels 2022'!Y$3:Y$54))</f>
        <v>0</v>
      </c>
      <c r="AB25" s="85"/>
      <c r="AC25" s="89" cm="1">
        <f t="array" ref="AC25">SUMPRODUCT((BDD_PRESTA_ESTIME3[[N° Projet]:[N° Projet]]=$A25)*(BDD_PRESTA_ESTIME3[Octobre])*(BDD_PRESTA_ESTIME3[[TJM]:[TJM]]))+SUMPRODUCT(('Suivi Matériels 2022'!$A$3:$A$54=$A25)*('Suivi Matériels 2022'!Z$3:Z$54))</f>
        <v>0</v>
      </c>
      <c r="AE25" s="111">
        <f t="shared" si="1"/>
        <v>0</v>
      </c>
      <c r="AF25" s="112">
        <f>L4-AE25</f>
        <v>41600</v>
      </c>
      <c r="AG25" s="135">
        <f t="shared" si="0"/>
        <v>0</v>
      </c>
      <c r="AH25" s="138">
        <f>L4-AG25</f>
        <v>41600</v>
      </c>
    </row>
    <row r="26" spans="1:34" ht="13.5" thickBot="1" x14ac:dyDescent="0.25">
      <c r="A26" s="140" t="s">
        <v>38</v>
      </c>
      <c r="C26" s="90" cm="1">
        <f t="array" ref="C26">SUMPRODUCT((BDD_PRESTA_ESTIME3[[N° Projet]:[N° Projet]]=$A26)*(BDD_PRESTA_ESTIME3[estimé Janvier])*(BDD_PRESTA_ESTIME3[[TJM]:[TJM]]))+SUMPRODUCT(('Suivi Matériels 2022'!$A$3:$A$54=$A26)*('Suivi Matériels 2022'!Q$3:Q$54))</f>
        <v>0</v>
      </c>
      <c r="D26" s="91"/>
      <c r="E26" s="98">
        <f>M4-C26</f>
        <v>-7460</v>
      </c>
      <c r="F26" s="90" cm="1">
        <f t="array" ref="F26">SUMPRODUCT((BDD_PRESTA_ESTIME3[[N° Projet]:[N° Projet]]=$A26)*(BDD_PRESTA_ESTIME3[estimée Février])*(BDD_PRESTA_ESTIME3[[TJM]:[TJM]]))+SUMPRODUCT(('Suivi Matériels 2022'!$A$3:$A$54=$A26)*('Suivi Matériels 2022'!R$3:R$54))</f>
        <v>0</v>
      </c>
      <c r="G26" s="91">
        <f>'Suivi Matériels 2022'!H4</f>
        <v>34700</v>
      </c>
      <c r="H26" s="92"/>
      <c r="I26" s="90" cm="1">
        <f t="array" ref="I26">SUMPRODUCT((BDD_PRESTA_ESTIME3[[N° Projet]:[N° Projet]]=$A26)*(BDD_PRESTA_ESTIME3[Mars])*(BDD_PRESTA_ESTIME3[[TJM]:[TJM]]))+SUMPRODUCT(('Suivi Matériels 2022'!$A$3:$A$54=$A26)*('Suivi Matériels 2022'!S$3:S$54))</f>
        <v>0</v>
      </c>
      <c r="J26" s="91">
        <v>32320</v>
      </c>
      <c r="K26" s="92"/>
      <c r="L26" s="90" cm="1">
        <f t="array" ref="L26">SUMPRODUCT((BDD_PRESTA_ESTIME3[[N° Projet]:[N° Projet]]=$A26)*(BDD_PRESTA_ESTIME3[Avril])*(BDD_PRESTA_ESTIME3[[TJM]:[TJM]]))+SUMPRODUCT(('Suivi Matériels 2022'!$A$3:$A$54=$A26)*('Suivi Matériels 2022'!T$3:T$54))</f>
        <v>0</v>
      </c>
      <c r="M26" s="91"/>
      <c r="N26" s="92"/>
      <c r="O26" s="90" cm="1">
        <f t="array" ref="O26">SUMPRODUCT((BDD_PRESTA_ESTIME3[[N° Projet]:[N° Projet]]=$A26)*(BDD_PRESTA_ESTIME3[Mai])*(BDD_PRESTA_ESTIME3[[TJM]:[TJM]]))+SUMPRODUCT(('Suivi Matériels 2022'!$A$3:$A$54=$A26)*('Suivi Matériels 2022'!U$3:U$54))</f>
        <v>0</v>
      </c>
      <c r="P26" s="91"/>
      <c r="Q26" s="92"/>
      <c r="R26" s="90" cm="1">
        <f t="array" ref="R26">SUMPRODUCT((BDD_PRESTA_ESTIME3[[N° Projet]:[N° Projet]]=$A26)*(BDD_PRESTA_ESTIME3[Juin])*(BDD_PRESTA_ESTIME3[[TJM]:[TJM]]))+SUMPRODUCT(('Suivi Matériels 2022'!$A$3:$A$54=$A26)*('Suivi Matériels 2022'!V$3:V$54))</f>
        <v>0</v>
      </c>
      <c r="S26" s="91">
        <v>32320</v>
      </c>
      <c r="T26" s="92"/>
      <c r="U26" s="90" cm="1">
        <f t="array" ref="U26">SUMPRODUCT((BDD_PRESTA_ESTIME3[[N° Projet]:[N° Projet]]=$A26)*(BDD_PRESTA_ESTIME3[Juillet])*(BDD_PRESTA_ESTIME3[[TJM]:[TJM]]))+SUMPRODUCT(('Suivi Matériels 2022'!$A$3:$A$54=$A26)*('Suivi Matériels 2022'!W$3:W$54))</f>
        <v>0</v>
      </c>
      <c r="V26" s="91"/>
      <c r="W26" s="92"/>
      <c r="X26" s="90" cm="1">
        <f t="array" ref="X26">SUMPRODUCT((BDD_PRESTA_ESTIME3[[N° Projet]:[N° Projet]]=$A26)*(BDD_PRESTA_ESTIME3[Août])*(BDD_PRESTA_ESTIME3[[TJM]:[TJM]]))+SUMPRODUCT(('Suivi Matériels 2022'!$A$3:$A$54=$A26)*('Suivi Matériels 2022'!X$3:X$54))</f>
        <v>0</v>
      </c>
      <c r="Y26" s="91">
        <v>24240</v>
      </c>
      <c r="Z26" s="92"/>
      <c r="AA26" s="90" cm="1">
        <f t="array" ref="AA26">SUMPRODUCT((BDD_PRESTA_ESTIME3[[N° Projet]:[N° Projet]]=$A26)*(BDD_PRESTA_ESTIME3[Septembre])*(BDD_PRESTA_ESTIME3[[TJM]:[TJM]]))+SUMPRODUCT(('Suivi Matériels 2022'!$A$3:$A$54=$A26)*('Suivi Matériels 2022'!Y$3:Y$54))</f>
        <v>0</v>
      </c>
      <c r="AB26" s="91">
        <v>8080</v>
      </c>
      <c r="AC26" s="92" cm="1">
        <f t="array" ref="AC26">SUMPRODUCT((BDD_PRESTA_ESTIME3[[N° Projet]:[N° Projet]]=$A26)*(BDD_PRESTA_ESTIME3[Octobre])*(BDD_PRESTA_ESTIME3[[TJM]:[TJM]]))+SUMPRODUCT(('Suivi Matériels 2022'!$A$3:$A$54=$A26)*('Suivi Matériels 2022'!Z$3:Z$54))</f>
        <v>0</v>
      </c>
      <c r="AE26" s="114">
        <f t="shared" si="1"/>
        <v>0</v>
      </c>
      <c r="AF26" s="115">
        <f>M4-AE26</f>
        <v>-7460</v>
      </c>
      <c r="AG26" s="137">
        <f t="shared" si="0"/>
        <v>131660</v>
      </c>
      <c r="AH26" s="136">
        <f>M4-AG26</f>
        <v>-139120</v>
      </c>
    </row>
    <row r="28" spans="1:34" x14ac:dyDescent="0.2">
      <c r="C28" s="82"/>
      <c r="D28" s="82"/>
      <c r="E28" s="83"/>
      <c r="F28" s="83"/>
      <c r="G28" s="83"/>
      <c r="H28" s="83"/>
      <c r="I28" s="83"/>
      <c r="J28" s="83"/>
      <c r="K28" s="83">
        <v>2021</v>
      </c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</row>
    <row r="29" spans="1:34" x14ac:dyDescent="0.2">
      <c r="C29" s="82" t="s">
        <v>126</v>
      </c>
      <c r="D29" s="82"/>
      <c r="E29" s="83" t="s">
        <v>126</v>
      </c>
      <c r="F29" s="83" t="s">
        <v>126</v>
      </c>
      <c r="G29" s="83"/>
      <c r="H29" s="83" t="s">
        <v>126</v>
      </c>
      <c r="I29" s="83" t="s">
        <v>126</v>
      </c>
      <c r="J29" s="83"/>
      <c r="K29" s="83" t="s">
        <v>126</v>
      </c>
      <c r="L29" s="83" t="s">
        <v>126</v>
      </c>
      <c r="M29" s="83"/>
      <c r="N29" s="83" t="s">
        <v>126</v>
      </c>
      <c r="O29" s="83" t="s">
        <v>126</v>
      </c>
      <c r="P29" s="83"/>
      <c r="Q29" s="83" t="s">
        <v>126</v>
      </c>
      <c r="R29" s="83" t="s">
        <v>126</v>
      </c>
      <c r="S29" s="83"/>
      <c r="T29" s="83"/>
      <c r="U29" s="83"/>
      <c r="V29" s="83"/>
      <c r="W29" s="83"/>
    </row>
    <row r="30" spans="1:34" x14ac:dyDescent="0.2">
      <c r="A30" s="101" t="s">
        <v>35</v>
      </c>
      <c r="C30" s="82" t="s">
        <v>22</v>
      </c>
      <c r="D30" s="82"/>
      <c r="E30" s="83" t="s">
        <v>23</v>
      </c>
      <c r="F30" s="83" t="s">
        <v>24</v>
      </c>
      <c r="G30" s="83"/>
      <c r="H30" s="83" t="s">
        <v>25</v>
      </c>
      <c r="I30" s="83" t="s">
        <v>26</v>
      </c>
      <c r="J30" s="83"/>
      <c r="K30" s="83" t="s">
        <v>27</v>
      </c>
      <c r="L30" s="83" t="s">
        <v>28</v>
      </c>
      <c r="M30" s="83"/>
      <c r="N30" s="83" t="s">
        <v>29</v>
      </c>
      <c r="O30" s="83" t="s">
        <v>30</v>
      </c>
      <c r="P30" s="83"/>
      <c r="Q30" s="83" t="s">
        <v>31</v>
      </c>
      <c r="R30" s="83" t="s">
        <v>32</v>
      </c>
      <c r="S30" s="83" t="s">
        <v>33</v>
      </c>
      <c r="T30" s="83"/>
      <c r="U30" s="83"/>
      <c r="V30" s="83" t="s">
        <v>34</v>
      </c>
      <c r="W30" s="83"/>
    </row>
    <row r="31" spans="1:34" x14ac:dyDescent="0.2">
      <c r="A31" s="102" t="s">
        <v>5</v>
      </c>
      <c r="C31" s="82">
        <v>24320</v>
      </c>
      <c r="D31" s="82"/>
      <c r="E31" s="82">
        <v>0</v>
      </c>
      <c r="F31" s="82">
        <v>29205</v>
      </c>
      <c r="G31" s="82"/>
      <c r="H31" s="82">
        <v>0</v>
      </c>
      <c r="I31" s="82">
        <v>0</v>
      </c>
      <c r="J31" s="82"/>
      <c r="K31" s="82">
        <v>0</v>
      </c>
      <c r="L31" s="82">
        <v>0</v>
      </c>
      <c r="M31" s="82"/>
      <c r="N31" s="82">
        <v>0</v>
      </c>
      <c r="O31" s="82">
        <v>12240</v>
      </c>
      <c r="P31" s="82"/>
      <c r="Q31" s="82">
        <v>13600</v>
      </c>
      <c r="R31" s="82">
        <v>10880</v>
      </c>
      <c r="S31" s="82">
        <v>12240</v>
      </c>
      <c r="T31" s="82"/>
      <c r="U31" s="83"/>
      <c r="V31" s="82">
        <v>102485</v>
      </c>
      <c r="W31" s="82"/>
    </row>
    <row r="32" spans="1:34" x14ac:dyDescent="0.2">
      <c r="A32" s="102" t="s">
        <v>6</v>
      </c>
      <c r="C32" s="82">
        <v>0</v>
      </c>
      <c r="D32" s="82"/>
      <c r="E32" s="82">
        <v>8450</v>
      </c>
      <c r="F32" s="82">
        <v>24590</v>
      </c>
      <c r="G32" s="82"/>
      <c r="H32" s="82">
        <v>27865</v>
      </c>
      <c r="I32" s="82">
        <v>39715</v>
      </c>
      <c r="J32" s="82"/>
      <c r="K32" s="82">
        <v>53585</v>
      </c>
      <c r="L32" s="82">
        <v>46325</v>
      </c>
      <c r="M32" s="82"/>
      <c r="N32" s="82">
        <v>31170</v>
      </c>
      <c r="O32" s="82">
        <v>83367</v>
      </c>
      <c r="P32" s="82"/>
      <c r="Q32" s="82">
        <v>98603</v>
      </c>
      <c r="R32" s="82">
        <v>92970</v>
      </c>
      <c r="S32" s="82">
        <v>86469</v>
      </c>
      <c r="T32" s="82"/>
      <c r="U32" s="83"/>
      <c r="V32" s="82">
        <v>593109</v>
      </c>
      <c r="W32" s="82"/>
    </row>
    <row r="33" spans="1:23" x14ac:dyDescent="0.2">
      <c r="A33" s="102" t="s">
        <v>7</v>
      </c>
      <c r="C33" s="82">
        <v>0</v>
      </c>
      <c r="D33" s="82"/>
      <c r="E33" s="82">
        <v>0</v>
      </c>
      <c r="F33" s="82">
        <v>0</v>
      </c>
      <c r="G33" s="82"/>
      <c r="H33" s="82">
        <v>0</v>
      </c>
      <c r="I33" s="82">
        <v>0</v>
      </c>
      <c r="J33" s="82"/>
      <c r="K33" s="82">
        <v>0</v>
      </c>
      <c r="L33" s="82">
        <v>0</v>
      </c>
      <c r="M33" s="82"/>
      <c r="N33" s="82">
        <v>0</v>
      </c>
      <c r="O33" s="82">
        <v>0</v>
      </c>
      <c r="P33" s="82"/>
      <c r="Q33" s="82">
        <v>0</v>
      </c>
      <c r="R33" s="82">
        <v>0</v>
      </c>
      <c r="S33" s="82">
        <v>0</v>
      </c>
      <c r="T33" s="82"/>
      <c r="U33" s="83"/>
      <c r="V33" s="82">
        <v>0</v>
      </c>
      <c r="W33" s="82"/>
    </row>
    <row r="34" spans="1:23" x14ac:dyDescent="0.2">
      <c r="A34" s="102" t="s">
        <v>8</v>
      </c>
      <c r="C34" s="82">
        <v>0</v>
      </c>
      <c r="D34" s="82"/>
      <c r="E34" s="82">
        <v>27343.01</v>
      </c>
      <c r="F34" s="82">
        <v>119990.97</v>
      </c>
      <c r="G34" s="82"/>
      <c r="H34" s="82">
        <v>41198.550000000003</v>
      </c>
      <c r="I34" s="82">
        <v>58342.75</v>
      </c>
      <c r="J34" s="82"/>
      <c r="K34" s="82">
        <v>81927.75</v>
      </c>
      <c r="L34" s="82">
        <v>52437.5</v>
      </c>
      <c r="M34" s="82"/>
      <c r="N34" s="82">
        <v>44164.125</v>
      </c>
      <c r="O34" s="82">
        <v>58411.14</v>
      </c>
      <c r="P34" s="82"/>
      <c r="Q34" s="82">
        <v>70150.880000000005</v>
      </c>
      <c r="R34" s="82">
        <v>74473.36</v>
      </c>
      <c r="S34" s="82">
        <v>71777.540000000008</v>
      </c>
      <c r="T34" s="82"/>
      <c r="U34" s="83"/>
      <c r="V34" s="82">
        <v>700217.57500000007</v>
      </c>
      <c r="W34" s="82"/>
    </row>
    <row r="35" spans="1:23" x14ac:dyDescent="0.2">
      <c r="A35" s="102" t="s">
        <v>9</v>
      </c>
      <c r="C35" s="82">
        <v>8300</v>
      </c>
      <c r="D35" s="82"/>
      <c r="E35" s="82">
        <v>28465.75</v>
      </c>
      <c r="F35" s="82">
        <v>11528.25</v>
      </c>
      <c r="G35" s="82"/>
      <c r="H35" s="82">
        <v>4503.55</v>
      </c>
      <c r="I35" s="82">
        <v>21645.5</v>
      </c>
      <c r="J35" s="82"/>
      <c r="K35" s="82">
        <v>20860.5</v>
      </c>
      <c r="L35" s="82">
        <v>11347.5</v>
      </c>
      <c r="M35" s="82"/>
      <c r="N35" s="82">
        <v>1750</v>
      </c>
      <c r="O35" s="82">
        <v>8220</v>
      </c>
      <c r="P35" s="82"/>
      <c r="Q35" s="82">
        <v>2970</v>
      </c>
      <c r="R35" s="82">
        <v>6120</v>
      </c>
      <c r="S35" s="82">
        <v>4200</v>
      </c>
      <c r="T35" s="82"/>
      <c r="U35" s="83"/>
      <c r="V35" s="82">
        <v>129911.05</v>
      </c>
      <c r="W35" s="82"/>
    </row>
    <row r="36" spans="1:23" x14ac:dyDescent="0.2">
      <c r="A36" s="102" t="s">
        <v>10</v>
      </c>
      <c r="C36" s="82">
        <v>5262.4</v>
      </c>
      <c r="D36" s="82"/>
      <c r="E36" s="82">
        <v>6685.5</v>
      </c>
      <c r="F36" s="82">
        <v>6685.5</v>
      </c>
      <c r="G36" s="82"/>
      <c r="H36" s="82">
        <v>4503.55</v>
      </c>
      <c r="I36" s="82">
        <v>20577.75</v>
      </c>
      <c r="J36" s="82"/>
      <c r="K36" s="82">
        <v>17767.75</v>
      </c>
      <c r="L36" s="82">
        <v>8915</v>
      </c>
      <c r="M36" s="82"/>
      <c r="N36" s="82">
        <v>3280</v>
      </c>
      <c r="O36" s="82">
        <v>2100</v>
      </c>
      <c r="P36" s="82"/>
      <c r="Q36" s="82">
        <v>14510</v>
      </c>
      <c r="R36" s="82">
        <v>13515</v>
      </c>
      <c r="S36" s="82">
        <v>5200</v>
      </c>
      <c r="T36" s="82"/>
      <c r="U36" s="83"/>
      <c r="V36" s="82">
        <v>109002.45</v>
      </c>
      <c r="W36" s="82"/>
    </row>
    <row r="37" spans="1:23" x14ac:dyDescent="0.2">
      <c r="A37" s="102" t="s">
        <v>11</v>
      </c>
      <c r="C37" s="82">
        <v>0</v>
      </c>
      <c r="D37" s="82"/>
      <c r="E37" s="82">
        <v>0</v>
      </c>
      <c r="F37" s="82">
        <v>0</v>
      </c>
      <c r="G37" s="82"/>
      <c r="H37" s="82">
        <v>0</v>
      </c>
      <c r="I37" s="82">
        <v>0</v>
      </c>
      <c r="J37" s="82"/>
      <c r="K37" s="82">
        <v>0</v>
      </c>
      <c r="L37" s="82">
        <v>0</v>
      </c>
      <c r="M37" s="82"/>
      <c r="N37" s="82">
        <v>0</v>
      </c>
      <c r="O37" s="82">
        <v>5885</v>
      </c>
      <c r="P37" s="82"/>
      <c r="Q37" s="82">
        <v>24500</v>
      </c>
      <c r="R37" s="82">
        <v>28143</v>
      </c>
      <c r="S37" s="82">
        <v>12893</v>
      </c>
      <c r="T37" s="82"/>
      <c r="U37" s="83"/>
      <c r="V37" s="82">
        <v>71421</v>
      </c>
      <c r="W37" s="82"/>
    </row>
    <row r="38" spans="1:23" x14ac:dyDescent="0.2">
      <c r="A38" s="102" t="s">
        <v>12</v>
      </c>
      <c r="C38" s="82">
        <v>0</v>
      </c>
      <c r="D38" s="82"/>
      <c r="E38" s="82">
        <v>0</v>
      </c>
      <c r="F38" s="82">
        <v>0</v>
      </c>
      <c r="G38" s="82"/>
      <c r="H38" s="82">
        <v>0</v>
      </c>
      <c r="I38" s="82">
        <v>0</v>
      </c>
      <c r="J38" s="82"/>
      <c r="K38" s="82">
        <v>0</v>
      </c>
      <c r="L38" s="82">
        <v>0</v>
      </c>
      <c r="M38" s="82"/>
      <c r="N38" s="82">
        <v>0</v>
      </c>
      <c r="O38" s="82">
        <v>0</v>
      </c>
      <c r="P38" s="82"/>
      <c r="Q38" s="82">
        <v>0</v>
      </c>
      <c r="R38" s="82">
        <v>0</v>
      </c>
      <c r="S38" s="82">
        <v>18315</v>
      </c>
      <c r="T38" s="82"/>
      <c r="U38" s="83"/>
      <c r="V38" s="82">
        <v>18315</v>
      </c>
      <c r="W38" s="82"/>
    </row>
    <row r="39" spans="1:23" x14ac:dyDescent="0.2">
      <c r="A39" s="102" t="s">
        <v>13</v>
      </c>
      <c r="C39" s="82">
        <v>0</v>
      </c>
      <c r="D39" s="82"/>
      <c r="E39" s="82">
        <v>0</v>
      </c>
      <c r="F39" s="82">
        <v>2874</v>
      </c>
      <c r="G39" s="82"/>
      <c r="H39" s="82">
        <v>9722</v>
      </c>
      <c r="I39" s="82">
        <v>11682.5</v>
      </c>
      <c r="J39" s="82"/>
      <c r="K39" s="82">
        <v>16038</v>
      </c>
      <c r="L39" s="82">
        <v>11061.5</v>
      </c>
      <c r="M39" s="82"/>
      <c r="N39" s="82">
        <v>5748</v>
      </c>
      <c r="O39" s="82">
        <v>8622</v>
      </c>
      <c r="P39" s="82"/>
      <c r="Q39" s="82">
        <v>0</v>
      </c>
      <c r="R39" s="82">
        <v>11080</v>
      </c>
      <c r="S39" s="82">
        <v>22570</v>
      </c>
      <c r="T39" s="82"/>
      <c r="U39" s="83"/>
      <c r="V39" s="82">
        <v>99398</v>
      </c>
      <c r="W39" s="82"/>
    </row>
    <row r="40" spans="1:23" x14ac:dyDescent="0.2">
      <c r="A40" s="102" t="s">
        <v>14</v>
      </c>
      <c r="C40" s="82">
        <v>8145</v>
      </c>
      <c r="D40" s="82"/>
      <c r="E40" s="82">
        <v>0</v>
      </c>
      <c r="F40" s="82">
        <v>8145</v>
      </c>
      <c r="G40" s="82"/>
      <c r="H40" s="82">
        <v>0</v>
      </c>
      <c r="I40" s="82">
        <v>0</v>
      </c>
      <c r="J40" s="82"/>
      <c r="K40" s="82">
        <v>0</v>
      </c>
      <c r="L40" s="82">
        <v>0</v>
      </c>
      <c r="M40" s="82"/>
      <c r="N40" s="82">
        <v>500</v>
      </c>
      <c r="O40" s="82">
        <v>10750</v>
      </c>
      <c r="P40" s="82"/>
      <c r="Q40" s="82">
        <v>10500</v>
      </c>
      <c r="R40" s="82">
        <v>2500</v>
      </c>
      <c r="S40" s="82">
        <v>8640</v>
      </c>
      <c r="T40" s="82"/>
      <c r="U40" s="83"/>
      <c r="V40" s="82">
        <v>49180</v>
      </c>
      <c r="W40" s="82"/>
    </row>
    <row r="41" spans="1:23" x14ac:dyDescent="0.2">
      <c r="A41" s="102" t="s">
        <v>16</v>
      </c>
      <c r="C41" s="82">
        <v>0</v>
      </c>
      <c r="D41" s="82"/>
      <c r="E41" s="82">
        <v>0</v>
      </c>
      <c r="F41" s="82">
        <v>0</v>
      </c>
      <c r="G41" s="82"/>
      <c r="H41" s="82">
        <v>0</v>
      </c>
      <c r="I41" s="82">
        <v>0</v>
      </c>
      <c r="J41" s="82"/>
      <c r="K41" s="82">
        <v>0</v>
      </c>
      <c r="L41" s="82">
        <v>0</v>
      </c>
      <c r="M41" s="82"/>
      <c r="N41" s="82">
        <v>0</v>
      </c>
      <c r="O41" s="82">
        <v>0</v>
      </c>
      <c r="P41" s="82"/>
      <c r="Q41" s="82">
        <v>0</v>
      </c>
      <c r="R41" s="82">
        <v>0</v>
      </c>
      <c r="S41" s="82">
        <v>9000</v>
      </c>
      <c r="T41" s="82"/>
      <c r="U41" s="83"/>
      <c r="V41" s="82">
        <v>9000</v>
      </c>
      <c r="W41" s="82"/>
    </row>
    <row r="42" spans="1:23" x14ac:dyDescent="0.2">
      <c r="A42" s="102" t="s">
        <v>80</v>
      </c>
      <c r="C42" s="82">
        <v>0</v>
      </c>
      <c r="D42" s="82"/>
      <c r="E42" s="82">
        <v>0</v>
      </c>
      <c r="F42" s="82">
        <v>9250</v>
      </c>
      <c r="G42" s="82"/>
      <c r="H42" s="82">
        <v>5750</v>
      </c>
      <c r="I42" s="82">
        <v>0</v>
      </c>
      <c r="J42" s="82"/>
      <c r="K42" s="82">
        <v>0</v>
      </c>
      <c r="L42" s="82">
        <v>0</v>
      </c>
      <c r="M42" s="82"/>
      <c r="N42" s="82">
        <v>0</v>
      </c>
      <c r="O42" s="82">
        <v>0</v>
      </c>
      <c r="P42" s="82"/>
      <c r="Q42" s="82">
        <v>325</v>
      </c>
      <c r="R42" s="82">
        <v>0</v>
      </c>
      <c r="S42" s="82">
        <v>0</v>
      </c>
      <c r="T42" s="82"/>
      <c r="U42" s="83"/>
      <c r="V42" s="82">
        <v>15325</v>
      </c>
      <c r="W42" s="82"/>
    </row>
    <row r="43" spans="1:23" x14ac:dyDescent="0.2">
      <c r="A43" s="102" t="s">
        <v>38</v>
      </c>
      <c r="C43" s="82">
        <v>0</v>
      </c>
      <c r="D43" s="82"/>
      <c r="E43" s="82">
        <v>0</v>
      </c>
      <c r="F43" s="82">
        <v>7680</v>
      </c>
      <c r="G43" s="82"/>
      <c r="H43" s="82">
        <v>8160</v>
      </c>
      <c r="I43" s="82">
        <v>6000</v>
      </c>
      <c r="J43" s="82"/>
      <c r="K43" s="82">
        <v>8640</v>
      </c>
      <c r="L43" s="82">
        <v>9840</v>
      </c>
      <c r="M43" s="82"/>
      <c r="N43" s="82">
        <v>2400</v>
      </c>
      <c r="O43" s="82">
        <v>0</v>
      </c>
      <c r="P43" s="82"/>
      <c r="Q43" s="82">
        <v>0</v>
      </c>
      <c r="R43" s="82">
        <v>0</v>
      </c>
      <c r="S43" s="82">
        <v>0</v>
      </c>
      <c r="T43" s="82"/>
      <c r="U43" s="83"/>
      <c r="V43" s="82">
        <v>42720</v>
      </c>
      <c r="W43" s="82"/>
    </row>
    <row r="44" spans="1:23" x14ac:dyDescent="0.2">
      <c r="A44" s="102" t="s">
        <v>21</v>
      </c>
      <c r="C44" s="82">
        <v>46027.4</v>
      </c>
      <c r="D44" s="82"/>
      <c r="E44" s="82">
        <v>70944.259999999995</v>
      </c>
      <c r="F44" s="82">
        <v>219948.72</v>
      </c>
      <c r="G44" s="82"/>
      <c r="H44" s="82">
        <v>101702.65000000001</v>
      </c>
      <c r="I44" s="82">
        <v>157963.5</v>
      </c>
      <c r="J44" s="82"/>
      <c r="K44" s="82">
        <v>198819</v>
      </c>
      <c r="L44" s="82">
        <v>139926.5</v>
      </c>
      <c r="M44" s="82"/>
      <c r="N44" s="82">
        <v>89012.125</v>
      </c>
      <c r="O44" s="82">
        <v>189595.14</v>
      </c>
      <c r="P44" s="82"/>
      <c r="Q44" s="82">
        <v>235158.88</v>
      </c>
      <c r="R44" s="82">
        <v>239681.36</v>
      </c>
      <c r="S44" s="82">
        <v>251304.54</v>
      </c>
      <c r="T44" s="82"/>
      <c r="U44" s="83"/>
      <c r="V44" s="82"/>
      <c r="W44" s="82"/>
    </row>
  </sheetData>
  <autoFilter ref="A15:A22"/>
  <mergeCells count="9">
    <mergeCell ref="R14:T14"/>
    <mergeCell ref="U14:W14"/>
    <mergeCell ref="X14:Z14"/>
    <mergeCell ref="AA14:AC14"/>
    <mergeCell ref="C14:E14"/>
    <mergeCell ref="F14:H14"/>
    <mergeCell ref="I14:K14"/>
    <mergeCell ref="L14:N14"/>
    <mergeCell ref="O14:Q14"/>
  </mergeCells>
  <phoneticPr fontId="5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déroulante'!$A$2:$A$14</xm:f>
          </x14:formula1>
          <xm:sqref>A16:A22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24"/>
  <sheetViews>
    <sheetView topLeftCell="A2" workbookViewId="0">
      <selection activeCell="B10" sqref="B10"/>
    </sheetView>
  </sheetViews>
  <sheetFormatPr baseColWidth="10" defaultRowHeight="15" x14ac:dyDescent="0.25"/>
  <cols>
    <col min="1" max="1" width="30" customWidth="1"/>
    <col min="2" max="2" width="24.85546875" style="4" customWidth="1"/>
  </cols>
  <sheetData>
    <row r="2" spans="1:2" ht="25.5" x14ac:dyDescent="0.25">
      <c r="A2" s="72" t="s">
        <v>114</v>
      </c>
    </row>
    <row r="3" spans="1:2" x14ac:dyDescent="0.25">
      <c r="A3" s="9" t="s">
        <v>124</v>
      </c>
      <c r="B3" s="74" t="s">
        <v>125</v>
      </c>
    </row>
    <row r="4" spans="1:2" x14ac:dyDescent="0.25">
      <c r="A4" s="9" t="s">
        <v>115</v>
      </c>
      <c r="B4" s="74">
        <v>1825000</v>
      </c>
    </row>
    <row r="5" spans="1:2" x14ac:dyDescent="0.25">
      <c r="A5" s="73" t="s">
        <v>6</v>
      </c>
      <c r="B5" s="75">
        <v>5517700</v>
      </c>
    </row>
    <row r="6" spans="1:2" x14ac:dyDescent="0.25">
      <c r="A6" s="9" t="s">
        <v>13</v>
      </c>
      <c r="B6" s="76">
        <v>367960</v>
      </c>
    </row>
    <row r="7" spans="1:2" x14ac:dyDescent="0.25">
      <c r="A7" s="9" t="s">
        <v>67</v>
      </c>
      <c r="B7" s="76">
        <v>368640</v>
      </c>
    </row>
    <row r="8" spans="1:2" x14ac:dyDescent="0.25">
      <c r="A8" s="9" t="s">
        <v>116</v>
      </c>
      <c r="B8" s="76">
        <v>92500</v>
      </c>
    </row>
    <row r="9" spans="1:2" x14ac:dyDescent="0.25">
      <c r="A9" s="9" t="s">
        <v>117</v>
      </c>
      <c r="B9" s="76">
        <v>83000</v>
      </c>
    </row>
    <row r="10" spans="1:2" x14ac:dyDescent="0.25">
      <c r="A10" s="9" t="s">
        <v>5</v>
      </c>
      <c r="B10" s="76">
        <v>523250</v>
      </c>
    </row>
    <row r="11" spans="1:2" x14ac:dyDescent="0.25">
      <c r="A11" s="9" t="s">
        <v>38</v>
      </c>
      <c r="B11" s="76">
        <v>220750</v>
      </c>
    </row>
    <row r="12" spans="1:2" x14ac:dyDescent="0.25">
      <c r="A12" s="9" t="s">
        <v>80</v>
      </c>
      <c r="B12" s="76">
        <v>289750</v>
      </c>
    </row>
    <row r="13" spans="1:2" x14ac:dyDescent="0.25">
      <c r="A13" s="9" t="s">
        <v>118</v>
      </c>
      <c r="B13" s="76">
        <v>119500</v>
      </c>
    </row>
    <row r="14" spans="1:2" x14ac:dyDescent="0.25">
      <c r="A14" s="9" t="s">
        <v>119</v>
      </c>
      <c r="B14" s="76">
        <v>125700</v>
      </c>
    </row>
    <row r="15" spans="1:2" x14ac:dyDescent="0.25">
      <c r="A15" s="9" t="s">
        <v>9</v>
      </c>
      <c r="B15" s="76">
        <v>781750</v>
      </c>
    </row>
    <row r="16" spans="1:2" x14ac:dyDescent="0.25">
      <c r="A16" s="9" t="s">
        <v>10</v>
      </c>
      <c r="B16" s="76">
        <v>775387</v>
      </c>
    </row>
    <row r="17" spans="1:2" x14ac:dyDescent="0.25">
      <c r="A17" s="9" t="s">
        <v>14</v>
      </c>
      <c r="B17" s="76">
        <v>254300</v>
      </c>
    </row>
    <row r="18" spans="1:2" x14ac:dyDescent="0.25">
      <c r="A18" s="9" t="s">
        <v>120</v>
      </c>
      <c r="B18" s="76">
        <v>827400</v>
      </c>
    </row>
    <row r="19" spans="1:2" x14ac:dyDescent="0.25">
      <c r="A19" s="9" t="s">
        <v>16</v>
      </c>
      <c r="B19" s="76">
        <v>152400</v>
      </c>
    </row>
    <row r="20" spans="1:2" x14ac:dyDescent="0.25">
      <c r="A20" s="9" t="s">
        <v>121</v>
      </c>
      <c r="B20" s="76">
        <v>73400</v>
      </c>
    </row>
    <row r="21" spans="1:2" x14ac:dyDescent="0.25">
      <c r="A21" s="9" t="s">
        <v>8</v>
      </c>
      <c r="B21" s="76">
        <v>2300000</v>
      </c>
    </row>
    <row r="22" spans="1:2" x14ac:dyDescent="0.25">
      <c r="A22" s="9" t="s">
        <v>122</v>
      </c>
      <c r="B22" s="76">
        <v>33600</v>
      </c>
    </row>
    <row r="23" spans="1:2" x14ac:dyDescent="0.25">
      <c r="A23" s="9" t="s">
        <v>123</v>
      </c>
      <c r="B23" s="76">
        <v>30100</v>
      </c>
    </row>
    <row r="24" spans="1:2" x14ac:dyDescent="0.25">
      <c r="A24" t="s">
        <v>12</v>
      </c>
      <c r="B24" s="76">
        <v>689900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onglet 1</vt:lpstr>
      <vt:lpstr>Export données </vt:lpstr>
      <vt:lpstr>Jours fériés</vt:lpstr>
      <vt:lpstr>Liste déroulante</vt:lpstr>
      <vt:lpstr>Suivi Matériels 2022</vt:lpstr>
      <vt:lpstr>Engagés (Facturés) 2022</vt:lpstr>
      <vt:lpstr>Enveloppes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2022-12-23T10:24:12Z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