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persons/person.xml" ContentType="application/vnd.ms-excel.person+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codeName="ThisWorkbook"/>
  <mc:AlternateContent xmlns:mc="http://schemas.openxmlformats.org/markup-compatibility/2006">
    <mc:Choice Requires="x15">
      <x15ac:absPath xmlns:x15ac="http://schemas.microsoft.com/office/spreadsheetml/2010/11/ac" url="https://fads-my.sharepoint.com/personal/claude_brena_armeedusalut_fr/Documents/"/>
    </mc:Choice>
  </mc:AlternateContent>
  <xr:revisionPtr revIDLastSave="0" documentId="8_{62BDBDC8-7612-4934-A373-473926708B4C}" xr6:coauthVersionLast="47" xr6:coauthVersionMax="47" xr10:uidLastSave="{00000000-0000-0000-0000-000000000000}"/>
  <bookViews>
    <workbookView xWindow="-120" yWindow="-120" windowWidth="24240" windowHeight="13020" tabRatio="686" xr2:uid="{00000000-000D-0000-FFFF-FFFF00000000}"/>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s>
  <definedNames>
    <definedName name="AnnéeCalendrier">Janvier!$AG$4</definedName>
    <definedName name="CléJ" comment="La lettre J">Janvier!$B$2</definedName>
    <definedName name="CléJournée" comment="La lettre &quot; J &quot; indique une journée supérieur à 8 heures de présence">Janvier!$B$2</definedName>
    <definedName name="CléMaladie">Janvier!$M$2</definedName>
    <definedName name="CléPersonnalisée1">Janvier!$R$2</definedName>
    <definedName name="CléPersonnalisée2">Janvier!$W$2</definedName>
    <definedName name="CléPersonnel">Janvier!$G$2</definedName>
    <definedName name="ÉtiquetteCléCongé">Janvier!$C$2</definedName>
    <definedName name="ÉtiquetteCléMaladie">Janvier!$N$2</definedName>
    <definedName name="ÉtiquetteCléPersonnalisée1">Janvier!$S$2</definedName>
    <definedName name="ÉtiquetteCléPersonnalisée2">Janvier!$X$2</definedName>
    <definedName name="ÉtiquetteCléPersonnel">Janvier!$H$2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J">Janvier!$B$2</definedName>
    <definedName name="Nom_clé">Janvier!$A$2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Janvier!$A$4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Janvier!$A$1</definedName>
    <definedName name="Titre1">Janvier[[#Headers],[Nom / Prénom ]]</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J7" i="4" l="1" a="1"/>
  <c r="AJ7" i="4" s="1"/>
  <c r="AJ101" i="4" a="1"/>
  <c r="AJ101" i="4" s="1"/>
  <c r="AJ100" i="4" a="1"/>
  <c r="AJ100" i="4" s="1"/>
  <c r="AJ99" i="4" a="1"/>
  <c r="AJ99" i="4" s="1"/>
  <c r="AJ98" i="4" a="1"/>
  <c r="AJ98" i="4" s="1"/>
  <c r="AJ97" i="4" a="1"/>
  <c r="AJ97" i="4" s="1"/>
  <c r="AJ96" i="4" a="1"/>
  <c r="AJ96" i="4" s="1"/>
  <c r="AJ95" i="4" a="1"/>
  <c r="AJ95" i="4" s="1"/>
  <c r="AJ94" i="4" a="1"/>
  <c r="AJ94" i="4" s="1"/>
  <c r="AJ93" i="4" a="1"/>
  <c r="AJ93" i="4" s="1"/>
  <c r="AJ92" i="4" a="1"/>
  <c r="AJ92" i="4" s="1"/>
  <c r="AJ91" i="4" a="1"/>
  <c r="AJ91" i="4" s="1"/>
  <c r="AJ90" i="4" a="1"/>
  <c r="AJ90" i="4" s="1"/>
  <c r="AJ89" i="4" a="1"/>
  <c r="AJ89" i="4" s="1"/>
  <c r="AJ88" i="4" a="1"/>
  <c r="AJ88" i="4" s="1"/>
  <c r="AJ87" i="4" a="1"/>
  <c r="AJ87" i="4" s="1"/>
  <c r="AJ86" i="4" a="1"/>
  <c r="AJ86" i="4" s="1"/>
  <c r="AJ85" i="4" a="1"/>
  <c r="AJ85" i="4" s="1"/>
  <c r="AJ84" i="4" a="1"/>
  <c r="AJ84" i="4" s="1"/>
  <c r="AJ83" i="4" a="1"/>
  <c r="AJ83" i="4" s="1"/>
  <c r="AJ82" i="4" a="1"/>
  <c r="AJ82" i="4" s="1"/>
  <c r="AJ81" i="4" a="1"/>
  <c r="AJ81" i="4" s="1"/>
  <c r="AJ80" i="4" a="1"/>
  <c r="AJ80" i="4" s="1"/>
  <c r="AJ79" i="4" a="1"/>
  <c r="AJ79" i="4" s="1"/>
  <c r="AJ78" i="4" a="1"/>
  <c r="AJ78" i="4" s="1"/>
  <c r="AJ77" i="4" a="1"/>
  <c r="AJ77" i="4" s="1"/>
  <c r="AJ76" i="4" a="1"/>
  <c r="AJ76" i="4" s="1"/>
  <c r="AJ75" i="4" a="1"/>
  <c r="AJ75" i="4" s="1"/>
  <c r="AJ74" i="4" a="1"/>
  <c r="AJ74" i="4" s="1"/>
  <c r="AJ73" i="4" a="1"/>
  <c r="AJ73" i="4" s="1"/>
  <c r="AJ72" i="4" a="1"/>
  <c r="AJ72" i="4" s="1"/>
  <c r="AJ71" i="4" a="1"/>
  <c r="AJ71" i="4" s="1"/>
  <c r="AJ70" i="4" a="1"/>
  <c r="AJ70" i="4" s="1"/>
  <c r="AJ69" i="4" a="1"/>
  <c r="AJ69" i="4" s="1"/>
  <c r="AJ68" i="4" a="1"/>
  <c r="AJ68" i="4" s="1"/>
  <c r="AJ67" i="4" a="1"/>
  <c r="AJ67" i="4" s="1"/>
  <c r="AJ66" i="4" a="1"/>
  <c r="AJ66" i="4" s="1"/>
  <c r="AJ65" i="4" a="1"/>
  <c r="AJ65" i="4" s="1"/>
  <c r="AJ64" i="4" a="1"/>
  <c r="AJ64" i="4" s="1"/>
  <c r="AJ63" i="4" a="1"/>
  <c r="AJ63" i="4" s="1"/>
  <c r="AJ62" i="4" a="1"/>
  <c r="AJ62" i="4" s="1"/>
  <c r="AJ61" i="4" a="1"/>
  <c r="AJ61" i="4" s="1"/>
  <c r="AJ60" i="4" a="1"/>
  <c r="AJ60" i="4" s="1"/>
  <c r="AJ59" i="4" a="1"/>
  <c r="AJ59" i="4" s="1"/>
  <c r="AJ58" i="4" a="1"/>
  <c r="AJ58" i="4" s="1"/>
  <c r="AJ57" i="4" a="1"/>
  <c r="AJ57" i="4" s="1"/>
  <c r="AJ56" i="4" a="1"/>
  <c r="AJ56" i="4" s="1"/>
  <c r="AJ55" i="4" a="1"/>
  <c r="AJ55" i="4" s="1"/>
  <c r="AJ54" i="4" a="1"/>
  <c r="AJ54" i="4" s="1"/>
  <c r="AJ53" i="4" a="1"/>
  <c r="AJ53" i="4" s="1"/>
  <c r="AJ52" i="4" a="1"/>
  <c r="AJ52" i="4" s="1"/>
  <c r="AJ51" i="4" a="1"/>
  <c r="AJ51" i="4" s="1"/>
  <c r="AJ50" i="4" a="1"/>
  <c r="AJ50" i="4" s="1"/>
  <c r="AJ49" i="4" a="1"/>
  <c r="AJ49" i="4" s="1"/>
  <c r="AJ48" i="4" a="1"/>
  <c r="AJ48" i="4" s="1"/>
  <c r="AJ47" i="4" a="1"/>
  <c r="AJ47" i="4" s="1"/>
  <c r="AJ46" i="4" a="1"/>
  <c r="AJ46" i="4" s="1"/>
  <c r="AJ45" i="4" a="1"/>
  <c r="AJ45" i="4" s="1"/>
  <c r="AJ44" i="4" a="1"/>
  <c r="AJ44" i="4" s="1"/>
  <c r="AJ43" i="4" a="1"/>
  <c r="AJ43" i="4" s="1"/>
  <c r="AJ42" i="4" a="1"/>
  <c r="AJ42" i="4" s="1"/>
  <c r="AJ41" i="4" a="1"/>
  <c r="AJ41" i="4" s="1"/>
  <c r="AJ40" i="4" a="1"/>
  <c r="AJ40" i="4" s="1"/>
  <c r="AJ39" i="4" a="1"/>
  <c r="AJ39" i="4" s="1"/>
  <c r="AJ38" i="4" a="1"/>
  <c r="AJ38" i="4" s="1"/>
  <c r="AJ37" i="4" a="1"/>
  <c r="AJ37" i="4" s="1"/>
  <c r="AJ36" i="4" a="1"/>
  <c r="AJ36" i="4" s="1"/>
  <c r="AJ35" i="4" a="1"/>
  <c r="AJ35" i="4" s="1"/>
  <c r="AJ34" i="4" a="1"/>
  <c r="AJ34" i="4" s="1"/>
  <c r="AJ33" i="4" a="1"/>
  <c r="AJ33" i="4" s="1"/>
  <c r="AJ32" i="4" a="1"/>
  <c r="AJ32" i="4" s="1"/>
  <c r="AJ31" i="4" a="1"/>
  <c r="AJ31" i="4" s="1"/>
  <c r="AJ30" i="4" a="1"/>
  <c r="AJ30" i="4" s="1"/>
  <c r="AJ29" i="4" a="1"/>
  <c r="AJ29" i="4" s="1"/>
  <c r="AJ28" i="4" a="1"/>
  <c r="AJ28" i="4" s="1"/>
  <c r="AJ27" i="4" a="1"/>
  <c r="AJ27" i="4" s="1"/>
  <c r="AJ26" i="4" a="1"/>
  <c r="AJ26" i="4" s="1"/>
  <c r="AJ25" i="4" a="1"/>
  <c r="AJ25" i="4" s="1"/>
  <c r="AJ24" i="4" a="1"/>
  <c r="AJ24" i="4" s="1"/>
  <c r="AJ23" i="4" a="1"/>
  <c r="AJ23" i="4" s="1"/>
  <c r="AJ22" i="4" a="1"/>
  <c r="AJ22" i="4" s="1"/>
  <c r="AJ21" i="4" a="1"/>
  <c r="AJ21" i="4" s="1"/>
  <c r="AJ20" i="4" a="1"/>
  <c r="AJ20" i="4" s="1"/>
  <c r="AJ19" i="4" a="1"/>
  <c r="AJ19" i="4" s="1"/>
  <c r="AJ18" i="4" a="1"/>
  <c r="AJ18" i="4" s="1"/>
  <c r="AJ17" i="4" a="1"/>
  <c r="AJ17" i="4" s="1"/>
  <c r="AJ16" i="4" a="1"/>
  <c r="AJ16" i="4" s="1"/>
  <c r="AJ15" i="4" a="1"/>
  <c r="AJ15" i="4" s="1"/>
  <c r="AJ14" i="4" a="1"/>
  <c r="AJ14" i="4" s="1"/>
  <c r="AJ13" i="4" a="1"/>
  <c r="AJ13" i="4" s="1"/>
  <c r="AJ12" i="4" a="1"/>
  <c r="AJ12" i="4" s="1"/>
  <c r="AJ11" i="4" a="1"/>
  <c r="AJ11" i="4" s="1"/>
  <c r="AJ10" i="4" a="1"/>
  <c r="AJ10" i="4" s="1"/>
  <c r="AJ9" i="4" a="1"/>
  <c r="AJ9" i="4" s="1"/>
  <c r="AJ8" i="4" a="1"/>
  <c r="AJ8" i="4" s="1"/>
  <c r="AI7" i="4" a="1"/>
  <c r="AI7" i="4" s="1"/>
  <c r="AI8" i="4" a="1"/>
  <c r="AI8" i="4" s="1"/>
  <c r="AI9" i="4" a="1"/>
  <c r="AI9" i="4" s="1"/>
  <c r="AI10" i="4" a="1"/>
  <c r="AI10" i="4" s="1"/>
  <c r="AI11" i="4" a="1"/>
  <c r="AI11" i="4" s="1"/>
  <c r="AI12" i="4" a="1"/>
  <c r="AI12" i="4" s="1"/>
  <c r="AI13" i="4" a="1"/>
  <c r="AI13" i="4" s="1"/>
  <c r="AI14" i="4" a="1"/>
  <c r="AI14" i="4" s="1"/>
  <c r="AI15" i="4" a="1"/>
  <c r="AI15" i="4" s="1"/>
  <c r="AI16" i="4" a="1"/>
  <c r="AI16" i="4" s="1"/>
  <c r="AI17" i="4" a="1"/>
  <c r="AI17" i="4" s="1"/>
  <c r="AI18" i="4" a="1"/>
  <c r="AI18" i="4" s="1"/>
  <c r="AI19" i="4" a="1"/>
  <c r="AI19" i="4" s="1"/>
  <c r="AI20" i="4" a="1"/>
  <c r="AI20" i="4" s="1"/>
  <c r="AI21" i="4" a="1"/>
  <c r="AI21" i="4" s="1"/>
  <c r="AI22" i="4" a="1"/>
  <c r="AI22" i="4" s="1"/>
  <c r="AI23" i="4" a="1"/>
  <c r="AI23" i="4" s="1"/>
  <c r="AI24" i="4" a="1"/>
  <c r="AI24" i="4" s="1"/>
  <c r="AI25" i="4" a="1"/>
  <c r="AI25" i="4" s="1"/>
  <c r="AI26" i="4" a="1"/>
  <c r="AI26" i="4" s="1"/>
  <c r="AI27" i="4" a="1"/>
  <c r="AI27" i="4" s="1"/>
  <c r="AI28" i="4" a="1"/>
  <c r="AI28" i="4" s="1"/>
  <c r="AI29" i="4" a="1"/>
  <c r="AI29" i="4" s="1"/>
  <c r="AI30" i="4" a="1"/>
  <c r="AI30" i="4" s="1"/>
  <c r="AI31" i="4" a="1"/>
  <c r="AI31" i="4" s="1"/>
  <c r="AI32" i="4" a="1"/>
  <c r="AI32" i="4" s="1"/>
  <c r="AI33" i="4" a="1"/>
  <c r="AI33" i="4" s="1"/>
  <c r="AI34" i="4" a="1"/>
  <c r="AI34" i="4" s="1"/>
  <c r="AI35" i="4" a="1"/>
  <c r="AI35" i="4" s="1"/>
  <c r="AI36" i="4" a="1"/>
  <c r="AI36" i="4" s="1"/>
  <c r="AI37" i="4" a="1"/>
  <c r="AI37" i="4" s="1"/>
  <c r="AI38" i="4" a="1"/>
  <c r="AI38" i="4" s="1"/>
  <c r="AI39" i="4" a="1"/>
  <c r="AI39" i="4" s="1"/>
  <c r="AI40" i="4" a="1"/>
  <c r="AI40" i="4" s="1"/>
  <c r="AI41" i="4" a="1"/>
  <c r="AI41" i="4" s="1"/>
  <c r="AI42" i="4" a="1"/>
  <c r="AI42" i="4" s="1"/>
  <c r="AI43" i="4" a="1"/>
  <c r="AI43" i="4" s="1"/>
  <c r="AI44" i="4" a="1"/>
  <c r="AI44" i="4" s="1"/>
  <c r="AI45" i="4" a="1"/>
  <c r="AI45" i="4" s="1"/>
  <c r="AI46" i="4" a="1"/>
  <c r="AI46" i="4" s="1"/>
  <c r="AI47" i="4" a="1"/>
  <c r="AI47" i="4" s="1"/>
  <c r="AI48" i="4" a="1"/>
  <c r="AI48" i="4" s="1"/>
  <c r="AI49" i="4" a="1"/>
  <c r="AI49" i="4" s="1"/>
  <c r="AI50" i="4" a="1"/>
  <c r="AI50" i="4" s="1"/>
  <c r="AI51" i="4" a="1"/>
  <c r="AI51" i="4" s="1"/>
  <c r="AI52" i="4" a="1"/>
  <c r="AI52" i="4" s="1"/>
  <c r="AI53" i="4" a="1"/>
  <c r="AI53" i="4" s="1"/>
  <c r="AI54" i="4" a="1"/>
  <c r="AI54" i="4" s="1"/>
  <c r="AI55" i="4" a="1"/>
  <c r="AI55" i="4" s="1"/>
  <c r="AI56" i="4" a="1"/>
  <c r="AI56" i="4" s="1"/>
  <c r="AI57" i="4" a="1"/>
  <c r="AI57" i="4" s="1"/>
  <c r="AI58" i="4" a="1"/>
  <c r="AI58" i="4" s="1"/>
  <c r="AI59" i="4" a="1"/>
  <c r="AI59" i="4" s="1"/>
  <c r="AI60" i="4" a="1"/>
  <c r="AI60" i="4" s="1"/>
  <c r="AI61" i="4" a="1"/>
  <c r="AI61" i="4" s="1"/>
  <c r="AI62" i="4" a="1"/>
  <c r="AI62" i="4" s="1"/>
  <c r="AI63" i="4" a="1"/>
  <c r="AI63" i="4" s="1"/>
  <c r="AI64" i="4" a="1"/>
  <c r="AI64" i="4" s="1"/>
  <c r="AI65" i="4" a="1"/>
  <c r="AI65" i="4" s="1"/>
  <c r="AI66" i="4" a="1"/>
  <c r="AI66" i="4" s="1"/>
  <c r="AI67" i="4" a="1"/>
  <c r="AI67" i="4" s="1"/>
  <c r="AI68" i="4" a="1"/>
  <c r="AI68" i="4" s="1"/>
  <c r="AI69" i="4" a="1"/>
  <c r="AI69" i="4" s="1"/>
  <c r="AI70" i="4" a="1"/>
  <c r="AI70" i="4" s="1"/>
  <c r="AI71" i="4" a="1"/>
  <c r="AI71" i="4" s="1"/>
  <c r="AI72" i="4" a="1"/>
  <c r="AI72" i="4" s="1"/>
  <c r="AI73" i="4" a="1"/>
  <c r="AI73" i="4" s="1"/>
  <c r="AI74" i="4" a="1"/>
  <c r="AI74" i="4" s="1"/>
  <c r="AI75" i="4" a="1"/>
  <c r="AI75" i="4" s="1"/>
  <c r="AI76" i="4" a="1"/>
  <c r="AI76" i="4" s="1"/>
  <c r="AI77" i="4" a="1"/>
  <c r="AI77" i="4" s="1"/>
  <c r="AI78" i="4" a="1"/>
  <c r="AI78" i="4" s="1"/>
  <c r="AI79" i="4" a="1"/>
  <c r="AI79" i="4" s="1"/>
  <c r="AI80" i="4" a="1"/>
  <c r="AI80" i="4" s="1"/>
  <c r="AI81" i="4" a="1"/>
  <c r="AI81" i="4" s="1"/>
  <c r="AI82" i="4" a="1"/>
  <c r="AI82" i="4" s="1"/>
  <c r="AI83" i="4" a="1"/>
  <c r="AI83" i="4" s="1"/>
  <c r="AI84" i="4" a="1"/>
  <c r="AI84" i="4" s="1"/>
  <c r="AI85" i="4" a="1"/>
  <c r="AI85" i="4" s="1"/>
  <c r="AI86" i="4" a="1"/>
  <c r="AI86" i="4" s="1"/>
  <c r="AI87" i="4" a="1"/>
  <c r="AI87" i="4" s="1"/>
  <c r="AI88" i="4" a="1"/>
  <c r="AI88" i="4" s="1"/>
  <c r="AI89" i="4" a="1"/>
  <c r="AI89" i="4" s="1"/>
  <c r="AI90" i="4" a="1"/>
  <c r="AI90" i="4" s="1"/>
  <c r="AI91" i="4" a="1"/>
  <c r="AI91" i="4" s="1"/>
  <c r="AI92" i="4" a="1"/>
  <c r="AI92" i="4" s="1"/>
  <c r="AI93" i="4" a="1"/>
  <c r="AI93" i="4" s="1"/>
  <c r="AI94" i="4" a="1"/>
  <c r="AI94" i="4" s="1"/>
  <c r="AI95" i="4" a="1"/>
  <c r="AI95" i="4" s="1"/>
  <c r="AI96" i="4" a="1"/>
  <c r="AI96" i="4" s="1"/>
  <c r="AI97" i="4" a="1"/>
  <c r="AI97" i="4" s="1"/>
  <c r="AI98" i="4" a="1"/>
  <c r="AI98" i="4" s="1"/>
  <c r="AI99" i="4" a="1"/>
  <c r="AI99" i="4" s="1"/>
  <c r="AI100" i="4" a="1"/>
  <c r="AI100" i="4" s="1"/>
  <c r="AI101" i="4" a="1"/>
  <c r="AI101" i="4" s="1"/>
  <c r="AH7" i="4" a="1"/>
  <c r="AH7" i="4" s="1"/>
  <c r="AH8" i="4" a="1"/>
  <c r="AH8" i="4" s="1"/>
  <c r="AH9" i="4" a="1"/>
  <c r="AH9" i="4" s="1"/>
  <c r="AH10" i="4" a="1"/>
  <c r="AH10" i="4" s="1"/>
  <c r="AH11" i="4" a="1"/>
  <c r="AH11" i="4" s="1"/>
  <c r="AH12" i="4" a="1"/>
  <c r="AH12" i="4" s="1"/>
  <c r="AH13" i="4" a="1"/>
  <c r="AH13" i="4" s="1"/>
  <c r="AH14" i="4" a="1"/>
  <c r="AH14" i="4" s="1"/>
  <c r="AH15" i="4" a="1"/>
  <c r="AH15" i="4" s="1"/>
  <c r="AH16" i="4" a="1"/>
  <c r="AH16" i="4" s="1"/>
  <c r="AH17" i="4" a="1"/>
  <c r="AH17" i="4" s="1"/>
  <c r="AH18" i="4" a="1"/>
  <c r="AH18" i="4" s="1"/>
  <c r="AH19" i="4" a="1"/>
  <c r="AH19" i="4" s="1"/>
  <c r="AH20" i="4" a="1"/>
  <c r="AH20" i="4" s="1"/>
  <c r="AH21" i="4" a="1"/>
  <c r="AH21" i="4" s="1"/>
  <c r="AH22" i="4" a="1"/>
  <c r="AH22" i="4" s="1"/>
  <c r="AH23" i="4" a="1"/>
  <c r="AH23" i="4" s="1"/>
  <c r="AH24" i="4" a="1"/>
  <c r="AH24" i="4" s="1"/>
  <c r="AH25" i="4" a="1"/>
  <c r="AH25" i="4" s="1"/>
  <c r="AH26" i="4" a="1"/>
  <c r="AH26" i="4" s="1"/>
  <c r="AH27" i="4" a="1"/>
  <c r="AH27" i="4" s="1"/>
  <c r="AH28" i="4" a="1"/>
  <c r="AH28" i="4" s="1"/>
  <c r="AH29" i="4" a="1"/>
  <c r="AH29" i="4" s="1"/>
  <c r="AH30" i="4" a="1"/>
  <c r="AH30" i="4" s="1"/>
  <c r="AH31" i="4" a="1"/>
  <c r="AH31" i="4" s="1"/>
  <c r="AH32" i="4" a="1"/>
  <c r="AH32" i="4" s="1"/>
  <c r="AH33" i="4" a="1"/>
  <c r="AH33" i="4" s="1"/>
  <c r="AH34" i="4" a="1"/>
  <c r="AH34" i="4" s="1"/>
  <c r="AH35" i="4" a="1"/>
  <c r="AH35" i="4" s="1"/>
  <c r="AH36" i="4" a="1"/>
  <c r="AH36" i="4" s="1"/>
  <c r="AH37" i="4" a="1"/>
  <c r="AH37" i="4" s="1"/>
  <c r="AH38" i="4" a="1"/>
  <c r="AH38" i="4" s="1"/>
  <c r="AH39" i="4" a="1"/>
  <c r="AH39" i="4" s="1"/>
  <c r="AH40" i="4" a="1"/>
  <c r="AH40" i="4" s="1"/>
  <c r="AH41" i="4" a="1"/>
  <c r="AH41" i="4" s="1"/>
  <c r="AH42" i="4" a="1"/>
  <c r="AH42" i="4" s="1"/>
  <c r="AH43" i="4" a="1"/>
  <c r="AH43" i="4" s="1"/>
  <c r="AH44" i="4" a="1"/>
  <c r="AH44" i="4" s="1"/>
  <c r="AH45" i="4" a="1"/>
  <c r="AH45" i="4" s="1"/>
  <c r="AH46" i="4" a="1"/>
  <c r="AH46" i="4" s="1"/>
  <c r="AH47" i="4" a="1"/>
  <c r="AH47" i="4" s="1"/>
  <c r="AH48" i="4" a="1"/>
  <c r="AH48" i="4" s="1"/>
  <c r="AH49" i="4" a="1"/>
  <c r="AH49" i="4" s="1"/>
  <c r="AH50" i="4" a="1"/>
  <c r="AH50" i="4" s="1"/>
  <c r="AH51" i="4" a="1"/>
  <c r="AH51" i="4" s="1"/>
  <c r="AH52" i="4" a="1"/>
  <c r="AH52" i="4" s="1"/>
  <c r="AH53" i="4" a="1"/>
  <c r="AH53" i="4" s="1"/>
  <c r="AH54" i="4" a="1"/>
  <c r="AH54" i="4" s="1"/>
  <c r="AH55" i="4" a="1"/>
  <c r="AH55" i="4" s="1"/>
  <c r="AH56" i="4" a="1"/>
  <c r="AH56" i="4" s="1"/>
  <c r="AH57" i="4" a="1"/>
  <c r="AH57" i="4" s="1"/>
  <c r="AH58" i="4" a="1"/>
  <c r="AH58" i="4" s="1"/>
  <c r="AH59" i="4" a="1"/>
  <c r="AH59" i="4" s="1"/>
  <c r="AH60" i="4" a="1"/>
  <c r="AH60" i="4" s="1"/>
  <c r="AH61" i="4" a="1"/>
  <c r="AH61" i="4" s="1"/>
  <c r="AH62" i="4" a="1"/>
  <c r="AH62" i="4" s="1"/>
  <c r="AH63" i="4" a="1"/>
  <c r="AH63" i="4" s="1"/>
  <c r="AH64" i="4" a="1"/>
  <c r="AH64" i="4" s="1"/>
  <c r="AH65" i="4" a="1"/>
  <c r="AH65" i="4" s="1"/>
  <c r="AH66" i="4" a="1"/>
  <c r="AH66" i="4" s="1"/>
  <c r="AH67" i="4" a="1"/>
  <c r="AH67" i="4" s="1"/>
  <c r="AH68" i="4" a="1"/>
  <c r="AH68" i="4" s="1"/>
  <c r="AH69" i="4" a="1"/>
  <c r="AH69" i="4" s="1"/>
  <c r="AH70" i="4" a="1"/>
  <c r="AH70" i="4" s="1"/>
  <c r="AH71" i="4" a="1"/>
  <c r="AH71" i="4" s="1"/>
  <c r="AH72" i="4" a="1"/>
  <c r="AH72" i="4" s="1"/>
  <c r="AH73" i="4" a="1"/>
  <c r="AH73" i="4" s="1"/>
  <c r="AH74" i="4" a="1"/>
  <c r="AH74" i="4" s="1"/>
  <c r="AH75" i="4" a="1"/>
  <c r="AH75" i="4" s="1"/>
  <c r="AH76" i="4" a="1"/>
  <c r="AH76" i="4" s="1"/>
  <c r="AH77" i="4" a="1"/>
  <c r="AH77" i="4" s="1"/>
  <c r="AH78" i="4" a="1"/>
  <c r="AH78" i="4" s="1"/>
  <c r="AH79" i="4" a="1"/>
  <c r="AH79" i="4" s="1"/>
  <c r="AH80" i="4" a="1"/>
  <c r="AH80" i="4" s="1"/>
  <c r="AH81" i="4" a="1"/>
  <c r="AH81" i="4" s="1"/>
  <c r="AH82" i="4" a="1"/>
  <c r="AH82" i="4" s="1"/>
  <c r="AH83" i="4" a="1"/>
  <c r="AH83" i="4" s="1"/>
  <c r="AH84" i="4" a="1"/>
  <c r="AH84" i="4" s="1"/>
  <c r="AH85" i="4" a="1"/>
  <c r="AH85" i="4" s="1"/>
  <c r="AH86" i="4" a="1"/>
  <c r="AH86" i="4" s="1"/>
  <c r="AH87" i="4" a="1"/>
  <c r="AH87" i="4" s="1"/>
  <c r="AH88" i="4" a="1"/>
  <c r="AH88" i="4" s="1"/>
  <c r="AH89" i="4" a="1"/>
  <c r="AH89" i="4" s="1"/>
  <c r="AH90" i="4" a="1"/>
  <c r="AH90" i="4" s="1"/>
  <c r="AH91" i="4" a="1"/>
  <c r="AH91" i="4" s="1"/>
  <c r="AH92" i="4" a="1"/>
  <c r="AH92" i="4" s="1"/>
  <c r="AH93" i="4" a="1"/>
  <c r="AH93" i="4" s="1"/>
  <c r="AH94" i="4" a="1"/>
  <c r="AH94" i="4" s="1"/>
  <c r="AH95" i="4" a="1"/>
  <c r="AH95" i="4" s="1"/>
  <c r="AH96" i="4" a="1"/>
  <c r="AH96" i="4" s="1"/>
  <c r="AH97" i="4" a="1"/>
  <c r="AH97" i="4" s="1"/>
  <c r="AH98" i="4" a="1"/>
  <c r="AH98" i="4" s="1"/>
  <c r="AH99" i="4" a="1"/>
  <c r="AH99" i="4" s="1"/>
  <c r="AH100" i="4" a="1"/>
  <c r="AH100" i="4" s="1"/>
  <c r="AH101" i="4" a="1"/>
  <c r="AH101" i="4" s="1"/>
  <c r="AG7" i="4" a="1"/>
  <c r="AG7" i="4" s="1"/>
  <c r="AG8" i="4" a="1"/>
  <c r="AG8" i="4" s="1"/>
  <c r="AG9" i="4" a="1"/>
  <c r="AG9" i="4" s="1"/>
  <c r="AG10" i="4" a="1"/>
  <c r="AG10" i="4" s="1"/>
  <c r="AG11" i="4" a="1"/>
  <c r="AG11" i="4" s="1"/>
  <c r="AG12" i="4" a="1"/>
  <c r="AG12" i="4" s="1"/>
  <c r="AG13" i="4" a="1"/>
  <c r="AG13" i="4" s="1"/>
  <c r="AG14" i="4" a="1"/>
  <c r="AG14" i="4" s="1"/>
  <c r="AG15" i="4" a="1"/>
  <c r="AG15" i="4" s="1"/>
  <c r="AG16" i="4" a="1"/>
  <c r="AG16" i="4" s="1"/>
  <c r="AG17" i="4" a="1"/>
  <c r="AG17" i="4" s="1"/>
  <c r="AG18" i="4" a="1"/>
  <c r="AG18" i="4" s="1"/>
  <c r="AG19" i="4" a="1"/>
  <c r="AG19" i="4" s="1"/>
  <c r="AG20" i="4" a="1"/>
  <c r="AG20" i="4" s="1"/>
  <c r="AG21" i="4" a="1"/>
  <c r="AG21" i="4" s="1"/>
  <c r="AG22" i="4" a="1"/>
  <c r="AG22" i="4" s="1"/>
  <c r="AG23" i="4" a="1"/>
  <c r="AG23" i="4" s="1"/>
  <c r="AG24" i="4" a="1"/>
  <c r="AG24" i="4" s="1"/>
  <c r="AG25" i="4" a="1"/>
  <c r="AG25" i="4" s="1"/>
  <c r="AG26" i="4" a="1"/>
  <c r="AG26" i="4" s="1"/>
  <c r="AG27" i="4" a="1"/>
  <c r="AG27" i="4" s="1"/>
  <c r="AG28" i="4" a="1"/>
  <c r="AG28" i="4" s="1"/>
  <c r="AG29" i="4" a="1"/>
  <c r="AG29" i="4" s="1"/>
  <c r="AG30" i="4" a="1"/>
  <c r="AG30" i="4" s="1"/>
  <c r="AG31" i="4" a="1"/>
  <c r="AG31" i="4" s="1"/>
  <c r="AG32" i="4" a="1"/>
  <c r="AG32" i="4" s="1"/>
  <c r="AG33" i="4" a="1"/>
  <c r="AG33" i="4" s="1"/>
  <c r="AG34" i="4" a="1"/>
  <c r="AG34" i="4" s="1"/>
  <c r="AG35" i="4" a="1"/>
  <c r="AG35" i="4" s="1"/>
  <c r="AG36" i="4" a="1"/>
  <c r="AG36" i="4" s="1"/>
  <c r="AG37" i="4" a="1"/>
  <c r="AG37" i="4" s="1"/>
  <c r="AG38" i="4" a="1"/>
  <c r="AG38" i="4" s="1"/>
  <c r="AG39" i="4" a="1"/>
  <c r="AG39" i="4" s="1"/>
  <c r="AG40" i="4" a="1"/>
  <c r="AG40" i="4" s="1"/>
  <c r="AG41" i="4" a="1"/>
  <c r="AG41" i="4" s="1"/>
  <c r="AG42" i="4" a="1"/>
  <c r="AG42" i="4" s="1"/>
  <c r="AG43" i="4" a="1"/>
  <c r="AG43" i="4" s="1"/>
  <c r="AG44" i="4" a="1"/>
  <c r="AG44" i="4" s="1"/>
  <c r="AG45" i="4" a="1"/>
  <c r="AG45" i="4" s="1"/>
  <c r="AG46" i="4" a="1"/>
  <c r="AG46" i="4" s="1"/>
  <c r="AG47" i="4" a="1"/>
  <c r="AG47" i="4" s="1"/>
  <c r="AG48" i="4" a="1"/>
  <c r="AG48" i="4" s="1"/>
  <c r="AG49" i="4" a="1"/>
  <c r="AG49" i="4" s="1"/>
  <c r="AG50" i="4" a="1"/>
  <c r="AG50" i="4" s="1"/>
  <c r="AG51" i="4" a="1"/>
  <c r="AG51" i="4" s="1"/>
  <c r="AG52" i="4" a="1"/>
  <c r="AG52" i="4" s="1"/>
  <c r="AG53" i="4" a="1"/>
  <c r="AG53" i="4" s="1"/>
  <c r="AG54" i="4" a="1"/>
  <c r="AG54" i="4" s="1"/>
  <c r="AG55" i="4" a="1"/>
  <c r="AG55" i="4" s="1"/>
  <c r="AG56" i="4" a="1"/>
  <c r="AG56" i="4" s="1"/>
  <c r="AG57" i="4" a="1"/>
  <c r="AG57" i="4" s="1"/>
  <c r="AG58" i="4" a="1"/>
  <c r="AG58" i="4" s="1"/>
  <c r="AG59" i="4" a="1"/>
  <c r="AG59" i="4" s="1"/>
  <c r="AG60" i="4" a="1"/>
  <c r="AG60" i="4" s="1"/>
  <c r="AG61" i="4" a="1"/>
  <c r="AG61" i="4" s="1"/>
  <c r="AG62" i="4" a="1"/>
  <c r="AG62" i="4" s="1"/>
  <c r="AG63" i="4" a="1"/>
  <c r="AG63" i="4" s="1"/>
  <c r="AG64" i="4" a="1"/>
  <c r="AG64" i="4" s="1"/>
  <c r="AG65" i="4" a="1"/>
  <c r="AG65" i="4" s="1"/>
  <c r="AG66" i="4" a="1"/>
  <c r="AG66" i="4" s="1"/>
  <c r="AG67" i="4" a="1"/>
  <c r="AG67" i="4" s="1"/>
  <c r="AG68" i="4" a="1"/>
  <c r="AG68" i="4" s="1"/>
  <c r="AG69" i="4" a="1"/>
  <c r="AG69" i="4" s="1"/>
  <c r="AG70" i="4" a="1"/>
  <c r="AG70" i="4" s="1"/>
  <c r="AG71" i="4" a="1"/>
  <c r="AG71" i="4" s="1"/>
  <c r="AG72" i="4" a="1"/>
  <c r="AG72" i="4" s="1"/>
  <c r="AG73" i="4" a="1"/>
  <c r="AG73" i="4" s="1"/>
  <c r="AG74" i="4" a="1"/>
  <c r="AG74" i="4" s="1"/>
  <c r="AG75" i="4" a="1"/>
  <c r="AG75" i="4" s="1"/>
  <c r="AG76" i="4" a="1"/>
  <c r="AG76" i="4" s="1"/>
  <c r="AG77" i="4" a="1"/>
  <c r="AG77" i="4" s="1"/>
  <c r="AG78" i="4" a="1"/>
  <c r="AG78" i="4" s="1"/>
  <c r="AG79" i="4" a="1"/>
  <c r="AG79" i="4" s="1"/>
  <c r="AG80" i="4" a="1"/>
  <c r="AG80" i="4" s="1"/>
  <c r="AG81" i="4" a="1"/>
  <c r="AG81" i="4" s="1"/>
  <c r="AG82" i="4" a="1"/>
  <c r="AG82" i="4" s="1"/>
  <c r="AG83" i="4" a="1"/>
  <c r="AG83" i="4" s="1"/>
  <c r="AG84" i="4" a="1"/>
  <c r="AG84" i="4" s="1"/>
  <c r="AG85" i="4" a="1"/>
  <c r="AG85" i="4" s="1"/>
  <c r="AG86" i="4" a="1"/>
  <c r="AG86" i="4" s="1"/>
  <c r="AG87" i="4" a="1"/>
  <c r="AG87" i="4" s="1"/>
  <c r="AG88" i="4" a="1"/>
  <c r="AG88" i="4" s="1"/>
  <c r="AG89" i="4" a="1"/>
  <c r="AG89" i="4" s="1"/>
  <c r="AG90" i="4" a="1"/>
  <c r="AG90" i="4" s="1"/>
  <c r="AG91" i="4" a="1"/>
  <c r="AG91" i="4" s="1"/>
  <c r="AG92" i="4" a="1"/>
  <c r="AG92" i="4" s="1"/>
  <c r="AG93" i="4" a="1"/>
  <c r="AG93" i="4" s="1"/>
  <c r="AG94" i="4" a="1"/>
  <c r="AG94" i="4" s="1"/>
  <c r="AG95" i="4" a="1"/>
  <c r="AG95" i="4" s="1"/>
  <c r="AG96" i="4" a="1"/>
  <c r="AG96" i="4" s="1"/>
  <c r="AG97" i="4" a="1"/>
  <c r="AG97" i="4" s="1"/>
  <c r="AG98" i="4" a="1"/>
  <c r="AG98" i="4" s="1"/>
  <c r="AG99" i="4" a="1"/>
  <c r="AG99" i="4" s="1"/>
  <c r="AG100" i="4" a="1"/>
  <c r="AG100" i="4" s="1"/>
  <c r="AG101" i="4" a="1"/>
  <c r="AG101" i="4" s="1"/>
  <c r="AG12" i="15"/>
  <c r="AF12" i="15"/>
  <c r="AE12" i="15"/>
  <c r="AD12" i="15"/>
  <c r="AC12" i="15"/>
  <c r="AB12" i="15"/>
  <c r="AA12" i="15"/>
  <c r="Z12" i="15"/>
  <c r="Y12" i="15"/>
  <c r="X12" i="15"/>
  <c r="W12" i="15"/>
  <c r="V12" i="15"/>
  <c r="U12" i="15"/>
  <c r="T12" i="15"/>
  <c r="S12" i="15"/>
  <c r="R12" i="15"/>
  <c r="Q12" i="15"/>
  <c r="P12" i="15"/>
  <c r="O12" i="15"/>
  <c r="N12" i="15"/>
  <c r="M12" i="15"/>
  <c r="L12" i="15"/>
  <c r="K12" i="15"/>
  <c r="J12" i="15"/>
  <c r="I12" i="15"/>
  <c r="H12" i="15"/>
  <c r="G12" i="15"/>
  <c r="F12" i="15"/>
  <c r="E12" i="15"/>
  <c r="D12" i="15"/>
  <c r="C12" i="15"/>
  <c r="B12" i="15"/>
  <c r="AH11" i="15"/>
  <c r="AH10" i="15"/>
  <c r="AH9" i="15"/>
  <c r="AH8" i="15"/>
  <c r="AH7" i="15"/>
  <c r="AH12" i="15" s="1"/>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H4" i="15"/>
  <c r="B1" i="15"/>
  <c r="AH12" i="25"/>
  <c r="AG12" i="25"/>
  <c r="AF12" i="25"/>
  <c r="AE12" i="25"/>
  <c r="AD12" i="25"/>
  <c r="AC12" i="25"/>
  <c r="AB12" i="25"/>
  <c r="AA12" i="25"/>
  <c r="Z12" i="25"/>
  <c r="Y12" i="25"/>
  <c r="X12" i="25"/>
  <c r="W12" i="25"/>
  <c r="V12" i="25"/>
  <c r="U12" i="25"/>
  <c r="T12" i="25"/>
  <c r="S12" i="25"/>
  <c r="R12" i="25"/>
  <c r="Q12" i="25"/>
  <c r="P12" i="25"/>
  <c r="O12" i="25"/>
  <c r="N12" i="25"/>
  <c r="M12" i="25"/>
  <c r="L12" i="25"/>
  <c r="K12" i="25"/>
  <c r="J12" i="25"/>
  <c r="I12" i="25"/>
  <c r="H12" i="25"/>
  <c r="G12" i="25"/>
  <c r="F12" i="25"/>
  <c r="E12" i="25"/>
  <c r="D12" i="25"/>
  <c r="C12" i="25"/>
  <c r="B12" i="25"/>
  <c r="AH11" i="25"/>
  <c r="AH10" i="25"/>
  <c r="AH9" i="25"/>
  <c r="AH8" i="25"/>
  <c r="AH7" i="25"/>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H4" i="25"/>
  <c r="B1" i="25"/>
  <c r="AH12" i="24"/>
  <c r="AG12" i="24"/>
  <c r="AF12" i="24"/>
  <c r="AE12" i="24"/>
  <c r="AD12" i="24"/>
  <c r="AC12" i="24"/>
  <c r="AB12" i="24"/>
  <c r="AA12" i="24"/>
  <c r="Z12" i="24"/>
  <c r="Y12" i="24"/>
  <c r="X12" i="24"/>
  <c r="W12" i="24"/>
  <c r="V12" i="24"/>
  <c r="U12" i="24"/>
  <c r="T12" i="24"/>
  <c r="S12" i="24"/>
  <c r="R12" i="24"/>
  <c r="Q12" i="24"/>
  <c r="P12" i="24"/>
  <c r="O12" i="24"/>
  <c r="N12" i="24"/>
  <c r="M12" i="24"/>
  <c r="L12" i="24"/>
  <c r="K12" i="24"/>
  <c r="J12" i="24"/>
  <c r="I12" i="24"/>
  <c r="H12" i="24"/>
  <c r="G12" i="24"/>
  <c r="F12" i="24"/>
  <c r="E12" i="24"/>
  <c r="D12" i="24"/>
  <c r="C12" i="24"/>
  <c r="B12" i="24"/>
  <c r="AH11" i="24"/>
  <c r="AH10" i="24"/>
  <c r="AH9" i="24"/>
  <c r="AH8" i="24"/>
  <c r="AH7" i="24"/>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H4" i="24"/>
  <c r="B1" i="24"/>
  <c r="AH12" i="23"/>
  <c r="AG12" i="23"/>
  <c r="AF12" i="23"/>
  <c r="AE12" i="23"/>
  <c r="AD12" i="23"/>
  <c r="AC12" i="23"/>
  <c r="AB12" i="23"/>
  <c r="AA12" i="23"/>
  <c r="Z12" i="23"/>
  <c r="Y12" i="23"/>
  <c r="X12" i="23"/>
  <c r="W12" i="23"/>
  <c r="V12" i="23"/>
  <c r="U12" i="23"/>
  <c r="T12" i="23"/>
  <c r="S12" i="23"/>
  <c r="R12" i="23"/>
  <c r="Q12" i="23"/>
  <c r="P12" i="23"/>
  <c r="O12" i="23"/>
  <c r="N12" i="23"/>
  <c r="M12" i="23"/>
  <c r="L12" i="23"/>
  <c r="K12" i="23"/>
  <c r="J12" i="23"/>
  <c r="I12" i="23"/>
  <c r="H12" i="23"/>
  <c r="G12" i="23"/>
  <c r="F12" i="23"/>
  <c r="E12" i="23"/>
  <c r="D12" i="23"/>
  <c r="C12" i="23"/>
  <c r="B12" i="23"/>
  <c r="AH11" i="23"/>
  <c r="AH10" i="23"/>
  <c r="AH9" i="23"/>
  <c r="AH8" i="23"/>
  <c r="AH7" i="23"/>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H4" i="23"/>
  <c r="B1" i="23"/>
  <c r="AH12" i="22"/>
  <c r="AG12" i="22"/>
  <c r="AF12" i="22"/>
  <c r="AE12" i="22"/>
  <c r="AD12" i="22"/>
  <c r="AC12" i="22"/>
  <c r="AB12" i="22"/>
  <c r="AA12" i="22"/>
  <c r="Z12" i="22"/>
  <c r="Y12" i="22"/>
  <c r="X12" i="22"/>
  <c r="W12" i="22"/>
  <c r="V12" i="22"/>
  <c r="U12" i="22"/>
  <c r="T12" i="22"/>
  <c r="S12" i="22"/>
  <c r="R12" i="22"/>
  <c r="Q12" i="22"/>
  <c r="P12" i="22"/>
  <c r="O12" i="22"/>
  <c r="N12" i="22"/>
  <c r="M12" i="22"/>
  <c r="L12" i="22"/>
  <c r="K12" i="22"/>
  <c r="J12" i="22"/>
  <c r="I12" i="22"/>
  <c r="H12" i="22"/>
  <c r="G12" i="22"/>
  <c r="F12" i="22"/>
  <c r="E12" i="22"/>
  <c r="D12" i="22"/>
  <c r="C12" i="22"/>
  <c r="B12" i="22"/>
  <c r="AH11" i="22"/>
  <c r="AH10" i="22"/>
  <c r="AH9" i="22"/>
  <c r="AH8" i="22"/>
  <c r="AH7" i="22"/>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H4" i="22"/>
  <c r="B1" i="22"/>
  <c r="AH12" i="21"/>
  <c r="AG12" i="21"/>
  <c r="AF12" i="21"/>
  <c r="AE12" i="21"/>
  <c r="AD12" i="21"/>
  <c r="AC12" i="21"/>
  <c r="AB12" i="21"/>
  <c r="AA12" i="21"/>
  <c r="Z12" i="21"/>
  <c r="Y12" i="21"/>
  <c r="X12" i="21"/>
  <c r="W12" i="21"/>
  <c r="V12" i="21"/>
  <c r="U12" i="21"/>
  <c r="T12" i="21"/>
  <c r="S12" i="21"/>
  <c r="R12" i="21"/>
  <c r="Q12" i="21"/>
  <c r="P12" i="21"/>
  <c r="O12" i="21"/>
  <c r="N12" i="21"/>
  <c r="M12" i="21"/>
  <c r="L12" i="21"/>
  <c r="K12" i="21"/>
  <c r="J12" i="21"/>
  <c r="I12" i="21"/>
  <c r="H12" i="21"/>
  <c r="G12" i="21"/>
  <c r="F12" i="21"/>
  <c r="E12" i="21"/>
  <c r="D12" i="21"/>
  <c r="C12" i="21"/>
  <c r="B12" i="21"/>
  <c r="AH11" i="21"/>
  <c r="AH10" i="21"/>
  <c r="AH9" i="21"/>
  <c r="AH8" i="21"/>
  <c r="AH7" i="21"/>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H4" i="21"/>
  <c r="B1" i="21"/>
  <c r="AH12" i="20"/>
  <c r="AG12" i="20"/>
  <c r="AF12" i="20"/>
  <c r="AE12" i="20"/>
  <c r="AD12" i="20"/>
  <c r="AC12" i="20"/>
  <c r="AB12" i="20"/>
  <c r="AA12" i="20"/>
  <c r="Z12" i="20"/>
  <c r="Y12" i="20"/>
  <c r="X12" i="20"/>
  <c r="W12" i="20"/>
  <c r="V12" i="20"/>
  <c r="U12" i="20"/>
  <c r="T12" i="20"/>
  <c r="S12" i="20"/>
  <c r="R12" i="20"/>
  <c r="Q12" i="20"/>
  <c r="P12" i="20"/>
  <c r="O12" i="20"/>
  <c r="N12" i="20"/>
  <c r="M12" i="20"/>
  <c r="L12" i="20"/>
  <c r="K12" i="20"/>
  <c r="J12" i="20"/>
  <c r="I12" i="20"/>
  <c r="H12" i="20"/>
  <c r="G12" i="20"/>
  <c r="F12" i="20"/>
  <c r="E12" i="20"/>
  <c r="D12" i="20"/>
  <c r="C12" i="20"/>
  <c r="B12" i="20"/>
  <c r="AH11" i="20"/>
  <c r="AH10" i="20"/>
  <c r="AH9" i="20"/>
  <c r="AH8" i="20"/>
  <c r="AH7" i="20"/>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H4" i="20"/>
  <c r="B1" i="20"/>
  <c r="AH12" i="19"/>
  <c r="AG12" i="19"/>
  <c r="AF12" i="19"/>
  <c r="AE12" i="19"/>
  <c r="AD12" i="19"/>
  <c r="AC12" i="19"/>
  <c r="AB12" i="19"/>
  <c r="AA12" i="19"/>
  <c r="Z12" i="19"/>
  <c r="Y12" i="19"/>
  <c r="X12" i="19"/>
  <c r="W12" i="19"/>
  <c r="V12" i="19"/>
  <c r="U12" i="19"/>
  <c r="T12" i="19"/>
  <c r="S12" i="19"/>
  <c r="R12" i="19"/>
  <c r="Q12" i="19"/>
  <c r="P12" i="19"/>
  <c r="O12" i="19"/>
  <c r="N12" i="19"/>
  <c r="M12" i="19"/>
  <c r="L12" i="19"/>
  <c r="K12" i="19"/>
  <c r="J12" i="19"/>
  <c r="I12" i="19"/>
  <c r="H12" i="19"/>
  <c r="G12" i="19"/>
  <c r="F12" i="19"/>
  <c r="E12" i="19"/>
  <c r="D12" i="19"/>
  <c r="C12" i="19"/>
  <c r="B12" i="19"/>
  <c r="AH11" i="19"/>
  <c r="AH10" i="19"/>
  <c r="AH9" i="19"/>
  <c r="AH8" i="19"/>
  <c r="AH7" i="19"/>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H4" i="19"/>
  <c r="B1" i="19"/>
  <c r="AH12" i="18"/>
  <c r="AG12" i="18"/>
  <c r="AF12" i="18"/>
  <c r="AE12" i="18"/>
  <c r="AD12" i="18"/>
  <c r="AC12" i="18"/>
  <c r="AB12" i="18"/>
  <c r="AA12" i="18"/>
  <c r="Z12" i="18"/>
  <c r="Y12" i="18"/>
  <c r="X12" i="18"/>
  <c r="W12" i="18"/>
  <c r="V12" i="18"/>
  <c r="U12" i="18"/>
  <c r="T12" i="18"/>
  <c r="S12" i="18"/>
  <c r="R12" i="18"/>
  <c r="Q12" i="18"/>
  <c r="P12" i="18"/>
  <c r="O12" i="18"/>
  <c r="N12" i="18"/>
  <c r="M12" i="18"/>
  <c r="L12" i="18"/>
  <c r="K12" i="18"/>
  <c r="J12" i="18"/>
  <c r="I12" i="18"/>
  <c r="H12" i="18"/>
  <c r="G12" i="18"/>
  <c r="F12" i="18"/>
  <c r="E12" i="18"/>
  <c r="D12" i="18"/>
  <c r="C12" i="18"/>
  <c r="B12" i="18"/>
  <c r="AH11" i="18"/>
  <c r="AH10" i="18"/>
  <c r="AH9" i="18"/>
  <c r="AH8" i="18"/>
  <c r="AH7" i="18"/>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H4" i="18"/>
  <c r="B1" i="18"/>
  <c r="AH12" i="17"/>
  <c r="AG12" i="17"/>
  <c r="AF12" i="17"/>
  <c r="AE12" i="17"/>
  <c r="AD12" i="17"/>
  <c r="AC12" i="17"/>
  <c r="AB12" i="17"/>
  <c r="AA12" i="17"/>
  <c r="Z12" i="17"/>
  <c r="Y12" i="17"/>
  <c r="X12" i="17"/>
  <c r="W12" i="17"/>
  <c r="V12" i="17"/>
  <c r="U12" i="17"/>
  <c r="T12" i="17"/>
  <c r="S12" i="17"/>
  <c r="R12" i="17"/>
  <c r="Q12" i="17"/>
  <c r="P12" i="17"/>
  <c r="O12" i="17"/>
  <c r="N12" i="17"/>
  <c r="M12" i="17"/>
  <c r="L12" i="17"/>
  <c r="K12" i="17"/>
  <c r="J12" i="17"/>
  <c r="I12" i="17"/>
  <c r="H12" i="17"/>
  <c r="G12" i="17"/>
  <c r="F12" i="17"/>
  <c r="E12" i="17"/>
  <c r="D12" i="17"/>
  <c r="C12" i="17"/>
  <c r="B12" i="17"/>
  <c r="AH11" i="17"/>
  <c r="AH10" i="17"/>
  <c r="AH9" i="17"/>
  <c r="AH8" i="17"/>
  <c r="AH7" i="17"/>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H4" i="17"/>
  <c r="B1" i="17"/>
  <c r="AH12" i="5"/>
  <c r="AE12" i="5"/>
  <c r="AD12" i="5"/>
  <c r="AC12" i="5"/>
  <c r="AB12" i="5"/>
  <c r="AA12" i="5"/>
  <c r="Z12" i="5"/>
  <c r="Y12" i="5"/>
  <c r="X12" i="5"/>
  <c r="W12" i="5"/>
  <c r="V12" i="5"/>
  <c r="U12" i="5"/>
  <c r="T12" i="5"/>
  <c r="S12" i="5"/>
  <c r="R12" i="5"/>
  <c r="Q12" i="5"/>
  <c r="P12" i="5"/>
  <c r="O12" i="5"/>
  <c r="N12" i="5"/>
  <c r="M12" i="5"/>
  <c r="L12" i="5"/>
  <c r="K12" i="5"/>
  <c r="J12" i="5"/>
  <c r="I12" i="5"/>
  <c r="H12" i="5"/>
  <c r="G12" i="5"/>
  <c r="F12" i="5"/>
  <c r="E12" i="5"/>
  <c r="D12" i="5"/>
  <c r="C12" i="5"/>
  <c r="B12" i="5"/>
  <c r="AH11" i="5"/>
  <c r="AH10" i="5"/>
  <c r="AH9" i="5"/>
  <c r="AH8" i="5"/>
  <c r="AH7" i="5"/>
  <c r="AE5" i="5"/>
  <c r="AD5" i="5"/>
  <c r="AC5" i="5"/>
  <c r="AB5" i="5"/>
  <c r="AA5" i="5"/>
  <c r="Z5" i="5"/>
  <c r="Y5" i="5"/>
  <c r="X5" i="5"/>
  <c r="W5" i="5"/>
  <c r="V5" i="5"/>
  <c r="U5" i="5"/>
  <c r="T5" i="5"/>
  <c r="S5" i="5"/>
  <c r="R5" i="5"/>
  <c r="Q5" i="5"/>
  <c r="P5" i="5"/>
  <c r="O5" i="5"/>
  <c r="N5" i="5"/>
  <c r="M5" i="5"/>
  <c r="L5" i="5"/>
  <c r="K5" i="5"/>
  <c r="J5" i="5"/>
  <c r="I5" i="5"/>
  <c r="H5" i="5"/>
  <c r="G5" i="5"/>
  <c r="F5" i="5"/>
  <c r="E5" i="5"/>
  <c r="D5" i="5"/>
  <c r="C5" i="5"/>
  <c r="AH4" i="5"/>
  <c r="B1" i="5"/>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B5" i="4"/>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62C3BFBE-62A7-441A-9FEC-C9B5E292322B}" keepAlive="1" name="Requête - walou" description="Connexion à la requête « walou » dans le classeur." type="5" refreshedVersion="0" background="1">
    <dbPr connection="Provider=Microsoft.Mashup.OleDb.1;Data Source=$Workbook$;Location=walou;Extended Properties=&quot;&quot;" command="SELECT * FROM [walou]"/>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<sst xmlns="http://schemas.openxmlformats.org/spreadsheetml/2006/main" count="604" uniqueCount="81">
  <si>
    <t>Clé de motif d’absence</t>
  </si>
  <si>
    <t>Janvier</t>
  </si>
  <si>
    <t>Nom de l’employé</t>
  </si>
  <si>
    <t>Employé 1</t>
  </si>
  <si>
    <t>Employé 2</t>
  </si>
  <si>
    <t>Employé 3</t>
  </si>
  <si>
    <t>Employé 4</t>
  </si>
  <si>
    <t>Employé 5</t>
  </si>
  <si>
    <t>C</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</si>
  <si>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</si>
  <si>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</si>
  <si>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</si>
  <si>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</si>
  <si>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</si>
  <si>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</si>
  <si>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</si>
  <si>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</si>
  <si>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</si>
  <si>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</si>
  <si>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</si>
  <si>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</si>
  <si>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</si>
  <si>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</si>
  <si>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</si>
  <si>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</si>
  <si>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</si>
  <si>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</si>
  <si>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</si>
  <si>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</si>
  <si>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</si>
  <si>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</si>
  <si>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</si>
  <si>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</si>
  <si>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</si>
  <si>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</si>
  <si>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</si>
  <si>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</si>
  <si>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</si>
  <si>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</si>
  <si>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</si>
  <si>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</si>
  <si>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</si>
  <si>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</si>
  <si>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</si>
  <si>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</si>
  <si>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</si>
  <si>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</si>
  <si>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</si>
  <si>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</si>
  <si>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</si>
  <si>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</si>
  <si>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</si>
  <si>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</si>
  <si>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</si>
  <si>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</si>
  <si>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</si>
  <si>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</si>
  <si>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</si>
  <si>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</si>
  <si>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</si>
  <si>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</si>
  <si>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</si>
  <si>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J</t>
  </si>
  <si>
    <t>Marie</t>
  </si>
  <si>
    <t>D</t>
  </si>
  <si>
    <t>Journée (sup. 8h)</t>
  </si>
  <si>
    <t>R1</t>
  </si>
  <si>
    <t>Clé de remplissage</t>
  </si>
  <si>
    <t>R2</t>
  </si>
  <si>
    <t>Réunion (sup. 4h)</t>
  </si>
  <si>
    <t>Présences des animateurs de l'accueil de loisirs des mercredis / vacances scolaires</t>
  </si>
  <si>
    <t>Journée animateur adjoint de direction</t>
  </si>
  <si>
    <t>J2</t>
  </si>
  <si>
    <t xml:space="preserve">Nom / Prénom </t>
  </si>
  <si>
    <t>Forfaits</t>
  </si>
  <si>
    <t>Demi-journée (max 4h)</t>
  </si>
  <si>
    <t>Réunion (max 4h)</t>
  </si>
  <si>
    <t>Marie JOUIJN</t>
  </si>
  <si>
    <t>Prime demi-journée</t>
  </si>
  <si>
    <t>Prime journée</t>
  </si>
  <si>
    <t>Prime Adjoint Direction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</si>
</sst>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7"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1"/>
      <name val="Book Antiqua"/>
      <family val="1"/>
    </font>
    <font>
      <b/>
      <sz val="26"/>
      <color rgb="FF002060"/>
      <name val="Book Antiqua"/>
      <family val="1"/>
    </font>
    <font>
      <b/>
      <sz val="11"/>
      <color theme="1"/>
      <name val="Book Antiqua"/>
      <family val="1"/>
    </font>
    <font>
      <sz val="8"/>
      <name val="Calibri"/>
      <family val="2"/>
      <scheme val="minor"/>
    </font>
    <font>
      <b/>
      <sz val="11"/>
      <color theme="0"/>
      <name val="Book Antiqua"/>
      <family val="1"/>
    </font>
    <font>
      <b/>
      <sz val="18"/>
      <color theme="4" tint="-0.24994659260841701"/>
      <name val="Book Antiqua"/>
      <family val="1"/>
    </font>
    <font>
      <sz val="11"/>
      <color theme="4" tint="-0.499984740745262"/>
      <name val="Book Antiqua"/>
      <family val="1"/>
    </font>
    <font>
      <b/>
      <sz val="22"/>
      <color theme="4" tint="-0.24994659260841701"/>
      <name val="Book Antiqua"/>
      <family val="1"/>
    </font>
  </fonts>
  <fills count="34">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8" tint="0.39997558519241921"/>
        <bgColor indexed="64"/>
      </patternFill>
    </fill>
  </fills>
  <borders count="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38">
    <xf numFmtId="0" fontId="0" fillId="0" borderId="0" xfId="0">
      <alignment horizontal="left" vertical="center"/>
    </xf>
    <xf numFmtId="0" fontId="0" fillId="0" borderId="0" xfId="0" applyAlignment="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Alignment="1" applyProtection="1">
      <alignment horizontal="center" vertical="center"/>
    </xf>
    <xf numFmtId="166" fontId="2" fillId="9" borderId="0" xfId="8" applyNumberFormat="1" applyAlignment="1" applyProtection="1">
      <alignment horizontal="center" vertical="center"/>
    </xf>
    <xf numFmtId="166" fontId="2" fillId="14" borderId="0" xfId="24" applyNumberForma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5" fillId="2" borderId="0" xfId="3" applyProtection="1">
      <alignment horizontal="center" vertical="center"/>
    </xf>
    <xf numFmtId="166" fontId="0" fillId="0" borderId="0" xfId="0" applyNumberFormat="1" applyAlignment="1">
      <alignment horizontal="center" vertical="center"/>
    </xf>
    <xf numFmtId="0" fontId="6" fillId="0" borderId="0" xfId="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2" fillId="20" borderId="0" xfId="4" applyProtection="1">
      <alignment horizontal="right" vertical="center" indent="1"/>
    </xf>
    <xf numFmtId="0" fontId="0" fillId="0" borderId="0" xfId="0" applyAlignment="1">
      <alignment horizontal="left" vertical="center" indent="1"/>
    </xf>
    <xf numFmtId="0" fontId="8" fillId="0" borderId="0" xfId="0" applyFont="1" applyAlignment="1">
      <alignment horizontal="center" vertical="center"/>
    </xf>
    <xf numFmtId="0" fontId="19" fillId="0" borderId="0" xfId="0" applyFont="1">
      <alignment horizontal="left" vertical="center"/>
    </xf>
    <xf numFmtId="0" fontId="20" fillId="0" borderId="0" xfId="1" applyFont="1" applyProtection="1">
      <alignment vertical="top"/>
    </xf>
    <xf numFmtId="0" fontId="21" fillId="15" borderId="0" xfId="12" applyFont="1" applyAlignment="1" applyProtection="1">
      <alignment horizontal="center" vertical="center"/>
    </xf>
    <xf numFmtId="0" fontId="21" fillId="10" borderId="0" xfId="19" applyFont="1" applyAlignment="1" applyProtection="1">
      <alignment horizontal="center" vertical="center"/>
    </xf>
    <xf numFmtId="0" fontId="21" fillId="13" borderId="0" xfId="23" applyFont="1" applyAlignment="1" applyProtection="1">
      <alignment horizontal="center" vertical="center"/>
    </xf>
    <xf numFmtId="166" fontId="21" fillId="9" borderId="0" xfId="8" applyNumberFormat="1" applyFont="1" applyAlignment="1" applyProtection="1">
      <alignment horizontal="center" vertical="center"/>
    </xf>
    <xf numFmtId="166" fontId="21" fillId="14" borderId="0" xfId="24" applyNumberFormat="1" applyFont="1" applyAlignment="1" applyProtection="1">
      <alignment horizontal="center" vertical="center"/>
    </xf>
    <xf numFmtId="0" fontId="19" fillId="0" borderId="0" xfId="0" applyFont="1" applyAlignment="1">
      <alignment horizontal="center" vertical="center"/>
    </xf>
    <xf numFmtId="0" fontId="21" fillId="20" borderId="0" xfId="4" applyFont="1" applyAlignment="1" applyProtection="1">
      <alignment horizontal="center" vertical="center"/>
    </xf>
    <xf numFmtId="1" fontId="19" fillId="0" borderId="0" xfId="25" applyFont="1" applyFill="1" applyBorder="1" applyProtection="1">
      <alignment horizontal="center" vertical="center"/>
    </xf>
    <xf numFmtId="0" fontId="19" fillId="2" borderId="0" xfId="21" applyFont="1" applyBorder="1" applyAlignment="1" applyProtection="1">
      <alignment horizontal="center" vertical="center"/>
    </xf>
    <xf numFmtId="0" fontId="19" fillId="0" borderId="0" xfId="26" applyFont="1" applyFill="1" applyBorder="1" applyAlignment="1">
      <alignment horizontal="center" vertical="center" wrapText="1"/>
    </xf>
    <xf numFmtId="0" fontId="24" fillId="2" borderId="0" xfId="3" applyFont="1" applyProtection="1">
      <alignment horizontal="center" vertical="center"/>
    </xf>
    <xf numFmtId="0" fontId="23" fillId="33" borderId="0" xfId="21" applyFont="1" applyFill="1" applyBorder="1" applyAlignment="1" applyProtection="1">
      <alignment horizontal="center" vertical="center"/>
    </xf>
    <xf numFmtId="0" fontId="23" fillId="33" borderId="0" xfId="0" applyFont="1" applyFill="1" applyAlignment="1">
      <alignment horizontal="center" vertical="center" wrapText="1"/>
    </xf>
    <xf numFmtId="0" fontId="25" fillId="0" borderId="0" xfId="27" applyFont="1">
      <alignment horizontal="center"/>
    </xf>
    <xf numFmtId="0" fontId="26" fillId="2" borderId="0" xfId="3" applyFont="1" applyProtection="1">
      <alignment horizontal="center" vertical="center"/>
    </xf>
    <xf numFmtId="0" fontId="19" fillId="2" borderId="0" xfId="21" applyFont="1" applyAlignment="1" applyProtection="1">
      <alignment horizontal="center" vertical="center"/>
    </xf>
    <xf numFmtId="0" fontId="26" fillId="2" borderId="0" xfId="3" applyFont="1" applyProtection="1">
      <alignment horizontal="center" vertical="center"/>
    </xf>
    <xf numFmtId="0" fontId="5" fillId="2" borderId="0" xfId="3" applyProtection="1">
      <alignment horizontal="center" vertical="center"/>
    </xf>
    <xf numFmtId="0" fontId="1" fillId="2" borderId="0" xfId="21" applyAlignment="1" applyProtection="1">
      <alignment horizontal="left"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06">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0"/>
      </font>
      <border>
        <vertical/>
        <horizontal/>
      </border>
    </dxf>
    <dxf>
      <font>
        <b val="0"/>
        <i val="0"/>
        <color theme="3"/>
      </font>
      <border>
        <vertical/>
        <horizontal/>
      </border>
    </dxf>
    <dxf>
      <font>
        <b/>
        <i val="0"/>
        <color theme="0"/>
      </font>
      <fill>
        <patternFill>
          <bgColor rgb="FF00B0F0"/>
        </patternFill>
      </fill>
    </dxf>
    <dxf>
      <font>
        <b/>
        <i val="0"/>
        <color theme="0"/>
      </font>
      <fill>
        <patternFill>
          <bgColor rgb="FFFFC000"/>
        </patternFill>
      </fill>
    </dxf>
    <dxf>
      <font>
        <b/>
        <i val="0"/>
        <color theme="0"/>
      </font>
      <fill>
        <patternFill>
          <bgColor rgb="FF33CC33"/>
        </patternFill>
      </fill>
    </dxf>
    <dxf>
      <font>
        <b/>
        <i val="0"/>
        <color theme="0"/>
      </font>
      <fill>
        <patternFill>
          <bgColor rgb="FFCC9900"/>
        </patternFill>
      </fill>
    </dxf>
    <dxf>
      <font>
        <b/>
        <i val="0"/>
        <color theme="0"/>
      </font>
      <fill>
        <patternFill>
          <bgColor rgb="FFFF0000"/>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protection locked="1" hidden="0"/>
    </dxf>
    <dxf>
      <protection locked="1" hidden="0"/>
    </dxf>
    <dxf>
      <protection locked="1" hidden="0"/>
    </dxf>
    <dxf>
      <protection locked="1" hidden="0"/>
    </dxf>
    <dxf>
      <protection locked="1" hidden="0"/>
    </dxf>
    <dxf>
      <numFmt numFmtId="0" formatCode="General"/>
      <protection locked="1" hidden="0"/>
    </dxf>
    <dxf>
      <font>
        <b val="0"/>
        <i val="0"/>
        <strike val="0"/>
        <condense val="0"/>
        <extend val="0"/>
        <outline val="0"/>
        <shadow val="0"/>
        <u val="none"/>
        <vertAlign val="baseline"/>
        <sz val="11"/>
        <color theme="1"/>
        <name val="Book Antiqua"/>
        <family val="1"/>
        <scheme val="none"/>
      </font>
      <alignment horizontal="center" vertical="center" textRotation="0" wrapText="0" indent="0" justifyLastLine="0" shrinkToFit="0" readingOrder="0"/>
      <protection locked="1" hidden="0"/>
    </dxf>
    <dxf>
      <font>
        <strike val="0"/>
        <outline val="0"/>
        <shadow val="0"/>
        <u val="none"/>
        <vertAlign val="baseline"/>
        <sz val="11"/>
        <color theme="1"/>
        <name val="Book Antiqua"/>
        <family val="1"/>
        <scheme val="none"/>
      </font>
      <numFmt numFmtId="0" formatCode="General"/>
      <protection locked="1" hidden="0"/>
    </dxf>
    <dxf>
      <font>
        <b val="0"/>
        <i val="0"/>
        <strike val="0"/>
        <condense val="0"/>
        <extend val="0"/>
        <outline val="0"/>
        <shadow val="0"/>
        <u val="none"/>
        <vertAlign val="baseline"/>
        <sz val="11"/>
        <color theme="1"/>
        <name val="Book Antiqua"/>
        <family val="1"/>
        <scheme val="none"/>
      </font>
      <alignment horizontal="center" vertical="center" textRotation="0" wrapText="0" indent="0" justifyLastLine="0" shrinkToFit="0" readingOrder="0"/>
      <protection locked="1" hidden="0"/>
    </dxf>
    <dxf>
      <font>
        <strike val="0"/>
        <outline val="0"/>
        <shadow val="0"/>
        <u val="none"/>
        <vertAlign val="baseline"/>
        <sz val="11"/>
        <color theme="1"/>
        <name val="Book Antiqua"/>
        <family val="1"/>
        <scheme val="none"/>
      </font>
      <numFmt numFmtId="0" formatCode="General"/>
      <protection locked="1" hidden="0"/>
    </dxf>
    <dxf>
      <font>
        <strike val="0"/>
        <outline val="0"/>
        <shadow val="0"/>
        <u val="none"/>
        <vertAlign val="baseline"/>
        <sz val="11"/>
        <color theme="1"/>
        <name val="Book Antiqua"/>
        <family val="1"/>
        <scheme val="none"/>
      </font>
      <numFmt numFmtId="1" formatCode="0"/>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b val="0"/>
        <i val="0"/>
        <strike val="0"/>
        <condense val="0"/>
        <extend val="0"/>
        <outline val="0"/>
        <shadow val="0"/>
        <u val="none"/>
        <vertAlign val="baseline"/>
        <sz val="11"/>
        <color theme="1"/>
        <name val="Book Antiqua"/>
        <family val="1"/>
        <scheme val="none"/>
      </font>
      <numFmt numFmtId="166" formatCode="0;0;"/>
      <alignment horizontal="center" vertical="center" textRotation="0" wrapText="0" indent="0" justifyLastLine="0" shrinkToFit="0" readingOrder="0"/>
    </dxf>
    <dxf>
      <font>
        <strike val="0"/>
        <outline val="0"/>
        <shadow val="0"/>
        <u val="none"/>
        <vertAlign val="baseline"/>
        <sz val="11"/>
        <color theme="1"/>
        <name val="Book Antiqua"/>
        <family val="1"/>
        <scheme val="none"/>
      </font>
      <protection locked="1" hidden="0"/>
    </dxf>
    <dxf>
      <font>
        <strike val="0"/>
        <outline val="0"/>
        <shadow val="0"/>
        <u val="none"/>
        <vertAlign val="baseline"/>
        <sz val="11"/>
        <color theme="1"/>
        <name val="Book Antiqua"/>
        <family val="1"/>
        <scheme val="none"/>
      </font>
      <fill>
        <patternFill patternType="none">
          <fgColor indexed="64"/>
          <bgColor indexed="65"/>
        </patternFill>
      </fill>
      <alignment horizontal="center" vertical="center" textRotation="0" indent="0" justifyLastLine="0" shrinkToFit="0" readingOrder="0"/>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StyleMedium2" defaultPivotStyle="PivotStyleLight16">
    <tableStyle name="Tableau des absences des employés" pivot="0" count="13" xr9:uid="{00000000-0011-0000-FFFF-FFFF00000000}">
      <tableStyleElement type="wholeTable" dxfId="905"/>
      <tableStyleElement type="headerRow" dxfId="904"/>
      <tableStyleElement type="totalRow" dxfId="903"/>
      <tableStyleElement type="firstColumn" dxfId="902"/>
      <tableStyleElement type="lastColumn" dxfId="901"/>
      <tableStyleElement type="firstRowStripe" dxfId="900"/>
      <tableStyleElement type="secondRowStripe" dxfId="899"/>
      <tableStyleElement type="firstColumnStripe" dxfId="898"/>
      <tableStyleElement type="secondColumnStripe" dxfId="897"/>
      <tableStyleElement type="firstHeaderCell" dxfId="896"/>
      <tableStyleElement type="lastHeaderCell" dxfId="895"/>
      <tableStyleElement type="firstTotalCell" dxfId="894"/>
      <tableStyleElement type="lastTotalCell" dxfId="893"/>
    </tableStyle>
  </tableStyles>
  <colors>
    <mruColors>
      <color rgb="FFFF9999"/>
      <color rgb="FF33CCCC"/>
      <color rgb="FFCC9900"/>
      <color rgb="FFFF7C80"/>
      <color rgb="FF33CC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eetMetadata" Target="metadata.xml"/><Relationship Id="rId2" Type="http://schemas.openxmlformats.org/officeDocument/2006/relationships/worksheet" Target="worksheets/sheet2.xml"/><Relationship Id="rId16" Type="http://schemas.openxmlformats.org/officeDocument/2006/relationships/sharedStrings" Target="sharedStrings.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onnections" Target="connections.xml"/></Relationships>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A6:AJ101" totalsRowShown="0" headerRowDxfId="892" dataDxfId="891" totalsRowDxfId="890">
  <autoFilter ref="A6:AJ10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autoFilter>
  <tableColumns count="36">
    <tableColumn id="1" xr3:uid="{00000000-0010-0000-0000-000001000000}" name="Nom / Prénom " dataDxfId="889" dataCellStyle="Employé"/>
    <tableColumn id="2" xr3:uid="{00000000-0010-0000-0000-000002000000}" name="1" dataDxfId="888" totalsRowDxfId="887"/>
    <tableColumn id="3" xr3:uid="{00000000-0010-0000-0000-000003000000}" name="2" dataDxfId="886" totalsRowDxfId="885"/>
    <tableColumn id="4" xr3:uid="{00000000-0010-0000-0000-000004000000}" name="3" dataDxfId="884" totalsRowDxfId="883"/>
    <tableColumn id="5" xr3:uid="{00000000-0010-0000-0000-000005000000}" name="4" dataDxfId="882" totalsRowDxfId="881"/>
    <tableColumn id="6" xr3:uid="{00000000-0010-0000-0000-000006000000}" name="5" dataDxfId="880" totalsRowDxfId="879"/>
    <tableColumn id="7" xr3:uid="{00000000-0010-0000-0000-000007000000}" name="6" dataDxfId="878" totalsRowDxfId="877"/>
    <tableColumn id="8" xr3:uid="{00000000-0010-0000-0000-000008000000}" name="7" dataDxfId="876" totalsRowDxfId="875"/>
    <tableColumn id="9" xr3:uid="{00000000-0010-0000-0000-000009000000}" name="8" dataDxfId="874" totalsRowDxfId="873"/>
    <tableColumn id="10" xr3:uid="{00000000-0010-0000-0000-00000A000000}" name="9" dataDxfId="872" totalsRowDxfId="871"/>
    <tableColumn id="11" xr3:uid="{00000000-0010-0000-0000-00000B000000}" name="10" dataDxfId="870" totalsRowDxfId="869"/>
    <tableColumn id="12" xr3:uid="{00000000-0010-0000-0000-00000C000000}" name="11" dataDxfId="868" totalsRowDxfId="867"/>
    <tableColumn id="13" xr3:uid="{00000000-0010-0000-0000-00000D000000}" name="12" dataDxfId="866" totalsRowDxfId="865"/>
    <tableColumn id="14" xr3:uid="{00000000-0010-0000-0000-00000E000000}" name="13" dataDxfId="864" totalsRowDxfId="863"/>
    <tableColumn id="15" xr3:uid="{00000000-0010-0000-0000-00000F000000}" name="14" dataDxfId="862" totalsRowDxfId="861"/>
    <tableColumn id="16" xr3:uid="{00000000-0010-0000-0000-000010000000}" name="15" dataDxfId="860" totalsRowDxfId="859"/>
    <tableColumn id="17" xr3:uid="{00000000-0010-0000-0000-000011000000}" name="16" dataDxfId="858" totalsRowDxfId="857"/>
    <tableColumn id="18" xr3:uid="{00000000-0010-0000-0000-000012000000}" name="17" dataDxfId="856" totalsRowDxfId="855"/>
    <tableColumn id="19" xr3:uid="{00000000-0010-0000-0000-000013000000}" name="18" dataDxfId="854" totalsRowDxfId="853"/>
    <tableColumn id="20" xr3:uid="{00000000-0010-0000-0000-000014000000}" name="19" dataDxfId="852" totalsRowDxfId="851"/>
    <tableColumn id="21" xr3:uid="{00000000-0010-0000-0000-000015000000}" name="20" dataDxfId="850" totalsRowDxfId="849"/>
    <tableColumn id="22" xr3:uid="{00000000-0010-0000-0000-000016000000}" name="21" dataDxfId="848" totalsRowDxfId="847"/>
    <tableColumn id="23" xr3:uid="{00000000-0010-0000-0000-000017000000}" name="22" dataDxfId="846" totalsRowDxfId="845"/>
    <tableColumn id="24" xr3:uid="{00000000-0010-0000-0000-000018000000}" name="23" dataDxfId="844" totalsRowDxfId="843"/>
    <tableColumn id="25" xr3:uid="{00000000-0010-0000-0000-000019000000}" name="24" dataDxfId="842" totalsRowDxfId="841"/>
    <tableColumn id="26" xr3:uid="{00000000-0010-0000-0000-00001A000000}" name="25" dataDxfId="840" totalsRowDxfId="839"/>
    <tableColumn id="27" xr3:uid="{00000000-0010-0000-0000-00001B000000}" name="26" dataDxfId="838" totalsRowDxfId="837"/>
    <tableColumn id="28" xr3:uid="{00000000-0010-0000-0000-00001C000000}" name="27" dataDxfId="836" totalsRowDxfId="835"/>
    <tableColumn id="29" xr3:uid="{00000000-0010-0000-0000-00001D000000}" name="28" dataDxfId="834" totalsRowDxfId="833"/>
    <tableColumn id="30" xr3:uid="{00000000-0010-0000-0000-00001E000000}" name="29" dataDxfId="832" totalsRowDxfId="831"/>
    <tableColumn id="31" xr3:uid="{00000000-0010-0000-0000-00001F000000}" name="30" dataDxfId="830" totalsRowDxfId="829"/>
    <tableColumn id="32" xr3:uid="{00000000-0010-0000-0000-000020000000}" name="31" dataDxfId="828" totalsRowDxfId="827"/>
    <tableColumn id="33" xr3:uid="{00000000-0010-0000-0000-000021000000}" name="Forfaits" dataDxfId="826">
      <calculatedColumnFormula array="1">SUMPRODUCT(COUNTIF(Janvier[[#This Row],[1]:[31]],{"J","D","R1","R2","J2"}))</calculatedColumnFormula>
    </tableColumn>
    <tableColumn id="35" xr3:uid="{439EAEFD-0C93-4490-9F89-7FF7F11B7B61}" name="Prime journée" dataDxfId="825" totalsRowDxfId="824">
      <calculatedColumnFormula array="1">SUMPRODUCT(COUNTIF(Janvier[[#This Row],[1]:[31]],{"J","R2"}))</calculatedColumnFormula>
    </tableColumn>
    <tableColumn id="36" xr3:uid="{1CF16D8B-1D98-4F6F-9FE1-E82E5F53E6D9}" name="Prime demi-journée" dataDxfId="823" totalsRowDxfId="822">
      <calculatedColumnFormula array="1">SUMPRODUCT(COUNTIF(Janvier[[#This Row],[1]:[31]],{"D","R1"}))</calculatedColumnFormula>
    </tableColumn>
    <tableColumn id="34" xr3:uid="{E91E5B7C-4F6D-45B4-9C3C-5D44EB9484E6}" name="Prime Adjoint Direction" dataDxfId="821" totalsRowDxfId="820">
      <calculatedColumnFormula array="1">SUMPRODUCT(COUNTIF(Janvier[[#This Row],[1]:[31]],{"J2"}))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6:AH12" totalsRowCount="1" headerRowDxfId="819" dataDxfId="818" totalsRowDxfId="817">
  <tableColumns count="33">
    <tableColumn id="1" xr3:uid="{00000000-0010-0000-0100-000001000000}" name="Nom de l’employé" totalsRowFunction="custom" dataDxfId="816" totalsRowDxfId="815" dataCellStyle="Employé">
      <totalsRowFormula>NomMois&amp;" Total"</totalsRowFormula>
    </tableColumn>
    <tableColumn id="2" xr3:uid="{00000000-0010-0000-0100-000002000000}" name="1" totalsRowFunction="count" dataDxfId="814" totalsRowDxfId="813"/>
    <tableColumn id="3" xr3:uid="{00000000-0010-0000-0100-000003000000}" name="2" totalsRowFunction="count" dataDxfId="812" totalsRowDxfId="811"/>
    <tableColumn id="4" xr3:uid="{00000000-0010-0000-0100-000004000000}" name="3" totalsRowFunction="count" dataDxfId="810" totalsRowDxfId="809"/>
    <tableColumn id="5" xr3:uid="{00000000-0010-0000-0100-000005000000}" name="4" totalsRowFunction="count" dataDxfId="808" totalsRowDxfId="807"/>
    <tableColumn id="6" xr3:uid="{00000000-0010-0000-0100-000006000000}" name="5" totalsRowFunction="count" dataDxfId="806" totalsRowDxfId="805"/>
    <tableColumn id="7" xr3:uid="{00000000-0010-0000-0100-000007000000}" name="6" totalsRowFunction="count" dataDxfId="804" totalsRowDxfId="803"/>
    <tableColumn id="8" xr3:uid="{00000000-0010-0000-0100-000008000000}" name="7" totalsRowFunction="count" dataDxfId="802" totalsRowDxfId="801"/>
    <tableColumn id="9" xr3:uid="{00000000-0010-0000-0100-000009000000}" name="8" totalsRowFunction="count" dataDxfId="800" totalsRowDxfId="799"/>
    <tableColumn id="10" xr3:uid="{00000000-0010-0000-0100-00000A000000}" name="9" totalsRowFunction="count" dataDxfId="798" totalsRowDxfId="797"/>
    <tableColumn id="11" xr3:uid="{00000000-0010-0000-0100-00000B000000}" name="10" totalsRowFunction="count" dataDxfId="796" totalsRowDxfId="795"/>
    <tableColumn id="12" xr3:uid="{00000000-0010-0000-0100-00000C000000}" name="11" totalsRowFunction="count" dataDxfId="794" totalsRowDxfId="793"/>
    <tableColumn id="13" xr3:uid="{00000000-0010-0000-0100-00000D000000}" name="12" totalsRowFunction="count" dataDxfId="792" totalsRowDxfId="791"/>
    <tableColumn id="14" xr3:uid="{00000000-0010-0000-0100-00000E000000}" name="13" totalsRowFunction="count" dataDxfId="790" totalsRowDxfId="789"/>
    <tableColumn id="15" xr3:uid="{00000000-0010-0000-0100-00000F000000}" name="14" totalsRowFunction="count" dataDxfId="788" totalsRowDxfId="787"/>
    <tableColumn id="16" xr3:uid="{00000000-0010-0000-0100-000010000000}" name="15" totalsRowFunction="count" dataDxfId="786" totalsRowDxfId="785"/>
    <tableColumn id="17" xr3:uid="{00000000-0010-0000-0100-000011000000}" name="16" totalsRowFunction="count" dataDxfId="784" totalsRowDxfId="783"/>
    <tableColumn id="18" xr3:uid="{00000000-0010-0000-0100-000012000000}" name="17" totalsRowFunction="count" dataDxfId="782" totalsRowDxfId="781"/>
    <tableColumn id="19" xr3:uid="{00000000-0010-0000-0100-000013000000}" name="18" totalsRowFunction="count" dataDxfId="780" totalsRowDxfId="779"/>
    <tableColumn id="20" xr3:uid="{00000000-0010-0000-0100-000014000000}" name="19" totalsRowFunction="count" dataDxfId="778" totalsRowDxfId="777"/>
    <tableColumn id="21" xr3:uid="{00000000-0010-0000-0100-000015000000}" name="20" totalsRowFunction="count" dataDxfId="776" totalsRowDxfId="775"/>
    <tableColumn id="22" xr3:uid="{00000000-0010-0000-0100-000016000000}" name="21" totalsRowFunction="count" dataDxfId="774" totalsRowDxfId="773"/>
    <tableColumn id="23" xr3:uid="{00000000-0010-0000-0100-000017000000}" name="22" totalsRowFunction="count" dataDxfId="772" totalsRowDxfId="771"/>
    <tableColumn id="24" xr3:uid="{00000000-0010-0000-0100-000018000000}" name="23" totalsRowFunction="count" dataDxfId="770" totalsRowDxfId="769"/>
    <tableColumn id="25" xr3:uid="{00000000-0010-0000-0100-000019000000}" name="24" totalsRowFunction="count" dataDxfId="768" totalsRowDxfId="767"/>
    <tableColumn id="26" xr3:uid="{00000000-0010-0000-0100-00001A000000}" name="25" totalsRowFunction="count" dataDxfId="766" totalsRowDxfId="765"/>
    <tableColumn id="27" xr3:uid="{00000000-0010-0000-0100-00001B000000}" name="26" totalsRowFunction="count" dataDxfId="764" totalsRowDxfId="763"/>
    <tableColumn id="28" xr3:uid="{00000000-0010-0000-0100-00001C000000}" name="27" totalsRowFunction="count" dataDxfId="762" totalsRowDxfId="761"/>
    <tableColumn id="29" xr3:uid="{00000000-0010-0000-0100-00001D000000}" name="28" totalsRowFunction="count" dataDxfId="760" totalsRowDxfId="759"/>
    <tableColumn id="30" xr3:uid="{00000000-0010-0000-0100-00001E000000}" name="29" totalsRowFunction="count" dataDxfId="758" totalsRowDxfId="757"/>
    <tableColumn id="31" xr3:uid="{00000000-0010-0000-0100-00001F000000}" name=" " dataDxfId="756" totalsRowDxfId="755"/>
    <tableColumn id="32" xr3:uid="{00000000-0010-0000-0100-000020000000}" name="  " dataDxfId="754" totalsRowDxfId="753"/>
    <tableColumn id="33" xr3:uid="{00000000-0010-0000-0100-000021000000}" name="Total des jours" totalsRowFunction="sum" dataDxfId="752" totalsRowDxfId="751">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H12" totalsRowCount="1" headerRowDxfId="750" dataDxfId="749" totalsRowDxfId="748">
  <tableColumns count="33">
    <tableColumn id="1" xr3:uid="{00000000-0010-0000-0200-000001000000}" name="Nom de l’employé" totalsRowFunction="custom" dataDxfId="747" totalsRowDxfId="746" dataCellStyle="Employé">
      <totalsRowFormula>NomMois&amp;" Total"</totalsRowFormula>
    </tableColumn>
    <tableColumn id="2" xr3:uid="{00000000-0010-0000-0200-000002000000}" name="1" totalsRowFunction="count" dataDxfId="745" totalsRowDxfId="744"/>
    <tableColumn id="3" xr3:uid="{00000000-0010-0000-0200-000003000000}" name="2" totalsRowFunction="count" dataDxfId="743" totalsRowDxfId="742"/>
    <tableColumn id="4" xr3:uid="{00000000-0010-0000-0200-000004000000}" name="3" totalsRowFunction="count" dataDxfId="741" totalsRowDxfId="740"/>
    <tableColumn id="5" xr3:uid="{00000000-0010-0000-0200-000005000000}" name="4" totalsRowFunction="count" dataDxfId="739" totalsRowDxfId="738"/>
    <tableColumn id="6" xr3:uid="{00000000-0010-0000-0200-000006000000}" name="5" totalsRowFunction="count" dataDxfId="737" totalsRowDxfId="736"/>
    <tableColumn id="7" xr3:uid="{00000000-0010-0000-0200-000007000000}" name="6" totalsRowFunction="count" dataDxfId="735" totalsRowDxfId="734"/>
    <tableColumn id="8" xr3:uid="{00000000-0010-0000-0200-000008000000}" name="7" totalsRowFunction="count" dataDxfId="733" totalsRowDxfId="732"/>
    <tableColumn id="9" xr3:uid="{00000000-0010-0000-0200-000009000000}" name="8" totalsRowFunction="count" dataDxfId="731" totalsRowDxfId="730"/>
    <tableColumn id="10" xr3:uid="{00000000-0010-0000-0200-00000A000000}" name="9" totalsRowFunction="count" dataDxfId="729" totalsRowDxfId="728"/>
    <tableColumn id="11" xr3:uid="{00000000-0010-0000-0200-00000B000000}" name="10" totalsRowFunction="count" dataDxfId="727" totalsRowDxfId="726"/>
    <tableColumn id="12" xr3:uid="{00000000-0010-0000-0200-00000C000000}" name="11" totalsRowFunction="count" dataDxfId="725" totalsRowDxfId="724"/>
    <tableColumn id="13" xr3:uid="{00000000-0010-0000-0200-00000D000000}" name="12" totalsRowFunction="count" dataDxfId="723" totalsRowDxfId="722"/>
    <tableColumn id="14" xr3:uid="{00000000-0010-0000-0200-00000E000000}" name="13" totalsRowFunction="count" dataDxfId="721" totalsRowDxfId="720"/>
    <tableColumn id="15" xr3:uid="{00000000-0010-0000-0200-00000F000000}" name="14" totalsRowFunction="count" dataDxfId="719" totalsRowDxfId="718"/>
    <tableColumn id="16" xr3:uid="{00000000-0010-0000-0200-000010000000}" name="15" totalsRowFunction="count" dataDxfId="717" totalsRowDxfId="716"/>
    <tableColumn id="17" xr3:uid="{00000000-0010-0000-0200-000011000000}" name="16" totalsRowFunction="count" dataDxfId="715" totalsRowDxfId="714"/>
    <tableColumn id="18" xr3:uid="{00000000-0010-0000-0200-000012000000}" name="17" totalsRowFunction="count" dataDxfId="713" totalsRowDxfId="712"/>
    <tableColumn id="19" xr3:uid="{00000000-0010-0000-0200-000013000000}" name="18" totalsRowFunction="count" dataDxfId="711" totalsRowDxfId="710"/>
    <tableColumn id="20" xr3:uid="{00000000-0010-0000-0200-000014000000}" name="19" totalsRowFunction="count" dataDxfId="709" totalsRowDxfId="708"/>
    <tableColumn id="21" xr3:uid="{00000000-0010-0000-0200-000015000000}" name="20" totalsRowFunction="count" dataDxfId="707" totalsRowDxfId="706"/>
    <tableColumn id="22" xr3:uid="{00000000-0010-0000-0200-000016000000}" name="21" totalsRowFunction="count" dataDxfId="705" totalsRowDxfId="704"/>
    <tableColumn id="23" xr3:uid="{00000000-0010-0000-0200-000017000000}" name="22" totalsRowFunction="count" dataDxfId="703" totalsRowDxfId="702"/>
    <tableColumn id="24" xr3:uid="{00000000-0010-0000-0200-000018000000}" name="23" totalsRowFunction="count" dataDxfId="701" totalsRowDxfId="700"/>
    <tableColumn id="25" xr3:uid="{00000000-0010-0000-0200-000019000000}" name="24" totalsRowFunction="count" dataDxfId="699" totalsRowDxfId="698"/>
    <tableColumn id="26" xr3:uid="{00000000-0010-0000-0200-00001A000000}" name="25" totalsRowFunction="count" dataDxfId="697" totalsRowDxfId="696"/>
    <tableColumn id="27" xr3:uid="{00000000-0010-0000-0200-00001B000000}" name="26" totalsRowFunction="count" dataDxfId="695" totalsRowDxfId="694"/>
    <tableColumn id="28" xr3:uid="{00000000-0010-0000-0200-00001C000000}" name="27" totalsRowFunction="count" dataDxfId="693" totalsRowDxfId="692"/>
    <tableColumn id="29" xr3:uid="{00000000-0010-0000-0200-00001D000000}" name="28" totalsRowFunction="count" dataDxfId="691" totalsRowDxfId="690"/>
    <tableColumn id="30" xr3:uid="{00000000-0010-0000-0200-00001E000000}" name="29" totalsRowFunction="count" dataDxfId="689" totalsRowDxfId="688"/>
    <tableColumn id="31" xr3:uid="{00000000-0010-0000-0200-00001F000000}" name="30" totalsRowFunction="count" dataDxfId="687" totalsRowDxfId="686"/>
    <tableColumn id="32" xr3:uid="{00000000-0010-0000-0200-000020000000}" name="31" totalsRowFunction="count" dataDxfId="685" totalsRowDxfId="684"/>
    <tableColumn id="33" xr3:uid="{00000000-0010-0000-0200-000021000000}" name="Total des jours" totalsRowFunction="sum" dataDxfId="683" totalsRowDxfId="682">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H12" totalsRowCount="1" headerRowDxfId="681" dataDxfId="680" totalsRowDxfId="679">
  <tableColumns count="33">
    <tableColumn id="1" xr3:uid="{00000000-0010-0000-0300-000001000000}" name="Nom de l’employé" totalsRowFunction="custom" dataDxfId="678" totalsRowDxfId="677" dataCellStyle="Employé">
      <totalsRowFormula>NomMois&amp;" Total"</totalsRowFormula>
    </tableColumn>
    <tableColumn id="2" xr3:uid="{00000000-0010-0000-0300-000002000000}" name="1" totalsRowFunction="count" dataDxfId="676" totalsRowDxfId="675"/>
    <tableColumn id="3" xr3:uid="{00000000-0010-0000-0300-000003000000}" name="2" totalsRowFunction="count" dataDxfId="674" totalsRowDxfId="673"/>
    <tableColumn id="4" xr3:uid="{00000000-0010-0000-0300-000004000000}" name="3" totalsRowFunction="count" dataDxfId="672" totalsRowDxfId="671"/>
    <tableColumn id="5" xr3:uid="{00000000-0010-0000-0300-000005000000}" name="4" totalsRowFunction="count" dataDxfId="670" totalsRowDxfId="669"/>
    <tableColumn id="6" xr3:uid="{00000000-0010-0000-0300-000006000000}" name="5" totalsRowFunction="count" dataDxfId="668" totalsRowDxfId="667"/>
    <tableColumn id="7" xr3:uid="{00000000-0010-0000-0300-000007000000}" name="6" totalsRowFunction="count" dataDxfId="666" totalsRowDxfId="665"/>
    <tableColumn id="8" xr3:uid="{00000000-0010-0000-0300-000008000000}" name="7" totalsRowFunction="count" dataDxfId="664" totalsRowDxfId="663"/>
    <tableColumn id="9" xr3:uid="{00000000-0010-0000-0300-000009000000}" name="8" totalsRowFunction="count" dataDxfId="662" totalsRowDxfId="661"/>
    <tableColumn id="10" xr3:uid="{00000000-0010-0000-0300-00000A000000}" name="9" totalsRowFunction="count" dataDxfId="660" totalsRowDxfId="659"/>
    <tableColumn id="11" xr3:uid="{00000000-0010-0000-0300-00000B000000}" name="10" totalsRowFunction="count" dataDxfId="658" totalsRowDxfId="657"/>
    <tableColumn id="12" xr3:uid="{00000000-0010-0000-0300-00000C000000}" name="11" totalsRowFunction="count" dataDxfId="656" totalsRowDxfId="655"/>
    <tableColumn id="13" xr3:uid="{00000000-0010-0000-0300-00000D000000}" name="12" totalsRowFunction="count" dataDxfId="654" totalsRowDxfId="653"/>
    <tableColumn id="14" xr3:uid="{00000000-0010-0000-0300-00000E000000}" name="13" totalsRowFunction="count" dataDxfId="652" totalsRowDxfId="651"/>
    <tableColumn id="15" xr3:uid="{00000000-0010-0000-0300-00000F000000}" name="14" totalsRowFunction="count" dataDxfId="650" totalsRowDxfId="649"/>
    <tableColumn id="16" xr3:uid="{00000000-0010-0000-0300-000010000000}" name="15" totalsRowFunction="count" dataDxfId="648" totalsRowDxfId="647"/>
    <tableColumn id="17" xr3:uid="{00000000-0010-0000-0300-000011000000}" name="16" totalsRowFunction="count" dataDxfId="646" totalsRowDxfId="645"/>
    <tableColumn id="18" xr3:uid="{00000000-0010-0000-0300-000012000000}" name="17" totalsRowFunction="count" dataDxfId="644" totalsRowDxfId="643"/>
    <tableColumn id="19" xr3:uid="{00000000-0010-0000-0300-000013000000}" name="18" totalsRowFunction="count" dataDxfId="642" totalsRowDxfId="641"/>
    <tableColumn id="20" xr3:uid="{00000000-0010-0000-0300-000014000000}" name="19" totalsRowFunction="count" dataDxfId="640" totalsRowDxfId="639"/>
    <tableColumn id="21" xr3:uid="{00000000-0010-0000-0300-000015000000}" name="20" totalsRowFunction="count" dataDxfId="638" totalsRowDxfId="637"/>
    <tableColumn id="22" xr3:uid="{00000000-0010-0000-0300-000016000000}" name="21" totalsRowFunction="count" dataDxfId="636" totalsRowDxfId="635"/>
    <tableColumn id="23" xr3:uid="{00000000-0010-0000-0300-000017000000}" name="22" totalsRowFunction="count" dataDxfId="634" totalsRowDxfId="633"/>
    <tableColumn id="24" xr3:uid="{00000000-0010-0000-0300-000018000000}" name="23" totalsRowFunction="count" dataDxfId="632" totalsRowDxfId="631"/>
    <tableColumn id="25" xr3:uid="{00000000-0010-0000-0300-000019000000}" name="24" totalsRowFunction="count" dataDxfId="630" totalsRowDxfId="629"/>
    <tableColumn id="26" xr3:uid="{00000000-0010-0000-0300-00001A000000}" name="25" totalsRowFunction="count" dataDxfId="628" totalsRowDxfId="627"/>
    <tableColumn id="27" xr3:uid="{00000000-0010-0000-0300-00001B000000}" name="26" totalsRowFunction="count" dataDxfId="626" totalsRowDxfId="625"/>
    <tableColumn id="28" xr3:uid="{00000000-0010-0000-0300-00001C000000}" name="27" totalsRowFunction="count" dataDxfId="624" totalsRowDxfId="623"/>
    <tableColumn id="29" xr3:uid="{00000000-0010-0000-0300-00001D000000}" name="28" totalsRowFunction="count" dataDxfId="622" totalsRowDxfId="621"/>
    <tableColumn id="30" xr3:uid="{00000000-0010-0000-0300-00001E000000}" name="29" totalsRowFunction="count" dataDxfId="620" totalsRowDxfId="619"/>
    <tableColumn id="31" xr3:uid="{00000000-0010-0000-0300-00001F000000}" name="30" totalsRowFunction="count" dataDxfId="618" totalsRowDxfId="617"/>
    <tableColumn id="32" xr3:uid="{00000000-0010-0000-0300-000020000000}" name=" " totalsRowFunction="custom" dataDxfId="616" totalsRowDxfId="615">
      <totalsRowFormula>SUBTOTAL(103,Avril[30])</totalsRowFormula>
    </tableColumn>
    <tableColumn id="33" xr3:uid="{00000000-0010-0000-0300-000021000000}" name="Total des jours" totalsRowFunction="sum" dataDxfId="614" totalsRowDxfId="613">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6:AH12" totalsRowCount="1" headerRowDxfId="612" dataDxfId="611" totalsRowDxfId="610">
  <tableColumns count="33">
    <tableColumn id="1" xr3:uid="{00000000-0010-0000-0400-000001000000}" name="Nom de l’employé" totalsRowFunction="custom" dataDxfId="609" totalsRowDxfId="608" dataCellStyle="Employé">
      <totalsRowFormula>NomMois&amp;" Total"</totalsRowFormula>
    </tableColumn>
    <tableColumn id="2" xr3:uid="{00000000-0010-0000-0400-000002000000}" name="1" totalsRowFunction="count" dataDxfId="607" totalsRowDxfId="606"/>
    <tableColumn id="3" xr3:uid="{00000000-0010-0000-0400-000003000000}" name="2" totalsRowFunction="count" dataDxfId="605" totalsRowDxfId="604"/>
    <tableColumn id="4" xr3:uid="{00000000-0010-0000-0400-000004000000}" name="3" totalsRowFunction="count" dataDxfId="603" totalsRowDxfId="602"/>
    <tableColumn id="5" xr3:uid="{00000000-0010-0000-0400-000005000000}" name="4" totalsRowFunction="count" dataDxfId="601" totalsRowDxfId="600"/>
    <tableColumn id="6" xr3:uid="{00000000-0010-0000-0400-000006000000}" name="5" totalsRowFunction="count" dataDxfId="599" totalsRowDxfId="598"/>
    <tableColumn id="7" xr3:uid="{00000000-0010-0000-0400-000007000000}" name="6" totalsRowFunction="count" dataDxfId="597" totalsRowDxfId="596"/>
    <tableColumn id="8" xr3:uid="{00000000-0010-0000-0400-000008000000}" name="7" totalsRowFunction="count" dataDxfId="595" totalsRowDxfId="594"/>
    <tableColumn id="9" xr3:uid="{00000000-0010-0000-0400-000009000000}" name="8" totalsRowFunction="count" dataDxfId="593" totalsRowDxfId="592"/>
    <tableColumn id="10" xr3:uid="{00000000-0010-0000-0400-00000A000000}" name="9" totalsRowFunction="count" dataDxfId="591" totalsRowDxfId="590"/>
    <tableColumn id="11" xr3:uid="{00000000-0010-0000-0400-00000B000000}" name="10" totalsRowFunction="count" dataDxfId="589" totalsRowDxfId="588"/>
    <tableColumn id="12" xr3:uid="{00000000-0010-0000-0400-00000C000000}" name="11" totalsRowFunction="count" dataDxfId="587" totalsRowDxfId="586"/>
    <tableColumn id="13" xr3:uid="{00000000-0010-0000-0400-00000D000000}" name="12" totalsRowFunction="count" dataDxfId="585" totalsRowDxfId="584"/>
    <tableColumn id="14" xr3:uid="{00000000-0010-0000-0400-00000E000000}" name="13" totalsRowFunction="count" dataDxfId="583" totalsRowDxfId="582"/>
    <tableColumn id="15" xr3:uid="{00000000-0010-0000-0400-00000F000000}" name="14" totalsRowFunction="count" dataDxfId="581" totalsRowDxfId="580"/>
    <tableColumn id="16" xr3:uid="{00000000-0010-0000-0400-000010000000}" name="15" totalsRowFunction="count" dataDxfId="579" totalsRowDxfId="578"/>
    <tableColumn id="17" xr3:uid="{00000000-0010-0000-0400-000011000000}" name="16" totalsRowFunction="count" dataDxfId="577" totalsRowDxfId="576"/>
    <tableColumn id="18" xr3:uid="{00000000-0010-0000-0400-000012000000}" name="17" totalsRowFunction="count" dataDxfId="575" totalsRowDxfId="574"/>
    <tableColumn id="19" xr3:uid="{00000000-0010-0000-0400-000013000000}" name="18" totalsRowFunction="count" dataDxfId="573" totalsRowDxfId="572"/>
    <tableColumn id="20" xr3:uid="{00000000-0010-0000-0400-000014000000}" name="19" totalsRowFunction="count" dataDxfId="571" totalsRowDxfId="570"/>
    <tableColumn id="21" xr3:uid="{00000000-0010-0000-0400-000015000000}" name="20" totalsRowFunction="count" dataDxfId="569" totalsRowDxfId="568"/>
    <tableColumn id="22" xr3:uid="{00000000-0010-0000-0400-000016000000}" name="21" totalsRowFunction="count" dataDxfId="567" totalsRowDxfId="566"/>
    <tableColumn id="23" xr3:uid="{00000000-0010-0000-0400-000017000000}" name="22" totalsRowFunction="count" dataDxfId="565" totalsRowDxfId="564"/>
    <tableColumn id="24" xr3:uid="{00000000-0010-0000-0400-000018000000}" name="23" totalsRowFunction="count" dataDxfId="563" totalsRowDxfId="562"/>
    <tableColumn id="25" xr3:uid="{00000000-0010-0000-0400-000019000000}" name="24" totalsRowFunction="count" dataDxfId="561" totalsRowDxfId="560"/>
    <tableColumn id="26" xr3:uid="{00000000-0010-0000-0400-00001A000000}" name="25" totalsRowFunction="count" dataDxfId="559" totalsRowDxfId="558"/>
    <tableColumn id="27" xr3:uid="{00000000-0010-0000-0400-00001B000000}" name="26" totalsRowFunction="count" dataDxfId="557" totalsRowDxfId="556"/>
    <tableColumn id="28" xr3:uid="{00000000-0010-0000-0400-00001C000000}" name="27" totalsRowFunction="count" dataDxfId="555" totalsRowDxfId="554"/>
    <tableColumn id="29" xr3:uid="{00000000-0010-0000-0400-00001D000000}" name="28" totalsRowFunction="count" dataDxfId="553" totalsRowDxfId="552"/>
    <tableColumn id="30" xr3:uid="{00000000-0010-0000-0400-00001E000000}" name="29" totalsRowFunction="count" dataDxfId="551" totalsRowDxfId="550"/>
    <tableColumn id="31" xr3:uid="{00000000-0010-0000-0400-00001F000000}" name="30" totalsRowFunction="count" dataDxfId="549" totalsRowDxfId="548"/>
    <tableColumn id="32" xr3:uid="{00000000-0010-0000-0400-000020000000}" name="31" totalsRowFunction="count" dataDxfId="547" totalsRowDxfId="546"/>
    <tableColumn id="33" xr3:uid="{00000000-0010-0000-0400-000021000000}" name="Total des jours" totalsRowFunction="sum" dataDxfId="545" totalsRowDxfId="544">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H12" totalsRowCount="1" headerRowDxfId="543" dataDxfId="542" totalsRowDxfId="541">
  <tableColumns count="33">
    <tableColumn id="1" xr3:uid="{00000000-0010-0000-0500-000001000000}" name="Nom de l’employé" totalsRowFunction="custom" dataDxfId="540" totalsRowDxfId="539" dataCellStyle="Employé">
      <totalsRowFormula>NomMois&amp;" Total"</totalsRowFormula>
    </tableColumn>
    <tableColumn id="2" xr3:uid="{00000000-0010-0000-0500-000002000000}" name="1" totalsRowFunction="count" dataDxfId="538" totalsRowDxfId="537"/>
    <tableColumn id="3" xr3:uid="{00000000-0010-0000-0500-000003000000}" name="2" totalsRowFunction="count" dataDxfId="536" totalsRowDxfId="535"/>
    <tableColumn id="4" xr3:uid="{00000000-0010-0000-0500-000004000000}" name="3" totalsRowFunction="count" dataDxfId="534" totalsRowDxfId="533"/>
    <tableColumn id="5" xr3:uid="{00000000-0010-0000-0500-000005000000}" name="4" totalsRowFunction="count" dataDxfId="532" totalsRowDxfId="531"/>
    <tableColumn id="6" xr3:uid="{00000000-0010-0000-0500-000006000000}" name="5" totalsRowFunction="count" dataDxfId="530" totalsRowDxfId="529"/>
    <tableColumn id="7" xr3:uid="{00000000-0010-0000-0500-000007000000}" name="6" totalsRowFunction="count" dataDxfId="528" totalsRowDxfId="527"/>
    <tableColumn id="8" xr3:uid="{00000000-0010-0000-0500-000008000000}" name="7" totalsRowFunction="count" dataDxfId="526" totalsRowDxfId="525"/>
    <tableColumn id="9" xr3:uid="{00000000-0010-0000-0500-000009000000}" name="8" totalsRowFunction="count" dataDxfId="524" totalsRowDxfId="523"/>
    <tableColumn id="10" xr3:uid="{00000000-0010-0000-0500-00000A000000}" name="9" totalsRowFunction="count" dataDxfId="522" totalsRowDxfId="521"/>
    <tableColumn id="11" xr3:uid="{00000000-0010-0000-0500-00000B000000}" name="10" totalsRowFunction="count" dataDxfId="520" totalsRowDxfId="519"/>
    <tableColumn id="12" xr3:uid="{00000000-0010-0000-0500-00000C000000}" name="11" totalsRowFunction="count" dataDxfId="518" totalsRowDxfId="517"/>
    <tableColumn id="13" xr3:uid="{00000000-0010-0000-0500-00000D000000}" name="12" totalsRowFunction="count" dataDxfId="516" totalsRowDxfId="515"/>
    <tableColumn id="14" xr3:uid="{00000000-0010-0000-0500-00000E000000}" name="13" totalsRowFunction="count" dataDxfId="514" totalsRowDxfId="513"/>
    <tableColumn id="15" xr3:uid="{00000000-0010-0000-0500-00000F000000}" name="14" totalsRowFunction="count" dataDxfId="512" totalsRowDxfId="511"/>
    <tableColumn id="16" xr3:uid="{00000000-0010-0000-0500-000010000000}" name="15" totalsRowFunction="count" dataDxfId="510" totalsRowDxfId="509"/>
    <tableColumn id="17" xr3:uid="{00000000-0010-0000-0500-000011000000}" name="16" totalsRowFunction="count" dataDxfId="508" totalsRowDxfId="507"/>
    <tableColumn id="18" xr3:uid="{00000000-0010-0000-0500-000012000000}" name="17" totalsRowFunction="count" dataDxfId="506" totalsRowDxfId="505"/>
    <tableColumn id="19" xr3:uid="{00000000-0010-0000-0500-000013000000}" name="18" totalsRowFunction="count" dataDxfId="504" totalsRowDxfId="503"/>
    <tableColumn id="20" xr3:uid="{00000000-0010-0000-0500-000014000000}" name="19" totalsRowFunction="count" dataDxfId="502" totalsRowDxfId="501"/>
    <tableColumn id="21" xr3:uid="{00000000-0010-0000-0500-000015000000}" name="20" totalsRowFunction="count" dataDxfId="500" totalsRowDxfId="499"/>
    <tableColumn id="22" xr3:uid="{00000000-0010-0000-0500-000016000000}" name="21" totalsRowFunction="count" dataDxfId="498" totalsRowDxfId="497"/>
    <tableColumn id="23" xr3:uid="{00000000-0010-0000-0500-000017000000}" name="22" totalsRowFunction="count" dataDxfId="496" totalsRowDxfId="495"/>
    <tableColumn id="24" xr3:uid="{00000000-0010-0000-0500-000018000000}" name="23" totalsRowFunction="count" dataDxfId="494" totalsRowDxfId="493"/>
    <tableColumn id="25" xr3:uid="{00000000-0010-0000-0500-000019000000}" name="24" totalsRowFunction="count" dataDxfId="492" totalsRowDxfId="491"/>
    <tableColumn id="26" xr3:uid="{00000000-0010-0000-0500-00001A000000}" name="25" totalsRowFunction="count" dataDxfId="490" totalsRowDxfId="489"/>
    <tableColumn id="27" xr3:uid="{00000000-0010-0000-0500-00001B000000}" name="26" totalsRowFunction="count" dataDxfId="488" totalsRowDxfId="487"/>
    <tableColumn id="28" xr3:uid="{00000000-0010-0000-0500-00001C000000}" name="27" totalsRowFunction="count" dataDxfId="486" totalsRowDxfId="485"/>
    <tableColumn id="29" xr3:uid="{00000000-0010-0000-0500-00001D000000}" name="28" totalsRowFunction="count" dataDxfId="484" totalsRowDxfId="483"/>
    <tableColumn id="30" xr3:uid="{00000000-0010-0000-0500-00001E000000}" name="29" totalsRowFunction="count" dataDxfId="482" totalsRowDxfId="481"/>
    <tableColumn id="31" xr3:uid="{00000000-0010-0000-0500-00001F000000}" name="30" totalsRowFunction="count" dataDxfId="480" totalsRowDxfId="479"/>
    <tableColumn id="32" xr3:uid="{00000000-0010-0000-0500-000020000000}" name=" " totalsRowFunction="count" dataDxfId="478" totalsRowDxfId="477"/>
    <tableColumn id="33" xr3:uid="{00000000-0010-0000-0500-000021000000}" name="Total des jours" totalsRowFunction="sum" dataDxfId="476" totalsRowDxfId="475">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12" totalsRowCount="1" headerRowDxfId="474" dataDxfId="473" totalsRowDxfId="472">
  <tableColumns count="33">
    <tableColumn id="1" xr3:uid="{00000000-0010-0000-0600-000001000000}" name="Nom de l’employé" totalsRowFunction="custom" dataDxfId="471" totalsRowDxfId="470" dataCellStyle="Employé">
      <totalsRowFormula>NomMois&amp;" Total"</totalsRowFormula>
    </tableColumn>
    <tableColumn id="2" xr3:uid="{00000000-0010-0000-0600-000002000000}" name="1" totalsRowFunction="count" dataDxfId="469" totalsRowDxfId="468"/>
    <tableColumn id="3" xr3:uid="{00000000-0010-0000-0600-000003000000}" name="2" totalsRowFunction="count" dataDxfId="467" totalsRowDxfId="466"/>
    <tableColumn id="4" xr3:uid="{00000000-0010-0000-0600-000004000000}" name="3" totalsRowFunction="count" dataDxfId="465" totalsRowDxfId="464"/>
    <tableColumn id="5" xr3:uid="{00000000-0010-0000-0600-000005000000}" name="4" totalsRowFunction="count" dataDxfId="463" totalsRowDxfId="462"/>
    <tableColumn id="6" xr3:uid="{00000000-0010-0000-0600-000006000000}" name="5" totalsRowFunction="count" dataDxfId="461" totalsRowDxfId="460"/>
    <tableColumn id="7" xr3:uid="{00000000-0010-0000-0600-000007000000}" name="6" totalsRowFunction="count" dataDxfId="459" totalsRowDxfId="458"/>
    <tableColumn id="8" xr3:uid="{00000000-0010-0000-0600-000008000000}" name="7" totalsRowFunction="count" dataDxfId="457" totalsRowDxfId="456"/>
    <tableColumn id="9" xr3:uid="{00000000-0010-0000-0600-000009000000}" name="8" totalsRowFunction="count" dataDxfId="455" totalsRowDxfId="454"/>
    <tableColumn id="10" xr3:uid="{00000000-0010-0000-0600-00000A000000}" name="9" totalsRowFunction="count" dataDxfId="453" totalsRowDxfId="452"/>
    <tableColumn id="11" xr3:uid="{00000000-0010-0000-0600-00000B000000}" name="10" totalsRowFunction="count" dataDxfId="451" totalsRowDxfId="450"/>
    <tableColumn id="12" xr3:uid="{00000000-0010-0000-0600-00000C000000}" name="11" totalsRowFunction="count" dataDxfId="449" totalsRowDxfId="448"/>
    <tableColumn id="13" xr3:uid="{00000000-0010-0000-0600-00000D000000}" name="12" totalsRowFunction="count" dataDxfId="447" totalsRowDxfId="446"/>
    <tableColumn id="14" xr3:uid="{00000000-0010-0000-0600-00000E000000}" name="13" totalsRowFunction="count" dataDxfId="445" totalsRowDxfId="444"/>
    <tableColumn id="15" xr3:uid="{00000000-0010-0000-0600-00000F000000}" name="14" totalsRowFunction="count" dataDxfId="443" totalsRowDxfId="442"/>
    <tableColumn id="16" xr3:uid="{00000000-0010-0000-0600-000010000000}" name="15" totalsRowFunction="count" dataDxfId="441" totalsRowDxfId="440"/>
    <tableColumn id="17" xr3:uid="{00000000-0010-0000-0600-000011000000}" name="16" totalsRowFunction="count" dataDxfId="439" totalsRowDxfId="438"/>
    <tableColumn id="18" xr3:uid="{00000000-0010-0000-0600-000012000000}" name="17" totalsRowFunction="count" dataDxfId="437" totalsRowDxfId="436"/>
    <tableColumn id="19" xr3:uid="{00000000-0010-0000-0600-000013000000}" name="18" totalsRowFunction="count" dataDxfId="435" totalsRowDxfId="434"/>
    <tableColumn id="20" xr3:uid="{00000000-0010-0000-0600-000014000000}" name="19" totalsRowFunction="count" dataDxfId="433" totalsRowDxfId="432"/>
    <tableColumn id="21" xr3:uid="{00000000-0010-0000-0600-000015000000}" name="20" totalsRowFunction="count" dataDxfId="431" totalsRowDxfId="430"/>
    <tableColumn id="22" xr3:uid="{00000000-0010-0000-0600-000016000000}" name="21" totalsRowFunction="count" dataDxfId="429" totalsRowDxfId="428"/>
    <tableColumn id="23" xr3:uid="{00000000-0010-0000-0600-000017000000}" name="22" totalsRowFunction="count" dataDxfId="427" totalsRowDxfId="426"/>
    <tableColumn id="24" xr3:uid="{00000000-0010-0000-0600-000018000000}" name="23" totalsRowFunction="count" dataDxfId="425" totalsRowDxfId="424"/>
    <tableColumn id="25" xr3:uid="{00000000-0010-0000-0600-000019000000}" name="24" totalsRowFunction="count" dataDxfId="423" totalsRowDxfId="422"/>
    <tableColumn id="26" xr3:uid="{00000000-0010-0000-0600-00001A000000}" name="25" totalsRowFunction="count" dataDxfId="421" totalsRowDxfId="420"/>
    <tableColumn id="27" xr3:uid="{00000000-0010-0000-0600-00001B000000}" name="26" totalsRowFunction="count" dataDxfId="419" totalsRowDxfId="418"/>
    <tableColumn id="28" xr3:uid="{00000000-0010-0000-0600-00001C000000}" name="27" totalsRowFunction="count" dataDxfId="417" totalsRowDxfId="416"/>
    <tableColumn id="29" xr3:uid="{00000000-0010-0000-0600-00001D000000}" name="28" totalsRowFunction="count" dataDxfId="415" totalsRowDxfId="414"/>
    <tableColumn id="30" xr3:uid="{00000000-0010-0000-0600-00001E000000}" name="29" totalsRowFunction="count" dataDxfId="413" totalsRowDxfId="412"/>
    <tableColumn id="31" xr3:uid="{00000000-0010-0000-0600-00001F000000}" name="30" totalsRowFunction="count" dataDxfId="411" totalsRowDxfId="410"/>
    <tableColumn id="32" xr3:uid="{00000000-0010-0000-0600-000020000000}" name="31" totalsRowFunction="count" dataDxfId="409" totalsRowDxfId="408"/>
    <tableColumn id="33" xr3:uid="{00000000-0010-0000-0600-000021000000}" name="Total des jours" totalsRowFunction="sum" dataDxfId="407" totalsRowDxfId="406">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H12" totalsRowCount="1" headerRowDxfId="405" dataDxfId="404" totalsRowDxfId="403">
  <tableColumns count="33">
    <tableColumn id="1" xr3:uid="{00000000-0010-0000-0700-000001000000}" name="Nom de l’employé" totalsRowFunction="custom" dataDxfId="402" totalsRowDxfId="401" dataCellStyle="Employé">
      <totalsRowFormula>NomMois&amp;" Total"</totalsRowFormula>
    </tableColumn>
    <tableColumn id="2" xr3:uid="{00000000-0010-0000-0700-000002000000}" name="1" totalsRowFunction="count" dataDxfId="400" totalsRowDxfId="399"/>
    <tableColumn id="3" xr3:uid="{00000000-0010-0000-0700-000003000000}" name="2" totalsRowFunction="count" dataDxfId="398" totalsRowDxfId="397"/>
    <tableColumn id="4" xr3:uid="{00000000-0010-0000-0700-000004000000}" name="3" totalsRowFunction="count" dataDxfId="396" totalsRowDxfId="395"/>
    <tableColumn id="5" xr3:uid="{00000000-0010-0000-0700-000005000000}" name="4" totalsRowFunction="count" dataDxfId="394" totalsRowDxfId="393"/>
    <tableColumn id="6" xr3:uid="{00000000-0010-0000-0700-000006000000}" name="5" totalsRowFunction="count" dataDxfId="392" totalsRowDxfId="391"/>
    <tableColumn id="7" xr3:uid="{00000000-0010-0000-0700-000007000000}" name="6" totalsRowFunction="count" dataDxfId="390" totalsRowDxfId="389"/>
    <tableColumn id="8" xr3:uid="{00000000-0010-0000-0700-000008000000}" name="7" totalsRowFunction="count" dataDxfId="388" totalsRowDxfId="387"/>
    <tableColumn id="9" xr3:uid="{00000000-0010-0000-0700-000009000000}" name="8" totalsRowFunction="count" dataDxfId="386" totalsRowDxfId="385"/>
    <tableColumn id="10" xr3:uid="{00000000-0010-0000-0700-00000A000000}" name="9" totalsRowFunction="count" dataDxfId="384" totalsRowDxfId="383"/>
    <tableColumn id="11" xr3:uid="{00000000-0010-0000-0700-00000B000000}" name="10" totalsRowFunction="count" dataDxfId="382" totalsRowDxfId="381"/>
    <tableColumn id="12" xr3:uid="{00000000-0010-0000-0700-00000C000000}" name="11" totalsRowFunction="count" dataDxfId="380" totalsRowDxfId="379"/>
    <tableColumn id="13" xr3:uid="{00000000-0010-0000-0700-00000D000000}" name="12" totalsRowFunction="count" dataDxfId="378" totalsRowDxfId="377"/>
    <tableColumn id="14" xr3:uid="{00000000-0010-0000-0700-00000E000000}" name="13" totalsRowFunction="count" dataDxfId="376" totalsRowDxfId="375"/>
    <tableColumn id="15" xr3:uid="{00000000-0010-0000-0700-00000F000000}" name="14" totalsRowFunction="count" dataDxfId="374" totalsRowDxfId="373"/>
    <tableColumn id="16" xr3:uid="{00000000-0010-0000-0700-000010000000}" name="15" totalsRowFunction="count" dataDxfId="372" totalsRowDxfId="371"/>
    <tableColumn id="17" xr3:uid="{00000000-0010-0000-0700-000011000000}" name="16" totalsRowFunction="count" dataDxfId="370" totalsRowDxfId="369"/>
    <tableColumn id="18" xr3:uid="{00000000-0010-0000-0700-000012000000}" name="17" totalsRowFunction="count" dataDxfId="368" totalsRowDxfId="367"/>
    <tableColumn id="19" xr3:uid="{00000000-0010-0000-0700-000013000000}" name="18" totalsRowFunction="count" dataDxfId="366" totalsRowDxfId="365"/>
    <tableColumn id="20" xr3:uid="{00000000-0010-0000-0700-000014000000}" name="19" totalsRowFunction="count" dataDxfId="364" totalsRowDxfId="363"/>
    <tableColumn id="21" xr3:uid="{00000000-0010-0000-0700-000015000000}" name="20" totalsRowFunction="count" dataDxfId="362" totalsRowDxfId="361"/>
    <tableColumn id="22" xr3:uid="{00000000-0010-0000-0700-000016000000}" name="21" totalsRowFunction="count" dataDxfId="360" totalsRowDxfId="359"/>
    <tableColumn id="23" xr3:uid="{00000000-0010-0000-0700-000017000000}" name="22" totalsRowFunction="count" dataDxfId="358" totalsRowDxfId="357"/>
    <tableColumn id="24" xr3:uid="{00000000-0010-0000-0700-000018000000}" name="23" totalsRowFunction="count" dataDxfId="356" totalsRowDxfId="355"/>
    <tableColumn id="25" xr3:uid="{00000000-0010-0000-0700-000019000000}" name="24" totalsRowFunction="count" dataDxfId="354" totalsRowDxfId="353"/>
    <tableColumn id="26" xr3:uid="{00000000-0010-0000-0700-00001A000000}" name="25" totalsRowFunction="count" dataDxfId="352" totalsRowDxfId="351"/>
    <tableColumn id="27" xr3:uid="{00000000-0010-0000-0700-00001B000000}" name="26" totalsRowFunction="count" dataDxfId="350" totalsRowDxfId="349"/>
    <tableColumn id="28" xr3:uid="{00000000-0010-0000-0700-00001C000000}" name="27" totalsRowFunction="count" dataDxfId="348" totalsRowDxfId="347"/>
    <tableColumn id="29" xr3:uid="{00000000-0010-0000-0700-00001D000000}" name="28" totalsRowFunction="count" dataDxfId="346" totalsRowDxfId="345"/>
    <tableColumn id="30" xr3:uid="{00000000-0010-0000-0700-00001E000000}" name="29" totalsRowFunction="count" dataDxfId="344" totalsRowDxfId="343"/>
    <tableColumn id="31" xr3:uid="{00000000-0010-0000-0700-00001F000000}" name="30" totalsRowFunction="count" dataDxfId="342" totalsRowDxfId="341"/>
    <tableColumn id="32" xr3:uid="{00000000-0010-0000-0700-000020000000}" name="31" totalsRowFunction="count" dataDxfId="340" totalsRowDxfId="339"/>
    <tableColumn id="33" xr3:uid="{00000000-0010-0000-0700-000021000000}" name="Total des jours" totalsRowFunction="sum" dataDxfId="338" totalsRowDxfId="337">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H12" totalsRowCount="1" headerRowDxfId="336" dataDxfId="335" totalsRowDxfId="334">
  <tableColumns count="33">
    <tableColumn id="1" xr3:uid="{00000000-0010-0000-0800-000001000000}" name="Nom de l’employé" totalsRowFunction="custom" dataDxfId="333" totalsRowDxfId="332" dataCellStyle="Employé">
      <totalsRowFormula>NomMois&amp;" Total"</totalsRowFormula>
    </tableColumn>
    <tableColumn id="2" xr3:uid="{00000000-0010-0000-0800-000002000000}" name="1" totalsRowFunction="count" dataDxfId="331" totalsRowDxfId="330"/>
    <tableColumn id="3" xr3:uid="{00000000-0010-0000-0800-000003000000}" name="2" totalsRowFunction="count" dataDxfId="329" totalsRowDxfId="328"/>
    <tableColumn id="4" xr3:uid="{00000000-0010-0000-0800-000004000000}" name="3" totalsRowFunction="count" dataDxfId="327" totalsRowDxfId="326"/>
    <tableColumn id="5" xr3:uid="{00000000-0010-0000-0800-000005000000}" name="4" totalsRowFunction="count" dataDxfId="325" totalsRowDxfId="324"/>
    <tableColumn id="6" xr3:uid="{00000000-0010-0000-0800-000006000000}" name="5" totalsRowFunction="count" dataDxfId="323" totalsRowDxfId="322"/>
    <tableColumn id="7" xr3:uid="{00000000-0010-0000-0800-000007000000}" name="6" totalsRowFunction="count" dataDxfId="321" totalsRowDxfId="320"/>
    <tableColumn id="8" xr3:uid="{00000000-0010-0000-0800-000008000000}" name="7" totalsRowFunction="count" dataDxfId="319" totalsRowDxfId="318"/>
    <tableColumn id="9" xr3:uid="{00000000-0010-0000-0800-000009000000}" name="8" totalsRowFunction="count" dataDxfId="317" totalsRowDxfId="316"/>
    <tableColumn id="10" xr3:uid="{00000000-0010-0000-0800-00000A000000}" name="9" totalsRowFunction="count" dataDxfId="315" totalsRowDxfId="314"/>
    <tableColumn id="11" xr3:uid="{00000000-0010-0000-0800-00000B000000}" name="10" totalsRowFunction="count" dataDxfId="313" totalsRowDxfId="312"/>
    <tableColumn id="12" xr3:uid="{00000000-0010-0000-0800-00000C000000}" name="11" totalsRowFunction="count" dataDxfId="311" totalsRowDxfId="310"/>
    <tableColumn id="13" xr3:uid="{00000000-0010-0000-0800-00000D000000}" name="12" totalsRowFunction="count" dataDxfId="309" totalsRowDxfId="308"/>
    <tableColumn id="14" xr3:uid="{00000000-0010-0000-0800-00000E000000}" name="13" totalsRowFunction="count" dataDxfId="307" totalsRowDxfId="306"/>
    <tableColumn id="15" xr3:uid="{00000000-0010-0000-0800-00000F000000}" name="14" totalsRowFunction="count" dataDxfId="305" totalsRowDxfId="304"/>
    <tableColumn id="16" xr3:uid="{00000000-0010-0000-0800-000010000000}" name="15" totalsRowFunction="count" dataDxfId="303" totalsRowDxfId="302"/>
    <tableColumn id="17" xr3:uid="{00000000-0010-0000-0800-000011000000}" name="16" totalsRowFunction="count" dataDxfId="301" totalsRowDxfId="300"/>
    <tableColumn id="18" xr3:uid="{00000000-0010-0000-0800-000012000000}" name="17" totalsRowFunction="count" dataDxfId="299" totalsRowDxfId="298"/>
    <tableColumn id="19" xr3:uid="{00000000-0010-0000-0800-000013000000}" name="18" totalsRowFunction="count" dataDxfId="297" totalsRowDxfId="296"/>
    <tableColumn id="20" xr3:uid="{00000000-0010-0000-0800-000014000000}" name="19" totalsRowFunction="count" dataDxfId="295" totalsRowDxfId="294"/>
    <tableColumn id="21" xr3:uid="{00000000-0010-0000-0800-000015000000}" name="20" totalsRowFunction="count" dataDxfId="293" totalsRowDxfId="292"/>
    <tableColumn id="22" xr3:uid="{00000000-0010-0000-0800-000016000000}" name="21" totalsRowFunction="count" dataDxfId="291" totalsRowDxfId="290"/>
    <tableColumn id="23" xr3:uid="{00000000-0010-0000-0800-000017000000}" name="22" totalsRowFunction="count" dataDxfId="289" totalsRowDxfId="288"/>
    <tableColumn id="24" xr3:uid="{00000000-0010-0000-0800-000018000000}" name="23" totalsRowFunction="count" dataDxfId="287" totalsRowDxfId="286"/>
    <tableColumn id="25" xr3:uid="{00000000-0010-0000-0800-000019000000}" name="24" totalsRowFunction="count" dataDxfId="285" totalsRowDxfId="284"/>
    <tableColumn id="26" xr3:uid="{00000000-0010-0000-0800-00001A000000}" name="25" totalsRowFunction="count" dataDxfId="283" totalsRowDxfId="282"/>
    <tableColumn id="27" xr3:uid="{00000000-0010-0000-0800-00001B000000}" name="26" totalsRowFunction="count" dataDxfId="281" totalsRowDxfId="280"/>
    <tableColumn id="28" xr3:uid="{00000000-0010-0000-0800-00001C000000}" name="27" totalsRowFunction="count" dataDxfId="279" totalsRowDxfId="278"/>
    <tableColumn id="29" xr3:uid="{00000000-0010-0000-0800-00001D000000}" name="28" totalsRowFunction="count" dataDxfId="277" totalsRowDxfId="276"/>
    <tableColumn id="30" xr3:uid="{00000000-0010-0000-0800-00001E000000}" name="29" totalsRowFunction="count" dataDxfId="275" totalsRowDxfId="274"/>
    <tableColumn id="31" xr3:uid="{00000000-0010-0000-0800-00001F000000}" name="30" totalsRowFunction="count" dataDxfId="273" totalsRowDxfId="272"/>
    <tableColumn id="32" xr3:uid="{00000000-0010-0000-0800-000020000000}" name=" " totalsRowFunction="count" dataDxfId="271" totalsRowDxfId="270"/>
    <tableColumn id="33" xr3:uid="{00000000-0010-0000-0800-000021000000}" name="Total des jours" totalsRowFunction="sum" dataDxfId="269" totalsRowDxfId="268">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H12" totalsRowCount="1" headerRowDxfId="267" dataDxfId="266" totalsRowDxfId="265">
  <tableColumns count="33">
    <tableColumn id="1" xr3:uid="{00000000-0010-0000-0900-000001000000}" name="Nom de l’employé" totalsRowFunction="custom" dataDxfId="264" totalsRowDxfId="263" dataCellStyle="Employé">
      <totalsRowFormula>NomMois&amp;" Total"</totalsRowFormula>
    </tableColumn>
    <tableColumn id="2" xr3:uid="{00000000-0010-0000-0900-000002000000}" name="1" totalsRowFunction="count" dataDxfId="262" totalsRowDxfId="261"/>
    <tableColumn id="3" xr3:uid="{00000000-0010-0000-0900-000003000000}" name="2" totalsRowFunction="count" dataDxfId="260" totalsRowDxfId="259"/>
    <tableColumn id="4" xr3:uid="{00000000-0010-0000-0900-000004000000}" name="3" totalsRowFunction="count" dataDxfId="258" totalsRowDxfId="257"/>
    <tableColumn id="5" xr3:uid="{00000000-0010-0000-0900-000005000000}" name="4" totalsRowFunction="count" dataDxfId="256" totalsRowDxfId="255"/>
    <tableColumn id="6" xr3:uid="{00000000-0010-0000-0900-000006000000}" name="5" totalsRowFunction="count" dataDxfId="254" totalsRowDxfId="253"/>
    <tableColumn id="7" xr3:uid="{00000000-0010-0000-0900-000007000000}" name="6" totalsRowFunction="count" dataDxfId="252" totalsRowDxfId="251"/>
    <tableColumn id="8" xr3:uid="{00000000-0010-0000-0900-000008000000}" name="7" totalsRowFunction="count" dataDxfId="250" totalsRowDxfId="249"/>
    <tableColumn id="9" xr3:uid="{00000000-0010-0000-0900-000009000000}" name="8" totalsRowFunction="count" dataDxfId="248" totalsRowDxfId="247"/>
    <tableColumn id="10" xr3:uid="{00000000-0010-0000-0900-00000A000000}" name="9" totalsRowFunction="count" dataDxfId="246" totalsRowDxfId="245"/>
    <tableColumn id="11" xr3:uid="{00000000-0010-0000-0900-00000B000000}" name="10" totalsRowFunction="count" dataDxfId="244" totalsRowDxfId="243"/>
    <tableColumn id="12" xr3:uid="{00000000-0010-0000-0900-00000C000000}" name="11" totalsRowFunction="count" dataDxfId="242" totalsRowDxfId="241"/>
    <tableColumn id="13" xr3:uid="{00000000-0010-0000-0900-00000D000000}" name="12" totalsRowFunction="count" dataDxfId="240" totalsRowDxfId="239"/>
    <tableColumn id="14" xr3:uid="{00000000-0010-0000-0900-00000E000000}" name="13" totalsRowFunction="count" dataDxfId="238" totalsRowDxfId="237"/>
    <tableColumn id="15" xr3:uid="{00000000-0010-0000-0900-00000F000000}" name="14" totalsRowFunction="count" dataDxfId="236" totalsRowDxfId="235"/>
    <tableColumn id="16" xr3:uid="{00000000-0010-0000-0900-000010000000}" name="15" totalsRowFunction="count" dataDxfId="234" totalsRowDxfId="233"/>
    <tableColumn id="17" xr3:uid="{00000000-0010-0000-0900-000011000000}" name="16" totalsRowFunction="count" dataDxfId="232" totalsRowDxfId="231"/>
    <tableColumn id="18" xr3:uid="{00000000-0010-0000-0900-000012000000}" name="17" totalsRowFunction="count" dataDxfId="230" totalsRowDxfId="229"/>
    <tableColumn id="19" xr3:uid="{00000000-0010-0000-0900-000013000000}" name="18" totalsRowFunction="count" dataDxfId="228" totalsRowDxfId="227"/>
    <tableColumn id="20" xr3:uid="{00000000-0010-0000-0900-000014000000}" name="19" totalsRowFunction="count" dataDxfId="226" totalsRowDxfId="225"/>
    <tableColumn id="21" xr3:uid="{00000000-0010-0000-0900-000015000000}" name="20" totalsRowFunction="count" dataDxfId="224" totalsRowDxfId="223"/>
    <tableColumn id="22" xr3:uid="{00000000-0010-0000-0900-000016000000}" name="21" totalsRowFunction="count" dataDxfId="222" totalsRowDxfId="221"/>
    <tableColumn id="23" xr3:uid="{00000000-0010-0000-0900-000017000000}" name="22" totalsRowFunction="count" dataDxfId="220" totalsRowDxfId="219"/>
    <tableColumn id="24" xr3:uid="{00000000-0010-0000-0900-000018000000}" name="23" totalsRowFunction="count" dataDxfId="218" totalsRowDxfId="217"/>
    <tableColumn id="25" xr3:uid="{00000000-0010-0000-0900-000019000000}" name="24" totalsRowFunction="count" dataDxfId="216" totalsRowDxfId="215"/>
    <tableColumn id="26" xr3:uid="{00000000-0010-0000-0900-00001A000000}" name="25" totalsRowFunction="count" dataDxfId="214" totalsRowDxfId="213"/>
    <tableColumn id="27" xr3:uid="{00000000-0010-0000-0900-00001B000000}" name="26" totalsRowFunction="count" dataDxfId="212" totalsRowDxfId="211"/>
    <tableColumn id="28" xr3:uid="{00000000-0010-0000-0900-00001C000000}" name="27" totalsRowFunction="count" dataDxfId="210" totalsRowDxfId="209"/>
    <tableColumn id="29" xr3:uid="{00000000-0010-0000-0900-00001D000000}" name="28" totalsRowFunction="count" dataDxfId="208" totalsRowDxfId="207"/>
    <tableColumn id="30" xr3:uid="{00000000-0010-0000-0900-00001E000000}" name="29" totalsRowFunction="count" dataDxfId="206" totalsRowDxfId="205"/>
    <tableColumn id="31" xr3:uid="{00000000-0010-0000-0900-00001F000000}" name="30" totalsRowFunction="count" dataDxfId="204" totalsRowDxfId="203"/>
    <tableColumn id="32" xr3:uid="{00000000-0010-0000-0900-000020000000}" name="31" totalsRowFunction="count" dataDxfId="202" totalsRowDxfId="201"/>
    <tableColumn id="33" xr3:uid="{00000000-0010-0000-0900-000021000000}" name="Total des jours" totalsRowFunction="sum" dataDxfId="200" totalsRowDxfId="199">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H12" totalsRowCount="1" headerRowDxfId="198" dataDxfId="197" totalsRowDxfId="196">
  <tableColumns count="33">
    <tableColumn id="1" xr3:uid="{00000000-0010-0000-0A00-000001000000}" name="Nom de l’employé" totalsRowFunction="custom" dataDxfId="195" totalsRowDxfId="194" dataCellStyle="Employé">
      <totalsRowFormula>NomMois&amp;" Total"</totalsRowFormula>
    </tableColumn>
    <tableColumn id="2" xr3:uid="{00000000-0010-0000-0A00-000002000000}" name="1" totalsRowFunction="count" dataDxfId="193" totalsRowDxfId="192"/>
    <tableColumn id="3" xr3:uid="{00000000-0010-0000-0A00-000003000000}" name="2" totalsRowFunction="count" dataDxfId="191" totalsRowDxfId="190"/>
    <tableColumn id="4" xr3:uid="{00000000-0010-0000-0A00-000004000000}" name="3" totalsRowFunction="count" dataDxfId="189" totalsRowDxfId="188"/>
    <tableColumn id="5" xr3:uid="{00000000-0010-0000-0A00-000005000000}" name="4" totalsRowFunction="count" dataDxfId="187" totalsRowDxfId="186"/>
    <tableColumn id="6" xr3:uid="{00000000-0010-0000-0A00-000006000000}" name="5" totalsRowFunction="count" dataDxfId="185" totalsRowDxfId="184"/>
    <tableColumn id="7" xr3:uid="{00000000-0010-0000-0A00-000007000000}" name="6" totalsRowFunction="count" dataDxfId="183" totalsRowDxfId="182"/>
    <tableColumn id="8" xr3:uid="{00000000-0010-0000-0A00-000008000000}" name="7" totalsRowFunction="count" dataDxfId="181" totalsRowDxfId="180"/>
    <tableColumn id="9" xr3:uid="{00000000-0010-0000-0A00-000009000000}" name="8" totalsRowFunction="count" dataDxfId="179" totalsRowDxfId="178"/>
    <tableColumn id="10" xr3:uid="{00000000-0010-0000-0A00-00000A000000}" name="9" totalsRowFunction="count" dataDxfId="177" totalsRowDxfId="176"/>
    <tableColumn id="11" xr3:uid="{00000000-0010-0000-0A00-00000B000000}" name="10" totalsRowFunction="count" dataDxfId="175" totalsRowDxfId="174"/>
    <tableColumn id="12" xr3:uid="{00000000-0010-0000-0A00-00000C000000}" name="11" totalsRowFunction="count" dataDxfId="173" totalsRowDxfId="172"/>
    <tableColumn id="13" xr3:uid="{00000000-0010-0000-0A00-00000D000000}" name="12" totalsRowFunction="count" dataDxfId="171" totalsRowDxfId="170"/>
    <tableColumn id="14" xr3:uid="{00000000-0010-0000-0A00-00000E000000}" name="13" totalsRowFunction="count" dataDxfId="169" totalsRowDxfId="168"/>
    <tableColumn id="15" xr3:uid="{00000000-0010-0000-0A00-00000F000000}" name="14" totalsRowFunction="count" dataDxfId="167" totalsRowDxfId="166"/>
    <tableColumn id="16" xr3:uid="{00000000-0010-0000-0A00-000010000000}" name="15" totalsRowFunction="count" dataDxfId="165" totalsRowDxfId="164"/>
    <tableColumn id="17" xr3:uid="{00000000-0010-0000-0A00-000011000000}" name="16" totalsRowFunction="count" dataDxfId="163" totalsRowDxfId="162"/>
    <tableColumn id="18" xr3:uid="{00000000-0010-0000-0A00-000012000000}" name="17" totalsRowFunction="count" dataDxfId="161" totalsRowDxfId="160"/>
    <tableColumn id="19" xr3:uid="{00000000-0010-0000-0A00-000013000000}" name="18" totalsRowFunction="count" dataDxfId="159" totalsRowDxfId="158"/>
    <tableColumn id="20" xr3:uid="{00000000-0010-0000-0A00-000014000000}" name="19" totalsRowFunction="count" dataDxfId="157" totalsRowDxfId="156"/>
    <tableColumn id="21" xr3:uid="{00000000-0010-0000-0A00-000015000000}" name="20" totalsRowFunction="count" dataDxfId="155" totalsRowDxfId="154"/>
    <tableColumn id="22" xr3:uid="{00000000-0010-0000-0A00-000016000000}" name="21" totalsRowFunction="count" dataDxfId="153" totalsRowDxfId="152"/>
    <tableColumn id="23" xr3:uid="{00000000-0010-0000-0A00-000017000000}" name="22" totalsRowFunction="count" dataDxfId="151" totalsRowDxfId="150"/>
    <tableColumn id="24" xr3:uid="{00000000-0010-0000-0A00-000018000000}" name="23" totalsRowFunction="count" dataDxfId="149" totalsRowDxfId="148"/>
    <tableColumn id="25" xr3:uid="{00000000-0010-0000-0A00-000019000000}" name="24" totalsRowFunction="count" dataDxfId="147" totalsRowDxfId="146"/>
    <tableColumn id="26" xr3:uid="{00000000-0010-0000-0A00-00001A000000}" name="25" totalsRowFunction="count" dataDxfId="145" totalsRowDxfId="144"/>
    <tableColumn id="27" xr3:uid="{00000000-0010-0000-0A00-00001B000000}" name="26" totalsRowFunction="count" dataDxfId="143" totalsRowDxfId="142"/>
    <tableColumn id="28" xr3:uid="{00000000-0010-0000-0A00-00001C000000}" name="27" totalsRowFunction="count" dataDxfId="141" totalsRowDxfId="140"/>
    <tableColumn id="29" xr3:uid="{00000000-0010-0000-0A00-00001D000000}" name="28" totalsRowFunction="count" dataDxfId="139" totalsRowDxfId="138"/>
    <tableColumn id="30" xr3:uid="{00000000-0010-0000-0A00-00001E000000}" name="29" totalsRowFunction="count" dataDxfId="137" totalsRowDxfId="136"/>
    <tableColumn id="31" xr3:uid="{00000000-0010-0000-0A00-00001F000000}" name="30" totalsRowFunction="count" dataDxfId="135" totalsRowDxfId="134"/>
    <tableColumn id="32" xr3:uid="{00000000-0010-0000-0A00-000020000000}" name=" " totalsRowFunction="count" dataDxfId="133" totalsRowDxfId="132"/>
    <tableColumn id="33" xr3:uid="{00000000-0010-0000-0A00-000021000000}" name="Total des jours" totalsRowFunction="sum" dataDxfId="131" totalsRowDxfId="130">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H12" totalsRowCount="1" headerRowDxfId="129" dataDxfId="128" totalsRowDxfId="127">
  <tableColumns count="33">
    <tableColumn id="1" xr3:uid="{00000000-0010-0000-0B00-000001000000}" name="Nom de l’employé" totalsRowFunction="custom" dataDxfId="126" totalsRowDxfId="125" dataCellStyle="Employé">
      <totalsRowFormula>NomMois&amp;" Total"</totalsRowFormula>
    </tableColumn>
    <tableColumn id="2" xr3:uid="{00000000-0010-0000-0B00-000002000000}" name="1" totalsRowFunction="count" dataDxfId="124" totalsRowDxfId="123"/>
    <tableColumn id="3" xr3:uid="{00000000-0010-0000-0B00-000003000000}" name="2" totalsRowFunction="count" dataDxfId="122" totalsRowDxfId="121"/>
    <tableColumn id="4" xr3:uid="{00000000-0010-0000-0B00-000004000000}" name="3" totalsRowFunction="count" dataDxfId="120" totalsRowDxfId="119"/>
    <tableColumn id="5" xr3:uid="{00000000-0010-0000-0B00-000005000000}" name="4" totalsRowFunction="count" dataDxfId="118" totalsRowDxfId="117"/>
    <tableColumn id="6" xr3:uid="{00000000-0010-0000-0B00-000006000000}" name="5" totalsRowFunction="count" dataDxfId="116" totalsRowDxfId="115"/>
    <tableColumn id="7" xr3:uid="{00000000-0010-0000-0B00-000007000000}" name="6" totalsRowFunction="count" dataDxfId="114" totalsRowDxfId="113"/>
    <tableColumn id="8" xr3:uid="{00000000-0010-0000-0B00-000008000000}" name="7" totalsRowFunction="count" dataDxfId="112" totalsRowDxfId="111"/>
    <tableColumn id="9" xr3:uid="{00000000-0010-0000-0B00-000009000000}" name="8" totalsRowFunction="count" dataDxfId="110" totalsRowDxfId="109"/>
    <tableColumn id="10" xr3:uid="{00000000-0010-0000-0B00-00000A000000}" name="9" totalsRowFunction="count" dataDxfId="108" totalsRowDxfId="107"/>
    <tableColumn id="11" xr3:uid="{00000000-0010-0000-0B00-00000B000000}" name="10" totalsRowFunction="count" dataDxfId="106" totalsRowDxfId="105"/>
    <tableColumn id="12" xr3:uid="{00000000-0010-0000-0B00-00000C000000}" name="11" totalsRowFunction="count" dataDxfId="104" totalsRowDxfId="103"/>
    <tableColumn id="13" xr3:uid="{00000000-0010-0000-0B00-00000D000000}" name="12" totalsRowFunction="count" dataDxfId="102" totalsRowDxfId="101"/>
    <tableColumn id="14" xr3:uid="{00000000-0010-0000-0B00-00000E000000}" name="13" totalsRowFunction="count" dataDxfId="100" totalsRowDxfId="99"/>
    <tableColumn id="15" xr3:uid="{00000000-0010-0000-0B00-00000F000000}" name="14" totalsRowFunction="count" dataDxfId="98" totalsRowDxfId="97"/>
    <tableColumn id="16" xr3:uid="{00000000-0010-0000-0B00-000010000000}" name="15" totalsRowFunction="count" dataDxfId="96" totalsRowDxfId="95"/>
    <tableColumn id="17" xr3:uid="{00000000-0010-0000-0B00-000011000000}" name="16" totalsRowFunction="count" dataDxfId="94" totalsRowDxfId="93"/>
    <tableColumn id="18" xr3:uid="{00000000-0010-0000-0B00-000012000000}" name="17" totalsRowFunction="count" dataDxfId="92" totalsRowDxfId="91"/>
    <tableColumn id="19" xr3:uid="{00000000-0010-0000-0B00-000013000000}" name="18" totalsRowFunction="count" dataDxfId="90" totalsRowDxfId="89"/>
    <tableColumn id="20" xr3:uid="{00000000-0010-0000-0B00-000014000000}" name="19" totalsRowFunction="count" dataDxfId="88" totalsRowDxfId="87"/>
    <tableColumn id="21" xr3:uid="{00000000-0010-0000-0B00-000015000000}" name="20" totalsRowFunction="count" dataDxfId="86" totalsRowDxfId="85"/>
    <tableColumn id="22" xr3:uid="{00000000-0010-0000-0B00-000016000000}" name="21" totalsRowFunction="count" dataDxfId="84" totalsRowDxfId="83"/>
    <tableColumn id="23" xr3:uid="{00000000-0010-0000-0B00-000017000000}" name="22" totalsRowFunction="count" dataDxfId="82" totalsRowDxfId="81"/>
    <tableColumn id="24" xr3:uid="{00000000-0010-0000-0B00-000018000000}" name="23" totalsRowFunction="count" dataDxfId="80" totalsRowDxfId="79"/>
    <tableColumn id="25" xr3:uid="{00000000-0010-0000-0B00-000019000000}" name="24" totalsRowFunction="count" dataDxfId="78" totalsRowDxfId="77"/>
    <tableColumn id="26" xr3:uid="{00000000-0010-0000-0B00-00001A000000}" name="25" totalsRowFunction="count" dataDxfId="76" totalsRowDxfId="75"/>
    <tableColumn id="27" xr3:uid="{00000000-0010-0000-0B00-00001B000000}" name="26" totalsRowFunction="count" dataDxfId="74" totalsRowDxfId="73"/>
    <tableColumn id="28" xr3:uid="{00000000-0010-0000-0B00-00001C000000}" name="27" totalsRowFunction="count" dataDxfId="72" totalsRowDxfId="71"/>
    <tableColumn id="29" xr3:uid="{00000000-0010-0000-0B00-00001D000000}" name="28" totalsRowFunction="count" dataDxfId="70" totalsRowDxfId="69"/>
    <tableColumn id="30" xr3:uid="{00000000-0010-0000-0B00-00001E000000}" name="29" totalsRowFunction="count" dataDxfId="68" totalsRowDxfId="67"/>
    <tableColumn id="31" xr3:uid="{00000000-0010-0000-0B00-00001F000000}" name="30" totalsRowFunction="count" dataDxfId="66" totalsRowDxfId="65"/>
    <tableColumn id="32" xr3:uid="{00000000-0010-0000-0B00-000020000000}" name="31" totalsRowFunction="count" dataDxfId="64" totalsRowDxfId="63"/>
    <tableColumn id="33" xr3:uid="{00000000-0010-0000-0B00-000021000000}" name="Total des jours" totalsRowFunction="sum" dataDxfId="62" totalsRowDxfId="61">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0"/>
  </sheetPr>
  <dimension ref="A1:AJ349"/>
  <sheetViews>
    <sheetView showGridLines="0" tabSelected="1" zoomScaleNormal="100" workbookViewId="0">
      <pane ySplit="1" topLeftCell="A2" activePane="bottomLeft" state="frozen"/>
      <selection pane="bottomLeft" activeCell="L9" sqref="L9"/>
    </sheetView>
  </sheetViews>
  <sheetFormatPr baseColWidth="10" defaultColWidth="9.140625" defaultRowHeight="30" customHeight="1" x14ac:dyDescent="0.25"/>
  <cols>
    <col min="1" max="1" width="19" style="1" customWidth="1"/>
    <col min="2" max="32" width="4.7109375" customWidth="1"/>
    <col min="33" max="33" width="11.5703125" customWidth="1"/>
    <col min="34" max="34" width="10.7109375" customWidth="1"/>
    <col min="35" max="35" width="12.28515625" customWidth="1"/>
    <col min="36" max="36" width="15.7109375" customWidth="1"/>
  </cols>
  <sheetData>
    <row r="1" spans="1:36" ht="50.1" customHeight="1" x14ac:dyDescent="0.25">
      <c r="A1" s="18" t="s">
        <v>70</v>
      </c>
    </row>
    <row r="2" spans="1:36" s="17" customFormat="1" ht="15" customHeight="1" x14ac:dyDescent="0.25">
      <c r="A2" s="25" t="s">
        <v>67</v>
      </c>
      <c r="B2" s="19" t="s">
        <v>62</v>
      </c>
      <c r="C2" s="34" t="s">
        <v>65</v>
      </c>
      <c r="D2" s="34"/>
      <c r="E2" s="34"/>
      <c r="F2" s="34"/>
      <c r="G2" s="20" t="s">
        <v>64</v>
      </c>
      <c r="H2" s="34" t="s">
        <v>75</v>
      </c>
      <c r="I2" s="34"/>
      <c r="J2" s="34"/>
      <c r="K2" s="34"/>
      <c r="L2" s="34"/>
      <c r="M2" s="21" t="s">
        <v>66</v>
      </c>
      <c r="N2" s="34" t="s">
        <v>76</v>
      </c>
      <c r="O2" s="34"/>
      <c r="P2" s="34"/>
      <c r="Q2" s="34"/>
      <c r="R2" s="22" t="s">
        <v>68</v>
      </c>
      <c r="S2" s="34" t="s">
        <v>69</v>
      </c>
      <c r="T2" s="34"/>
      <c r="U2" s="34"/>
      <c r="V2" s="34"/>
      <c r="W2" s="23" t="s">
        <v>72</v>
      </c>
      <c r="X2" s="34" t="s">
        <v>71</v>
      </c>
      <c r="Y2" s="34"/>
      <c r="Z2" s="34"/>
      <c r="AA2" s="34"/>
      <c r="AB2" s="34"/>
      <c r="AC2" s="34"/>
      <c r="AD2" s="34"/>
      <c r="AE2" s="34"/>
    </row>
    <row r="3" spans="1:36" ht="34.9" customHeight="1" x14ac:dyDescent="0.3">
      <c r="AG3" s="32" t="s">
        <v>47</v>
      </c>
    </row>
    <row r="4" spans="1:36" ht="30" customHeight="1" x14ac:dyDescent="0.25">
      <c r="A4" s="35" t="s">
        <v>1</v>
      </c>
      <c r="B4" s="35"/>
      <c r="C4" s="35"/>
      <c r="D4" s="35"/>
      <c r="E4" s="35"/>
      <c r="F4" s="35"/>
      <c r="G4" s="35"/>
      <c r="H4" s="35"/>
      <c r="I4" s="35"/>
      <c r="J4" s="35"/>
      <c r="K4" s="35"/>
      <c r="L4" s="35"/>
      <c r="M4" s="35"/>
      <c r="N4" s="35"/>
      <c r="O4" s="35"/>
      <c r="P4" s="35"/>
      <c r="Q4" s="35"/>
      <c r="R4" s="35"/>
      <c r="S4" s="35"/>
      <c r="T4" s="35"/>
      <c r="U4" s="35"/>
      <c r="V4" s="35"/>
      <c r="W4" s="35"/>
      <c r="X4" s="35"/>
      <c r="Y4" s="35"/>
      <c r="Z4" s="35"/>
      <c r="AA4" s="35"/>
      <c r="AB4" s="35"/>
      <c r="AC4" s="35"/>
      <c r="AD4" s="35"/>
      <c r="AE4" s="35"/>
      <c r="AF4" s="35"/>
      <c r="AG4" s="33">
        <v>2023</v>
      </c>
    </row>
    <row r="5" spans="1:36" ht="15" customHeight="1" x14ac:dyDescent="0.25">
      <c r="A5" s="9"/>
      <c r="B5" s="24" t="str">
        <f>TEXT(WEEKDAY(DATE(AnnéeCalendrier,1,1),1),"jjj")</f>
        <v>dim</v>
      </c>
      <c r="C5" s="24" t="str">
        <f>TEXT(WEEKDAY(DATE(AnnéeCalendrier,1,2),1),"jjj")</f>
        <v>lun</v>
      </c>
      <c r="D5" s="24" t="str">
        <f>TEXT(WEEKDAY(DATE(AnnéeCalendrier,1,3),1),"jjj")</f>
        <v>mar</v>
      </c>
      <c r="E5" s="24" t="str">
        <f>TEXT(WEEKDAY(DATE(AnnéeCalendrier,1,4),1),"jjj")</f>
        <v>mer</v>
      </c>
      <c r="F5" s="24" t="str">
        <f>TEXT(WEEKDAY(DATE(AnnéeCalendrier,1,5),1),"jjj")</f>
        <v>jeu</v>
      </c>
      <c r="G5" s="24" t="str">
        <f>TEXT(WEEKDAY(DATE(AnnéeCalendrier,1,6),1),"jjj")</f>
        <v>ven</v>
      </c>
      <c r="H5" s="24" t="str">
        <f>TEXT(WEEKDAY(DATE(AnnéeCalendrier,1,7),1),"jjj")</f>
        <v>sam</v>
      </c>
      <c r="I5" s="24" t="str">
        <f>TEXT(WEEKDAY(DATE(AnnéeCalendrier,1,8),1),"jjj")</f>
        <v>dim</v>
      </c>
      <c r="J5" s="24" t="str">
        <f>TEXT(WEEKDAY(DATE(AnnéeCalendrier,1,9),1),"jjj")</f>
        <v>lun</v>
      </c>
      <c r="K5" s="24" t="str">
        <f>TEXT(WEEKDAY(DATE(AnnéeCalendrier,1,10),1),"jjj")</f>
        <v>mar</v>
      </c>
      <c r="L5" s="24" t="str">
        <f>TEXT(WEEKDAY(DATE(AnnéeCalendrier,1,11),1),"jjj")</f>
        <v>mer</v>
      </c>
      <c r="M5" s="24" t="str">
        <f>TEXT(WEEKDAY(DATE(AnnéeCalendrier,1,12),1),"jjj")</f>
        <v>jeu</v>
      </c>
      <c r="N5" s="24" t="str">
        <f>TEXT(WEEKDAY(DATE(AnnéeCalendrier,1,13),1),"jjj")</f>
        <v>ven</v>
      </c>
      <c r="O5" s="24" t="str">
        <f>TEXT(WEEKDAY(DATE(AnnéeCalendrier,1,14),1),"jjj")</f>
        <v>sam</v>
      </c>
      <c r="P5" s="24" t="str">
        <f>TEXT(WEEKDAY(DATE(AnnéeCalendrier,1,15),1),"jjj")</f>
        <v>dim</v>
      </c>
      <c r="Q5" s="24" t="str">
        <f>TEXT(WEEKDAY(DATE(AnnéeCalendrier,1,16),1),"jjj")</f>
        <v>lun</v>
      </c>
      <c r="R5" s="24" t="str">
        <f>TEXT(WEEKDAY(DATE(AnnéeCalendrier,1,17),1),"jjj")</f>
        <v>mar</v>
      </c>
      <c r="S5" s="24" t="str">
        <f>TEXT(WEEKDAY(DATE(AnnéeCalendrier,1,18),1),"jjj")</f>
        <v>mer</v>
      </c>
      <c r="T5" s="24" t="str">
        <f>TEXT(WEEKDAY(DATE(AnnéeCalendrier,1,19),1),"jjj")</f>
        <v>jeu</v>
      </c>
      <c r="U5" s="24" t="str">
        <f>TEXT(WEEKDAY(DATE(AnnéeCalendrier,1,20),1),"jjj")</f>
        <v>ven</v>
      </c>
      <c r="V5" s="24" t="str">
        <f>TEXT(WEEKDAY(DATE(AnnéeCalendrier,1,21),1),"jjj")</f>
        <v>sam</v>
      </c>
      <c r="W5" s="24" t="str">
        <f>TEXT(WEEKDAY(DATE(AnnéeCalendrier,1,22),1),"jjj")</f>
        <v>dim</v>
      </c>
      <c r="X5" s="24" t="str">
        <f>TEXT(WEEKDAY(DATE(AnnéeCalendrier,1,23),1),"jjj")</f>
        <v>lun</v>
      </c>
      <c r="Y5" s="24" t="str">
        <f>TEXT(WEEKDAY(DATE(AnnéeCalendrier,1,24),1),"jjj")</f>
        <v>mar</v>
      </c>
      <c r="Z5" s="24" t="str">
        <f>TEXT(WEEKDAY(DATE(AnnéeCalendrier,1,25),1),"jjj")</f>
        <v>mer</v>
      </c>
      <c r="AA5" s="24" t="str">
        <f>TEXT(WEEKDAY(DATE(AnnéeCalendrier,1,26),1),"jjj")</f>
        <v>jeu</v>
      </c>
      <c r="AB5" s="24" t="str">
        <f>TEXT(WEEKDAY(DATE(AnnéeCalendrier,1,27),1),"jjj")</f>
        <v>ven</v>
      </c>
      <c r="AC5" s="24" t="str">
        <f>TEXT(WEEKDAY(DATE(AnnéeCalendrier,1,28),1),"jjj")</f>
        <v>sam</v>
      </c>
      <c r="AD5" s="24" t="str">
        <f>TEXT(WEEKDAY(DATE(AnnéeCalendrier,1,29),1),"jjj")</f>
        <v>dim</v>
      </c>
      <c r="AE5" s="24" t="str">
        <f>TEXT(WEEKDAY(DATE(AnnéeCalendrier,1,30),1),"jjj")</f>
        <v>lun</v>
      </c>
      <c r="AF5" s="24" t="str">
        <f>TEXT(WEEKDAY(DATE(AnnéeCalendrier,1,31),1),"jjj")</f>
        <v>mar</v>
      </c>
      <c r="AG5" s="29"/>
    </row>
    <row r="6" spans="1:36" ht="31.9" customHeight="1" x14ac:dyDescent="0.25">
      <c r="A6" s="27" t="s">
        <v>73</v>
      </c>
      <c r="B6" s="24" t="s">
        <v>9</v>
      </c>
      <c r="C6" s="24" t="s">
        <v>11</v>
      </c>
      <c r="D6" s="24" t="s">
        <v>12</v>
      </c>
      <c r="E6" s="24" t="s">
        <v>14</v>
      </c>
      <c r="F6" s="24" t="s">
        <v>16</v>
      </c>
      <c r="G6" s="24" t="s">
        <v>18</v>
      </c>
      <c r="H6" s="24" t="s">
        <v>19</v>
      </c>
      <c r="I6" s="24" t="s">
        <v>20</v>
      </c>
      <c r="J6" s="24" t="s">
        <v>21</v>
      </c>
      <c r="K6" s="24" t="s">
        <v>23</v>
      </c>
      <c r="L6" s="24" t="s">
        <v>24</v>
      </c>
      <c r="M6" s="24" t="s">
        <v>25</v>
      </c>
      <c r="N6" s="24" t="s">
        <v>27</v>
      </c>
      <c r="O6" s="24" t="s">
        <v>28</v>
      </c>
      <c r="P6" s="24" t="s">
        <v>29</v>
      </c>
      <c r="Q6" s="24" t="s">
        <v>30</v>
      </c>
      <c r="R6" s="24" t="s">
        <v>32</v>
      </c>
      <c r="S6" s="24" t="s">
        <v>33</v>
      </c>
      <c r="T6" s="24" t="s">
        <v>34</v>
      </c>
      <c r="U6" s="24" t="s">
        <v>35</v>
      </c>
      <c r="V6" s="24" t="s">
        <v>36</v>
      </c>
      <c r="W6" s="24" t="s">
        <v>37</v>
      </c>
      <c r="X6" s="24" t="s">
        <v>38</v>
      </c>
      <c r="Y6" s="24" t="s">
        <v>39</v>
      </c>
      <c r="Z6" s="24" t="s">
        <v>40</v>
      </c>
      <c r="AA6" s="24" t="s">
        <v>41</v>
      </c>
      <c r="AB6" s="24" t="s">
        <v>42</v>
      </c>
      <c r="AC6" s="24" t="s">
        <v>43</v>
      </c>
      <c r="AD6" s="24" t="s">
        <v>44</v>
      </c>
      <c r="AE6" s="24" t="s">
        <v>45</v>
      </c>
      <c r="AF6" s="24" t="s">
        <v>46</v>
      </c>
      <c r="AG6" s="30" t="s">
        <v>74</v>
      </c>
      <c r="AH6" s="31" t="s">
        <v>79</v>
      </c>
      <c r="AI6" s="31" t="s">
        <v>78</v>
      </c>
      <c r="AJ6" s="31" t="s">
        <v>80</v>
      </c>
    </row>
    <row r="7" spans="1:36" s="17" customFormat="1" ht="30" customHeight="1" x14ac:dyDescent="0.25">
      <c r="A7" s="28" t="s">
        <v>77</v>
      </c>
      <c r="B7" s="24"/>
      <c r="C7" s="24"/>
      <c r="D7" s="24"/>
      <c r="E7" s="24"/>
      <c r="F7" s="24"/>
      <c r="G7" s="24"/>
      <c r="H7" s="24"/>
      <c r="I7" s="24"/>
      <c r="J7" s="24"/>
      <c r="K7" s="24"/>
      <c r="L7" s="24"/>
      <c r="M7" s="24"/>
      <c r="N7" s="24"/>
      <c r="O7" s="24"/>
      <c r="P7" s="24"/>
      <c r="Q7" s="24"/>
      <c r="R7" s="24"/>
      <c r="S7" s="24"/>
      <c r="T7" s="24"/>
      <c r="U7" s="24"/>
      <c r="V7" s="24"/>
      <c r="W7" s="24"/>
      <c r="X7" s="24"/>
      <c r="Y7" s="24"/>
      <c r="Z7" s="24"/>
      <c r="AA7" s="24"/>
      <c r="AB7" s="24"/>
      <c r="AC7" s="24"/>
      <c r="AD7" s="24"/>
      <c r="AE7" s="24"/>
      <c r="AF7" s="24"/>
      <c r="AG7" s="26" cm="1">
        <f t="array" ref="AG7">SUMPRODUCT(COUNTIF(Janvier[[#This Row],[1]:[31]],{"J","D","R1","R2","J2"}))</f>
        <v>0</v>
      </c>
      <c r="AH7" s="17" cm="1">
        <f t="array" ref="AH7">SUMPRODUCT(COUNTIF(Janvier[[#This Row],[1]:[31]],{"J","R2"}))</f>
        <v>0</v>
      </c>
      <c r="AI7" s="17" cm="1">
        <f t="array" ref="AI7">SUMPRODUCT(COUNTIF(Janvier[[#This Row],[1]:[31]],{"D","R1"}))</f>
        <v>0</v>
      </c>
      <c r="AJ7" s="17" cm="1">
        <f t="array" ref="AJ7">SUMPRODUCT(COUNTIF(Janvier[[#This Row],[1]:[31]],{"J2"}))</f>
        <v>0</v>
      </c>
    </row>
    <row r="8" spans="1:36" s="17" customFormat="1" ht="30" customHeight="1" x14ac:dyDescent="0.25">
      <c r="A8" s="28" t="s">
        <v>4</v>
      </c>
      <c r="B8" s="24"/>
      <c r="C8" s="24"/>
      <c r="D8" s="24"/>
      <c r="E8" s="24"/>
      <c r="F8" s="24"/>
      <c r="G8" s="24"/>
      <c r="H8" s="24"/>
      <c r="I8" s="24"/>
      <c r="J8" s="24"/>
      <c r="K8" s="24"/>
      <c r="L8" s="24"/>
      <c r="M8" s="24"/>
      <c r="N8" s="24"/>
      <c r="O8" s="24"/>
      <c r="P8" s="24"/>
      <c r="Q8" s="24"/>
      <c r="R8" s="24"/>
      <c r="S8" s="24"/>
      <c r="T8" s="24"/>
      <c r="U8" s="24"/>
      <c r="V8" s="24"/>
      <c r="W8" s="24"/>
      <c r="X8" s="24"/>
      <c r="Y8" s="24"/>
      <c r="Z8" s="24"/>
      <c r="AA8" s="24"/>
      <c r="AB8" s="24"/>
      <c r="AC8" s="24"/>
      <c r="AD8" s="24"/>
      <c r="AE8" s="24"/>
      <c r="AF8" s="24"/>
      <c r="AG8" s="26" cm="1">
        <f t="array" ref="AG8">SUMPRODUCT(COUNTIF(Janvier[[#This Row],[1]:[31]],{"J","D","R1","R2","J2"}))</f>
        <v>0</v>
      </c>
      <c r="AH8" s="17" cm="1">
        <f t="array" ref="AH8">SUMPRODUCT(COUNTIF(Janvier[[#This Row],[1]:[31]],{"J","R2"}))</f>
        <v>0</v>
      </c>
      <c r="AI8" s="17" cm="1">
        <f t="array" ref="AI8">SUMPRODUCT(COUNTIF(Janvier[[#This Row],[1]:[31]],{"D","R1"}))</f>
        <v>0</v>
      </c>
      <c r="AJ8" s="17" cm="1">
        <f t="array" ref="AJ8">SUMPRODUCT(COUNTIF(Janvier[[#This Row],[1]:[31]],{"J2"}))</f>
        <v>0</v>
      </c>
    </row>
    <row r="9" spans="1:36" s="17" customFormat="1" ht="30" customHeight="1" x14ac:dyDescent="0.25">
      <c r="A9" s="28" t="s">
        <v>5</v>
      </c>
      <c r="B9" s="24"/>
      <c r="C9" s="24"/>
      <c r="D9" s="24"/>
      <c r="E9" s="24"/>
      <c r="F9" s="24"/>
      <c r="G9" s="24"/>
      <c r="H9" s="24"/>
      <c r="I9" s="24"/>
      <c r="J9" s="24"/>
      <c r="K9" s="24"/>
      <c r="L9" s="24"/>
      <c r="M9" s="24"/>
      <c r="N9" s="24"/>
      <c r="O9" s="24"/>
      <c r="P9" s="24"/>
      <c r="Q9" s="24"/>
      <c r="R9" s="24"/>
      <c r="S9" s="24"/>
      <c r="T9" s="24"/>
      <c r="U9" s="24"/>
      <c r="V9" s="24"/>
      <c r="W9" s="24"/>
      <c r="X9" s="24"/>
      <c r="Y9" s="24"/>
      <c r="Z9" s="24"/>
      <c r="AA9" s="24"/>
      <c r="AB9" s="24"/>
      <c r="AC9" s="24"/>
      <c r="AD9" s="24"/>
      <c r="AE9" s="24"/>
      <c r="AF9" s="24"/>
      <c r="AG9" s="26" cm="1">
        <f t="array" ref="AG9">SUMPRODUCT(COUNTIF(Janvier[[#This Row],[1]:[31]],{"J","D","R1","R2","J2"}))</f>
        <v>0</v>
      </c>
      <c r="AH9" s="17" cm="1">
        <f t="array" ref="AH9">SUMPRODUCT(COUNTIF(Janvier[[#This Row],[1]:[31]],{"J","R2"}))</f>
        <v>0</v>
      </c>
      <c r="AI9" s="17" cm="1">
        <f t="array" ref="AI9">SUMPRODUCT(COUNTIF(Janvier[[#This Row],[1]:[31]],{"D","R1"}))</f>
        <v>0</v>
      </c>
      <c r="AJ9" s="17" cm="1">
        <f t="array" ref="AJ9">SUMPRODUCT(COUNTIF(Janvier[[#This Row],[1]:[31]],{"J2"}))</f>
        <v>0</v>
      </c>
    </row>
    <row r="10" spans="1:36" s="17" customFormat="1" ht="30" customHeight="1" x14ac:dyDescent="0.25">
      <c r="A10" s="28" t="s">
        <v>6</v>
      </c>
      <c r="B10" s="24"/>
      <c r="C10" s="24"/>
      <c r="D10" s="24"/>
      <c r="E10" s="24"/>
      <c r="F10" s="24"/>
      <c r="G10" s="24"/>
      <c r="H10" s="24"/>
      <c r="I10" s="24"/>
      <c r="J10" s="24"/>
      <c r="K10" s="24"/>
      <c r="L10" s="24"/>
      <c r="M10" s="24"/>
      <c r="N10" s="24"/>
      <c r="O10" s="24"/>
      <c r="P10" s="24"/>
      <c r="Q10" s="24"/>
      <c r="R10" s="24"/>
      <c r="S10" s="24"/>
      <c r="T10" s="24"/>
      <c r="U10" s="24"/>
      <c r="V10" s="24"/>
      <c r="W10" s="24"/>
      <c r="X10" s="24"/>
      <c r="Y10" s="24"/>
      <c r="Z10" s="24"/>
      <c r="AA10" s="24"/>
      <c r="AB10" s="24"/>
      <c r="AC10" s="24"/>
      <c r="AD10" s="24"/>
      <c r="AE10" s="24"/>
      <c r="AF10" s="24"/>
      <c r="AG10" s="26" cm="1">
        <f t="array" ref="AG10">SUMPRODUCT(COUNTIF(Janvier[[#This Row],[1]:[31]],{"J","D","R1","R2","J2"}))</f>
        <v>0</v>
      </c>
      <c r="AH10" s="17" cm="1">
        <f t="array" ref="AH10">SUMPRODUCT(COUNTIF(Janvier[[#This Row],[1]:[31]],{"J","R2"}))</f>
        <v>0</v>
      </c>
      <c r="AI10" s="17" cm="1">
        <f t="array" ref="AI10">SUMPRODUCT(COUNTIF(Janvier[[#This Row],[1]:[31]],{"D","R1"}))</f>
        <v>0</v>
      </c>
      <c r="AJ10" s="17" cm="1">
        <f t="array" ref="AJ10">SUMPRODUCT(COUNTIF(Janvier[[#This Row],[1]:[31]],{"J2"}))</f>
        <v>0</v>
      </c>
    </row>
    <row r="11" spans="1:36" s="17" customFormat="1" ht="30" customHeight="1" x14ac:dyDescent="0.25">
      <c r="A11" s="28" t="s">
        <v>7</v>
      </c>
      <c r="B11" s="24"/>
      <c r="C11" s="24"/>
      <c r="D11" s="24"/>
      <c r="E11" s="24"/>
      <c r="F11" s="24"/>
      <c r="G11" s="24"/>
      <c r="H11" s="24"/>
      <c r="I11" s="24"/>
      <c r="J11" s="24"/>
      <c r="K11" s="24"/>
      <c r="L11" s="24"/>
      <c r="M11" s="24"/>
      <c r="N11" s="24"/>
      <c r="O11" s="24"/>
      <c r="P11" s="24"/>
      <c r="Q11" s="24"/>
      <c r="R11" s="24"/>
      <c r="S11" s="24"/>
      <c r="T11" s="24"/>
      <c r="U11" s="24"/>
      <c r="V11" s="24"/>
      <c r="W11" s="24"/>
      <c r="X11" s="24"/>
      <c r="Y11" s="24"/>
      <c r="Z11" s="24"/>
      <c r="AA11" s="24"/>
      <c r="AB11" s="24"/>
      <c r="AC11" s="24"/>
      <c r="AD11" s="24"/>
      <c r="AE11" s="24"/>
      <c r="AF11" s="24"/>
      <c r="AG11" s="26" cm="1">
        <f t="array" ref="AG11">SUMPRODUCT(COUNTIF(Janvier[[#This Row],[1]:[31]],{"J","D","R1","R2","J2"}))</f>
        <v>0</v>
      </c>
      <c r="AH11" s="17" cm="1">
        <f t="array" ref="AH11">SUMPRODUCT(COUNTIF(Janvier[[#This Row],[1]:[31]],{"J","R2"}))</f>
        <v>0</v>
      </c>
      <c r="AI11" s="17" cm="1">
        <f t="array" ref="AI11">SUMPRODUCT(COUNTIF(Janvier[[#This Row],[1]:[31]],{"D","R1"}))</f>
        <v>0</v>
      </c>
      <c r="AJ11" s="17" cm="1">
        <f t="array" ref="AJ11">SUMPRODUCT(COUNTIF(Janvier[[#This Row],[1]:[31]],{"J2"}))</f>
        <v>0</v>
      </c>
    </row>
    <row r="12" spans="1:36" s="17" customFormat="1" ht="30" customHeight="1" x14ac:dyDescent="0.25">
      <c r="A12" s="28"/>
      <c r="B12" s="24"/>
      <c r="C12" s="24"/>
      <c r="D12" s="24"/>
      <c r="E12" s="24"/>
      <c r="F12" s="24"/>
      <c r="G12" s="24"/>
      <c r="H12" s="24"/>
      <c r="I12" s="24"/>
      <c r="J12" s="24"/>
      <c r="K12" s="24"/>
      <c r="L12" s="24"/>
      <c r="M12" s="24"/>
      <c r="N12" s="24"/>
      <c r="O12" s="24"/>
      <c r="P12" s="24"/>
      <c r="Q12" s="24"/>
      <c r="R12" s="24"/>
      <c r="S12" s="24"/>
      <c r="T12" s="24"/>
      <c r="U12" s="24"/>
      <c r="V12" s="24"/>
      <c r="W12" s="24"/>
      <c r="X12" s="24"/>
      <c r="Y12" s="24"/>
      <c r="Z12" s="24"/>
      <c r="AA12" s="24"/>
      <c r="AB12" s="24"/>
      <c r="AC12" s="24"/>
      <c r="AD12" s="24"/>
      <c r="AE12" s="24"/>
      <c r="AF12" s="24"/>
      <c r="AG12" s="26" cm="1">
        <f t="array" ref="AG12">SUMPRODUCT(COUNTIF(Janvier[[#This Row],[1]:[31]],{"J","D","R1","R2","J2"}))</f>
        <v>0</v>
      </c>
      <c r="AH12" s="17" cm="1">
        <f t="array" ref="AH12">SUMPRODUCT(COUNTIF(Janvier[[#This Row],[1]:[31]],{"J","R2"}))</f>
        <v>0</v>
      </c>
      <c r="AI12" s="17" cm="1">
        <f t="array" ref="AI12">SUMPRODUCT(COUNTIF(Janvier[[#This Row],[1]:[31]],{"D","R1"}))</f>
        <v>0</v>
      </c>
      <c r="AJ12" s="17" cm="1">
        <f t="array" ref="AJ12">SUMPRODUCT(COUNTIF(Janvier[[#This Row],[1]:[31]],{"J2"}))</f>
        <v>0</v>
      </c>
    </row>
    <row r="13" spans="1:36" s="17" customFormat="1" ht="30" customHeight="1" x14ac:dyDescent="0.25">
      <c r="A13" s="28"/>
      <c r="B13" s="24"/>
      <c r="C13" s="24"/>
      <c r="D13" s="24"/>
      <c r="E13" s="24"/>
      <c r="F13" s="24"/>
      <c r="G13" s="24"/>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6" cm="1">
        <f t="array" ref="AG13">SUMPRODUCT(COUNTIF(Janvier[[#This Row],[1]:[31]],{"J","D","R1","R2","J2"}))</f>
        <v>0</v>
      </c>
      <c r="AH13" s="17" cm="1">
        <f t="array" ref="AH13">SUMPRODUCT(COUNTIF(Janvier[[#This Row],[1]:[31]],{"J","R2"}))</f>
        <v>0</v>
      </c>
      <c r="AI13" s="17" cm="1">
        <f t="array" ref="AI13">SUMPRODUCT(COUNTIF(Janvier[[#This Row],[1]:[31]],{"D","R1"}))</f>
        <v>0</v>
      </c>
      <c r="AJ13" s="17" cm="1">
        <f t="array" ref="AJ13">SUMPRODUCT(COUNTIF(Janvier[[#This Row],[1]:[31]],{"J2"}))</f>
        <v>0</v>
      </c>
    </row>
    <row r="14" spans="1:36" s="17" customFormat="1" ht="30" customHeight="1" x14ac:dyDescent="0.25">
      <c r="A14" s="28"/>
      <c r="B14" s="24"/>
      <c r="C14" s="24"/>
      <c r="D14" s="24"/>
      <c r="E14" s="24"/>
      <c r="F14" s="24"/>
      <c r="G14" s="24"/>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6" cm="1">
        <f t="array" ref="AG14">SUMPRODUCT(COUNTIF(Janvier[[#This Row],[1]:[31]],{"J","D","R1","R2","J2"}))</f>
        <v>0</v>
      </c>
      <c r="AH14" s="17" cm="1">
        <f t="array" ref="AH14">SUMPRODUCT(COUNTIF(Janvier[[#This Row],[1]:[31]],{"J","R2"}))</f>
        <v>0</v>
      </c>
      <c r="AI14" s="17" cm="1">
        <f t="array" ref="AI14">SUMPRODUCT(COUNTIF(Janvier[[#This Row],[1]:[31]],{"D","R1"}))</f>
        <v>0</v>
      </c>
      <c r="AJ14" s="17" cm="1">
        <f t="array" ref="AJ14">SUMPRODUCT(COUNTIF(Janvier[[#This Row],[1]:[31]],{"J2"}))</f>
        <v>0</v>
      </c>
    </row>
    <row r="15" spans="1:36" s="17" customFormat="1" ht="30" customHeight="1" x14ac:dyDescent="0.25">
      <c r="A15" s="28"/>
      <c r="B15" s="24"/>
      <c r="C15" s="24"/>
      <c r="D15" s="24"/>
      <c r="E15" s="24"/>
      <c r="F15" s="24"/>
      <c r="G15" s="24"/>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6" cm="1">
        <f t="array" ref="AG15">SUMPRODUCT(COUNTIF(Janvier[[#This Row],[1]:[31]],{"J","D","R1","R2","J2"}))</f>
        <v>0</v>
      </c>
      <c r="AH15" s="17" cm="1">
        <f t="array" ref="AH15">SUMPRODUCT(COUNTIF(Janvier[[#This Row],[1]:[31]],{"J","R2"}))</f>
        <v>0</v>
      </c>
      <c r="AI15" s="17" cm="1">
        <f t="array" ref="AI15">SUMPRODUCT(COUNTIF(Janvier[[#This Row],[1]:[31]],{"D","R1"}))</f>
        <v>0</v>
      </c>
      <c r="AJ15" s="17" cm="1">
        <f t="array" ref="AJ15">SUMPRODUCT(COUNTIF(Janvier[[#This Row],[1]:[31]],{"J2"}))</f>
        <v>0</v>
      </c>
    </row>
    <row r="16" spans="1:36" s="17" customFormat="1" ht="30" customHeight="1" x14ac:dyDescent="0.25">
      <c r="A16" s="28"/>
      <c r="B16" s="24"/>
      <c r="C16" s="24"/>
      <c r="D16" s="24"/>
      <c r="E16" s="24"/>
      <c r="F16" s="24"/>
      <c r="G16" s="24"/>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6" cm="1">
        <f t="array" ref="AG16">SUMPRODUCT(COUNTIF(Janvier[[#This Row],[1]:[31]],{"J","D","R1","R2","J2"}))</f>
        <v>0</v>
      </c>
      <c r="AH16" s="17" cm="1">
        <f t="array" ref="AH16">SUMPRODUCT(COUNTIF(Janvier[[#This Row],[1]:[31]],{"J","R2"}))</f>
        <v>0</v>
      </c>
      <c r="AI16" s="17" cm="1">
        <f t="array" ref="AI16">SUMPRODUCT(COUNTIF(Janvier[[#This Row],[1]:[31]],{"D","R1"}))</f>
        <v>0</v>
      </c>
      <c r="AJ16" s="17" cm="1">
        <f t="array" ref="AJ16">SUMPRODUCT(COUNTIF(Janvier[[#This Row],[1]:[31]],{"J2"}))</f>
        <v>0</v>
      </c>
    </row>
    <row r="17" spans="1:36" s="17" customFormat="1" ht="30" customHeight="1" x14ac:dyDescent="0.25">
      <c r="A17" s="28"/>
      <c r="B17" s="24"/>
      <c r="C17" s="24"/>
      <c r="D17" s="24"/>
      <c r="E17" s="24"/>
      <c r="F17" s="24"/>
      <c r="G17" s="24"/>
      <c r="H17" s="24"/>
      <c r="I17" s="24"/>
      <c r="J17" s="24"/>
      <c r="K17" s="24"/>
      <c r="L17" s="24"/>
      <c r="M17" s="24"/>
      <c r="N17" s="24"/>
      <c r="O17" s="24"/>
      <c r="P17" s="24"/>
      <c r="Q17" s="24"/>
      <c r="R17" s="24"/>
      <c r="S17" s="24"/>
      <c r="T17" s="24"/>
      <c r="U17" s="24"/>
      <c r="V17" s="24"/>
      <c r="W17" s="24"/>
      <c r="X17" s="24"/>
      <c r="Y17" s="24"/>
      <c r="Z17" s="24"/>
      <c r="AA17" s="24"/>
      <c r="AB17" s="24"/>
      <c r="AC17" s="24"/>
      <c r="AD17" s="24"/>
      <c r="AE17" s="24"/>
      <c r="AF17" s="24"/>
      <c r="AG17" s="26" cm="1">
        <f t="array" ref="AG17">SUMPRODUCT(COUNTIF(Janvier[[#This Row],[1]:[31]],{"J","D","R1","R2","J2"}))</f>
        <v>0</v>
      </c>
      <c r="AH17" s="17" cm="1">
        <f t="array" ref="AH17">SUMPRODUCT(COUNTIF(Janvier[[#This Row],[1]:[31]],{"J","R2"}))</f>
        <v>0</v>
      </c>
      <c r="AI17" s="17" cm="1">
        <f t="array" ref="AI17">SUMPRODUCT(COUNTIF(Janvier[[#This Row],[1]:[31]],{"D","R1"}))</f>
        <v>0</v>
      </c>
      <c r="AJ17" s="17" cm="1">
        <f t="array" ref="AJ17">SUMPRODUCT(COUNTIF(Janvier[[#This Row],[1]:[31]],{"J2"}))</f>
        <v>0</v>
      </c>
    </row>
    <row r="18" spans="1:36" s="17" customFormat="1" ht="30" customHeight="1" x14ac:dyDescent="0.25">
      <c r="A18" s="28"/>
      <c r="B18" s="24"/>
      <c r="C18" s="24"/>
      <c r="D18" s="24"/>
      <c r="E18" s="24"/>
      <c r="F18" s="24"/>
      <c r="G18" s="24"/>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6" cm="1">
        <f t="array" ref="AG18">SUMPRODUCT(COUNTIF(Janvier[[#This Row],[1]:[31]],{"J","D","R1","R2","J2"}))</f>
        <v>0</v>
      </c>
      <c r="AH18" s="17" cm="1">
        <f t="array" ref="AH18">SUMPRODUCT(COUNTIF(Janvier[[#This Row],[1]:[31]],{"J","R2"}))</f>
        <v>0</v>
      </c>
      <c r="AI18" s="17" cm="1">
        <f t="array" ref="AI18">SUMPRODUCT(COUNTIF(Janvier[[#This Row],[1]:[31]],{"D","R1"}))</f>
        <v>0</v>
      </c>
      <c r="AJ18" s="17" cm="1">
        <f t="array" ref="AJ18">SUMPRODUCT(COUNTIF(Janvier[[#This Row],[1]:[31]],{"J2"}))</f>
        <v>0</v>
      </c>
    </row>
    <row r="19" spans="1:36" s="17" customFormat="1" ht="30" customHeight="1" x14ac:dyDescent="0.25">
      <c r="A19" s="28"/>
      <c r="B19" s="24"/>
      <c r="C19" s="24"/>
      <c r="D19" s="24"/>
      <c r="E19" s="24"/>
      <c r="F19" s="24"/>
      <c r="G19" s="24"/>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6" cm="1">
        <f t="array" ref="AG19">SUMPRODUCT(COUNTIF(Janvier[[#This Row],[1]:[31]],{"J","D","R1","R2","J2"}))</f>
        <v>0</v>
      </c>
      <c r="AH19" s="17" cm="1">
        <f t="array" ref="AH19">SUMPRODUCT(COUNTIF(Janvier[[#This Row],[1]:[31]],{"J","R2"}))</f>
        <v>0</v>
      </c>
      <c r="AI19" s="17" cm="1">
        <f t="array" ref="AI19">SUMPRODUCT(COUNTIF(Janvier[[#This Row],[1]:[31]],{"D","R1"}))</f>
        <v>0</v>
      </c>
      <c r="AJ19" s="17" cm="1">
        <f t="array" ref="AJ19">SUMPRODUCT(COUNTIF(Janvier[[#This Row],[1]:[31]],{"J2"}))</f>
        <v>0</v>
      </c>
    </row>
    <row r="20" spans="1:36" s="17" customFormat="1" ht="30" customHeight="1" x14ac:dyDescent="0.25">
      <c r="A20" s="28"/>
      <c r="B20" s="24"/>
      <c r="C20" s="24"/>
      <c r="D20" s="24"/>
      <c r="E20" s="24"/>
      <c r="F20" s="24"/>
      <c r="G20" s="24"/>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6" cm="1">
        <f t="array" ref="AG20">SUMPRODUCT(COUNTIF(Janvier[[#This Row],[1]:[31]],{"J","D","R1","R2","J2"}))</f>
        <v>0</v>
      </c>
      <c r="AH20" s="17" cm="1">
        <f t="array" ref="AH20">SUMPRODUCT(COUNTIF(Janvier[[#This Row],[1]:[31]],{"J","R2"}))</f>
        <v>0</v>
      </c>
      <c r="AI20" s="17" cm="1">
        <f t="array" ref="AI20">SUMPRODUCT(COUNTIF(Janvier[[#This Row],[1]:[31]],{"D","R1"}))</f>
        <v>0</v>
      </c>
      <c r="AJ20" s="17" cm="1">
        <f t="array" ref="AJ20">SUMPRODUCT(COUNTIF(Janvier[[#This Row],[1]:[31]],{"J2"}))</f>
        <v>0</v>
      </c>
    </row>
    <row r="21" spans="1:36" s="17" customFormat="1" ht="30" customHeight="1" x14ac:dyDescent="0.25">
      <c r="A21" s="28"/>
      <c r="B21" s="24"/>
      <c r="C21" s="24"/>
      <c r="D21" s="24"/>
      <c r="E21" s="24"/>
      <c r="F21" s="24"/>
      <c r="G21" s="24"/>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6" cm="1">
        <f t="array" ref="AG21">SUMPRODUCT(COUNTIF(Janvier[[#This Row],[1]:[31]],{"J","D","R1","R2","J2"}))</f>
        <v>0</v>
      </c>
      <c r="AH21" s="17" cm="1">
        <f t="array" ref="AH21">SUMPRODUCT(COUNTIF(Janvier[[#This Row],[1]:[31]],{"J","R2"}))</f>
        <v>0</v>
      </c>
      <c r="AI21" s="17" cm="1">
        <f t="array" ref="AI21">SUMPRODUCT(COUNTIF(Janvier[[#This Row],[1]:[31]],{"D","R1"}))</f>
        <v>0</v>
      </c>
      <c r="AJ21" s="17" cm="1">
        <f t="array" ref="AJ21">SUMPRODUCT(COUNTIF(Janvier[[#This Row],[1]:[31]],{"J2"}))</f>
        <v>0</v>
      </c>
    </row>
    <row r="22" spans="1:36" s="17" customFormat="1" ht="30" customHeight="1" x14ac:dyDescent="0.25">
      <c r="A22" s="28"/>
      <c r="B22" s="24"/>
      <c r="C22" s="24"/>
      <c r="D22" s="24"/>
      <c r="E22" s="24"/>
      <c r="F22" s="24"/>
      <c r="G22" s="24"/>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6" cm="1">
        <f t="array" ref="AG22">SUMPRODUCT(COUNTIF(Janvier[[#This Row],[1]:[31]],{"J","D","R1","R2","J2"}))</f>
        <v>0</v>
      </c>
      <c r="AH22" s="17" cm="1">
        <f t="array" ref="AH22">SUMPRODUCT(COUNTIF(Janvier[[#This Row],[1]:[31]],{"J","R2"}))</f>
        <v>0</v>
      </c>
      <c r="AI22" s="17" cm="1">
        <f t="array" ref="AI22">SUMPRODUCT(COUNTIF(Janvier[[#This Row],[1]:[31]],{"D","R1"}))</f>
        <v>0</v>
      </c>
      <c r="AJ22" s="17" cm="1">
        <f t="array" ref="AJ22">SUMPRODUCT(COUNTIF(Janvier[[#This Row],[1]:[31]],{"J2"}))</f>
        <v>0</v>
      </c>
    </row>
    <row r="23" spans="1:36" s="17" customFormat="1" ht="30" customHeight="1" x14ac:dyDescent="0.25">
      <c r="A23" s="28"/>
      <c r="B23" s="24"/>
      <c r="C23" s="24"/>
      <c r="D23" s="24"/>
      <c r="E23" s="24"/>
      <c r="F23" s="24"/>
      <c r="G23" s="24"/>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6" cm="1">
        <f t="array" ref="AG23">SUMPRODUCT(COUNTIF(Janvier[[#This Row],[1]:[31]],{"J","D","R1","R2","J2"}))</f>
        <v>0</v>
      </c>
      <c r="AH23" s="17" cm="1">
        <f t="array" ref="AH23">SUMPRODUCT(COUNTIF(Janvier[[#This Row],[1]:[31]],{"J","R2"}))</f>
        <v>0</v>
      </c>
      <c r="AI23" s="17" cm="1">
        <f t="array" ref="AI23">SUMPRODUCT(COUNTIF(Janvier[[#This Row],[1]:[31]],{"D","R1"}))</f>
        <v>0</v>
      </c>
      <c r="AJ23" s="17" cm="1">
        <f t="array" ref="AJ23">SUMPRODUCT(COUNTIF(Janvier[[#This Row],[1]:[31]],{"J2"}))</f>
        <v>0</v>
      </c>
    </row>
    <row r="24" spans="1:36" s="17" customFormat="1" ht="30" customHeight="1" x14ac:dyDescent="0.25">
      <c r="A24" s="28"/>
      <c r="B24" s="24"/>
      <c r="C24" s="24"/>
      <c r="D24" s="24"/>
      <c r="E24" s="24"/>
      <c r="F24" s="24"/>
      <c r="G24" s="24"/>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6" cm="1">
        <f t="array" ref="AG24">SUMPRODUCT(COUNTIF(Janvier[[#This Row],[1]:[31]],{"J","D","R1","R2","J2"}))</f>
        <v>0</v>
      </c>
      <c r="AH24" s="17" cm="1">
        <f t="array" ref="AH24">SUMPRODUCT(COUNTIF(Janvier[[#This Row],[1]:[31]],{"J","R2"}))</f>
        <v>0</v>
      </c>
      <c r="AI24" s="17" cm="1">
        <f t="array" ref="AI24">SUMPRODUCT(COUNTIF(Janvier[[#This Row],[1]:[31]],{"D","R1"}))</f>
        <v>0</v>
      </c>
      <c r="AJ24" s="17" cm="1">
        <f t="array" ref="AJ24">SUMPRODUCT(COUNTIF(Janvier[[#This Row],[1]:[31]],{"J2"}))</f>
        <v>0</v>
      </c>
    </row>
    <row r="25" spans="1:36" s="17" customFormat="1" ht="30" customHeight="1" x14ac:dyDescent="0.25">
      <c r="A25" s="28"/>
      <c r="B25" s="24"/>
      <c r="C25" s="24"/>
      <c r="D25" s="24"/>
      <c r="E25" s="24"/>
      <c r="F25" s="24"/>
      <c r="G25" s="24"/>
      <c r="H25" s="24"/>
      <c r="I25" s="24"/>
      <c r="J25" s="24"/>
      <c r="K25" s="24"/>
      <c r="L25" s="24"/>
      <c r="M25" s="24"/>
      <c r="N25" s="24"/>
      <c r="O25" s="24"/>
      <c r="P25" s="24"/>
      <c r="Q25" s="24"/>
      <c r="R25" s="24"/>
      <c r="S25" s="24"/>
      <c r="T25" s="24"/>
      <c r="U25" s="24"/>
      <c r="V25" s="24"/>
      <c r="W25" s="24"/>
      <c r="X25" s="24"/>
      <c r="Y25" s="24"/>
      <c r="Z25" s="24"/>
      <c r="AA25" s="24"/>
      <c r="AB25" s="24"/>
      <c r="AC25" s="24"/>
      <c r="AD25" s="24"/>
      <c r="AE25" s="24"/>
      <c r="AF25" s="24"/>
      <c r="AG25" s="26" cm="1">
        <f t="array" ref="AG25">SUMPRODUCT(COUNTIF(Janvier[[#This Row],[1]:[31]],{"J","D","R1","R2","J2"}))</f>
        <v>0</v>
      </c>
      <c r="AH25" s="17" cm="1">
        <f t="array" ref="AH25">SUMPRODUCT(COUNTIF(Janvier[[#This Row],[1]:[31]],{"J","R2"}))</f>
        <v>0</v>
      </c>
      <c r="AI25" s="17" cm="1">
        <f t="array" ref="AI25">SUMPRODUCT(COUNTIF(Janvier[[#This Row],[1]:[31]],{"D","R1"}))</f>
        <v>0</v>
      </c>
      <c r="AJ25" s="17" cm="1">
        <f t="array" ref="AJ25">SUMPRODUCT(COUNTIF(Janvier[[#This Row],[1]:[31]],{"J2"}))</f>
        <v>0</v>
      </c>
    </row>
    <row r="26" spans="1:36" s="17" customFormat="1" ht="30" customHeight="1" x14ac:dyDescent="0.25">
      <c r="A26" s="28"/>
      <c r="B26" s="24"/>
      <c r="C26" s="24"/>
      <c r="D26" s="24"/>
      <c r="E26" s="24"/>
      <c r="F26" s="24"/>
      <c r="G26" s="24"/>
      <c r="H26" s="24"/>
      <c r="I26" s="24"/>
      <c r="J26" s="24"/>
      <c r="K26" s="24"/>
      <c r="L26" s="24"/>
      <c r="M26" s="24"/>
      <c r="N26" s="24"/>
      <c r="O26" s="24"/>
      <c r="P26" s="24"/>
      <c r="Q26" s="24"/>
      <c r="R26" s="24"/>
      <c r="S26" s="24"/>
      <c r="T26" s="24"/>
      <c r="U26" s="24"/>
      <c r="V26" s="24"/>
      <c r="W26" s="24"/>
      <c r="X26" s="24"/>
      <c r="Y26" s="24"/>
      <c r="Z26" s="24"/>
      <c r="AA26" s="24"/>
      <c r="AB26" s="24"/>
      <c r="AC26" s="24"/>
      <c r="AD26" s="24"/>
      <c r="AE26" s="24"/>
      <c r="AF26" s="24"/>
      <c r="AG26" s="26" cm="1">
        <f t="array" ref="AG26">SUMPRODUCT(COUNTIF(Janvier[[#This Row],[1]:[31]],{"J","D","R1","R2","J2"}))</f>
        <v>0</v>
      </c>
      <c r="AH26" s="17" cm="1">
        <f t="array" ref="AH26">SUMPRODUCT(COUNTIF(Janvier[[#This Row],[1]:[31]],{"J","R2"}))</f>
        <v>0</v>
      </c>
      <c r="AI26" s="17" cm="1">
        <f t="array" ref="AI26">SUMPRODUCT(COUNTIF(Janvier[[#This Row],[1]:[31]],{"D","R1"}))</f>
        <v>0</v>
      </c>
      <c r="AJ26" s="17" cm="1">
        <f t="array" ref="AJ26">SUMPRODUCT(COUNTIF(Janvier[[#This Row],[1]:[31]],{"J2"}))</f>
        <v>0</v>
      </c>
    </row>
    <row r="27" spans="1:36" s="17" customFormat="1" ht="30" customHeight="1" x14ac:dyDescent="0.25">
      <c r="A27" s="28"/>
      <c r="B27" s="24"/>
      <c r="C27" s="24"/>
      <c r="D27" s="24"/>
      <c r="E27" s="24"/>
      <c r="F27" s="24"/>
      <c r="G27" s="24"/>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6" cm="1">
        <f t="array" ref="AG27">SUMPRODUCT(COUNTIF(Janvier[[#This Row],[1]:[31]],{"J","D","R1","R2","J2"}))</f>
        <v>0</v>
      </c>
      <c r="AH27" s="17" cm="1">
        <f t="array" ref="AH27">SUMPRODUCT(COUNTIF(Janvier[[#This Row],[1]:[31]],{"J","R2"}))</f>
        <v>0</v>
      </c>
      <c r="AI27" s="17" cm="1">
        <f t="array" ref="AI27">SUMPRODUCT(COUNTIF(Janvier[[#This Row],[1]:[31]],{"D","R1"}))</f>
        <v>0</v>
      </c>
      <c r="AJ27" s="17" cm="1">
        <f t="array" ref="AJ27">SUMPRODUCT(COUNTIF(Janvier[[#This Row],[1]:[31]],{"J2"}))</f>
        <v>0</v>
      </c>
    </row>
    <row r="28" spans="1:36" s="17" customFormat="1" ht="30" customHeight="1" x14ac:dyDescent="0.25">
      <c r="A28" s="28"/>
      <c r="B28" s="24"/>
      <c r="C28" s="24"/>
      <c r="D28" s="24"/>
      <c r="E28" s="24"/>
      <c r="F28" s="24"/>
      <c r="G28" s="24"/>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6" cm="1">
        <f t="array" ref="AG28">SUMPRODUCT(COUNTIF(Janvier[[#This Row],[1]:[31]],{"J","D","R1","R2","J2"}))</f>
        <v>0</v>
      </c>
      <c r="AH28" s="17" cm="1">
        <f t="array" ref="AH28">SUMPRODUCT(COUNTIF(Janvier[[#This Row],[1]:[31]],{"J","R2"}))</f>
        <v>0</v>
      </c>
      <c r="AI28" s="17" cm="1">
        <f t="array" ref="AI28">SUMPRODUCT(COUNTIF(Janvier[[#This Row],[1]:[31]],{"D","R1"}))</f>
        <v>0</v>
      </c>
      <c r="AJ28" s="17" cm="1">
        <f t="array" ref="AJ28">SUMPRODUCT(COUNTIF(Janvier[[#This Row],[1]:[31]],{"J2"}))</f>
        <v>0</v>
      </c>
    </row>
    <row r="29" spans="1:36" s="17" customFormat="1" ht="30" customHeight="1" x14ac:dyDescent="0.25">
      <c r="A29" s="28"/>
      <c r="B29" s="24"/>
      <c r="C29" s="24"/>
      <c r="D29" s="24"/>
      <c r="E29" s="24"/>
      <c r="F29" s="24"/>
      <c r="G29" s="24"/>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6" cm="1">
        <f t="array" ref="AG29">SUMPRODUCT(COUNTIF(Janvier[[#This Row],[1]:[31]],{"J","D","R1","R2","J2"}))</f>
        <v>0</v>
      </c>
      <c r="AH29" s="17" cm="1">
        <f t="array" ref="AH29">SUMPRODUCT(COUNTIF(Janvier[[#This Row],[1]:[31]],{"J","R2"}))</f>
        <v>0</v>
      </c>
      <c r="AI29" s="17" cm="1">
        <f t="array" ref="AI29">SUMPRODUCT(COUNTIF(Janvier[[#This Row],[1]:[31]],{"D","R1"}))</f>
        <v>0</v>
      </c>
      <c r="AJ29" s="17" cm="1">
        <f t="array" ref="AJ29">SUMPRODUCT(COUNTIF(Janvier[[#This Row],[1]:[31]],{"J2"}))</f>
        <v>0</v>
      </c>
    </row>
    <row r="30" spans="1:36" s="17" customFormat="1" ht="30" customHeight="1" x14ac:dyDescent="0.25">
      <c r="A30" s="28"/>
      <c r="B30" s="24"/>
      <c r="C30" s="24"/>
      <c r="D30" s="24"/>
      <c r="E30" s="24"/>
      <c r="F30" s="24"/>
      <c r="G30" s="24"/>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4"/>
      <c r="AG30" s="26" cm="1">
        <f t="array" ref="AG30">SUMPRODUCT(COUNTIF(Janvier[[#This Row],[1]:[31]],{"J","D","R1","R2","J2"}))</f>
        <v>0</v>
      </c>
      <c r="AH30" s="17" cm="1">
        <f t="array" ref="AH30">SUMPRODUCT(COUNTIF(Janvier[[#This Row],[1]:[31]],{"J","R2"}))</f>
        <v>0</v>
      </c>
      <c r="AI30" s="17" cm="1">
        <f t="array" ref="AI30">SUMPRODUCT(COUNTIF(Janvier[[#This Row],[1]:[31]],{"D","R1"}))</f>
        <v>0</v>
      </c>
      <c r="AJ30" s="17" cm="1">
        <f t="array" ref="AJ30">SUMPRODUCT(COUNTIF(Janvier[[#This Row],[1]:[31]],{"J2"}))</f>
        <v>0</v>
      </c>
    </row>
    <row r="31" spans="1:36" s="17" customFormat="1" ht="30" customHeight="1" x14ac:dyDescent="0.25">
      <c r="A31" s="28"/>
      <c r="B31" s="24"/>
      <c r="C31" s="24"/>
      <c r="D31" s="24"/>
      <c r="E31" s="24"/>
      <c r="F31" s="24"/>
      <c r="G31" s="24"/>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4"/>
      <c r="AG31" s="26" cm="1">
        <f t="array" ref="AG31">SUMPRODUCT(COUNTIF(Janvier[[#This Row],[1]:[31]],{"J","D","R1","R2","J2"}))</f>
        <v>0</v>
      </c>
      <c r="AH31" s="17" cm="1">
        <f t="array" ref="AH31">SUMPRODUCT(COUNTIF(Janvier[[#This Row],[1]:[31]],{"J","R2"}))</f>
        <v>0</v>
      </c>
      <c r="AI31" s="17" cm="1">
        <f t="array" ref="AI31">SUMPRODUCT(COUNTIF(Janvier[[#This Row],[1]:[31]],{"D","R1"}))</f>
        <v>0</v>
      </c>
      <c r="AJ31" s="17" cm="1">
        <f t="array" ref="AJ31">SUMPRODUCT(COUNTIF(Janvier[[#This Row],[1]:[31]],{"J2"}))</f>
        <v>0</v>
      </c>
    </row>
    <row r="32" spans="1:36" s="17" customFormat="1" ht="30" customHeight="1" x14ac:dyDescent="0.25">
      <c r="A32" s="28"/>
      <c r="B32" s="24"/>
      <c r="C32" s="24"/>
      <c r="D32" s="24"/>
      <c r="E32" s="24"/>
      <c r="F32" s="24"/>
      <c r="G32" s="24"/>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6" cm="1">
        <f t="array" ref="AG32">SUMPRODUCT(COUNTIF(Janvier[[#This Row],[1]:[31]],{"J","D","R1","R2","J2"}))</f>
        <v>0</v>
      </c>
      <c r="AH32" s="17" cm="1">
        <f t="array" ref="AH32">SUMPRODUCT(COUNTIF(Janvier[[#This Row],[1]:[31]],{"J","R2"}))</f>
        <v>0</v>
      </c>
      <c r="AI32" s="17" cm="1">
        <f t="array" ref="AI32">SUMPRODUCT(COUNTIF(Janvier[[#This Row],[1]:[31]],{"D","R1"}))</f>
        <v>0</v>
      </c>
      <c r="AJ32" s="17" cm="1">
        <f t="array" ref="AJ32">SUMPRODUCT(COUNTIF(Janvier[[#This Row],[1]:[31]],{"J2"}))</f>
        <v>0</v>
      </c>
    </row>
    <row r="33" spans="1:36" s="17" customFormat="1" ht="30" customHeight="1" x14ac:dyDescent="0.25">
      <c r="A33" s="28"/>
      <c r="B33" s="24"/>
      <c r="C33" s="24"/>
      <c r="D33" s="24"/>
      <c r="E33" s="24"/>
      <c r="F33" s="24"/>
      <c r="G33" s="24"/>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4"/>
      <c r="AG33" s="26" cm="1">
        <f t="array" ref="AG33">SUMPRODUCT(COUNTIF(Janvier[[#This Row],[1]:[31]],{"J","D","R1","R2","J2"}))</f>
        <v>0</v>
      </c>
      <c r="AH33" s="17" cm="1">
        <f t="array" ref="AH33">SUMPRODUCT(COUNTIF(Janvier[[#This Row],[1]:[31]],{"J","R2"}))</f>
        <v>0</v>
      </c>
      <c r="AI33" s="17" cm="1">
        <f t="array" ref="AI33">SUMPRODUCT(COUNTIF(Janvier[[#This Row],[1]:[31]],{"D","R1"}))</f>
        <v>0</v>
      </c>
      <c r="AJ33" s="17" cm="1">
        <f t="array" ref="AJ33">SUMPRODUCT(COUNTIF(Janvier[[#This Row],[1]:[31]],{"J2"}))</f>
        <v>0</v>
      </c>
    </row>
    <row r="34" spans="1:36" s="17" customFormat="1" ht="30" customHeight="1" x14ac:dyDescent="0.25">
      <c r="A34" s="28"/>
      <c r="B34" s="24"/>
      <c r="C34" s="24"/>
      <c r="D34" s="24"/>
      <c r="E34" s="24"/>
      <c r="F34" s="24"/>
      <c r="G34" s="24"/>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6" cm="1">
        <f t="array" ref="AG34">SUMPRODUCT(COUNTIF(Janvier[[#This Row],[1]:[31]],{"J","D","R1","R2","J2"}))</f>
        <v>0</v>
      </c>
      <c r="AH34" s="17" cm="1">
        <f t="array" ref="AH34">SUMPRODUCT(COUNTIF(Janvier[[#This Row],[1]:[31]],{"J","R2"}))</f>
        <v>0</v>
      </c>
      <c r="AI34" s="17" cm="1">
        <f t="array" ref="AI34">SUMPRODUCT(COUNTIF(Janvier[[#This Row],[1]:[31]],{"D","R1"}))</f>
        <v>0</v>
      </c>
      <c r="AJ34" s="17" cm="1">
        <f t="array" ref="AJ34">SUMPRODUCT(COUNTIF(Janvier[[#This Row],[1]:[31]],{"J2"}))</f>
        <v>0</v>
      </c>
    </row>
    <row r="35" spans="1:36" s="17" customFormat="1" ht="30" customHeight="1" x14ac:dyDescent="0.25">
      <c r="A35" s="28"/>
      <c r="B35" s="24"/>
      <c r="C35" s="24"/>
      <c r="D35" s="24"/>
      <c r="E35" s="24"/>
      <c r="F35" s="24"/>
      <c r="G35" s="24"/>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4"/>
      <c r="AG35" s="26" cm="1">
        <f t="array" ref="AG35">SUMPRODUCT(COUNTIF(Janvier[[#This Row],[1]:[31]],{"J","D","R1","R2","J2"}))</f>
        <v>0</v>
      </c>
      <c r="AH35" s="17" cm="1">
        <f t="array" ref="AH35">SUMPRODUCT(COUNTIF(Janvier[[#This Row],[1]:[31]],{"J","R2"}))</f>
        <v>0</v>
      </c>
      <c r="AI35" s="17" cm="1">
        <f t="array" ref="AI35">SUMPRODUCT(COUNTIF(Janvier[[#This Row],[1]:[31]],{"D","R1"}))</f>
        <v>0</v>
      </c>
      <c r="AJ35" s="17" cm="1">
        <f t="array" ref="AJ35">SUMPRODUCT(COUNTIF(Janvier[[#This Row],[1]:[31]],{"J2"}))</f>
        <v>0</v>
      </c>
    </row>
    <row r="36" spans="1:36" s="17" customFormat="1" ht="30" customHeight="1" x14ac:dyDescent="0.25">
      <c r="A36" s="28"/>
      <c r="B36" s="24"/>
      <c r="C36" s="24"/>
      <c r="D36" s="24"/>
      <c r="E36" s="24"/>
      <c r="F36" s="24"/>
      <c r="G36" s="24"/>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6" cm="1">
        <f t="array" ref="AG36">SUMPRODUCT(COUNTIF(Janvier[[#This Row],[1]:[31]],{"J","D","R1","R2","J2"}))</f>
        <v>0</v>
      </c>
      <c r="AH36" s="17" cm="1">
        <f t="array" ref="AH36">SUMPRODUCT(COUNTIF(Janvier[[#This Row],[1]:[31]],{"J","R2"}))</f>
        <v>0</v>
      </c>
      <c r="AI36" s="17" cm="1">
        <f t="array" ref="AI36">SUMPRODUCT(COUNTIF(Janvier[[#This Row],[1]:[31]],{"D","R1"}))</f>
        <v>0</v>
      </c>
      <c r="AJ36" s="17" cm="1">
        <f t="array" ref="AJ36">SUMPRODUCT(COUNTIF(Janvier[[#This Row],[1]:[31]],{"J2"}))</f>
        <v>0</v>
      </c>
    </row>
    <row r="37" spans="1:36" s="17" customFormat="1" ht="30" customHeight="1" x14ac:dyDescent="0.25">
      <c r="A37" s="28"/>
      <c r="B37" s="24"/>
      <c r="C37" s="24"/>
      <c r="D37" s="24"/>
      <c r="E37" s="24"/>
      <c r="F37" s="24"/>
      <c r="G37" s="24"/>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6" cm="1">
        <f t="array" ref="AG37">SUMPRODUCT(COUNTIF(Janvier[[#This Row],[1]:[31]],{"J","D","R1","R2","J2"}))</f>
        <v>0</v>
      </c>
      <c r="AH37" s="17" cm="1">
        <f t="array" ref="AH37">SUMPRODUCT(COUNTIF(Janvier[[#This Row],[1]:[31]],{"J","R2"}))</f>
        <v>0</v>
      </c>
      <c r="AI37" s="17" cm="1">
        <f t="array" ref="AI37">SUMPRODUCT(COUNTIF(Janvier[[#This Row],[1]:[31]],{"D","R1"}))</f>
        <v>0</v>
      </c>
      <c r="AJ37" s="17" cm="1">
        <f t="array" ref="AJ37">SUMPRODUCT(COUNTIF(Janvier[[#This Row],[1]:[31]],{"J2"}))</f>
        <v>0</v>
      </c>
    </row>
    <row r="38" spans="1:36" s="17" customFormat="1" ht="30" customHeight="1" x14ac:dyDescent="0.25">
      <c r="A38" s="28"/>
      <c r="B38" s="24"/>
      <c r="C38" s="24"/>
      <c r="D38" s="24"/>
      <c r="E38" s="24"/>
      <c r="F38" s="24"/>
      <c r="G38" s="24"/>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6" cm="1">
        <f t="array" ref="AG38">SUMPRODUCT(COUNTIF(Janvier[[#This Row],[1]:[31]],{"J","D","R1","R2","J2"}))</f>
        <v>0</v>
      </c>
      <c r="AH38" s="17" cm="1">
        <f t="array" ref="AH38">SUMPRODUCT(COUNTIF(Janvier[[#This Row],[1]:[31]],{"J","R2"}))</f>
        <v>0</v>
      </c>
      <c r="AI38" s="17" cm="1">
        <f t="array" ref="AI38">SUMPRODUCT(COUNTIF(Janvier[[#This Row],[1]:[31]],{"D","R1"}))</f>
        <v>0</v>
      </c>
      <c r="AJ38" s="17" cm="1">
        <f t="array" ref="AJ38">SUMPRODUCT(COUNTIF(Janvier[[#This Row],[1]:[31]],{"J2"}))</f>
        <v>0</v>
      </c>
    </row>
    <row r="39" spans="1:36" s="17" customFormat="1" ht="30" customHeight="1" x14ac:dyDescent="0.25">
      <c r="A39" s="28"/>
      <c r="B39" s="24"/>
      <c r="C39" s="24"/>
      <c r="D39" s="24"/>
      <c r="E39" s="24"/>
      <c r="F39" s="24"/>
      <c r="G39" s="24"/>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6" cm="1">
        <f t="array" ref="AG39">SUMPRODUCT(COUNTIF(Janvier[[#This Row],[1]:[31]],{"J","D","R1","R2","J2"}))</f>
        <v>0</v>
      </c>
      <c r="AH39" s="17" cm="1">
        <f t="array" ref="AH39">SUMPRODUCT(COUNTIF(Janvier[[#This Row],[1]:[31]],{"J","R2"}))</f>
        <v>0</v>
      </c>
      <c r="AI39" s="17" cm="1">
        <f t="array" ref="AI39">SUMPRODUCT(COUNTIF(Janvier[[#This Row],[1]:[31]],{"D","R1"}))</f>
        <v>0</v>
      </c>
      <c r="AJ39" s="17" cm="1">
        <f t="array" ref="AJ39">SUMPRODUCT(COUNTIF(Janvier[[#This Row],[1]:[31]],{"J2"}))</f>
        <v>0</v>
      </c>
    </row>
    <row r="40" spans="1:36" s="17" customFormat="1" ht="30" customHeight="1" x14ac:dyDescent="0.25">
      <c r="A40" s="28"/>
      <c r="B40" s="24"/>
      <c r="C40" s="24"/>
      <c r="D40" s="24"/>
      <c r="E40" s="24"/>
      <c r="F40" s="24"/>
      <c r="G40" s="24"/>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6" cm="1">
        <f t="array" ref="AG40">SUMPRODUCT(COUNTIF(Janvier[[#This Row],[1]:[31]],{"J","D","R1","R2","J2"}))</f>
        <v>0</v>
      </c>
      <c r="AH40" s="17" cm="1">
        <f t="array" ref="AH40">SUMPRODUCT(COUNTIF(Janvier[[#This Row],[1]:[31]],{"J","R2"}))</f>
        <v>0</v>
      </c>
      <c r="AI40" s="17" cm="1">
        <f t="array" ref="AI40">SUMPRODUCT(COUNTIF(Janvier[[#This Row],[1]:[31]],{"D","R1"}))</f>
        <v>0</v>
      </c>
      <c r="AJ40" s="17" cm="1">
        <f t="array" ref="AJ40">SUMPRODUCT(COUNTIF(Janvier[[#This Row],[1]:[31]],{"J2"}))</f>
        <v>0</v>
      </c>
    </row>
    <row r="41" spans="1:36" s="17" customFormat="1" ht="30" customHeight="1" x14ac:dyDescent="0.25">
      <c r="A41" s="28"/>
      <c r="B41" s="24"/>
      <c r="C41" s="24"/>
      <c r="D41" s="24"/>
      <c r="E41" s="24"/>
      <c r="F41" s="24"/>
      <c r="G41" s="24"/>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6" cm="1">
        <f t="array" ref="AG41">SUMPRODUCT(COUNTIF(Janvier[[#This Row],[1]:[31]],{"J","D","R1","R2","J2"}))</f>
        <v>0</v>
      </c>
      <c r="AH41" s="17" cm="1">
        <f t="array" ref="AH41">SUMPRODUCT(COUNTIF(Janvier[[#This Row],[1]:[31]],{"J","R2"}))</f>
        <v>0</v>
      </c>
      <c r="AI41" s="17" cm="1">
        <f t="array" ref="AI41">SUMPRODUCT(COUNTIF(Janvier[[#This Row],[1]:[31]],{"D","R1"}))</f>
        <v>0</v>
      </c>
      <c r="AJ41" s="17" cm="1">
        <f t="array" ref="AJ41">SUMPRODUCT(COUNTIF(Janvier[[#This Row],[1]:[31]],{"J2"}))</f>
        <v>0</v>
      </c>
    </row>
    <row r="42" spans="1:36" s="17" customFormat="1" ht="30" customHeight="1" x14ac:dyDescent="0.25">
      <c r="A42" s="28"/>
      <c r="B42" s="24"/>
      <c r="C42" s="24"/>
      <c r="D42" s="24"/>
      <c r="E42" s="24"/>
      <c r="F42" s="24"/>
      <c r="G42" s="24"/>
      <c r="H42" s="24"/>
      <c r="I42" s="24"/>
      <c r="J42" s="24"/>
      <c r="K42" s="24"/>
      <c r="L42" s="24"/>
      <c r="M42" s="24"/>
      <c r="N42" s="24"/>
      <c r="O42" s="24"/>
      <c r="P42" s="24"/>
      <c r="Q42" s="24"/>
      <c r="R42" s="24"/>
      <c r="S42" s="24"/>
      <c r="T42" s="24"/>
      <c r="U42" s="24"/>
      <c r="V42" s="24"/>
      <c r="W42" s="24"/>
      <c r="X42" s="24"/>
      <c r="Y42" s="24"/>
      <c r="Z42" s="24"/>
      <c r="AA42" s="24"/>
      <c r="AB42" s="24"/>
      <c r="AC42" s="24"/>
      <c r="AD42" s="24"/>
      <c r="AE42" s="24"/>
      <c r="AF42" s="24"/>
      <c r="AG42" s="26" cm="1">
        <f t="array" ref="AG42">SUMPRODUCT(COUNTIF(Janvier[[#This Row],[1]:[31]],{"J","D","R1","R2","J2"}))</f>
        <v>0</v>
      </c>
      <c r="AH42" s="17" cm="1">
        <f t="array" ref="AH42">SUMPRODUCT(COUNTIF(Janvier[[#This Row],[1]:[31]],{"J","R2"}))</f>
        <v>0</v>
      </c>
      <c r="AI42" s="17" cm="1">
        <f t="array" ref="AI42">SUMPRODUCT(COUNTIF(Janvier[[#This Row],[1]:[31]],{"D","R1"}))</f>
        <v>0</v>
      </c>
      <c r="AJ42" s="17" cm="1">
        <f t="array" ref="AJ42">SUMPRODUCT(COUNTIF(Janvier[[#This Row],[1]:[31]],{"J2"}))</f>
        <v>0</v>
      </c>
    </row>
    <row r="43" spans="1:36" s="17" customFormat="1" ht="30" customHeight="1" x14ac:dyDescent="0.25">
      <c r="A43" s="28"/>
      <c r="B43" s="24"/>
      <c r="C43" s="24"/>
      <c r="D43" s="24"/>
      <c r="E43" s="24"/>
      <c r="F43" s="24"/>
      <c r="G43" s="24"/>
      <c r="H43" s="24"/>
      <c r="I43" s="24"/>
      <c r="J43" s="24"/>
      <c r="K43" s="24"/>
      <c r="L43" s="24"/>
      <c r="M43" s="24"/>
      <c r="N43" s="24"/>
      <c r="O43" s="24"/>
      <c r="P43" s="24"/>
      <c r="Q43" s="24"/>
      <c r="R43" s="24"/>
      <c r="S43" s="24"/>
      <c r="T43" s="24"/>
      <c r="U43" s="24"/>
      <c r="V43" s="24"/>
      <c r="W43" s="24"/>
      <c r="X43" s="24"/>
      <c r="Y43" s="24"/>
      <c r="Z43" s="24"/>
      <c r="AA43" s="24"/>
      <c r="AB43" s="24"/>
      <c r="AC43" s="24"/>
      <c r="AD43" s="24"/>
      <c r="AE43" s="24"/>
      <c r="AF43" s="24"/>
      <c r="AG43" s="26" cm="1">
        <f t="array" ref="AG43">SUMPRODUCT(COUNTIF(Janvier[[#This Row],[1]:[31]],{"J","D","R1","R2","J2"}))</f>
        <v>0</v>
      </c>
      <c r="AH43" s="17" cm="1">
        <f t="array" ref="AH43">SUMPRODUCT(COUNTIF(Janvier[[#This Row],[1]:[31]],{"J","R2"}))</f>
        <v>0</v>
      </c>
      <c r="AI43" s="17" cm="1">
        <f t="array" ref="AI43">SUMPRODUCT(COUNTIF(Janvier[[#This Row],[1]:[31]],{"D","R1"}))</f>
        <v>0</v>
      </c>
      <c r="AJ43" s="17" cm="1">
        <f t="array" ref="AJ43">SUMPRODUCT(COUNTIF(Janvier[[#This Row],[1]:[31]],{"J2"}))</f>
        <v>0</v>
      </c>
    </row>
    <row r="44" spans="1:36" s="17" customFormat="1" ht="30" customHeight="1" x14ac:dyDescent="0.25">
      <c r="A44" s="28"/>
      <c r="B44" s="24"/>
      <c r="C44" s="24"/>
      <c r="D44" s="24"/>
      <c r="E44" s="24"/>
      <c r="F44" s="24"/>
      <c r="G44" s="24"/>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4"/>
      <c r="AG44" s="26" cm="1">
        <f t="array" ref="AG44">SUMPRODUCT(COUNTIF(Janvier[[#This Row],[1]:[31]],{"J","D","R1","R2","J2"}))</f>
        <v>0</v>
      </c>
      <c r="AH44" s="17" cm="1">
        <f t="array" ref="AH44">SUMPRODUCT(COUNTIF(Janvier[[#This Row],[1]:[31]],{"J","R2"}))</f>
        <v>0</v>
      </c>
      <c r="AI44" s="17" cm="1">
        <f t="array" ref="AI44">SUMPRODUCT(COUNTIF(Janvier[[#This Row],[1]:[31]],{"D","R1"}))</f>
        <v>0</v>
      </c>
      <c r="AJ44" s="17" cm="1">
        <f t="array" ref="AJ44">SUMPRODUCT(COUNTIF(Janvier[[#This Row],[1]:[31]],{"J2"}))</f>
        <v>0</v>
      </c>
    </row>
    <row r="45" spans="1:36" s="17" customFormat="1" ht="30" customHeight="1" x14ac:dyDescent="0.25">
      <c r="A45" s="28"/>
      <c r="B45" s="24"/>
      <c r="C45" s="24"/>
      <c r="D45" s="24"/>
      <c r="E45" s="24"/>
      <c r="F45" s="24"/>
      <c r="G45" s="24"/>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6" cm="1">
        <f t="array" ref="AG45">SUMPRODUCT(COUNTIF(Janvier[[#This Row],[1]:[31]],{"J","D","R1","R2","J2"}))</f>
        <v>0</v>
      </c>
      <c r="AH45" s="17" cm="1">
        <f t="array" ref="AH45">SUMPRODUCT(COUNTIF(Janvier[[#This Row],[1]:[31]],{"J","R2"}))</f>
        <v>0</v>
      </c>
      <c r="AI45" s="17" cm="1">
        <f t="array" ref="AI45">SUMPRODUCT(COUNTIF(Janvier[[#This Row],[1]:[31]],{"D","R1"}))</f>
        <v>0</v>
      </c>
      <c r="AJ45" s="17" cm="1">
        <f t="array" ref="AJ45">SUMPRODUCT(COUNTIF(Janvier[[#This Row],[1]:[31]],{"J2"}))</f>
        <v>0</v>
      </c>
    </row>
    <row r="46" spans="1:36" s="17" customFormat="1" ht="30" customHeight="1" x14ac:dyDescent="0.25">
      <c r="A46" s="28"/>
      <c r="B46" s="24"/>
      <c r="C46" s="24"/>
      <c r="D46" s="24"/>
      <c r="E46" s="24"/>
      <c r="F46" s="24"/>
      <c r="G46" s="24"/>
      <c r="H46" s="24"/>
      <c r="I46" s="24"/>
      <c r="J46" s="24"/>
      <c r="K46" s="24"/>
      <c r="L46" s="24"/>
      <c r="M46" s="24"/>
      <c r="N46" s="24"/>
      <c r="O46" s="24"/>
      <c r="P46" s="24"/>
      <c r="Q46" s="24"/>
      <c r="R46" s="24"/>
      <c r="S46" s="24"/>
      <c r="T46" s="24"/>
      <c r="U46" s="24"/>
      <c r="V46" s="24"/>
      <c r="W46" s="24"/>
      <c r="X46" s="24"/>
      <c r="Y46" s="24"/>
      <c r="Z46" s="24"/>
      <c r="AA46" s="24"/>
      <c r="AB46" s="24"/>
      <c r="AC46" s="24"/>
      <c r="AD46" s="24"/>
      <c r="AE46" s="24"/>
      <c r="AF46" s="24"/>
      <c r="AG46" s="26" cm="1">
        <f t="array" ref="AG46">SUMPRODUCT(COUNTIF(Janvier[[#This Row],[1]:[31]],{"J","D","R1","R2","J2"}))</f>
        <v>0</v>
      </c>
      <c r="AH46" s="17" cm="1">
        <f t="array" ref="AH46">SUMPRODUCT(COUNTIF(Janvier[[#This Row],[1]:[31]],{"J","R2"}))</f>
        <v>0</v>
      </c>
      <c r="AI46" s="17" cm="1">
        <f t="array" ref="AI46">SUMPRODUCT(COUNTIF(Janvier[[#This Row],[1]:[31]],{"D","R1"}))</f>
        <v>0</v>
      </c>
      <c r="AJ46" s="17" cm="1">
        <f t="array" ref="AJ46">SUMPRODUCT(COUNTIF(Janvier[[#This Row],[1]:[31]],{"J2"}))</f>
        <v>0</v>
      </c>
    </row>
    <row r="47" spans="1:36" s="17" customFormat="1" ht="30" customHeight="1" x14ac:dyDescent="0.25">
      <c r="A47" s="28"/>
      <c r="B47" s="24"/>
      <c r="C47" s="24"/>
      <c r="D47" s="24"/>
      <c r="E47" s="24"/>
      <c r="F47" s="24"/>
      <c r="G47" s="24"/>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6" cm="1">
        <f t="array" ref="AG47">SUMPRODUCT(COUNTIF(Janvier[[#This Row],[1]:[31]],{"J","D","R1","R2","J2"}))</f>
        <v>0</v>
      </c>
      <c r="AH47" s="17" cm="1">
        <f t="array" ref="AH47">SUMPRODUCT(COUNTIF(Janvier[[#This Row],[1]:[31]],{"J","R2"}))</f>
        <v>0</v>
      </c>
      <c r="AI47" s="17" cm="1">
        <f t="array" ref="AI47">SUMPRODUCT(COUNTIF(Janvier[[#This Row],[1]:[31]],{"D","R1"}))</f>
        <v>0</v>
      </c>
      <c r="AJ47" s="17" cm="1">
        <f t="array" ref="AJ47">SUMPRODUCT(COUNTIF(Janvier[[#This Row],[1]:[31]],{"J2"}))</f>
        <v>0</v>
      </c>
    </row>
    <row r="48" spans="1:36" s="17" customFormat="1" ht="30" customHeight="1" x14ac:dyDescent="0.25">
      <c r="A48" s="28"/>
      <c r="B48" s="24"/>
      <c r="C48" s="24"/>
      <c r="D48" s="24"/>
      <c r="E48" s="24"/>
      <c r="F48" s="24"/>
      <c r="G48" s="24"/>
      <c r="H48" s="24"/>
      <c r="I48" s="24"/>
      <c r="J48" s="24"/>
      <c r="K48" s="24"/>
      <c r="L48" s="24"/>
      <c r="M48" s="24"/>
      <c r="N48" s="24"/>
      <c r="O48" s="24"/>
      <c r="P48" s="24"/>
      <c r="Q48" s="24"/>
      <c r="R48" s="24"/>
      <c r="S48" s="24"/>
      <c r="T48" s="24"/>
      <c r="U48" s="24"/>
      <c r="V48" s="24"/>
      <c r="W48" s="24"/>
      <c r="X48" s="24"/>
      <c r="Y48" s="24"/>
      <c r="Z48" s="24"/>
      <c r="AA48" s="24"/>
      <c r="AB48" s="24"/>
      <c r="AC48" s="24"/>
      <c r="AD48" s="24"/>
      <c r="AE48" s="24"/>
      <c r="AF48" s="24"/>
      <c r="AG48" s="26" cm="1">
        <f t="array" ref="AG48">SUMPRODUCT(COUNTIF(Janvier[[#This Row],[1]:[31]],{"J","D","R1","R2","J2"}))</f>
        <v>0</v>
      </c>
      <c r="AH48" s="17" cm="1">
        <f t="array" ref="AH48">SUMPRODUCT(COUNTIF(Janvier[[#This Row],[1]:[31]],{"J","R2"}))</f>
        <v>0</v>
      </c>
      <c r="AI48" s="17" cm="1">
        <f t="array" ref="AI48">SUMPRODUCT(COUNTIF(Janvier[[#This Row],[1]:[31]],{"D","R1"}))</f>
        <v>0</v>
      </c>
      <c r="AJ48" s="17" cm="1">
        <f t="array" ref="AJ48">SUMPRODUCT(COUNTIF(Janvier[[#This Row],[1]:[31]],{"J2"}))</f>
        <v>0</v>
      </c>
    </row>
    <row r="49" spans="1:36" s="17" customFormat="1" ht="30" customHeight="1" x14ac:dyDescent="0.25">
      <c r="A49" s="28"/>
      <c r="B49" s="24"/>
      <c r="C49" s="24"/>
      <c r="D49" s="24"/>
      <c r="E49" s="24"/>
      <c r="F49" s="24"/>
      <c r="G49" s="24"/>
      <c r="H49" s="24"/>
      <c r="I49" s="24"/>
      <c r="J49" s="24"/>
      <c r="K49" s="24"/>
      <c r="L49" s="24"/>
      <c r="M49" s="24"/>
      <c r="N49" s="24"/>
      <c r="O49" s="24"/>
      <c r="P49" s="24"/>
      <c r="Q49" s="24"/>
      <c r="R49" s="24"/>
      <c r="S49" s="24"/>
      <c r="T49" s="24"/>
      <c r="U49" s="24"/>
      <c r="V49" s="24"/>
      <c r="W49" s="24"/>
      <c r="X49" s="24"/>
      <c r="Y49" s="24"/>
      <c r="Z49" s="24"/>
      <c r="AA49" s="24"/>
      <c r="AB49" s="24"/>
      <c r="AC49" s="24"/>
      <c r="AD49" s="24"/>
      <c r="AE49" s="24"/>
      <c r="AF49" s="24"/>
      <c r="AG49" s="26" cm="1">
        <f t="array" ref="AG49">SUMPRODUCT(COUNTIF(Janvier[[#This Row],[1]:[31]],{"J","D","R1","R2","J2"}))</f>
        <v>0</v>
      </c>
      <c r="AH49" s="17" cm="1">
        <f t="array" ref="AH49">SUMPRODUCT(COUNTIF(Janvier[[#This Row],[1]:[31]],{"J","R2"}))</f>
        <v>0</v>
      </c>
      <c r="AI49" s="17" cm="1">
        <f t="array" ref="AI49">SUMPRODUCT(COUNTIF(Janvier[[#This Row],[1]:[31]],{"D","R1"}))</f>
        <v>0</v>
      </c>
      <c r="AJ49" s="17" cm="1">
        <f t="array" ref="AJ49">SUMPRODUCT(COUNTIF(Janvier[[#This Row],[1]:[31]],{"J2"}))</f>
        <v>0</v>
      </c>
    </row>
    <row r="50" spans="1:36" s="17" customFormat="1" ht="30" customHeight="1" x14ac:dyDescent="0.25">
      <c r="A50" s="28"/>
      <c r="B50" s="24"/>
      <c r="C50" s="24"/>
      <c r="D50" s="24"/>
      <c r="E50" s="24"/>
      <c r="F50" s="24"/>
      <c r="G50" s="24"/>
      <c r="H50" s="24"/>
      <c r="I50" s="24"/>
      <c r="J50" s="24"/>
      <c r="K50" s="24"/>
      <c r="L50" s="24"/>
      <c r="M50" s="24"/>
      <c r="N50" s="24"/>
      <c r="O50" s="24"/>
      <c r="P50" s="24"/>
      <c r="Q50" s="24"/>
      <c r="R50" s="24"/>
      <c r="S50" s="24"/>
      <c r="T50" s="24"/>
      <c r="U50" s="24"/>
      <c r="V50" s="24"/>
      <c r="W50" s="24"/>
      <c r="X50" s="24"/>
      <c r="Y50" s="24"/>
      <c r="Z50" s="24"/>
      <c r="AA50" s="24"/>
      <c r="AB50" s="24"/>
      <c r="AC50" s="24"/>
      <c r="AD50" s="24"/>
      <c r="AE50" s="24"/>
      <c r="AF50" s="24"/>
      <c r="AG50" s="26" cm="1">
        <f t="array" ref="AG50">SUMPRODUCT(COUNTIF(Janvier[[#This Row],[1]:[31]],{"J","D","R1","R2","J2"}))</f>
        <v>0</v>
      </c>
      <c r="AH50" s="17" cm="1">
        <f t="array" ref="AH50">SUMPRODUCT(COUNTIF(Janvier[[#This Row],[1]:[31]],{"J","R2"}))</f>
        <v>0</v>
      </c>
      <c r="AI50" s="17" cm="1">
        <f t="array" ref="AI50">SUMPRODUCT(COUNTIF(Janvier[[#This Row],[1]:[31]],{"D","R1"}))</f>
        <v>0</v>
      </c>
      <c r="AJ50" s="17" cm="1">
        <f t="array" ref="AJ50">SUMPRODUCT(COUNTIF(Janvier[[#This Row],[1]:[31]],{"J2"}))</f>
        <v>0</v>
      </c>
    </row>
    <row r="51" spans="1:36" s="17" customFormat="1" ht="30" customHeight="1" x14ac:dyDescent="0.25">
      <c r="A51" s="28"/>
      <c r="B51" s="24"/>
      <c r="C51" s="24"/>
      <c r="D51" s="24"/>
      <c r="E51" s="24"/>
      <c r="F51" s="24"/>
      <c r="G51" s="24"/>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6" cm="1">
        <f t="array" ref="AG51">SUMPRODUCT(COUNTIF(Janvier[[#This Row],[1]:[31]],{"J","D","R1","R2","J2"}))</f>
        <v>0</v>
      </c>
      <c r="AH51" s="17" cm="1">
        <f t="array" ref="AH51">SUMPRODUCT(COUNTIF(Janvier[[#This Row],[1]:[31]],{"J","R2"}))</f>
        <v>0</v>
      </c>
      <c r="AI51" s="17" cm="1">
        <f t="array" ref="AI51">SUMPRODUCT(COUNTIF(Janvier[[#This Row],[1]:[31]],{"D","R1"}))</f>
        <v>0</v>
      </c>
      <c r="AJ51" s="17" cm="1">
        <f t="array" ref="AJ51">SUMPRODUCT(COUNTIF(Janvier[[#This Row],[1]:[31]],{"J2"}))</f>
        <v>0</v>
      </c>
    </row>
    <row r="52" spans="1:36" s="17" customFormat="1" ht="30" customHeight="1" x14ac:dyDescent="0.25">
      <c r="A52" s="28"/>
      <c r="B52" s="24"/>
      <c r="C52" s="24"/>
      <c r="D52" s="24"/>
      <c r="E52" s="24"/>
      <c r="F52" s="24"/>
      <c r="G52" s="24"/>
      <c r="H52" s="24"/>
      <c r="I52" s="24"/>
      <c r="J52" s="24"/>
      <c r="K52" s="24"/>
      <c r="L52" s="24"/>
      <c r="M52" s="24"/>
      <c r="N52" s="24"/>
      <c r="O52" s="24"/>
      <c r="P52" s="24"/>
      <c r="Q52" s="24"/>
      <c r="R52" s="24"/>
      <c r="S52" s="24"/>
      <c r="T52" s="24"/>
      <c r="U52" s="24"/>
      <c r="V52" s="24"/>
      <c r="W52" s="24"/>
      <c r="X52" s="24"/>
      <c r="Y52" s="24"/>
      <c r="Z52" s="24"/>
      <c r="AA52" s="24"/>
      <c r="AB52" s="24"/>
      <c r="AC52" s="24"/>
      <c r="AD52" s="24"/>
      <c r="AE52" s="24"/>
      <c r="AF52" s="24"/>
      <c r="AG52" s="26" cm="1">
        <f t="array" ref="AG52">SUMPRODUCT(COUNTIF(Janvier[[#This Row],[1]:[31]],{"J","D","R1","R2","J2"}))</f>
        <v>0</v>
      </c>
      <c r="AH52" s="17" cm="1">
        <f t="array" ref="AH52">SUMPRODUCT(COUNTIF(Janvier[[#This Row],[1]:[31]],{"J","R2"}))</f>
        <v>0</v>
      </c>
      <c r="AI52" s="17" cm="1">
        <f t="array" ref="AI52">SUMPRODUCT(COUNTIF(Janvier[[#This Row],[1]:[31]],{"D","R1"}))</f>
        <v>0</v>
      </c>
      <c r="AJ52" s="17" cm="1">
        <f t="array" ref="AJ52">SUMPRODUCT(COUNTIF(Janvier[[#This Row],[1]:[31]],{"J2"}))</f>
        <v>0</v>
      </c>
    </row>
    <row r="53" spans="1:36" s="17" customFormat="1" ht="30" customHeight="1" x14ac:dyDescent="0.25">
      <c r="A53" s="28"/>
      <c r="B53" s="24"/>
      <c r="C53" s="24"/>
      <c r="D53" s="24"/>
      <c r="E53" s="24"/>
      <c r="F53" s="24"/>
      <c r="G53" s="24"/>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6" cm="1">
        <f t="array" ref="AG53">SUMPRODUCT(COUNTIF(Janvier[[#This Row],[1]:[31]],{"J","D","R1","R2","J2"}))</f>
        <v>0</v>
      </c>
      <c r="AH53" s="17" cm="1">
        <f t="array" ref="AH53">SUMPRODUCT(COUNTIF(Janvier[[#This Row],[1]:[31]],{"J","R2"}))</f>
        <v>0</v>
      </c>
      <c r="AI53" s="17" cm="1">
        <f t="array" ref="AI53">SUMPRODUCT(COUNTIF(Janvier[[#This Row],[1]:[31]],{"D","R1"}))</f>
        <v>0</v>
      </c>
      <c r="AJ53" s="17" cm="1">
        <f t="array" ref="AJ53">SUMPRODUCT(COUNTIF(Janvier[[#This Row],[1]:[31]],{"J2"}))</f>
        <v>0</v>
      </c>
    </row>
    <row r="54" spans="1:36" s="17" customFormat="1" ht="30" customHeight="1" x14ac:dyDescent="0.25">
      <c r="A54" s="28"/>
      <c r="B54" s="24"/>
      <c r="C54" s="24"/>
      <c r="D54" s="24"/>
      <c r="E54" s="24"/>
      <c r="F54" s="24"/>
      <c r="G54" s="24"/>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6" cm="1">
        <f t="array" ref="AG54">SUMPRODUCT(COUNTIF(Janvier[[#This Row],[1]:[31]],{"J","D","R1","R2","J2"}))</f>
        <v>0</v>
      </c>
      <c r="AH54" s="17" cm="1">
        <f t="array" ref="AH54">SUMPRODUCT(COUNTIF(Janvier[[#This Row],[1]:[31]],{"J","R2"}))</f>
        <v>0</v>
      </c>
      <c r="AI54" s="17" cm="1">
        <f t="array" ref="AI54">SUMPRODUCT(COUNTIF(Janvier[[#This Row],[1]:[31]],{"D","R1"}))</f>
        <v>0</v>
      </c>
      <c r="AJ54" s="17" cm="1">
        <f t="array" ref="AJ54">SUMPRODUCT(COUNTIF(Janvier[[#This Row],[1]:[31]],{"J2"}))</f>
        <v>0</v>
      </c>
    </row>
    <row r="55" spans="1:36" s="17" customFormat="1" ht="30" customHeight="1" x14ac:dyDescent="0.25">
      <c r="A55" s="28"/>
      <c r="B55" s="24"/>
      <c r="C55" s="24"/>
      <c r="D55" s="24"/>
      <c r="E55" s="24"/>
      <c r="F55" s="24"/>
      <c r="G55" s="24"/>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4"/>
      <c r="AG55" s="26" cm="1">
        <f t="array" ref="AG55">SUMPRODUCT(COUNTIF(Janvier[[#This Row],[1]:[31]],{"J","D","R1","R2","J2"}))</f>
        <v>0</v>
      </c>
      <c r="AH55" s="17" cm="1">
        <f t="array" ref="AH55">SUMPRODUCT(COUNTIF(Janvier[[#This Row],[1]:[31]],{"J","R2"}))</f>
        <v>0</v>
      </c>
      <c r="AI55" s="17" cm="1">
        <f t="array" ref="AI55">SUMPRODUCT(COUNTIF(Janvier[[#This Row],[1]:[31]],{"D","R1"}))</f>
        <v>0</v>
      </c>
      <c r="AJ55" s="17" cm="1">
        <f t="array" ref="AJ55">SUMPRODUCT(COUNTIF(Janvier[[#This Row],[1]:[31]],{"J2"}))</f>
        <v>0</v>
      </c>
    </row>
    <row r="56" spans="1:36" s="17" customFormat="1" ht="30" customHeight="1" x14ac:dyDescent="0.25">
      <c r="A56" s="28"/>
      <c r="B56" s="24"/>
      <c r="C56" s="24"/>
      <c r="D56" s="24"/>
      <c r="E56" s="24"/>
      <c r="F56" s="24"/>
      <c r="G56" s="24"/>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6" cm="1">
        <f t="array" ref="AG56">SUMPRODUCT(COUNTIF(Janvier[[#This Row],[1]:[31]],{"J","D","R1","R2","J2"}))</f>
        <v>0</v>
      </c>
      <c r="AH56" s="17" cm="1">
        <f t="array" ref="AH56">SUMPRODUCT(COUNTIF(Janvier[[#This Row],[1]:[31]],{"J","R2"}))</f>
        <v>0</v>
      </c>
      <c r="AI56" s="17" cm="1">
        <f t="array" ref="AI56">SUMPRODUCT(COUNTIF(Janvier[[#This Row],[1]:[31]],{"D","R1"}))</f>
        <v>0</v>
      </c>
      <c r="AJ56" s="17" cm="1">
        <f t="array" ref="AJ56">SUMPRODUCT(COUNTIF(Janvier[[#This Row],[1]:[31]],{"J2"}))</f>
        <v>0</v>
      </c>
    </row>
    <row r="57" spans="1:36" s="17" customFormat="1" ht="30" customHeight="1" x14ac:dyDescent="0.25">
      <c r="A57" s="28"/>
      <c r="B57" s="24"/>
      <c r="C57" s="24"/>
      <c r="D57" s="24"/>
      <c r="E57" s="24"/>
      <c r="F57" s="24"/>
      <c r="G57" s="24"/>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6" cm="1">
        <f t="array" ref="AG57">SUMPRODUCT(COUNTIF(Janvier[[#This Row],[1]:[31]],{"J","D","R1","R2","J2"}))</f>
        <v>0</v>
      </c>
      <c r="AH57" s="17" cm="1">
        <f t="array" ref="AH57">SUMPRODUCT(COUNTIF(Janvier[[#This Row],[1]:[31]],{"J","R2"}))</f>
        <v>0</v>
      </c>
      <c r="AI57" s="17" cm="1">
        <f t="array" ref="AI57">SUMPRODUCT(COUNTIF(Janvier[[#This Row],[1]:[31]],{"D","R1"}))</f>
        <v>0</v>
      </c>
      <c r="AJ57" s="17" cm="1">
        <f t="array" ref="AJ57">SUMPRODUCT(COUNTIF(Janvier[[#This Row],[1]:[31]],{"J2"}))</f>
        <v>0</v>
      </c>
    </row>
    <row r="58" spans="1:36" s="17" customFormat="1" ht="30" customHeight="1" x14ac:dyDescent="0.25">
      <c r="A58" s="28"/>
      <c r="B58" s="24"/>
      <c r="C58" s="24"/>
      <c r="D58" s="24"/>
      <c r="E58" s="24"/>
      <c r="F58" s="24"/>
      <c r="G58" s="24"/>
      <c r="H58" s="24"/>
      <c r="I58" s="24"/>
      <c r="J58" s="24"/>
      <c r="K58" s="24"/>
      <c r="L58" s="24"/>
      <c r="M58" s="24"/>
      <c r="N58" s="24"/>
      <c r="O58" s="24"/>
      <c r="P58" s="24"/>
      <c r="Q58" s="24"/>
      <c r="R58" s="24"/>
      <c r="S58" s="24"/>
      <c r="T58" s="24"/>
      <c r="U58" s="24"/>
      <c r="V58" s="24"/>
      <c r="W58" s="24"/>
      <c r="X58" s="24"/>
      <c r="Y58" s="24"/>
      <c r="Z58" s="24"/>
      <c r="AA58" s="24"/>
      <c r="AB58" s="24"/>
      <c r="AC58" s="24"/>
      <c r="AD58" s="24"/>
      <c r="AE58" s="24"/>
      <c r="AF58" s="24"/>
      <c r="AG58" s="26" cm="1">
        <f t="array" ref="AG58">SUMPRODUCT(COUNTIF(Janvier[[#This Row],[1]:[31]],{"J","D","R1","R2","J2"}))</f>
        <v>0</v>
      </c>
      <c r="AH58" s="17" cm="1">
        <f t="array" ref="AH58">SUMPRODUCT(COUNTIF(Janvier[[#This Row],[1]:[31]],{"J","R2"}))</f>
        <v>0</v>
      </c>
      <c r="AI58" s="17" cm="1">
        <f t="array" ref="AI58">SUMPRODUCT(COUNTIF(Janvier[[#This Row],[1]:[31]],{"D","R1"}))</f>
        <v>0</v>
      </c>
      <c r="AJ58" s="17" cm="1">
        <f t="array" ref="AJ58">SUMPRODUCT(COUNTIF(Janvier[[#This Row],[1]:[31]],{"J2"}))</f>
        <v>0</v>
      </c>
    </row>
    <row r="59" spans="1:36" s="17" customFormat="1" ht="30" customHeight="1" x14ac:dyDescent="0.25">
      <c r="A59" s="28"/>
      <c r="B59" s="24"/>
      <c r="C59" s="24"/>
      <c r="D59" s="24"/>
      <c r="E59" s="24"/>
      <c r="F59" s="24"/>
      <c r="G59" s="24"/>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6" cm="1">
        <f t="array" ref="AG59">SUMPRODUCT(COUNTIF(Janvier[[#This Row],[1]:[31]],{"J","D","R1","R2","J2"}))</f>
        <v>0</v>
      </c>
      <c r="AH59" s="17" cm="1">
        <f t="array" ref="AH59">SUMPRODUCT(COUNTIF(Janvier[[#This Row],[1]:[31]],{"J","R2"}))</f>
        <v>0</v>
      </c>
      <c r="AI59" s="17" cm="1">
        <f t="array" ref="AI59">SUMPRODUCT(COUNTIF(Janvier[[#This Row],[1]:[31]],{"D","R1"}))</f>
        <v>0</v>
      </c>
      <c r="AJ59" s="17" cm="1">
        <f t="array" ref="AJ59">SUMPRODUCT(COUNTIF(Janvier[[#This Row],[1]:[31]],{"J2"}))</f>
        <v>0</v>
      </c>
    </row>
    <row r="60" spans="1:36" s="17" customFormat="1" ht="30" customHeight="1" x14ac:dyDescent="0.25">
      <c r="A60" s="28"/>
      <c r="B60" s="24"/>
      <c r="C60" s="24"/>
      <c r="D60" s="24"/>
      <c r="E60" s="24"/>
      <c r="F60" s="24"/>
      <c r="G60" s="24"/>
      <c r="H60" s="24"/>
      <c r="I60" s="24"/>
      <c r="J60" s="24"/>
      <c r="K60" s="24"/>
      <c r="L60" s="24"/>
      <c r="M60" s="24"/>
      <c r="N60" s="24"/>
      <c r="O60" s="24"/>
      <c r="P60" s="24"/>
      <c r="Q60" s="24"/>
      <c r="R60" s="24"/>
      <c r="S60" s="24"/>
      <c r="T60" s="24"/>
      <c r="U60" s="24"/>
      <c r="V60" s="24"/>
      <c r="W60" s="24"/>
      <c r="X60" s="24"/>
      <c r="Y60" s="24"/>
      <c r="Z60" s="24"/>
      <c r="AA60" s="24"/>
      <c r="AB60" s="24"/>
      <c r="AC60" s="24"/>
      <c r="AD60" s="24"/>
      <c r="AE60" s="24"/>
      <c r="AF60" s="24"/>
      <c r="AG60" s="26" cm="1">
        <f t="array" ref="AG60">SUMPRODUCT(COUNTIF(Janvier[[#This Row],[1]:[31]],{"J","D","R1","R2","J2"}))</f>
        <v>0</v>
      </c>
      <c r="AH60" s="17" cm="1">
        <f t="array" ref="AH60">SUMPRODUCT(COUNTIF(Janvier[[#This Row],[1]:[31]],{"J","R2"}))</f>
        <v>0</v>
      </c>
      <c r="AI60" s="17" cm="1">
        <f t="array" ref="AI60">SUMPRODUCT(COUNTIF(Janvier[[#This Row],[1]:[31]],{"D","R1"}))</f>
        <v>0</v>
      </c>
      <c r="AJ60" s="17" cm="1">
        <f t="array" ref="AJ60">SUMPRODUCT(COUNTIF(Janvier[[#This Row],[1]:[31]],{"J2"}))</f>
        <v>0</v>
      </c>
    </row>
    <row r="61" spans="1:36" s="17" customFormat="1" ht="30" customHeight="1" x14ac:dyDescent="0.25">
      <c r="A61" s="28"/>
      <c r="B61" s="24"/>
      <c r="C61" s="24"/>
      <c r="D61" s="24"/>
      <c r="E61" s="24"/>
      <c r="F61" s="24"/>
      <c r="G61" s="24"/>
      <c r="H61" s="24"/>
      <c r="I61" s="24"/>
      <c r="J61" s="24"/>
      <c r="K61" s="24"/>
      <c r="L61" s="24"/>
      <c r="M61" s="24"/>
      <c r="N61" s="24"/>
      <c r="O61" s="24"/>
      <c r="P61" s="24"/>
      <c r="Q61" s="24"/>
      <c r="R61" s="24"/>
      <c r="S61" s="24"/>
      <c r="T61" s="24"/>
      <c r="U61" s="24"/>
      <c r="V61" s="24"/>
      <c r="W61" s="24"/>
      <c r="X61" s="24"/>
      <c r="Y61" s="24"/>
      <c r="Z61" s="24"/>
      <c r="AA61" s="24"/>
      <c r="AB61" s="24"/>
      <c r="AC61" s="24"/>
      <c r="AD61" s="24"/>
      <c r="AE61" s="24"/>
      <c r="AF61" s="24"/>
      <c r="AG61" s="26" cm="1">
        <f t="array" ref="AG61">SUMPRODUCT(COUNTIF(Janvier[[#This Row],[1]:[31]],{"J","D","R1","R2","J2"}))</f>
        <v>0</v>
      </c>
      <c r="AH61" s="17" cm="1">
        <f t="array" ref="AH61">SUMPRODUCT(COUNTIF(Janvier[[#This Row],[1]:[31]],{"J","R2"}))</f>
        <v>0</v>
      </c>
      <c r="AI61" s="17" cm="1">
        <f t="array" ref="AI61">SUMPRODUCT(COUNTIF(Janvier[[#This Row],[1]:[31]],{"D","R1"}))</f>
        <v>0</v>
      </c>
      <c r="AJ61" s="17" cm="1">
        <f t="array" ref="AJ61">SUMPRODUCT(COUNTIF(Janvier[[#This Row],[1]:[31]],{"J2"}))</f>
        <v>0</v>
      </c>
    </row>
    <row r="62" spans="1:36" s="17" customFormat="1" ht="30" customHeight="1" x14ac:dyDescent="0.25">
      <c r="A62" s="28"/>
      <c r="B62" s="24"/>
      <c r="C62" s="24"/>
      <c r="D62" s="24"/>
      <c r="E62" s="24"/>
      <c r="F62" s="24"/>
      <c r="G62" s="24"/>
      <c r="H62" s="24"/>
      <c r="I62" s="24"/>
      <c r="J62" s="24"/>
      <c r="K62" s="24"/>
      <c r="L62" s="24"/>
      <c r="M62" s="24"/>
      <c r="N62" s="24"/>
      <c r="O62" s="24"/>
      <c r="P62" s="24"/>
      <c r="Q62" s="24"/>
      <c r="R62" s="24"/>
      <c r="S62" s="24"/>
      <c r="T62" s="24"/>
      <c r="U62" s="24"/>
      <c r="V62" s="24"/>
      <c r="W62" s="24"/>
      <c r="X62" s="24"/>
      <c r="Y62" s="24"/>
      <c r="Z62" s="24"/>
      <c r="AA62" s="24"/>
      <c r="AB62" s="24"/>
      <c r="AC62" s="24"/>
      <c r="AD62" s="24"/>
      <c r="AE62" s="24"/>
      <c r="AF62" s="24"/>
      <c r="AG62" s="26" cm="1">
        <f t="array" ref="AG62">SUMPRODUCT(COUNTIF(Janvier[[#This Row],[1]:[31]],{"J","D","R1","R2","J2"}))</f>
        <v>0</v>
      </c>
      <c r="AH62" s="17" cm="1">
        <f t="array" ref="AH62">SUMPRODUCT(COUNTIF(Janvier[[#This Row],[1]:[31]],{"J","R2"}))</f>
        <v>0</v>
      </c>
      <c r="AI62" s="17" cm="1">
        <f t="array" ref="AI62">SUMPRODUCT(COUNTIF(Janvier[[#This Row],[1]:[31]],{"D","R1"}))</f>
        <v>0</v>
      </c>
      <c r="AJ62" s="17" cm="1">
        <f t="array" ref="AJ62">SUMPRODUCT(COUNTIF(Janvier[[#This Row],[1]:[31]],{"J2"}))</f>
        <v>0</v>
      </c>
    </row>
    <row r="63" spans="1:36" s="17" customFormat="1" ht="30" customHeight="1" x14ac:dyDescent="0.25">
      <c r="A63" s="28"/>
      <c r="B63" s="24"/>
      <c r="C63" s="24"/>
      <c r="D63" s="24"/>
      <c r="E63" s="24"/>
      <c r="F63" s="24"/>
      <c r="G63" s="24"/>
      <c r="H63" s="24"/>
      <c r="I63" s="24"/>
      <c r="J63" s="24"/>
      <c r="K63" s="24"/>
      <c r="L63" s="24"/>
      <c r="M63" s="24"/>
      <c r="N63" s="24"/>
      <c r="O63" s="24"/>
      <c r="P63" s="24"/>
      <c r="Q63" s="24"/>
      <c r="R63" s="24"/>
      <c r="S63" s="24"/>
      <c r="T63" s="24"/>
      <c r="U63" s="24"/>
      <c r="V63" s="24"/>
      <c r="W63" s="24"/>
      <c r="X63" s="24"/>
      <c r="Y63" s="24"/>
      <c r="Z63" s="24"/>
      <c r="AA63" s="24"/>
      <c r="AB63" s="24"/>
      <c r="AC63" s="24"/>
      <c r="AD63" s="24"/>
      <c r="AE63" s="24"/>
      <c r="AF63" s="24"/>
      <c r="AG63" s="26" cm="1">
        <f t="array" ref="AG63">SUMPRODUCT(COUNTIF(Janvier[[#This Row],[1]:[31]],{"J","D","R1","R2","J2"}))</f>
        <v>0</v>
      </c>
      <c r="AH63" s="17" cm="1">
        <f t="array" ref="AH63">SUMPRODUCT(COUNTIF(Janvier[[#This Row],[1]:[31]],{"J","R2"}))</f>
        <v>0</v>
      </c>
      <c r="AI63" s="17" cm="1">
        <f t="array" ref="AI63">SUMPRODUCT(COUNTIF(Janvier[[#This Row],[1]:[31]],{"D","R1"}))</f>
        <v>0</v>
      </c>
      <c r="AJ63" s="17" cm="1">
        <f t="array" ref="AJ63">SUMPRODUCT(COUNTIF(Janvier[[#This Row],[1]:[31]],{"J2"}))</f>
        <v>0</v>
      </c>
    </row>
    <row r="64" spans="1:36" s="17" customFormat="1" ht="30" customHeight="1" x14ac:dyDescent="0.25">
      <c r="A64" s="28"/>
      <c r="B64" s="24"/>
      <c r="C64" s="24"/>
      <c r="D64" s="24"/>
      <c r="E64" s="24"/>
      <c r="F64" s="24"/>
      <c r="G64" s="24"/>
      <c r="H64" s="24"/>
      <c r="I64" s="24"/>
      <c r="J64" s="24"/>
      <c r="K64" s="24"/>
      <c r="L64" s="24"/>
      <c r="M64" s="24"/>
      <c r="N64" s="24"/>
      <c r="O64" s="24"/>
      <c r="P64" s="24"/>
      <c r="Q64" s="24"/>
      <c r="R64" s="24"/>
      <c r="S64" s="24"/>
      <c r="T64" s="24"/>
      <c r="U64" s="24"/>
      <c r="V64" s="24"/>
      <c r="W64" s="24"/>
      <c r="X64" s="24"/>
      <c r="Y64" s="24"/>
      <c r="Z64" s="24"/>
      <c r="AA64" s="24"/>
      <c r="AB64" s="24"/>
      <c r="AC64" s="24"/>
      <c r="AD64" s="24"/>
      <c r="AE64" s="24"/>
      <c r="AF64" s="24"/>
      <c r="AG64" s="26" cm="1">
        <f t="array" ref="AG64">SUMPRODUCT(COUNTIF(Janvier[[#This Row],[1]:[31]],{"J","D","R1","R2","J2"}))</f>
        <v>0</v>
      </c>
      <c r="AH64" s="17" cm="1">
        <f t="array" ref="AH64">SUMPRODUCT(COUNTIF(Janvier[[#This Row],[1]:[31]],{"J","R2"}))</f>
        <v>0</v>
      </c>
      <c r="AI64" s="17" cm="1">
        <f t="array" ref="AI64">SUMPRODUCT(COUNTIF(Janvier[[#This Row],[1]:[31]],{"D","R1"}))</f>
        <v>0</v>
      </c>
      <c r="AJ64" s="17" cm="1">
        <f t="array" ref="AJ64">SUMPRODUCT(COUNTIF(Janvier[[#This Row],[1]:[31]],{"J2"}))</f>
        <v>0</v>
      </c>
    </row>
    <row r="65" spans="1:36" s="17" customFormat="1" ht="30" customHeight="1" x14ac:dyDescent="0.25">
      <c r="A65" s="28"/>
      <c r="B65" s="24"/>
      <c r="C65" s="24"/>
      <c r="D65" s="24"/>
      <c r="E65" s="24"/>
      <c r="F65" s="24"/>
      <c r="G65" s="24"/>
      <c r="H65" s="24"/>
      <c r="I65" s="24"/>
      <c r="J65" s="24"/>
      <c r="K65" s="24"/>
      <c r="L65" s="24"/>
      <c r="M65" s="24"/>
      <c r="N65" s="24"/>
      <c r="O65" s="24"/>
      <c r="P65" s="24"/>
      <c r="Q65" s="24"/>
      <c r="R65" s="24"/>
      <c r="S65" s="24"/>
      <c r="T65" s="24"/>
      <c r="U65" s="24"/>
      <c r="V65" s="24"/>
      <c r="W65" s="24"/>
      <c r="X65" s="24"/>
      <c r="Y65" s="24"/>
      <c r="Z65" s="24"/>
      <c r="AA65" s="24"/>
      <c r="AB65" s="24"/>
      <c r="AC65" s="24"/>
      <c r="AD65" s="24"/>
      <c r="AE65" s="24"/>
      <c r="AF65" s="24"/>
      <c r="AG65" s="26" cm="1">
        <f t="array" ref="AG65">SUMPRODUCT(COUNTIF(Janvier[[#This Row],[1]:[31]],{"J","D","R1","R2","J2"}))</f>
        <v>0</v>
      </c>
      <c r="AH65" s="17" cm="1">
        <f t="array" ref="AH65">SUMPRODUCT(COUNTIF(Janvier[[#This Row],[1]:[31]],{"J","R2"}))</f>
        <v>0</v>
      </c>
      <c r="AI65" s="17" cm="1">
        <f t="array" ref="AI65">SUMPRODUCT(COUNTIF(Janvier[[#This Row],[1]:[31]],{"D","R1"}))</f>
        <v>0</v>
      </c>
      <c r="AJ65" s="17" cm="1">
        <f t="array" ref="AJ65">SUMPRODUCT(COUNTIF(Janvier[[#This Row],[1]:[31]],{"J2"}))</f>
        <v>0</v>
      </c>
    </row>
    <row r="66" spans="1:36" s="17" customFormat="1" ht="30" customHeight="1" x14ac:dyDescent="0.25">
      <c r="A66" s="28"/>
      <c r="B66" s="24"/>
      <c r="C66" s="24"/>
      <c r="D66" s="24"/>
      <c r="E66" s="24"/>
      <c r="F66" s="24"/>
      <c r="G66" s="24"/>
      <c r="H66" s="24"/>
      <c r="I66" s="24"/>
      <c r="J66" s="24"/>
      <c r="K66" s="24"/>
      <c r="L66" s="24"/>
      <c r="M66" s="24"/>
      <c r="N66" s="24"/>
      <c r="O66" s="24"/>
      <c r="P66" s="24"/>
      <c r="Q66" s="24"/>
      <c r="R66" s="24"/>
      <c r="S66" s="24"/>
      <c r="T66" s="24"/>
      <c r="U66" s="24"/>
      <c r="V66" s="24"/>
      <c r="W66" s="24"/>
      <c r="X66" s="24"/>
      <c r="Y66" s="24"/>
      <c r="Z66" s="24"/>
      <c r="AA66" s="24"/>
      <c r="AB66" s="24"/>
      <c r="AC66" s="24"/>
      <c r="AD66" s="24"/>
      <c r="AE66" s="24"/>
      <c r="AF66" s="24"/>
      <c r="AG66" s="26" cm="1">
        <f t="array" ref="AG66">SUMPRODUCT(COUNTIF(Janvier[[#This Row],[1]:[31]],{"J","D","R1","R2","J2"}))</f>
        <v>0</v>
      </c>
      <c r="AH66" s="17" cm="1">
        <f t="array" ref="AH66">SUMPRODUCT(COUNTIF(Janvier[[#This Row],[1]:[31]],{"J","R2"}))</f>
        <v>0</v>
      </c>
      <c r="AI66" s="17" cm="1">
        <f t="array" ref="AI66">SUMPRODUCT(COUNTIF(Janvier[[#This Row],[1]:[31]],{"D","R1"}))</f>
        <v>0</v>
      </c>
      <c r="AJ66" s="17" cm="1">
        <f t="array" ref="AJ66">SUMPRODUCT(COUNTIF(Janvier[[#This Row],[1]:[31]],{"J2"}))</f>
        <v>0</v>
      </c>
    </row>
    <row r="67" spans="1:36" s="17" customFormat="1" ht="30" customHeight="1" x14ac:dyDescent="0.25">
      <c r="A67" s="28"/>
      <c r="B67" s="24"/>
      <c r="C67" s="24"/>
      <c r="D67" s="24"/>
      <c r="E67" s="24"/>
      <c r="F67" s="24"/>
      <c r="G67" s="24"/>
      <c r="H67" s="24"/>
      <c r="I67" s="24"/>
      <c r="J67" s="24"/>
      <c r="K67" s="24"/>
      <c r="L67" s="24"/>
      <c r="M67" s="24"/>
      <c r="N67" s="24"/>
      <c r="O67" s="24"/>
      <c r="P67" s="24"/>
      <c r="Q67" s="24"/>
      <c r="R67" s="24"/>
      <c r="S67" s="24"/>
      <c r="T67" s="24"/>
      <c r="U67" s="24"/>
      <c r="V67" s="24"/>
      <c r="W67" s="24"/>
      <c r="X67" s="24"/>
      <c r="Y67" s="24"/>
      <c r="Z67" s="24"/>
      <c r="AA67" s="24"/>
      <c r="AB67" s="24"/>
      <c r="AC67" s="24"/>
      <c r="AD67" s="24"/>
      <c r="AE67" s="24"/>
      <c r="AF67" s="24"/>
      <c r="AG67" s="26" cm="1">
        <f t="array" ref="AG67">SUMPRODUCT(COUNTIF(Janvier[[#This Row],[1]:[31]],{"J","D","R1","R2","J2"}))</f>
        <v>0</v>
      </c>
      <c r="AH67" s="17" cm="1">
        <f t="array" ref="AH67">SUMPRODUCT(COUNTIF(Janvier[[#This Row],[1]:[31]],{"J","R2"}))</f>
        <v>0</v>
      </c>
      <c r="AI67" s="17" cm="1">
        <f t="array" ref="AI67">SUMPRODUCT(COUNTIF(Janvier[[#This Row],[1]:[31]],{"D","R1"}))</f>
        <v>0</v>
      </c>
      <c r="AJ67" s="17" cm="1">
        <f t="array" ref="AJ67">SUMPRODUCT(COUNTIF(Janvier[[#This Row],[1]:[31]],{"J2"}))</f>
        <v>0</v>
      </c>
    </row>
    <row r="68" spans="1:36" s="17" customFormat="1" ht="30" customHeight="1" x14ac:dyDescent="0.25">
      <c r="A68" s="28"/>
      <c r="B68" s="24"/>
      <c r="C68" s="24"/>
      <c r="D68" s="24"/>
      <c r="E68" s="24"/>
      <c r="F68" s="24"/>
      <c r="G68" s="24"/>
      <c r="H68" s="24"/>
      <c r="I68" s="24"/>
      <c r="J68" s="24"/>
      <c r="K68" s="24"/>
      <c r="L68" s="24"/>
      <c r="M68" s="24"/>
      <c r="N68" s="24"/>
      <c r="O68" s="24"/>
      <c r="P68" s="24"/>
      <c r="Q68" s="24"/>
      <c r="R68" s="24"/>
      <c r="S68" s="24"/>
      <c r="T68" s="24"/>
      <c r="U68" s="24"/>
      <c r="V68" s="24"/>
      <c r="W68" s="24"/>
      <c r="X68" s="24"/>
      <c r="Y68" s="24"/>
      <c r="Z68" s="24"/>
      <c r="AA68" s="24"/>
      <c r="AB68" s="24"/>
      <c r="AC68" s="24"/>
      <c r="AD68" s="24"/>
      <c r="AE68" s="24"/>
      <c r="AF68" s="24"/>
      <c r="AG68" s="26" cm="1">
        <f t="array" ref="AG68">SUMPRODUCT(COUNTIF(Janvier[[#This Row],[1]:[31]],{"J","D","R1","R2","J2"}))</f>
        <v>0</v>
      </c>
      <c r="AH68" s="17" cm="1">
        <f t="array" ref="AH68">SUMPRODUCT(COUNTIF(Janvier[[#This Row],[1]:[31]],{"J","R2"}))</f>
        <v>0</v>
      </c>
      <c r="AI68" s="17" cm="1">
        <f t="array" ref="AI68">SUMPRODUCT(COUNTIF(Janvier[[#This Row],[1]:[31]],{"D","R1"}))</f>
        <v>0</v>
      </c>
      <c r="AJ68" s="17" cm="1">
        <f t="array" ref="AJ68">SUMPRODUCT(COUNTIF(Janvier[[#This Row],[1]:[31]],{"J2"}))</f>
        <v>0</v>
      </c>
    </row>
    <row r="69" spans="1:36" s="17" customFormat="1" ht="30" customHeight="1" x14ac:dyDescent="0.25">
      <c r="A69" s="28"/>
      <c r="B69" s="24"/>
      <c r="C69" s="24"/>
      <c r="D69" s="24"/>
      <c r="E69" s="24"/>
      <c r="F69" s="24"/>
      <c r="G69" s="24"/>
      <c r="H69" s="24"/>
      <c r="I69" s="24"/>
      <c r="J69" s="24"/>
      <c r="K69" s="24"/>
      <c r="L69" s="24"/>
      <c r="M69" s="24"/>
      <c r="N69" s="24"/>
      <c r="O69" s="24"/>
      <c r="P69" s="24"/>
      <c r="Q69" s="24"/>
      <c r="R69" s="24"/>
      <c r="S69" s="24"/>
      <c r="T69" s="24"/>
      <c r="U69" s="24"/>
      <c r="V69" s="24"/>
      <c r="W69" s="24"/>
      <c r="X69" s="24"/>
      <c r="Y69" s="24"/>
      <c r="Z69" s="24"/>
      <c r="AA69" s="24"/>
      <c r="AB69" s="24"/>
      <c r="AC69" s="24"/>
      <c r="AD69" s="24"/>
      <c r="AE69" s="24"/>
      <c r="AF69" s="24"/>
      <c r="AG69" s="26" cm="1">
        <f t="array" ref="AG69">SUMPRODUCT(COUNTIF(Janvier[[#This Row],[1]:[31]],{"J","D","R1","R2","J2"}))</f>
        <v>0</v>
      </c>
      <c r="AH69" s="17" cm="1">
        <f t="array" ref="AH69">SUMPRODUCT(COUNTIF(Janvier[[#This Row],[1]:[31]],{"J","R2"}))</f>
        <v>0</v>
      </c>
      <c r="AI69" s="17" cm="1">
        <f t="array" ref="AI69">SUMPRODUCT(COUNTIF(Janvier[[#This Row],[1]:[31]],{"D","R1"}))</f>
        <v>0</v>
      </c>
      <c r="AJ69" s="17" cm="1">
        <f t="array" ref="AJ69">SUMPRODUCT(COUNTIF(Janvier[[#This Row],[1]:[31]],{"J2"}))</f>
        <v>0</v>
      </c>
    </row>
    <row r="70" spans="1:36" s="17" customFormat="1" ht="30" customHeight="1" x14ac:dyDescent="0.25">
      <c r="A70" s="28"/>
      <c r="B70" s="24"/>
      <c r="C70" s="24"/>
      <c r="D70" s="24"/>
      <c r="E70" s="24"/>
      <c r="F70" s="24"/>
      <c r="G70" s="24"/>
      <c r="H70" s="24"/>
      <c r="I70" s="24"/>
      <c r="J70" s="24"/>
      <c r="K70" s="24"/>
      <c r="L70" s="24"/>
      <c r="M70" s="24"/>
      <c r="N70" s="24"/>
      <c r="O70" s="24"/>
      <c r="P70" s="24"/>
      <c r="Q70" s="24"/>
      <c r="R70" s="24"/>
      <c r="S70" s="24"/>
      <c r="T70" s="24"/>
      <c r="U70" s="24"/>
      <c r="V70" s="24"/>
      <c r="W70" s="24"/>
      <c r="X70" s="24"/>
      <c r="Y70" s="24"/>
      <c r="Z70" s="24"/>
      <c r="AA70" s="24"/>
      <c r="AB70" s="24"/>
      <c r="AC70" s="24"/>
      <c r="AD70" s="24"/>
      <c r="AE70" s="24"/>
      <c r="AF70" s="24"/>
      <c r="AG70" s="26" cm="1">
        <f t="array" ref="AG70">SUMPRODUCT(COUNTIF(Janvier[[#This Row],[1]:[31]],{"J","D","R1","R2","J2"}))</f>
        <v>0</v>
      </c>
      <c r="AH70" s="17" cm="1">
        <f t="array" ref="AH70">SUMPRODUCT(COUNTIF(Janvier[[#This Row],[1]:[31]],{"J","R2"}))</f>
        <v>0</v>
      </c>
      <c r="AI70" s="17" cm="1">
        <f t="array" ref="AI70">SUMPRODUCT(COUNTIF(Janvier[[#This Row],[1]:[31]],{"D","R1"}))</f>
        <v>0</v>
      </c>
      <c r="AJ70" s="17" cm="1">
        <f t="array" ref="AJ70">SUMPRODUCT(COUNTIF(Janvier[[#This Row],[1]:[31]],{"J2"}))</f>
        <v>0</v>
      </c>
    </row>
    <row r="71" spans="1:36" s="17" customFormat="1" ht="30" customHeight="1" x14ac:dyDescent="0.25">
      <c r="A71" s="28"/>
      <c r="B71" s="24"/>
      <c r="C71" s="24"/>
      <c r="D71" s="24"/>
      <c r="E71" s="24"/>
      <c r="F71" s="24"/>
      <c r="G71" s="24"/>
      <c r="H71" s="24"/>
      <c r="I71" s="24"/>
      <c r="J71" s="24"/>
      <c r="K71" s="24"/>
      <c r="L71" s="24"/>
      <c r="M71" s="24"/>
      <c r="N71" s="24"/>
      <c r="O71" s="24"/>
      <c r="P71" s="24"/>
      <c r="Q71" s="24"/>
      <c r="R71" s="24"/>
      <c r="S71" s="24"/>
      <c r="T71" s="24"/>
      <c r="U71" s="24"/>
      <c r="V71" s="24"/>
      <c r="W71" s="24"/>
      <c r="X71" s="24"/>
      <c r="Y71" s="24"/>
      <c r="Z71" s="24"/>
      <c r="AA71" s="24"/>
      <c r="AB71" s="24"/>
      <c r="AC71" s="24"/>
      <c r="AD71" s="24"/>
      <c r="AE71" s="24"/>
      <c r="AF71" s="24"/>
      <c r="AG71" s="26" cm="1">
        <f t="array" ref="AG71">SUMPRODUCT(COUNTIF(Janvier[[#This Row],[1]:[31]],{"J","D","R1","R2","J2"}))</f>
        <v>0</v>
      </c>
      <c r="AH71" s="17" cm="1">
        <f t="array" ref="AH71">SUMPRODUCT(COUNTIF(Janvier[[#This Row],[1]:[31]],{"J","R2"}))</f>
        <v>0</v>
      </c>
      <c r="AI71" s="17" cm="1">
        <f t="array" ref="AI71">SUMPRODUCT(COUNTIF(Janvier[[#This Row],[1]:[31]],{"D","R1"}))</f>
        <v>0</v>
      </c>
      <c r="AJ71" s="17" cm="1">
        <f t="array" ref="AJ71">SUMPRODUCT(COUNTIF(Janvier[[#This Row],[1]:[31]],{"J2"}))</f>
        <v>0</v>
      </c>
    </row>
    <row r="72" spans="1:36" s="17" customFormat="1" ht="30" customHeight="1" x14ac:dyDescent="0.25">
      <c r="A72" s="28"/>
      <c r="B72" s="24"/>
      <c r="C72" s="24"/>
      <c r="D72" s="24"/>
      <c r="E72" s="24"/>
      <c r="F72" s="24"/>
      <c r="G72" s="24"/>
      <c r="H72" s="24"/>
      <c r="I72" s="24"/>
      <c r="J72" s="24"/>
      <c r="K72" s="24"/>
      <c r="L72" s="24"/>
      <c r="M72" s="24"/>
      <c r="N72" s="24"/>
      <c r="O72" s="24"/>
      <c r="P72" s="24"/>
      <c r="Q72" s="24"/>
      <c r="R72" s="24"/>
      <c r="S72" s="24"/>
      <c r="T72" s="24"/>
      <c r="U72" s="24"/>
      <c r="V72" s="24"/>
      <c r="W72" s="24"/>
      <c r="X72" s="24"/>
      <c r="Y72" s="24"/>
      <c r="Z72" s="24"/>
      <c r="AA72" s="24"/>
      <c r="AB72" s="24"/>
      <c r="AC72" s="24"/>
      <c r="AD72" s="24"/>
      <c r="AE72" s="24"/>
      <c r="AF72" s="24"/>
      <c r="AG72" s="26" cm="1">
        <f t="array" ref="AG72">SUMPRODUCT(COUNTIF(Janvier[[#This Row],[1]:[31]],{"J","D","R1","R2","J2"}))</f>
        <v>0</v>
      </c>
      <c r="AH72" s="17" cm="1">
        <f t="array" ref="AH72">SUMPRODUCT(COUNTIF(Janvier[[#This Row],[1]:[31]],{"J","R2"}))</f>
        <v>0</v>
      </c>
      <c r="AI72" s="17" cm="1">
        <f t="array" ref="AI72">SUMPRODUCT(COUNTIF(Janvier[[#This Row],[1]:[31]],{"D","R1"}))</f>
        <v>0</v>
      </c>
      <c r="AJ72" s="17" cm="1">
        <f t="array" ref="AJ72">SUMPRODUCT(COUNTIF(Janvier[[#This Row],[1]:[31]],{"J2"}))</f>
        <v>0</v>
      </c>
    </row>
    <row r="73" spans="1:36" s="17" customFormat="1" ht="30" customHeight="1" x14ac:dyDescent="0.25">
      <c r="A73" s="28"/>
      <c r="B73" s="24"/>
      <c r="C73" s="24"/>
      <c r="D73" s="24"/>
      <c r="E73" s="24"/>
      <c r="F73" s="24"/>
      <c r="G73" s="24"/>
      <c r="H73" s="24"/>
      <c r="I73" s="24"/>
      <c r="J73" s="24"/>
      <c r="K73" s="24"/>
      <c r="L73" s="24"/>
      <c r="M73" s="24"/>
      <c r="N73" s="24"/>
      <c r="O73" s="24"/>
      <c r="P73" s="24"/>
      <c r="Q73" s="24"/>
      <c r="R73" s="24"/>
      <c r="S73" s="24"/>
      <c r="T73" s="24"/>
      <c r="U73" s="24"/>
      <c r="V73" s="24"/>
      <c r="W73" s="24"/>
      <c r="X73" s="24"/>
      <c r="Y73" s="24"/>
      <c r="Z73" s="24"/>
      <c r="AA73" s="24"/>
      <c r="AB73" s="24"/>
      <c r="AC73" s="24"/>
      <c r="AD73" s="24"/>
      <c r="AE73" s="24"/>
      <c r="AF73" s="24"/>
      <c r="AG73" s="26" cm="1">
        <f t="array" ref="AG73">SUMPRODUCT(COUNTIF(Janvier[[#This Row],[1]:[31]],{"J","D","R1","R2","J2"}))</f>
        <v>0</v>
      </c>
      <c r="AH73" s="17" cm="1">
        <f t="array" ref="AH73">SUMPRODUCT(COUNTIF(Janvier[[#This Row],[1]:[31]],{"J","R2"}))</f>
        <v>0</v>
      </c>
      <c r="AI73" s="17" cm="1">
        <f t="array" ref="AI73">SUMPRODUCT(COUNTIF(Janvier[[#This Row],[1]:[31]],{"D","R1"}))</f>
        <v>0</v>
      </c>
      <c r="AJ73" s="17" cm="1">
        <f t="array" ref="AJ73">SUMPRODUCT(COUNTIF(Janvier[[#This Row],[1]:[31]],{"J2"}))</f>
        <v>0</v>
      </c>
    </row>
    <row r="74" spans="1:36" s="17" customFormat="1" ht="30" customHeight="1" x14ac:dyDescent="0.25">
      <c r="A74" s="28"/>
      <c r="B74" s="24"/>
      <c r="C74" s="24"/>
      <c r="D74" s="24"/>
      <c r="E74" s="24"/>
      <c r="F74" s="24"/>
      <c r="G74" s="24"/>
      <c r="H74" s="24"/>
      <c r="I74" s="24"/>
      <c r="J74" s="24"/>
      <c r="K74" s="24"/>
      <c r="L74" s="24"/>
      <c r="M74" s="24"/>
      <c r="N74" s="24"/>
      <c r="O74" s="24"/>
      <c r="P74" s="24"/>
      <c r="Q74" s="24"/>
      <c r="R74" s="24"/>
      <c r="S74" s="24"/>
      <c r="T74" s="24"/>
      <c r="U74" s="24"/>
      <c r="V74" s="24"/>
      <c r="W74" s="24"/>
      <c r="X74" s="24"/>
      <c r="Y74" s="24"/>
      <c r="Z74" s="24"/>
      <c r="AA74" s="24"/>
      <c r="AB74" s="24"/>
      <c r="AC74" s="24"/>
      <c r="AD74" s="24"/>
      <c r="AE74" s="24"/>
      <c r="AF74" s="24"/>
      <c r="AG74" s="26" cm="1">
        <f t="array" ref="AG74">SUMPRODUCT(COUNTIF(Janvier[[#This Row],[1]:[31]],{"J","D","R1","R2","J2"}))</f>
        <v>0</v>
      </c>
      <c r="AH74" s="17" cm="1">
        <f t="array" ref="AH74">SUMPRODUCT(COUNTIF(Janvier[[#This Row],[1]:[31]],{"J","R2"}))</f>
        <v>0</v>
      </c>
      <c r="AI74" s="17" cm="1">
        <f t="array" ref="AI74">SUMPRODUCT(COUNTIF(Janvier[[#This Row],[1]:[31]],{"D","R1"}))</f>
        <v>0</v>
      </c>
      <c r="AJ74" s="17" cm="1">
        <f t="array" ref="AJ74">SUMPRODUCT(COUNTIF(Janvier[[#This Row],[1]:[31]],{"J2"}))</f>
        <v>0</v>
      </c>
    </row>
    <row r="75" spans="1:36" s="17" customFormat="1" ht="30" customHeight="1" x14ac:dyDescent="0.25">
      <c r="A75" s="28"/>
      <c r="B75" s="24"/>
      <c r="C75" s="24"/>
      <c r="D75" s="24"/>
      <c r="E75" s="24"/>
      <c r="F75" s="24"/>
      <c r="G75" s="24"/>
      <c r="H75" s="24"/>
      <c r="I75" s="24"/>
      <c r="J75" s="24"/>
      <c r="K75" s="24"/>
      <c r="L75" s="24"/>
      <c r="M75" s="24"/>
      <c r="N75" s="24"/>
      <c r="O75" s="24"/>
      <c r="P75" s="24"/>
      <c r="Q75" s="24"/>
      <c r="R75" s="24"/>
      <c r="S75" s="24"/>
      <c r="T75" s="24"/>
      <c r="U75" s="24"/>
      <c r="V75" s="24"/>
      <c r="W75" s="24"/>
      <c r="X75" s="24"/>
      <c r="Y75" s="24"/>
      <c r="Z75" s="24"/>
      <c r="AA75" s="24"/>
      <c r="AB75" s="24"/>
      <c r="AC75" s="24"/>
      <c r="AD75" s="24"/>
      <c r="AE75" s="24"/>
      <c r="AF75" s="24"/>
      <c r="AG75" s="26" cm="1">
        <f t="array" ref="AG75">SUMPRODUCT(COUNTIF(Janvier[[#This Row],[1]:[31]],{"J","D","R1","R2","J2"}))</f>
        <v>0</v>
      </c>
      <c r="AH75" s="17" cm="1">
        <f t="array" ref="AH75">SUMPRODUCT(COUNTIF(Janvier[[#This Row],[1]:[31]],{"J","R2"}))</f>
        <v>0</v>
      </c>
      <c r="AI75" s="17" cm="1">
        <f t="array" ref="AI75">SUMPRODUCT(COUNTIF(Janvier[[#This Row],[1]:[31]],{"D","R1"}))</f>
        <v>0</v>
      </c>
      <c r="AJ75" s="17" cm="1">
        <f t="array" ref="AJ75">SUMPRODUCT(COUNTIF(Janvier[[#This Row],[1]:[31]],{"J2"}))</f>
        <v>0</v>
      </c>
    </row>
    <row r="76" spans="1:36" s="17" customFormat="1" ht="30" customHeight="1" x14ac:dyDescent="0.25">
      <c r="A76" s="28"/>
      <c r="B76" s="24"/>
      <c r="C76" s="24"/>
      <c r="D76" s="24"/>
      <c r="E76" s="24"/>
      <c r="F76" s="24"/>
      <c r="G76" s="24"/>
      <c r="H76" s="24"/>
      <c r="I76" s="24"/>
      <c r="J76" s="24"/>
      <c r="K76" s="24"/>
      <c r="L76" s="24"/>
      <c r="M76" s="24"/>
      <c r="N76" s="24"/>
      <c r="O76" s="24"/>
      <c r="P76" s="24"/>
      <c r="Q76" s="24"/>
      <c r="R76" s="24"/>
      <c r="S76" s="24"/>
      <c r="T76" s="24"/>
      <c r="U76" s="24"/>
      <c r="V76" s="24"/>
      <c r="W76" s="24"/>
      <c r="X76" s="24"/>
      <c r="Y76" s="24"/>
      <c r="Z76" s="24"/>
      <c r="AA76" s="24"/>
      <c r="AB76" s="24"/>
      <c r="AC76" s="24"/>
      <c r="AD76" s="24"/>
      <c r="AE76" s="24"/>
      <c r="AF76" s="24"/>
      <c r="AG76" s="26" cm="1">
        <f t="array" ref="AG76">SUMPRODUCT(COUNTIF(Janvier[[#This Row],[1]:[31]],{"J","D","R1","R2","J2"}))</f>
        <v>0</v>
      </c>
      <c r="AH76" s="17" cm="1">
        <f t="array" ref="AH76">SUMPRODUCT(COUNTIF(Janvier[[#This Row],[1]:[31]],{"J","R2"}))</f>
        <v>0</v>
      </c>
      <c r="AI76" s="17" cm="1">
        <f t="array" ref="AI76">SUMPRODUCT(COUNTIF(Janvier[[#This Row],[1]:[31]],{"D","R1"}))</f>
        <v>0</v>
      </c>
      <c r="AJ76" s="17" cm="1">
        <f t="array" ref="AJ76">SUMPRODUCT(COUNTIF(Janvier[[#This Row],[1]:[31]],{"J2"}))</f>
        <v>0</v>
      </c>
    </row>
    <row r="77" spans="1:36" s="17" customFormat="1" ht="30" customHeight="1" x14ac:dyDescent="0.25">
      <c r="A77" s="28"/>
      <c r="B77" s="24"/>
      <c r="C77" s="24"/>
      <c r="D77" s="24"/>
      <c r="E77" s="24"/>
      <c r="F77" s="24"/>
      <c r="G77" s="24"/>
      <c r="H77" s="24"/>
      <c r="I77" s="24"/>
      <c r="J77" s="24"/>
      <c r="K77" s="24"/>
      <c r="L77" s="24"/>
      <c r="M77" s="24"/>
      <c r="N77" s="24"/>
      <c r="O77" s="24"/>
      <c r="P77" s="24"/>
      <c r="Q77" s="24"/>
      <c r="R77" s="24"/>
      <c r="S77" s="24"/>
      <c r="T77" s="24"/>
      <c r="U77" s="24"/>
      <c r="V77" s="24"/>
      <c r="W77" s="24"/>
      <c r="X77" s="24"/>
      <c r="Y77" s="24"/>
      <c r="Z77" s="24"/>
      <c r="AA77" s="24"/>
      <c r="AB77" s="24"/>
      <c r="AC77" s="24"/>
      <c r="AD77" s="24"/>
      <c r="AE77" s="24"/>
      <c r="AF77" s="24"/>
      <c r="AG77" s="26" cm="1">
        <f t="array" ref="AG77">SUMPRODUCT(COUNTIF(Janvier[[#This Row],[1]:[31]],{"J","D","R1","R2","J2"}))</f>
        <v>0</v>
      </c>
      <c r="AH77" s="17" cm="1">
        <f t="array" ref="AH77">SUMPRODUCT(COUNTIF(Janvier[[#This Row],[1]:[31]],{"J","R2"}))</f>
        <v>0</v>
      </c>
      <c r="AI77" s="17" cm="1">
        <f t="array" ref="AI77">SUMPRODUCT(COUNTIF(Janvier[[#This Row],[1]:[31]],{"D","R1"}))</f>
        <v>0</v>
      </c>
      <c r="AJ77" s="17" cm="1">
        <f t="array" ref="AJ77">SUMPRODUCT(COUNTIF(Janvier[[#This Row],[1]:[31]],{"J2"}))</f>
        <v>0</v>
      </c>
    </row>
    <row r="78" spans="1:36" s="17" customFormat="1" ht="30" customHeight="1" x14ac:dyDescent="0.25">
      <c r="A78" s="28"/>
      <c r="B78" s="24"/>
      <c r="C78" s="24"/>
      <c r="D78" s="24"/>
      <c r="E78" s="24"/>
      <c r="F78" s="24"/>
      <c r="G78" s="24"/>
      <c r="H78" s="24"/>
      <c r="I78" s="24"/>
      <c r="J78" s="24"/>
      <c r="K78" s="24"/>
      <c r="L78" s="24"/>
      <c r="M78" s="24"/>
      <c r="N78" s="24"/>
      <c r="O78" s="24"/>
      <c r="P78" s="24"/>
      <c r="Q78" s="24"/>
      <c r="R78" s="24"/>
      <c r="S78" s="24"/>
      <c r="T78" s="24"/>
      <c r="U78" s="24"/>
      <c r="V78" s="24"/>
      <c r="W78" s="24"/>
      <c r="X78" s="24"/>
      <c r="Y78" s="24"/>
      <c r="Z78" s="24"/>
      <c r="AA78" s="24"/>
      <c r="AB78" s="24"/>
      <c r="AC78" s="24"/>
      <c r="AD78" s="24"/>
      <c r="AE78" s="24"/>
      <c r="AF78" s="24"/>
      <c r="AG78" s="26" cm="1">
        <f t="array" ref="AG78">SUMPRODUCT(COUNTIF(Janvier[[#This Row],[1]:[31]],{"J","D","R1","R2","J2"}))</f>
        <v>0</v>
      </c>
      <c r="AH78" s="17" cm="1">
        <f t="array" ref="AH78">SUMPRODUCT(COUNTIF(Janvier[[#This Row],[1]:[31]],{"J","R2"}))</f>
        <v>0</v>
      </c>
      <c r="AI78" s="17" cm="1">
        <f t="array" ref="AI78">SUMPRODUCT(COUNTIF(Janvier[[#This Row],[1]:[31]],{"D","R1"}))</f>
        <v>0</v>
      </c>
      <c r="AJ78" s="17" cm="1">
        <f t="array" ref="AJ78">SUMPRODUCT(COUNTIF(Janvier[[#This Row],[1]:[31]],{"J2"}))</f>
        <v>0</v>
      </c>
    </row>
    <row r="79" spans="1:36" s="17" customFormat="1" ht="30" customHeight="1" x14ac:dyDescent="0.25">
      <c r="A79" s="28"/>
      <c r="B79" s="24"/>
      <c r="C79" s="24"/>
      <c r="D79" s="24"/>
      <c r="E79" s="24"/>
      <c r="F79" s="24"/>
      <c r="G79" s="24"/>
      <c r="H79" s="24"/>
      <c r="I79" s="24"/>
      <c r="J79" s="24"/>
      <c r="K79" s="24"/>
      <c r="L79" s="24"/>
      <c r="M79" s="24"/>
      <c r="N79" s="24"/>
      <c r="O79" s="24"/>
      <c r="P79" s="24"/>
      <c r="Q79" s="24"/>
      <c r="R79" s="24"/>
      <c r="S79" s="24"/>
      <c r="T79" s="24"/>
      <c r="U79" s="24"/>
      <c r="V79" s="24"/>
      <c r="W79" s="24"/>
      <c r="X79" s="24"/>
      <c r="Y79" s="24"/>
      <c r="Z79" s="24"/>
      <c r="AA79" s="24"/>
      <c r="AB79" s="24"/>
      <c r="AC79" s="24"/>
      <c r="AD79" s="24"/>
      <c r="AE79" s="24"/>
      <c r="AF79" s="24"/>
      <c r="AG79" s="26" cm="1">
        <f t="array" ref="AG79">SUMPRODUCT(COUNTIF(Janvier[[#This Row],[1]:[31]],{"J","D","R1","R2","J2"}))</f>
        <v>0</v>
      </c>
      <c r="AH79" s="17" cm="1">
        <f t="array" ref="AH79">SUMPRODUCT(COUNTIF(Janvier[[#This Row],[1]:[31]],{"J","R2"}))</f>
        <v>0</v>
      </c>
      <c r="AI79" s="17" cm="1">
        <f t="array" ref="AI79">SUMPRODUCT(COUNTIF(Janvier[[#This Row],[1]:[31]],{"D","R1"}))</f>
        <v>0</v>
      </c>
      <c r="AJ79" s="17" cm="1">
        <f t="array" ref="AJ79">SUMPRODUCT(COUNTIF(Janvier[[#This Row],[1]:[31]],{"J2"}))</f>
        <v>0</v>
      </c>
    </row>
    <row r="80" spans="1:36" s="17" customFormat="1" ht="30" customHeight="1" x14ac:dyDescent="0.25">
      <c r="A80" s="28"/>
      <c r="B80" s="24"/>
      <c r="C80" s="24"/>
      <c r="D80" s="24"/>
      <c r="E80" s="24"/>
      <c r="F80" s="24"/>
      <c r="G80" s="24"/>
      <c r="H80" s="24"/>
      <c r="I80" s="24"/>
      <c r="J80" s="24"/>
      <c r="K80" s="24"/>
      <c r="L80" s="24"/>
      <c r="M80" s="24"/>
      <c r="N80" s="24"/>
      <c r="O80" s="24"/>
      <c r="P80" s="24"/>
      <c r="Q80" s="24"/>
      <c r="R80" s="24"/>
      <c r="S80" s="24"/>
      <c r="T80" s="24"/>
      <c r="U80" s="24"/>
      <c r="V80" s="24"/>
      <c r="W80" s="24"/>
      <c r="X80" s="24"/>
      <c r="Y80" s="24"/>
      <c r="Z80" s="24"/>
      <c r="AA80" s="24"/>
      <c r="AB80" s="24"/>
      <c r="AC80" s="24"/>
      <c r="AD80" s="24"/>
      <c r="AE80" s="24"/>
      <c r="AF80" s="24"/>
      <c r="AG80" s="26" cm="1">
        <f t="array" ref="AG80">SUMPRODUCT(COUNTIF(Janvier[[#This Row],[1]:[31]],{"J","D","R1","R2","J2"}))</f>
        <v>0</v>
      </c>
      <c r="AH80" s="17" cm="1">
        <f t="array" ref="AH80">SUMPRODUCT(COUNTIF(Janvier[[#This Row],[1]:[31]],{"J","R2"}))</f>
        <v>0</v>
      </c>
      <c r="AI80" s="17" cm="1">
        <f t="array" ref="AI80">SUMPRODUCT(COUNTIF(Janvier[[#This Row],[1]:[31]],{"D","R1"}))</f>
        <v>0</v>
      </c>
      <c r="AJ80" s="17" cm="1">
        <f t="array" ref="AJ80">SUMPRODUCT(COUNTIF(Janvier[[#This Row],[1]:[31]],{"J2"}))</f>
        <v>0</v>
      </c>
    </row>
    <row r="81" spans="1:36" s="17" customFormat="1" ht="30" customHeight="1" x14ac:dyDescent="0.25">
      <c r="A81" s="28"/>
      <c r="B81" s="24"/>
      <c r="C81" s="24"/>
      <c r="D81" s="24"/>
      <c r="E81" s="24"/>
      <c r="F81" s="24"/>
      <c r="G81" s="24"/>
      <c r="H81" s="24"/>
      <c r="I81" s="24"/>
      <c r="J81" s="24"/>
      <c r="K81" s="24"/>
      <c r="L81" s="24"/>
      <c r="M81" s="24"/>
      <c r="N81" s="24"/>
      <c r="O81" s="24"/>
      <c r="P81" s="24"/>
      <c r="Q81" s="24"/>
      <c r="R81" s="24"/>
      <c r="S81" s="24"/>
      <c r="T81" s="24"/>
      <c r="U81" s="24"/>
      <c r="V81" s="24"/>
      <c r="W81" s="24"/>
      <c r="X81" s="24"/>
      <c r="Y81" s="24"/>
      <c r="Z81" s="24"/>
      <c r="AA81" s="24"/>
      <c r="AB81" s="24"/>
      <c r="AC81" s="24"/>
      <c r="AD81" s="24"/>
      <c r="AE81" s="24"/>
      <c r="AF81" s="24"/>
      <c r="AG81" s="26" cm="1">
        <f t="array" ref="AG81">SUMPRODUCT(COUNTIF(Janvier[[#This Row],[1]:[31]],{"J","D","R1","R2","J2"}))</f>
        <v>0</v>
      </c>
      <c r="AH81" s="17" cm="1">
        <f t="array" ref="AH81">SUMPRODUCT(COUNTIF(Janvier[[#This Row],[1]:[31]],{"J","R2"}))</f>
        <v>0</v>
      </c>
      <c r="AI81" s="17" cm="1">
        <f t="array" ref="AI81">SUMPRODUCT(COUNTIF(Janvier[[#This Row],[1]:[31]],{"D","R1"}))</f>
        <v>0</v>
      </c>
      <c r="AJ81" s="17" cm="1">
        <f t="array" ref="AJ81">SUMPRODUCT(COUNTIF(Janvier[[#This Row],[1]:[31]],{"J2"}))</f>
        <v>0</v>
      </c>
    </row>
    <row r="82" spans="1:36" s="17" customFormat="1" ht="30" customHeight="1" x14ac:dyDescent="0.25">
      <c r="A82" s="28"/>
      <c r="B82" s="24"/>
      <c r="C82" s="24"/>
      <c r="D82" s="24"/>
      <c r="E82" s="24"/>
      <c r="F82" s="24"/>
      <c r="G82" s="24"/>
      <c r="H82" s="24"/>
      <c r="I82" s="24"/>
      <c r="J82" s="24"/>
      <c r="K82" s="24"/>
      <c r="L82" s="24"/>
      <c r="M82" s="24"/>
      <c r="N82" s="24"/>
      <c r="O82" s="24"/>
      <c r="P82" s="24"/>
      <c r="Q82" s="24"/>
      <c r="R82" s="24"/>
      <c r="S82" s="24"/>
      <c r="T82" s="24"/>
      <c r="U82" s="24"/>
      <c r="V82" s="24"/>
      <c r="W82" s="24"/>
      <c r="X82" s="24"/>
      <c r="Y82" s="24"/>
      <c r="Z82" s="24"/>
      <c r="AA82" s="24"/>
      <c r="AB82" s="24"/>
      <c r="AC82" s="24"/>
      <c r="AD82" s="24"/>
      <c r="AE82" s="24"/>
      <c r="AF82" s="24"/>
      <c r="AG82" s="26" cm="1">
        <f t="array" ref="AG82">SUMPRODUCT(COUNTIF(Janvier[[#This Row],[1]:[31]],{"J","D","R1","R2","J2"}))</f>
        <v>0</v>
      </c>
      <c r="AH82" s="17" cm="1">
        <f t="array" ref="AH82">SUMPRODUCT(COUNTIF(Janvier[[#This Row],[1]:[31]],{"J","R2"}))</f>
        <v>0</v>
      </c>
      <c r="AI82" s="17" cm="1">
        <f t="array" ref="AI82">SUMPRODUCT(COUNTIF(Janvier[[#This Row],[1]:[31]],{"D","R1"}))</f>
        <v>0</v>
      </c>
      <c r="AJ82" s="17" cm="1">
        <f t="array" ref="AJ82">SUMPRODUCT(COUNTIF(Janvier[[#This Row],[1]:[31]],{"J2"}))</f>
        <v>0</v>
      </c>
    </row>
    <row r="83" spans="1:36" s="17" customFormat="1" ht="30" customHeight="1" x14ac:dyDescent="0.25">
      <c r="A83" s="28"/>
      <c r="B83" s="24"/>
      <c r="C83" s="24"/>
      <c r="D83" s="24"/>
      <c r="E83" s="24"/>
      <c r="F83" s="24"/>
      <c r="G83" s="24"/>
      <c r="H83" s="24"/>
      <c r="I83" s="24"/>
      <c r="J83" s="24"/>
      <c r="K83" s="24"/>
      <c r="L83" s="24"/>
      <c r="M83" s="24"/>
      <c r="N83" s="24"/>
      <c r="O83" s="24"/>
      <c r="P83" s="24"/>
      <c r="Q83" s="24"/>
      <c r="R83" s="24"/>
      <c r="S83" s="24"/>
      <c r="T83" s="24"/>
      <c r="U83" s="24"/>
      <c r="V83" s="24"/>
      <c r="W83" s="24"/>
      <c r="X83" s="24"/>
      <c r="Y83" s="24"/>
      <c r="Z83" s="24"/>
      <c r="AA83" s="24"/>
      <c r="AB83" s="24"/>
      <c r="AC83" s="24"/>
      <c r="AD83" s="24"/>
      <c r="AE83" s="24"/>
      <c r="AF83" s="24"/>
      <c r="AG83" s="26" cm="1">
        <f t="array" ref="AG83">SUMPRODUCT(COUNTIF(Janvier[[#This Row],[1]:[31]],{"J","D","R1","R2","J2"}))</f>
        <v>0</v>
      </c>
      <c r="AH83" s="17" cm="1">
        <f t="array" ref="AH83">SUMPRODUCT(COUNTIF(Janvier[[#This Row],[1]:[31]],{"J","R2"}))</f>
        <v>0</v>
      </c>
      <c r="AI83" s="17" cm="1">
        <f t="array" ref="AI83">SUMPRODUCT(COUNTIF(Janvier[[#This Row],[1]:[31]],{"D","R1"}))</f>
        <v>0</v>
      </c>
      <c r="AJ83" s="17" cm="1">
        <f t="array" ref="AJ83">SUMPRODUCT(COUNTIF(Janvier[[#This Row],[1]:[31]],{"J2"}))</f>
        <v>0</v>
      </c>
    </row>
    <row r="84" spans="1:36" s="17" customFormat="1" ht="30" customHeight="1" x14ac:dyDescent="0.25">
      <c r="A84" s="28"/>
      <c r="B84" s="24"/>
      <c r="C84" s="24"/>
      <c r="D84" s="24"/>
      <c r="E84" s="24"/>
      <c r="F84" s="24"/>
      <c r="G84" s="24"/>
      <c r="H84" s="24"/>
      <c r="I84" s="24"/>
      <c r="J84" s="24"/>
      <c r="K84" s="24"/>
      <c r="L84" s="24"/>
      <c r="M84" s="24"/>
      <c r="N84" s="24"/>
      <c r="O84" s="24"/>
      <c r="P84" s="24"/>
      <c r="Q84" s="24"/>
      <c r="R84" s="24"/>
      <c r="S84" s="24"/>
      <c r="T84" s="24"/>
      <c r="U84" s="24"/>
      <c r="V84" s="24"/>
      <c r="W84" s="24"/>
      <c r="X84" s="24"/>
      <c r="Y84" s="24"/>
      <c r="Z84" s="24"/>
      <c r="AA84" s="24"/>
      <c r="AB84" s="24"/>
      <c r="AC84" s="24"/>
      <c r="AD84" s="24"/>
      <c r="AE84" s="24"/>
      <c r="AF84" s="24"/>
      <c r="AG84" s="26" cm="1">
        <f t="array" ref="AG84">SUMPRODUCT(COUNTIF(Janvier[[#This Row],[1]:[31]],{"J","D","R1","R2","J2"}))</f>
        <v>0</v>
      </c>
      <c r="AH84" s="17" cm="1">
        <f t="array" ref="AH84">SUMPRODUCT(COUNTIF(Janvier[[#This Row],[1]:[31]],{"J","R2"}))</f>
        <v>0</v>
      </c>
      <c r="AI84" s="17" cm="1">
        <f t="array" ref="AI84">SUMPRODUCT(COUNTIF(Janvier[[#This Row],[1]:[31]],{"D","R1"}))</f>
        <v>0</v>
      </c>
      <c r="AJ84" s="17" cm="1">
        <f t="array" ref="AJ84">SUMPRODUCT(COUNTIF(Janvier[[#This Row],[1]:[31]],{"J2"}))</f>
        <v>0</v>
      </c>
    </row>
    <row r="85" spans="1:36" s="17" customFormat="1" ht="30" customHeight="1" x14ac:dyDescent="0.25">
      <c r="A85" s="28"/>
      <c r="B85" s="24"/>
      <c r="C85" s="24"/>
      <c r="D85" s="24"/>
      <c r="E85" s="24"/>
      <c r="F85" s="24"/>
      <c r="G85" s="24"/>
      <c r="H85" s="24"/>
      <c r="I85" s="24"/>
      <c r="J85" s="24"/>
      <c r="K85" s="24"/>
      <c r="L85" s="24"/>
      <c r="M85" s="24"/>
      <c r="N85" s="24"/>
      <c r="O85" s="24"/>
      <c r="P85" s="24"/>
      <c r="Q85" s="24"/>
      <c r="R85" s="24"/>
      <c r="S85" s="24"/>
      <c r="T85" s="24"/>
      <c r="U85" s="24"/>
      <c r="V85" s="24"/>
      <c r="W85" s="24"/>
      <c r="X85" s="24"/>
      <c r="Y85" s="24"/>
      <c r="Z85" s="24"/>
      <c r="AA85" s="24"/>
      <c r="AB85" s="24"/>
      <c r="AC85" s="24"/>
      <c r="AD85" s="24"/>
      <c r="AE85" s="24"/>
      <c r="AF85" s="24"/>
      <c r="AG85" s="26" cm="1">
        <f t="array" ref="AG85">SUMPRODUCT(COUNTIF(Janvier[[#This Row],[1]:[31]],{"J","D","R1","R2","J2"}))</f>
        <v>0</v>
      </c>
      <c r="AH85" s="17" cm="1">
        <f t="array" ref="AH85">SUMPRODUCT(COUNTIF(Janvier[[#This Row],[1]:[31]],{"J","R2"}))</f>
        <v>0</v>
      </c>
      <c r="AI85" s="17" cm="1">
        <f t="array" ref="AI85">SUMPRODUCT(COUNTIF(Janvier[[#This Row],[1]:[31]],{"D","R1"}))</f>
        <v>0</v>
      </c>
      <c r="AJ85" s="17" cm="1">
        <f t="array" ref="AJ85">SUMPRODUCT(COUNTIF(Janvier[[#This Row],[1]:[31]],{"J2"}))</f>
        <v>0</v>
      </c>
    </row>
    <row r="86" spans="1:36" s="17" customFormat="1" ht="30" customHeight="1" x14ac:dyDescent="0.25">
      <c r="A86" s="28"/>
      <c r="B86" s="24"/>
      <c r="C86" s="24"/>
      <c r="D86" s="24"/>
      <c r="E86" s="24"/>
      <c r="F86" s="24"/>
      <c r="G86" s="24"/>
      <c r="H86" s="24"/>
      <c r="I86" s="24"/>
      <c r="J86" s="24"/>
      <c r="K86" s="24"/>
      <c r="L86" s="24"/>
      <c r="M86" s="24"/>
      <c r="N86" s="24"/>
      <c r="O86" s="24"/>
      <c r="P86" s="24"/>
      <c r="Q86" s="24"/>
      <c r="R86" s="24"/>
      <c r="S86" s="24"/>
      <c r="T86" s="24"/>
      <c r="U86" s="24"/>
      <c r="V86" s="24"/>
      <c r="W86" s="24"/>
      <c r="X86" s="24"/>
      <c r="Y86" s="24"/>
      <c r="Z86" s="24"/>
      <c r="AA86" s="24"/>
      <c r="AB86" s="24"/>
      <c r="AC86" s="24"/>
      <c r="AD86" s="24"/>
      <c r="AE86" s="24"/>
      <c r="AF86" s="24"/>
      <c r="AG86" s="26" cm="1">
        <f t="array" ref="AG86">SUMPRODUCT(COUNTIF(Janvier[[#This Row],[1]:[31]],{"J","D","R1","R2","J2"}))</f>
        <v>0</v>
      </c>
      <c r="AH86" s="17" cm="1">
        <f t="array" ref="AH86">SUMPRODUCT(COUNTIF(Janvier[[#This Row],[1]:[31]],{"J","R2"}))</f>
        <v>0</v>
      </c>
      <c r="AI86" s="17" cm="1">
        <f t="array" ref="AI86">SUMPRODUCT(COUNTIF(Janvier[[#This Row],[1]:[31]],{"D","R1"}))</f>
        <v>0</v>
      </c>
      <c r="AJ86" s="17" cm="1">
        <f t="array" ref="AJ86">SUMPRODUCT(COUNTIF(Janvier[[#This Row],[1]:[31]],{"J2"}))</f>
        <v>0</v>
      </c>
    </row>
    <row r="87" spans="1:36" s="17" customFormat="1" ht="30" customHeight="1" x14ac:dyDescent="0.25">
      <c r="A87" s="28"/>
      <c r="B87" s="24"/>
      <c r="C87" s="24"/>
      <c r="D87" s="24"/>
      <c r="E87" s="24"/>
      <c r="F87" s="24"/>
      <c r="G87" s="24"/>
      <c r="H87" s="24"/>
      <c r="I87" s="24"/>
      <c r="J87" s="24"/>
      <c r="K87" s="24"/>
      <c r="L87" s="24"/>
      <c r="M87" s="24"/>
      <c r="N87" s="24"/>
      <c r="O87" s="24"/>
      <c r="P87" s="24"/>
      <c r="Q87" s="24"/>
      <c r="R87" s="24"/>
      <c r="S87" s="24"/>
      <c r="T87" s="24"/>
      <c r="U87" s="24"/>
      <c r="V87" s="24"/>
      <c r="W87" s="24"/>
      <c r="X87" s="24"/>
      <c r="Y87" s="24"/>
      <c r="Z87" s="24"/>
      <c r="AA87" s="24"/>
      <c r="AB87" s="24"/>
      <c r="AC87" s="24"/>
      <c r="AD87" s="24"/>
      <c r="AE87" s="24"/>
      <c r="AF87" s="24"/>
      <c r="AG87" s="26" cm="1">
        <f t="array" ref="AG87">SUMPRODUCT(COUNTIF(Janvier[[#This Row],[1]:[31]],{"J","D","R1","R2","J2"}))</f>
        <v>0</v>
      </c>
      <c r="AH87" s="17" cm="1">
        <f t="array" ref="AH87">SUMPRODUCT(COUNTIF(Janvier[[#This Row],[1]:[31]],{"J","R2"}))</f>
        <v>0</v>
      </c>
      <c r="AI87" s="17" cm="1">
        <f t="array" ref="AI87">SUMPRODUCT(COUNTIF(Janvier[[#This Row],[1]:[31]],{"D","R1"}))</f>
        <v>0</v>
      </c>
      <c r="AJ87" s="17" cm="1">
        <f t="array" ref="AJ87">SUMPRODUCT(COUNTIF(Janvier[[#This Row],[1]:[31]],{"J2"}))</f>
        <v>0</v>
      </c>
    </row>
    <row r="88" spans="1:36" s="17" customFormat="1" ht="30" customHeight="1" x14ac:dyDescent="0.25">
      <c r="A88" s="28"/>
      <c r="B88" s="24"/>
      <c r="C88" s="24"/>
      <c r="D88" s="24"/>
      <c r="E88" s="24"/>
      <c r="F88" s="24"/>
      <c r="G88" s="24"/>
      <c r="H88" s="24"/>
      <c r="I88" s="24"/>
      <c r="J88" s="24"/>
      <c r="K88" s="24"/>
      <c r="L88" s="24"/>
      <c r="M88" s="24"/>
      <c r="N88" s="24"/>
      <c r="O88" s="24"/>
      <c r="P88" s="24"/>
      <c r="Q88" s="24"/>
      <c r="R88" s="24"/>
      <c r="S88" s="24"/>
      <c r="T88" s="24"/>
      <c r="U88" s="24"/>
      <c r="V88" s="24"/>
      <c r="W88" s="24"/>
      <c r="X88" s="24"/>
      <c r="Y88" s="24"/>
      <c r="Z88" s="24"/>
      <c r="AA88" s="24"/>
      <c r="AB88" s="24"/>
      <c r="AC88" s="24"/>
      <c r="AD88" s="24"/>
      <c r="AE88" s="24"/>
      <c r="AF88" s="24"/>
      <c r="AG88" s="26" cm="1">
        <f t="array" ref="AG88">SUMPRODUCT(COUNTIF(Janvier[[#This Row],[1]:[31]],{"J","D","R1","R2","J2"}))</f>
        <v>0</v>
      </c>
      <c r="AH88" s="17" cm="1">
        <f t="array" ref="AH88">SUMPRODUCT(COUNTIF(Janvier[[#This Row],[1]:[31]],{"J","R2"}))</f>
        <v>0</v>
      </c>
      <c r="AI88" s="17" cm="1">
        <f t="array" ref="AI88">SUMPRODUCT(COUNTIF(Janvier[[#This Row],[1]:[31]],{"D","R1"}))</f>
        <v>0</v>
      </c>
      <c r="AJ88" s="17" cm="1">
        <f t="array" ref="AJ88">SUMPRODUCT(COUNTIF(Janvier[[#This Row],[1]:[31]],{"J2"}))</f>
        <v>0</v>
      </c>
    </row>
    <row r="89" spans="1:36" s="17" customFormat="1" ht="30" customHeight="1" x14ac:dyDescent="0.25">
      <c r="A89" s="28"/>
      <c r="B89" s="24"/>
      <c r="C89" s="24"/>
      <c r="D89" s="24"/>
      <c r="E89" s="24"/>
      <c r="F89" s="24"/>
      <c r="G89" s="24"/>
      <c r="H89" s="24"/>
      <c r="I89" s="24"/>
      <c r="J89" s="24"/>
      <c r="K89" s="24"/>
      <c r="L89" s="24"/>
      <c r="M89" s="24"/>
      <c r="N89" s="24"/>
      <c r="O89" s="24"/>
      <c r="P89" s="24"/>
      <c r="Q89" s="24"/>
      <c r="R89" s="24"/>
      <c r="S89" s="24"/>
      <c r="T89" s="24"/>
      <c r="U89" s="24"/>
      <c r="V89" s="24"/>
      <c r="W89" s="24"/>
      <c r="X89" s="24"/>
      <c r="Y89" s="24"/>
      <c r="Z89" s="24"/>
      <c r="AA89" s="24"/>
      <c r="AB89" s="24"/>
      <c r="AC89" s="24"/>
      <c r="AD89" s="24"/>
      <c r="AE89" s="24"/>
      <c r="AF89" s="24"/>
      <c r="AG89" s="26" cm="1">
        <f t="array" ref="AG89">SUMPRODUCT(COUNTIF(Janvier[[#This Row],[1]:[31]],{"J","D","R1","R2","J2"}))</f>
        <v>0</v>
      </c>
      <c r="AH89" s="17" cm="1">
        <f t="array" ref="AH89">SUMPRODUCT(COUNTIF(Janvier[[#This Row],[1]:[31]],{"J","R2"}))</f>
        <v>0</v>
      </c>
      <c r="AI89" s="17" cm="1">
        <f t="array" ref="AI89">SUMPRODUCT(COUNTIF(Janvier[[#This Row],[1]:[31]],{"D","R1"}))</f>
        <v>0</v>
      </c>
      <c r="AJ89" s="17" cm="1">
        <f t="array" ref="AJ89">SUMPRODUCT(COUNTIF(Janvier[[#This Row],[1]:[31]],{"J2"}))</f>
        <v>0</v>
      </c>
    </row>
    <row r="90" spans="1:36" s="17" customFormat="1" ht="30" customHeight="1" x14ac:dyDescent="0.25">
      <c r="A90" s="28"/>
      <c r="B90" s="24"/>
      <c r="C90" s="24"/>
      <c r="D90" s="24"/>
      <c r="E90" s="24"/>
      <c r="F90" s="24"/>
      <c r="G90" s="24"/>
      <c r="H90" s="24"/>
      <c r="I90" s="24"/>
      <c r="J90" s="24"/>
      <c r="K90" s="24"/>
      <c r="L90" s="24"/>
      <c r="M90" s="24"/>
      <c r="N90" s="24"/>
      <c r="O90" s="24"/>
      <c r="P90" s="24"/>
      <c r="Q90" s="24"/>
      <c r="R90" s="24"/>
      <c r="S90" s="24"/>
      <c r="T90" s="24"/>
      <c r="U90" s="24"/>
      <c r="V90" s="24"/>
      <c r="W90" s="24"/>
      <c r="X90" s="24"/>
      <c r="Y90" s="24"/>
      <c r="Z90" s="24"/>
      <c r="AA90" s="24"/>
      <c r="AB90" s="24"/>
      <c r="AC90" s="24"/>
      <c r="AD90" s="24"/>
      <c r="AE90" s="24"/>
      <c r="AF90" s="24"/>
      <c r="AG90" s="26" cm="1">
        <f t="array" ref="AG90">SUMPRODUCT(COUNTIF(Janvier[[#This Row],[1]:[31]],{"J","D","R1","R2","J2"}))</f>
        <v>0</v>
      </c>
      <c r="AH90" s="17" cm="1">
        <f t="array" ref="AH90">SUMPRODUCT(COUNTIF(Janvier[[#This Row],[1]:[31]],{"J","R2"}))</f>
        <v>0</v>
      </c>
      <c r="AI90" s="17" cm="1">
        <f t="array" ref="AI90">SUMPRODUCT(COUNTIF(Janvier[[#This Row],[1]:[31]],{"D","R1"}))</f>
        <v>0</v>
      </c>
      <c r="AJ90" s="17" cm="1">
        <f t="array" ref="AJ90">SUMPRODUCT(COUNTIF(Janvier[[#This Row],[1]:[31]],{"J2"}))</f>
        <v>0</v>
      </c>
    </row>
    <row r="91" spans="1:36" s="17" customFormat="1" ht="30" customHeight="1" x14ac:dyDescent="0.25">
      <c r="A91" s="28"/>
      <c r="B91" s="24"/>
      <c r="C91" s="24"/>
      <c r="D91" s="24"/>
      <c r="E91" s="24"/>
      <c r="F91" s="24"/>
      <c r="G91" s="24"/>
      <c r="H91" s="24"/>
      <c r="I91" s="24"/>
      <c r="J91" s="24"/>
      <c r="K91" s="24"/>
      <c r="L91" s="24"/>
      <c r="M91" s="24"/>
      <c r="N91" s="24"/>
      <c r="O91" s="24"/>
      <c r="P91" s="24"/>
      <c r="Q91" s="24"/>
      <c r="R91" s="24"/>
      <c r="S91" s="24"/>
      <c r="T91" s="24"/>
      <c r="U91" s="24"/>
      <c r="V91" s="24"/>
      <c r="W91" s="24"/>
      <c r="X91" s="24"/>
      <c r="Y91" s="24"/>
      <c r="Z91" s="24"/>
      <c r="AA91" s="24"/>
      <c r="AB91" s="24"/>
      <c r="AC91" s="24"/>
      <c r="AD91" s="24"/>
      <c r="AE91" s="24"/>
      <c r="AF91" s="24"/>
      <c r="AG91" s="26" cm="1">
        <f t="array" ref="AG91">SUMPRODUCT(COUNTIF(Janvier[[#This Row],[1]:[31]],{"J","D","R1","R2","J2"}))</f>
        <v>0</v>
      </c>
      <c r="AH91" s="17" cm="1">
        <f t="array" ref="AH91">SUMPRODUCT(COUNTIF(Janvier[[#This Row],[1]:[31]],{"J","R2"}))</f>
        <v>0</v>
      </c>
      <c r="AI91" s="17" cm="1">
        <f t="array" ref="AI91">SUMPRODUCT(COUNTIF(Janvier[[#This Row],[1]:[31]],{"D","R1"}))</f>
        <v>0</v>
      </c>
      <c r="AJ91" s="17" cm="1">
        <f t="array" ref="AJ91">SUMPRODUCT(COUNTIF(Janvier[[#This Row],[1]:[31]],{"J2"}))</f>
        <v>0</v>
      </c>
    </row>
    <row r="92" spans="1:36" s="17" customFormat="1" ht="30" customHeight="1" x14ac:dyDescent="0.25">
      <c r="A92" s="28"/>
      <c r="B92" s="24"/>
      <c r="C92" s="24"/>
      <c r="D92" s="24"/>
      <c r="E92" s="24"/>
      <c r="F92" s="24"/>
      <c r="G92" s="24"/>
      <c r="H92" s="24"/>
      <c r="I92" s="24"/>
      <c r="J92" s="24"/>
      <c r="K92" s="24"/>
      <c r="L92" s="24"/>
      <c r="M92" s="24"/>
      <c r="N92" s="24"/>
      <c r="O92" s="24"/>
      <c r="P92" s="24"/>
      <c r="Q92" s="24"/>
      <c r="R92" s="24"/>
      <c r="S92" s="24"/>
      <c r="T92" s="24"/>
      <c r="U92" s="24"/>
      <c r="V92" s="24"/>
      <c r="W92" s="24"/>
      <c r="X92" s="24"/>
      <c r="Y92" s="24"/>
      <c r="Z92" s="24"/>
      <c r="AA92" s="24"/>
      <c r="AB92" s="24"/>
      <c r="AC92" s="24"/>
      <c r="AD92" s="24"/>
      <c r="AE92" s="24"/>
      <c r="AF92" s="24"/>
      <c r="AG92" s="26" cm="1">
        <f t="array" ref="AG92">SUMPRODUCT(COUNTIF(Janvier[[#This Row],[1]:[31]],{"J","D","R1","R2","J2"}))</f>
        <v>0</v>
      </c>
      <c r="AH92" s="17" cm="1">
        <f t="array" ref="AH92">SUMPRODUCT(COUNTIF(Janvier[[#This Row],[1]:[31]],{"J","R2"}))</f>
        <v>0</v>
      </c>
      <c r="AI92" s="17" cm="1">
        <f t="array" ref="AI92">SUMPRODUCT(COUNTIF(Janvier[[#This Row],[1]:[31]],{"D","R1"}))</f>
        <v>0</v>
      </c>
      <c r="AJ92" s="17" cm="1">
        <f t="array" ref="AJ92">SUMPRODUCT(COUNTIF(Janvier[[#This Row],[1]:[31]],{"J2"}))</f>
        <v>0</v>
      </c>
    </row>
    <row r="93" spans="1:36" s="17" customFormat="1" ht="30" customHeight="1" x14ac:dyDescent="0.25">
      <c r="A93" s="28"/>
      <c r="B93" s="24"/>
      <c r="C93" s="24"/>
      <c r="D93" s="24"/>
      <c r="E93" s="24"/>
      <c r="F93" s="24"/>
      <c r="G93" s="24"/>
      <c r="H93" s="24"/>
      <c r="I93" s="24"/>
      <c r="J93" s="24"/>
      <c r="K93" s="24"/>
      <c r="L93" s="24"/>
      <c r="M93" s="24"/>
      <c r="N93" s="24"/>
      <c r="O93" s="24"/>
      <c r="P93" s="24"/>
      <c r="Q93" s="24"/>
      <c r="R93" s="24"/>
      <c r="S93" s="24"/>
      <c r="T93" s="24"/>
      <c r="U93" s="24"/>
      <c r="V93" s="24"/>
      <c r="W93" s="24"/>
      <c r="X93" s="24"/>
      <c r="Y93" s="24"/>
      <c r="Z93" s="24"/>
      <c r="AA93" s="24"/>
      <c r="AB93" s="24"/>
      <c r="AC93" s="24"/>
      <c r="AD93" s="24"/>
      <c r="AE93" s="24"/>
      <c r="AF93" s="24"/>
      <c r="AG93" s="26" cm="1">
        <f t="array" ref="AG93">SUMPRODUCT(COUNTIF(Janvier[[#This Row],[1]:[31]],{"J","D","R1","R2","J2"}))</f>
        <v>0</v>
      </c>
      <c r="AH93" s="17" cm="1">
        <f t="array" ref="AH93">SUMPRODUCT(COUNTIF(Janvier[[#This Row],[1]:[31]],{"J","R2"}))</f>
        <v>0</v>
      </c>
      <c r="AI93" s="17" cm="1">
        <f t="array" ref="AI93">SUMPRODUCT(COUNTIF(Janvier[[#This Row],[1]:[31]],{"D","R1"}))</f>
        <v>0</v>
      </c>
      <c r="AJ93" s="17" cm="1">
        <f t="array" ref="AJ93">SUMPRODUCT(COUNTIF(Janvier[[#This Row],[1]:[31]],{"J2"}))</f>
        <v>0</v>
      </c>
    </row>
    <row r="94" spans="1:36" s="17" customFormat="1" ht="30" customHeight="1" x14ac:dyDescent="0.25">
      <c r="A94" s="28"/>
      <c r="B94" s="24"/>
      <c r="C94" s="24"/>
      <c r="D94" s="24"/>
      <c r="E94" s="24"/>
      <c r="F94" s="24"/>
      <c r="G94" s="24"/>
      <c r="H94" s="24"/>
      <c r="I94" s="24"/>
      <c r="J94" s="24"/>
      <c r="K94" s="24"/>
      <c r="L94" s="24"/>
      <c r="M94" s="24"/>
      <c r="N94" s="24"/>
      <c r="O94" s="24"/>
      <c r="P94" s="24"/>
      <c r="Q94" s="24"/>
      <c r="R94" s="24"/>
      <c r="S94" s="24"/>
      <c r="T94" s="24"/>
      <c r="U94" s="24"/>
      <c r="V94" s="24"/>
      <c r="W94" s="24"/>
      <c r="X94" s="24"/>
      <c r="Y94" s="24"/>
      <c r="Z94" s="24"/>
      <c r="AA94" s="24"/>
      <c r="AB94" s="24"/>
      <c r="AC94" s="24"/>
      <c r="AD94" s="24"/>
      <c r="AE94" s="24"/>
      <c r="AF94" s="24"/>
      <c r="AG94" s="26" cm="1">
        <f t="array" ref="AG94">SUMPRODUCT(COUNTIF(Janvier[[#This Row],[1]:[31]],{"J","D","R1","R2","J2"}))</f>
        <v>0</v>
      </c>
      <c r="AH94" s="17" cm="1">
        <f t="array" ref="AH94">SUMPRODUCT(COUNTIF(Janvier[[#This Row],[1]:[31]],{"J","R2"}))</f>
        <v>0</v>
      </c>
      <c r="AI94" s="17" cm="1">
        <f t="array" ref="AI94">SUMPRODUCT(COUNTIF(Janvier[[#This Row],[1]:[31]],{"D","R1"}))</f>
        <v>0</v>
      </c>
      <c r="AJ94" s="17" cm="1">
        <f t="array" ref="AJ94">SUMPRODUCT(COUNTIF(Janvier[[#This Row],[1]:[31]],{"J2"}))</f>
        <v>0</v>
      </c>
    </row>
    <row r="95" spans="1:36" s="17" customFormat="1" ht="30" customHeight="1" x14ac:dyDescent="0.25">
      <c r="A95" s="28"/>
      <c r="B95" s="24"/>
      <c r="C95" s="24"/>
      <c r="D95" s="24"/>
      <c r="E95" s="24"/>
      <c r="F95" s="24"/>
      <c r="G95" s="24"/>
      <c r="H95" s="24"/>
      <c r="I95" s="24"/>
      <c r="J95" s="24"/>
      <c r="K95" s="24"/>
      <c r="L95" s="24"/>
      <c r="M95" s="24"/>
      <c r="N95" s="24"/>
      <c r="O95" s="24"/>
      <c r="P95" s="24"/>
      <c r="Q95" s="24"/>
      <c r="R95" s="24"/>
      <c r="S95" s="24"/>
      <c r="T95" s="24"/>
      <c r="U95" s="24"/>
      <c r="V95" s="24"/>
      <c r="W95" s="24"/>
      <c r="X95" s="24"/>
      <c r="Y95" s="24"/>
      <c r="Z95" s="24"/>
      <c r="AA95" s="24"/>
      <c r="AB95" s="24"/>
      <c r="AC95" s="24"/>
      <c r="AD95" s="24"/>
      <c r="AE95" s="24"/>
      <c r="AF95" s="24"/>
      <c r="AG95" s="26" cm="1">
        <f t="array" ref="AG95">SUMPRODUCT(COUNTIF(Janvier[[#This Row],[1]:[31]],{"J","D","R1","R2","J2"}))</f>
        <v>0</v>
      </c>
      <c r="AH95" s="17" cm="1">
        <f t="array" ref="AH95">SUMPRODUCT(COUNTIF(Janvier[[#This Row],[1]:[31]],{"J","R2"}))</f>
        <v>0</v>
      </c>
      <c r="AI95" s="17" cm="1">
        <f t="array" ref="AI95">SUMPRODUCT(COUNTIF(Janvier[[#This Row],[1]:[31]],{"D","R1"}))</f>
        <v>0</v>
      </c>
      <c r="AJ95" s="17" cm="1">
        <f t="array" ref="AJ95">SUMPRODUCT(COUNTIF(Janvier[[#This Row],[1]:[31]],{"J2"}))</f>
        <v>0</v>
      </c>
    </row>
    <row r="96" spans="1:36" s="17" customFormat="1" ht="30" customHeight="1" x14ac:dyDescent="0.25">
      <c r="A96" s="28"/>
      <c r="B96" s="24"/>
      <c r="C96" s="24"/>
      <c r="D96" s="24"/>
      <c r="E96" s="24"/>
      <c r="F96" s="24"/>
      <c r="G96" s="24"/>
      <c r="H96" s="24"/>
      <c r="I96" s="24"/>
      <c r="J96" s="24"/>
      <c r="K96" s="24"/>
      <c r="L96" s="24"/>
      <c r="M96" s="24"/>
      <c r="N96" s="24"/>
      <c r="O96" s="24"/>
      <c r="P96" s="24"/>
      <c r="Q96" s="24"/>
      <c r="R96" s="24"/>
      <c r="S96" s="24"/>
      <c r="T96" s="24"/>
      <c r="U96" s="24"/>
      <c r="V96" s="24"/>
      <c r="W96" s="24"/>
      <c r="X96" s="24"/>
      <c r="Y96" s="24"/>
      <c r="Z96" s="24"/>
      <c r="AA96" s="24"/>
      <c r="AB96" s="24"/>
      <c r="AC96" s="24"/>
      <c r="AD96" s="24"/>
      <c r="AE96" s="24"/>
      <c r="AF96" s="24"/>
      <c r="AG96" s="26" cm="1">
        <f t="array" ref="AG96">SUMPRODUCT(COUNTIF(Janvier[[#This Row],[1]:[31]],{"J","D","R1","R2","J2"}))</f>
        <v>0</v>
      </c>
      <c r="AH96" s="17" cm="1">
        <f t="array" ref="AH96">SUMPRODUCT(COUNTIF(Janvier[[#This Row],[1]:[31]],{"J","R2"}))</f>
        <v>0</v>
      </c>
      <c r="AI96" s="17" cm="1">
        <f t="array" ref="AI96">SUMPRODUCT(COUNTIF(Janvier[[#This Row],[1]:[31]],{"D","R1"}))</f>
        <v>0</v>
      </c>
      <c r="AJ96" s="17" cm="1">
        <f t="array" ref="AJ96">SUMPRODUCT(COUNTIF(Janvier[[#This Row],[1]:[31]],{"J2"}))</f>
        <v>0</v>
      </c>
    </row>
    <row r="97" spans="1:36" s="17" customFormat="1" ht="30" customHeight="1" x14ac:dyDescent="0.25">
      <c r="A97" s="28"/>
      <c r="B97" s="24"/>
      <c r="C97" s="24"/>
      <c r="D97" s="24"/>
      <c r="E97" s="24"/>
      <c r="F97" s="24"/>
      <c r="G97" s="24"/>
      <c r="H97" s="24"/>
      <c r="I97" s="24"/>
      <c r="J97" s="24"/>
      <c r="K97" s="24"/>
      <c r="L97" s="24"/>
      <c r="M97" s="24"/>
      <c r="N97" s="24"/>
      <c r="O97" s="24"/>
      <c r="P97" s="24"/>
      <c r="Q97" s="24"/>
      <c r="R97" s="24"/>
      <c r="S97" s="24"/>
      <c r="T97" s="24"/>
      <c r="U97" s="24"/>
      <c r="V97" s="24"/>
      <c r="W97" s="24"/>
      <c r="X97" s="24"/>
      <c r="Y97" s="24"/>
      <c r="Z97" s="24"/>
      <c r="AA97" s="24"/>
      <c r="AB97" s="24"/>
      <c r="AC97" s="24"/>
      <c r="AD97" s="24"/>
      <c r="AE97" s="24"/>
      <c r="AF97" s="24"/>
      <c r="AG97" s="26" cm="1">
        <f t="array" ref="AG97">SUMPRODUCT(COUNTIF(Janvier[[#This Row],[1]:[31]],{"J","D","R1","R2","J2"}))</f>
        <v>0</v>
      </c>
      <c r="AH97" s="17" cm="1">
        <f t="array" ref="AH97">SUMPRODUCT(COUNTIF(Janvier[[#This Row],[1]:[31]],{"J","R2"}))</f>
        <v>0</v>
      </c>
      <c r="AI97" s="17" cm="1">
        <f t="array" ref="AI97">SUMPRODUCT(COUNTIF(Janvier[[#This Row],[1]:[31]],{"D","R1"}))</f>
        <v>0</v>
      </c>
      <c r="AJ97" s="17" cm="1">
        <f t="array" ref="AJ97">SUMPRODUCT(COUNTIF(Janvier[[#This Row],[1]:[31]],{"J2"}))</f>
        <v>0</v>
      </c>
    </row>
    <row r="98" spans="1:36" s="17" customFormat="1" ht="30" customHeight="1" x14ac:dyDescent="0.25">
      <c r="A98" s="28"/>
      <c r="B98" s="24"/>
      <c r="C98" s="24"/>
      <c r="D98" s="24"/>
      <c r="E98" s="24"/>
      <c r="F98" s="24"/>
      <c r="G98" s="24"/>
      <c r="H98" s="24"/>
      <c r="I98" s="24"/>
      <c r="J98" s="24"/>
      <c r="K98" s="24"/>
      <c r="L98" s="24"/>
      <c r="M98" s="24"/>
      <c r="N98" s="24"/>
      <c r="O98" s="24"/>
      <c r="P98" s="24"/>
      <c r="Q98" s="24"/>
      <c r="R98" s="24"/>
      <c r="S98" s="24"/>
      <c r="T98" s="24"/>
      <c r="U98" s="24"/>
      <c r="V98" s="24"/>
      <c r="W98" s="24"/>
      <c r="X98" s="24"/>
      <c r="Y98" s="24"/>
      <c r="Z98" s="24"/>
      <c r="AA98" s="24"/>
      <c r="AB98" s="24"/>
      <c r="AC98" s="24"/>
      <c r="AD98" s="24"/>
      <c r="AE98" s="24"/>
      <c r="AF98" s="24"/>
      <c r="AG98" s="26" cm="1">
        <f t="array" ref="AG98">SUMPRODUCT(COUNTIF(Janvier[[#This Row],[1]:[31]],{"J","D","R1","R2","J2"}))</f>
        <v>0</v>
      </c>
      <c r="AH98" s="17" cm="1">
        <f t="array" ref="AH98">SUMPRODUCT(COUNTIF(Janvier[[#This Row],[1]:[31]],{"J","R2"}))</f>
        <v>0</v>
      </c>
      <c r="AI98" s="17" cm="1">
        <f t="array" ref="AI98">SUMPRODUCT(COUNTIF(Janvier[[#This Row],[1]:[31]],{"D","R1"}))</f>
        <v>0</v>
      </c>
      <c r="AJ98" s="17" cm="1">
        <f t="array" ref="AJ98">SUMPRODUCT(COUNTIF(Janvier[[#This Row],[1]:[31]],{"J2"}))</f>
        <v>0</v>
      </c>
    </row>
    <row r="99" spans="1:36" s="17" customFormat="1" ht="30" customHeight="1" x14ac:dyDescent="0.25">
      <c r="A99" s="28"/>
      <c r="B99" s="24"/>
      <c r="C99" s="24"/>
      <c r="D99" s="24"/>
      <c r="E99" s="24"/>
      <c r="F99" s="24"/>
      <c r="G99" s="24"/>
      <c r="H99" s="24"/>
      <c r="I99" s="24"/>
      <c r="J99" s="24"/>
      <c r="K99" s="24"/>
      <c r="L99" s="24"/>
      <c r="M99" s="24"/>
      <c r="N99" s="24"/>
      <c r="O99" s="24"/>
      <c r="P99" s="24"/>
      <c r="Q99" s="24"/>
      <c r="R99" s="24"/>
      <c r="S99" s="24"/>
      <c r="T99" s="24"/>
      <c r="U99" s="24"/>
      <c r="V99" s="24"/>
      <c r="W99" s="24"/>
      <c r="X99" s="24"/>
      <c r="Y99" s="24"/>
      <c r="Z99" s="24"/>
      <c r="AA99" s="24"/>
      <c r="AB99" s="24"/>
      <c r="AC99" s="24"/>
      <c r="AD99" s="24"/>
      <c r="AE99" s="24"/>
      <c r="AF99" s="24"/>
      <c r="AG99" s="26" cm="1">
        <f t="array" ref="AG99">SUMPRODUCT(COUNTIF(Janvier[[#This Row],[1]:[31]],{"J","D","R1","R2","J2"}))</f>
        <v>0</v>
      </c>
      <c r="AH99" s="17" cm="1">
        <f t="array" ref="AH99">SUMPRODUCT(COUNTIF(Janvier[[#This Row],[1]:[31]],{"J","R2"}))</f>
        <v>0</v>
      </c>
      <c r="AI99" s="17" cm="1">
        <f t="array" ref="AI99">SUMPRODUCT(COUNTIF(Janvier[[#This Row],[1]:[31]],{"D","R1"}))</f>
        <v>0</v>
      </c>
      <c r="AJ99" s="17" cm="1">
        <f t="array" ref="AJ99">SUMPRODUCT(COUNTIF(Janvier[[#This Row],[1]:[31]],{"J2"}))</f>
        <v>0</v>
      </c>
    </row>
    <row r="100" spans="1:36" s="17" customFormat="1" ht="30" customHeight="1" x14ac:dyDescent="0.25">
      <c r="A100" s="28"/>
      <c r="B100" s="24"/>
      <c r="C100" s="24"/>
      <c r="D100" s="24"/>
      <c r="E100" s="24"/>
      <c r="F100" s="24"/>
      <c r="G100" s="24"/>
      <c r="H100" s="24"/>
      <c r="I100" s="24"/>
      <c r="J100" s="24"/>
      <c r="K100" s="24"/>
      <c r="L100" s="24"/>
      <c r="M100" s="24"/>
      <c r="N100" s="24"/>
      <c r="O100" s="24"/>
      <c r="P100" s="24"/>
      <c r="Q100" s="24"/>
      <c r="R100" s="24"/>
      <c r="S100" s="24"/>
      <c r="T100" s="24"/>
      <c r="U100" s="24"/>
      <c r="V100" s="24"/>
      <c r="W100" s="24"/>
      <c r="X100" s="24"/>
      <c r="Y100" s="24"/>
      <c r="Z100" s="24"/>
      <c r="AA100" s="24"/>
      <c r="AB100" s="24"/>
      <c r="AC100" s="24"/>
      <c r="AD100" s="24"/>
      <c r="AE100" s="24"/>
      <c r="AF100" s="24"/>
      <c r="AG100" s="26" cm="1">
        <f t="array" ref="AG100">SUMPRODUCT(COUNTIF(Janvier[[#This Row],[1]:[31]],{"J","D","R1","R2","J2"}))</f>
        <v>0</v>
      </c>
      <c r="AH100" s="17" cm="1">
        <f t="array" ref="AH100">SUMPRODUCT(COUNTIF(Janvier[[#This Row],[1]:[31]],{"J","R2"}))</f>
        <v>0</v>
      </c>
      <c r="AI100" s="17" cm="1">
        <f t="array" ref="AI100">SUMPRODUCT(COUNTIF(Janvier[[#This Row],[1]:[31]],{"D","R1"}))</f>
        <v>0</v>
      </c>
      <c r="AJ100" s="17" cm="1">
        <f t="array" ref="AJ100">SUMPRODUCT(COUNTIF(Janvier[[#This Row],[1]:[31]],{"J2"}))</f>
        <v>0</v>
      </c>
    </row>
    <row r="101" spans="1:36" s="17" customFormat="1" ht="30" customHeight="1" x14ac:dyDescent="0.25">
      <c r="A101" s="28"/>
      <c r="B101" s="24"/>
      <c r="C101" s="24"/>
      <c r="D101" s="24"/>
      <c r="E101" s="24"/>
      <c r="F101" s="24"/>
      <c r="G101" s="24"/>
      <c r="H101" s="24"/>
      <c r="I101" s="24"/>
      <c r="J101" s="24"/>
      <c r="K101" s="24"/>
      <c r="L101" s="24"/>
      <c r="M101" s="24"/>
      <c r="N101" s="24"/>
      <c r="O101" s="24"/>
      <c r="P101" s="24"/>
      <c r="Q101" s="24"/>
      <c r="R101" s="24"/>
      <c r="S101" s="24"/>
      <c r="T101" s="24"/>
      <c r="U101" s="24"/>
      <c r="V101" s="24"/>
      <c r="W101" s="24"/>
      <c r="X101" s="24"/>
      <c r="Y101" s="24"/>
      <c r="Z101" s="24"/>
      <c r="AA101" s="24"/>
      <c r="AB101" s="24"/>
      <c r="AC101" s="24"/>
      <c r="AD101" s="24"/>
      <c r="AE101" s="24"/>
      <c r="AF101" s="24"/>
      <c r="AG101" s="26" cm="1">
        <f t="array" ref="AG101">SUMPRODUCT(COUNTIF(Janvier[[#This Row],[1]:[31]],{"J","D","R1","R2","J2"}))</f>
        <v>0</v>
      </c>
      <c r="AH101" s="17" cm="1">
        <f t="array" ref="AH101">SUMPRODUCT(COUNTIF(Janvier[[#This Row],[1]:[31]],{"J","R2"}))</f>
        <v>0</v>
      </c>
      <c r="AI101" s="17" cm="1">
        <f t="array" ref="AI101">SUMPRODUCT(COUNTIF(Janvier[[#This Row],[1]:[31]],{"D","R1"}))</f>
        <v>0</v>
      </c>
      <c r="AJ101" s="17" cm="1">
        <f t="array" ref="AJ101">SUMPRODUCT(COUNTIF(Janvier[[#This Row],[1]:[31]],{"J2"}))</f>
        <v>0</v>
      </c>
    </row>
    <row r="102" spans="1:36" s="17" customFormat="1" ht="30" customHeight="1" x14ac:dyDescent="0.25">
      <c r="A102" s="24"/>
    </row>
    <row r="103" spans="1:36" s="17" customFormat="1" ht="30" customHeight="1" x14ac:dyDescent="0.25">
      <c r="A103" s="24"/>
    </row>
    <row r="104" spans="1:36" s="17" customFormat="1" ht="30" customHeight="1" x14ac:dyDescent="0.25">
      <c r="A104" s="24"/>
    </row>
    <row r="105" spans="1:36" s="17" customFormat="1" ht="30" customHeight="1" x14ac:dyDescent="0.25">
      <c r="A105" s="24"/>
    </row>
    <row r="106" spans="1:36" s="17" customFormat="1" ht="30" customHeight="1" x14ac:dyDescent="0.25">
      <c r="A106" s="24"/>
    </row>
    <row r="107" spans="1:36" s="17" customFormat="1" ht="30" customHeight="1" x14ac:dyDescent="0.25">
      <c r="A107" s="24"/>
    </row>
    <row r="108" spans="1:36" s="17" customFormat="1" ht="30" customHeight="1" x14ac:dyDescent="0.25">
      <c r="A108" s="24"/>
    </row>
    <row r="109" spans="1:36" s="17" customFormat="1" ht="30" customHeight="1" x14ac:dyDescent="0.25">
      <c r="A109" s="24"/>
    </row>
    <row r="110" spans="1:36" s="17" customFormat="1" ht="30" customHeight="1" x14ac:dyDescent="0.25">
      <c r="A110" s="24"/>
    </row>
    <row r="111" spans="1:36" s="17" customFormat="1" ht="30" customHeight="1" x14ac:dyDescent="0.25">
      <c r="A111" s="24"/>
    </row>
    <row r="112" spans="1:36" s="17" customFormat="1" ht="30" customHeight="1" x14ac:dyDescent="0.25">
      <c r="A112" s="24"/>
    </row>
    <row r="113" spans="1:1" s="17" customFormat="1" ht="30" customHeight="1" x14ac:dyDescent="0.25">
      <c r="A113" s="24"/>
    </row>
    <row r="114" spans="1:1" s="17" customFormat="1" ht="30" customHeight="1" x14ac:dyDescent="0.25">
      <c r="A114" s="24"/>
    </row>
    <row r="115" spans="1:1" s="17" customFormat="1" ht="30" customHeight="1" x14ac:dyDescent="0.25">
      <c r="A115" s="24"/>
    </row>
    <row r="116" spans="1:1" s="17" customFormat="1" ht="30" customHeight="1" x14ac:dyDescent="0.25">
      <c r="A116" s="24"/>
    </row>
    <row r="117" spans="1:1" s="17" customFormat="1" ht="30" customHeight="1" x14ac:dyDescent="0.25">
      <c r="A117" s="24"/>
    </row>
    <row r="118" spans="1:1" s="17" customFormat="1" ht="30" customHeight="1" x14ac:dyDescent="0.25">
      <c r="A118" s="24"/>
    </row>
    <row r="119" spans="1:1" s="17" customFormat="1" ht="30" customHeight="1" x14ac:dyDescent="0.25">
      <c r="A119" s="24"/>
    </row>
    <row r="120" spans="1:1" s="17" customFormat="1" ht="30" customHeight="1" x14ac:dyDescent="0.25">
      <c r="A120" s="24"/>
    </row>
    <row r="121" spans="1:1" s="17" customFormat="1" ht="30" customHeight="1" x14ac:dyDescent="0.25">
      <c r="A121" s="24"/>
    </row>
    <row r="122" spans="1:1" s="17" customFormat="1" ht="30" customHeight="1" x14ac:dyDescent="0.25">
      <c r="A122" s="24"/>
    </row>
    <row r="123" spans="1:1" s="17" customFormat="1" ht="30" customHeight="1" x14ac:dyDescent="0.25">
      <c r="A123" s="24"/>
    </row>
    <row r="124" spans="1:1" s="17" customFormat="1" ht="30" customHeight="1" x14ac:dyDescent="0.25">
      <c r="A124" s="24"/>
    </row>
    <row r="125" spans="1:1" s="17" customFormat="1" ht="30" customHeight="1" x14ac:dyDescent="0.25">
      <c r="A125" s="24"/>
    </row>
    <row r="126" spans="1:1" s="17" customFormat="1" ht="30" customHeight="1" x14ac:dyDescent="0.25">
      <c r="A126" s="24"/>
    </row>
    <row r="127" spans="1:1" s="17" customFormat="1" ht="30" customHeight="1" x14ac:dyDescent="0.25">
      <c r="A127" s="24"/>
    </row>
    <row r="128" spans="1:1" s="17" customFormat="1" ht="30" customHeight="1" x14ac:dyDescent="0.25">
      <c r="A128" s="24"/>
    </row>
    <row r="129" spans="1:1" s="17" customFormat="1" ht="30" customHeight="1" x14ac:dyDescent="0.25">
      <c r="A129" s="24"/>
    </row>
    <row r="130" spans="1:1" s="17" customFormat="1" ht="30" customHeight="1" x14ac:dyDescent="0.25">
      <c r="A130" s="24"/>
    </row>
    <row r="131" spans="1:1" s="17" customFormat="1" ht="30" customHeight="1" x14ac:dyDescent="0.25">
      <c r="A131" s="24"/>
    </row>
    <row r="132" spans="1:1" s="17" customFormat="1" ht="30" customHeight="1" x14ac:dyDescent="0.25">
      <c r="A132" s="24"/>
    </row>
    <row r="133" spans="1:1" s="17" customFormat="1" ht="30" customHeight="1" x14ac:dyDescent="0.25">
      <c r="A133" s="24"/>
    </row>
    <row r="134" spans="1:1" s="17" customFormat="1" ht="30" customHeight="1" x14ac:dyDescent="0.25">
      <c r="A134" s="24"/>
    </row>
    <row r="135" spans="1:1" s="17" customFormat="1" ht="30" customHeight="1" x14ac:dyDescent="0.25">
      <c r="A135" s="24"/>
    </row>
    <row r="136" spans="1:1" s="17" customFormat="1" ht="30" customHeight="1" x14ac:dyDescent="0.25">
      <c r="A136" s="24"/>
    </row>
    <row r="137" spans="1:1" s="17" customFormat="1" ht="30" customHeight="1" x14ac:dyDescent="0.25">
      <c r="A137" s="24"/>
    </row>
    <row r="138" spans="1:1" s="17" customFormat="1" ht="30" customHeight="1" x14ac:dyDescent="0.25">
      <c r="A138" s="24"/>
    </row>
    <row r="139" spans="1:1" s="17" customFormat="1" ht="30" customHeight="1" x14ac:dyDescent="0.25">
      <c r="A139" s="24"/>
    </row>
    <row r="140" spans="1:1" s="17" customFormat="1" ht="30" customHeight="1" x14ac:dyDescent="0.25">
      <c r="A140" s="24"/>
    </row>
    <row r="141" spans="1:1" s="17" customFormat="1" ht="30" customHeight="1" x14ac:dyDescent="0.25">
      <c r="A141" s="24"/>
    </row>
    <row r="142" spans="1:1" s="17" customFormat="1" ht="30" customHeight="1" x14ac:dyDescent="0.25">
      <c r="A142" s="24"/>
    </row>
    <row r="143" spans="1:1" s="17" customFormat="1" ht="30" customHeight="1" x14ac:dyDescent="0.25">
      <c r="A143" s="24"/>
    </row>
    <row r="144" spans="1:1" s="17" customFormat="1" ht="30" customHeight="1" x14ac:dyDescent="0.25">
      <c r="A144" s="24"/>
    </row>
    <row r="145" spans="1:1" s="17" customFormat="1" ht="30" customHeight="1" x14ac:dyDescent="0.25">
      <c r="A145" s="24"/>
    </row>
    <row r="146" spans="1:1" s="17" customFormat="1" ht="30" customHeight="1" x14ac:dyDescent="0.25">
      <c r="A146" s="24"/>
    </row>
    <row r="147" spans="1:1" s="17" customFormat="1" ht="30" customHeight="1" x14ac:dyDescent="0.25">
      <c r="A147" s="24"/>
    </row>
    <row r="148" spans="1:1" s="17" customFormat="1" ht="30" customHeight="1" x14ac:dyDescent="0.25">
      <c r="A148" s="24"/>
    </row>
    <row r="149" spans="1:1" s="17" customFormat="1" ht="30" customHeight="1" x14ac:dyDescent="0.25">
      <c r="A149" s="24"/>
    </row>
    <row r="150" spans="1:1" s="17" customFormat="1" ht="30" customHeight="1" x14ac:dyDescent="0.25">
      <c r="A150" s="24"/>
    </row>
    <row r="151" spans="1:1" s="17" customFormat="1" ht="30" customHeight="1" x14ac:dyDescent="0.25">
      <c r="A151" s="24"/>
    </row>
    <row r="152" spans="1:1" s="17" customFormat="1" ht="30" customHeight="1" x14ac:dyDescent="0.25">
      <c r="A152" s="24"/>
    </row>
    <row r="153" spans="1:1" s="17" customFormat="1" ht="30" customHeight="1" x14ac:dyDescent="0.25">
      <c r="A153" s="24"/>
    </row>
    <row r="154" spans="1:1" s="17" customFormat="1" ht="30" customHeight="1" x14ac:dyDescent="0.25">
      <c r="A154" s="24"/>
    </row>
    <row r="155" spans="1:1" s="17" customFormat="1" ht="30" customHeight="1" x14ac:dyDescent="0.25">
      <c r="A155" s="24"/>
    </row>
    <row r="156" spans="1:1" s="17" customFormat="1" ht="30" customHeight="1" x14ac:dyDescent="0.25">
      <c r="A156" s="24"/>
    </row>
    <row r="157" spans="1:1" s="17" customFormat="1" ht="30" customHeight="1" x14ac:dyDescent="0.25">
      <c r="A157" s="24"/>
    </row>
    <row r="158" spans="1:1" s="17" customFormat="1" ht="30" customHeight="1" x14ac:dyDescent="0.25">
      <c r="A158" s="24"/>
    </row>
    <row r="159" spans="1:1" s="17" customFormat="1" ht="30" customHeight="1" x14ac:dyDescent="0.25">
      <c r="A159" s="24"/>
    </row>
    <row r="160" spans="1:1" s="17" customFormat="1" ht="30" customHeight="1" x14ac:dyDescent="0.25">
      <c r="A160" s="24"/>
    </row>
    <row r="161" spans="1:1" s="17" customFormat="1" ht="30" customHeight="1" x14ac:dyDescent="0.25">
      <c r="A161" s="24"/>
    </row>
    <row r="162" spans="1:1" s="17" customFormat="1" ht="30" customHeight="1" x14ac:dyDescent="0.25">
      <c r="A162" s="24"/>
    </row>
    <row r="163" spans="1:1" s="17" customFormat="1" ht="30" customHeight="1" x14ac:dyDescent="0.25">
      <c r="A163" s="24"/>
    </row>
    <row r="164" spans="1:1" s="17" customFormat="1" ht="30" customHeight="1" x14ac:dyDescent="0.25">
      <c r="A164" s="24"/>
    </row>
    <row r="165" spans="1:1" s="17" customFormat="1" ht="30" customHeight="1" x14ac:dyDescent="0.25">
      <c r="A165" s="24"/>
    </row>
    <row r="166" spans="1:1" s="17" customFormat="1" ht="30" customHeight="1" x14ac:dyDescent="0.25">
      <c r="A166" s="24"/>
    </row>
    <row r="167" spans="1:1" s="17" customFormat="1" ht="30" customHeight="1" x14ac:dyDescent="0.25">
      <c r="A167" s="24"/>
    </row>
    <row r="168" spans="1:1" s="17" customFormat="1" ht="30" customHeight="1" x14ac:dyDescent="0.25">
      <c r="A168" s="24"/>
    </row>
    <row r="169" spans="1:1" s="17" customFormat="1" ht="30" customHeight="1" x14ac:dyDescent="0.25">
      <c r="A169" s="24"/>
    </row>
    <row r="170" spans="1:1" s="17" customFormat="1" ht="30" customHeight="1" x14ac:dyDescent="0.25">
      <c r="A170" s="24"/>
    </row>
    <row r="171" spans="1:1" s="17" customFormat="1" ht="30" customHeight="1" x14ac:dyDescent="0.25">
      <c r="A171" s="24"/>
    </row>
    <row r="172" spans="1:1" s="17" customFormat="1" ht="30" customHeight="1" x14ac:dyDescent="0.25">
      <c r="A172" s="24"/>
    </row>
    <row r="173" spans="1:1" s="17" customFormat="1" ht="30" customHeight="1" x14ac:dyDescent="0.25">
      <c r="A173" s="24"/>
    </row>
    <row r="174" spans="1:1" s="17" customFormat="1" ht="30" customHeight="1" x14ac:dyDescent="0.25">
      <c r="A174" s="24"/>
    </row>
    <row r="175" spans="1:1" s="17" customFormat="1" ht="30" customHeight="1" x14ac:dyDescent="0.25">
      <c r="A175" s="24"/>
    </row>
    <row r="176" spans="1:1" s="17" customFormat="1" ht="30" customHeight="1" x14ac:dyDescent="0.25">
      <c r="A176" s="24"/>
    </row>
    <row r="177" spans="1:1" s="17" customFormat="1" ht="30" customHeight="1" x14ac:dyDescent="0.25">
      <c r="A177" s="24"/>
    </row>
    <row r="178" spans="1:1" s="17" customFormat="1" ht="30" customHeight="1" x14ac:dyDescent="0.25">
      <c r="A178" s="24"/>
    </row>
    <row r="179" spans="1:1" s="17" customFormat="1" ht="30" customHeight="1" x14ac:dyDescent="0.25">
      <c r="A179" s="24"/>
    </row>
    <row r="180" spans="1:1" s="17" customFormat="1" ht="30" customHeight="1" x14ac:dyDescent="0.25">
      <c r="A180" s="24"/>
    </row>
    <row r="181" spans="1:1" s="17" customFormat="1" ht="30" customHeight="1" x14ac:dyDescent="0.25">
      <c r="A181" s="24"/>
    </row>
    <row r="182" spans="1:1" s="17" customFormat="1" ht="30" customHeight="1" x14ac:dyDescent="0.25">
      <c r="A182" s="24"/>
    </row>
    <row r="183" spans="1:1" s="17" customFormat="1" ht="30" customHeight="1" x14ac:dyDescent="0.25">
      <c r="A183" s="24"/>
    </row>
    <row r="184" spans="1:1" s="17" customFormat="1" ht="30" customHeight="1" x14ac:dyDescent="0.25">
      <c r="A184" s="24"/>
    </row>
    <row r="185" spans="1:1" s="17" customFormat="1" ht="30" customHeight="1" x14ac:dyDescent="0.25">
      <c r="A185" s="24"/>
    </row>
    <row r="186" spans="1:1" s="17" customFormat="1" ht="30" customHeight="1" x14ac:dyDescent="0.25">
      <c r="A186" s="24"/>
    </row>
    <row r="187" spans="1:1" s="17" customFormat="1" ht="30" customHeight="1" x14ac:dyDescent="0.25">
      <c r="A187" s="24"/>
    </row>
    <row r="188" spans="1:1" s="17" customFormat="1" ht="30" customHeight="1" x14ac:dyDescent="0.25">
      <c r="A188" s="24"/>
    </row>
    <row r="189" spans="1:1" s="17" customFormat="1" ht="30" customHeight="1" x14ac:dyDescent="0.25">
      <c r="A189" s="24"/>
    </row>
    <row r="190" spans="1:1" s="17" customFormat="1" ht="30" customHeight="1" x14ac:dyDescent="0.25">
      <c r="A190" s="24"/>
    </row>
    <row r="191" spans="1:1" s="17" customFormat="1" ht="30" customHeight="1" x14ac:dyDescent="0.25">
      <c r="A191" s="24"/>
    </row>
    <row r="192" spans="1:1" s="17" customFormat="1" ht="30" customHeight="1" x14ac:dyDescent="0.25">
      <c r="A192" s="24"/>
    </row>
    <row r="193" spans="1:1" s="17" customFormat="1" ht="30" customHeight="1" x14ac:dyDescent="0.25">
      <c r="A193" s="24"/>
    </row>
    <row r="194" spans="1:1" s="17" customFormat="1" ht="30" customHeight="1" x14ac:dyDescent="0.25">
      <c r="A194" s="24"/>
    </row>
    <row r="195" spans="1:1" s="17" customFormat="1" ht="30" customHeight="1" x14ac:dyDescent="0.25">
      <c r="A195" s="24"/>
    </row>
    <row r="196" spans="1:1" s="17" customFormat="1" ht="30" customHeight="1" x14ac:dyDescent="0.25">
      <c r="A196" s="24"/>
    </row>
    <row r="197" spans="1:1" s="17" customFormat="1" ht="30" customHeight="1" x14ac:dyDescent="0.25">
      <c r="A197" s="24"/>
    </row>
    <row r="198" spans="1:1" s="17" customFormat="1" ht="30" customHeight="1" x14ac:dyDescent="0.25">
      <c r="A198" s="24"/>
    </row>
    <row r="199" spans="1:1" s="17" customFormat="1" ht="30" customHeight="1" x14ac:dyDescent="0.25">
      <c r="A199" s="24"/>
    </row>
    <row r="200" spans="1:1" s="17" customFormat="1" ht="30" customHeight="1" x14ac:dyDescent="0.25">
      <c r="A200" s="24"/>
    </row>
    <row r="201" spans="1:1" s="17" customFormat="1" ht="30" customHeight="1" x14ac:dyDescent="0.25">
      <c r="A201" s="24"/>
    </row>
    <row r="202" spans="1:1" s="17" customFormat="1" ht="30" customHeight="1" x14ac:dyDescent="0.25">
      <c r="A202" s="24"/>
    </row>
    <row r="203" spans="1:1" s="17" customFormat="1" ht="30" customHeight="1" x14ac:dyDescent="0.25">
      <c r="A203" s="24"/>
    </row>
    <row r="204" spans="1:1" s="17" customFormat="1" ht="30" customHeight="1" x14ac:dyDescent="0.25">
      <c r="A204" s="24"/>
    </row>
    <row r="205" spans="1:1" s="17" customFormat="1" ht="30" customHeight="1" x14ac:dyDescent="0.25">
      <c r="A205" s="24"/>
    </row>
    <row r="206" spans="1:1" s="17" customFormat="1" ht="30" customHeight="1" x14ac:dyDescent="0.25">
      <c r="A206" s="24"/>
    </row>
    <row r="207" spans="1:1" s="17" customFormat="1" ht="30" customHeight="1" x14ac:dyDescent="0.25">
      <c r="A207" s="24"/>
    </row>
    <row r="208" spans="1:1" s="17" customFormat="1" ht="30" customHeight="1" x14ac:dyDescent="0.25">
      <c r="A208" s="24"/>
    </row>
    <row r="209" spans="1:1" s="17" customFormat="1" ht="30" customHeight="1" x14ac:dyDescent="0.25">
      <c r="A209" s="24"/>
    </row>
    <row r="210" spans="1:1" s="17" customFormat="1" ht="30" customHeight="1" x14ac:dyDescent="0.25">
      <c r="A210" s="24"/>
    </row>
    <row r="211" spans="1:1" s="17" customFormat="1" ht="30" customHeight="1" x14ac:dyDescent="0.25">
      <c r="A211" s="24"/>
    </row>
    <row r="212" spans="1:1" s="17" customFormat="1" ht="30" customHeight="1" x14ac:dyDescent="0.25">
      <c r="A212" s="24"/>
    </row>
    <row r="213" spans="1:1" s="17" customFormat="1" ht="30" customHeight="1" x14ac:dyDescent="0.25">
      <c r="A213" s="24"/>
    </row>
    <row r="214" spans="1:1" s="17" customFormat="1" ht="30" customHeight="1" x14ac:dyDescent="0.25">
      <c r="A214" s="24"/>
    </row>
    <row r="215" spans="1:1" s="17" customFormat="1" ht="30" customHeight="1" x14ac:dyDescent="0.25">
      <c r="A215" s="24"/>
    </row>
    <row r="216" spans="1:1" s="17" customFormat="1" ht="30" customHeight="1" x14ac:dyDescent="0.25">
      <c r="A216" s="24"/>
    </row>
    <row r="217" spans="1:1" s="17" customFormat="1" ht="30" customHeight="1" x14ac:dyDescent="0.25">
      <c r="A217" s="24"/>
    </row>
    <row r="218" spans="1:1" s="17" customFormat="1" ht="30" customHeight="1" x14ac:dyDescent="0.25">
      <c r="A218" s="24"/>
    </row>
    <row r="219" spans="1:1" s="17" customFormat="1" ht="30" customHeight="1" x14ac:dyDescent="0.25">
      <c r="A219" s="24"/>
    </row>
    <row r="220" spans="1:1" s="17" customFormat="1" ht="30" customHeight="1" x14ac:dyDescent="0.25">
      <c r="A220" s="24"/>
    </row>
    <row r="221" spans="1:1" s="17" customFormat="1" ht="30" customHeight="1" x14ac:dyDescent="0.25">
      <c r="A221" s="24"/>
    </row>
    <row r="222" spans="1:1" s="17" customFormat="1" ht="30" customHeight="1" x14ac:dyDescent="0.25">
      <c r="A222" s="24"/>
    </row>
    <row r="223" spans="1:1" s="17" customFormat="1" ht="30" customHeight="1" x14ac:dyDescent="0.25">
      <c r="A223" s="24"/>
    </row>
    <row r="224" spans="1:1" s="17" customFormat="1" ht="30" customHeight="1" x14ac:dyDescent="0.25">
      <c r="A224" s="24"/>
    </row>
    <row r="225" spans="1:1" s="17" customFormat="1" ht="30" customHeight="1" x14ac:dyDescent="0.25">
      <c r="A225" s="24"/>
    </row>
    <row r="226" spans="1:1" s="17" customFormat="1" ht="30" customHeight="1" x14ac:dyDescent="0.25">
      <c r="A226" s="24"/>
    </row>
    <row r="227" spans="1:1" s="17" customFormat="1" ht="30" customHeight="1" x14ac:dyDescent="0.25">
      <c r="A227" s="24"/>
    </row>
    <row r="228" spans="1:1" s="17" customFormat="1" ht="30" customHeight="1" x14ac:dyDescent="0.25">
      <c r="A228" s="24"/>
    </row>
    <row r="229" spans="1:1" s="17" customFormat="1" ht="30" customHeight="1" x14ac:dyDescent="0.25">
      <c r="A229" s="24"/>
    </row>
    <row r="230" spans="1:1" s="17" customFormat="1" ht="30" customHeight="1" x14ac:dyDescent="0.25">
      <c r="A230" s="24"/>
    </row>
    <row r="231" spans="1:1" s="17" customFormat="1" ht="30" customHeight="1" x14ac:dyDescent="0.25">
      <c r="A231" s="24"/>
    </row>
    <row r="232" spans="1:1" s="17" customFormat="1" ht="30" customHeight="1" x14ac:dyDescent="0.25">
      <c r="A232" s="24"/>
    </row>
    <row r="233" spans="1:1" s="17" customFormat="1" ht="30" customHeight="1" x14ac:dyDescent="0.25">
      <c r="A233" s="24"/>
    </row>
    <row r="234" spans="1:1" s="17" customFormat="1" ht="30" customHeight="1" x14ac:dyDescent="0.25">
      <c r="A234" s="24"/>
    </row>
    <row r="235" spans="1:1" s="17" customFormat="1" ht="30" customHeight="1" x14ac:dyDescent="0.25">
      <c r="A235" s="24"/>
    </row>
    <row r="236" spans="1:1" s="17" customFormat="1" ht="30" customHeight="1" x14ac:dyDescent="0.25">
      <c r="A236" s="24"/>
    </row>
    <row r="237" spans="1:1" s="17" customFormat="1" ht="30" customHeight="1" x14ac:dyDescent="0.25">
      <c r="A237" s="24"/>
    </row>
    <row r="238" spans="1:1" s="17" customFormat="1" ht="30" customHeight="1" x14ac:dyDescent="0.25">
      <c r="A238" s="24"/>
    </row>
    <row r="239" spans="1:1" s="17" customFormat="1" ht="30" customHeight="1" x14ac:dyDescent="0.25">
      <c r="A239" s="24"/>
    </row>
    <row r="240" spans="1:1" s="17" customFormat="1" ht="30" customHeight="1" x14ac:dyDescent="0.25">
      <c r="A240" s="24"/>
    </row>
    <row r="241" spans="1:1" s="17" customFormat="1" ht="30" customHeight="1" x14ac:dyDescent="0.25">
      <c r="A241" s="24"/>
    </row>
    <row r="242" spans="1:1" s="17" customFormat="1" ht="30" customHeight="1" x14ac:dyDescent="0.25">
      <c r="A242" s="24"/>
    </row>
    <row r="243" spans="1:1" s="17" customFormat="1" ht="30" customHeight="1" x14ac:dyDescent="0.25">
      <c r="A243" s="24"/>
    </row>
    <row r="244" spans="1:1" s="17" customFormat="1" ht="30" customHeight="1" x14ac:dyDescent="0.25">
      <c r="A244" s="24"/>
    </row>
    <row r="245" spans="1:1" s="17" customFormat="1" ht="30" customHeight="1" x14ac:dyDescent="0.25">
      <c r="A245" s="24"/>
    </row>
    <row r="246" spans="1:1" s="17" customFormat="1" ht="30" customHeight="1" x14ac:dyDescent="0.25">
      <c r="A246" s="24"/>
    </row>
    <row r="247" spans="1:1" s="17" customFormat="1" ht="30" customHeight="1" x14ac:dyDescent="0.25">
      <c r="A247" s="24"/>
    </row>
    <row r="248" spans="1:1" s="17" customFormat="1" ht="30" customHeight="1" x14ac:dyDescent="0.25">
      <c r="A248" s="24"/>
    </row>
    <row r="249" spans="1:1" s="17" customFormat="1" ht="30" customHeight="1" x14ac:dyDescent="0.25">
      <c r="A249" s="24"/>
    </row>
    <row r="250" spans="1:1" s="17" customFormat="1" ht="30" customHeight="1" x14ac:dyDescent="0.25">
      <c r="A250" s="24"/>
    </row>
    <row r="251" spans="1:1" s="17" customFormat="1" ht="30" customHeight="1" x14ac:dyDescent="0.25">
      <c r="A251" s="24"/>
    </row>
    <row r="252" spans="1:1" s="17" customFormat="1" ht="30" customHeight="1" x14ac:dyDescent="0.25">
      <c r="A252" s="24"/>
    </row>
    <row r="253" spans="1:1" s="17" customFormat="1" ht="30" customHeight="1" x14ac:dyDescent="0.25">
      <c r="A253" s="24"/>
    </row>
    <row r="254" spans="1:1" s="17" customFormat="1" ht="30" customHeight="1" x14ac:dyDescent="0.25">
      <c r="A254" s="24"/>
    </row>
    <row r="255" spans="1:1" s="17" customFormat="1" ht="30" customHeight="1" x14ac:dyDescent="0.25">
      <c r="A255" s="24"/>
    </row>
    <row r="256" spans="1:1" s="17" customFormat="1" ht="30" customHeight="1" x14ac:dyDescent="0.25">
      <c r="A256" s="24"/>
    </row>
    <row r="257" spans="1:35" s="17" customFormat="1" ht="30" customHeight="1" x14ac:dyDescent="0.25">
      <c r="A257" s="24"/>
    </row>
    <row r="258" spans="1:35" s="17" customFormat="1" ht="30" customHeight="1" x14ac:dyDescent="0.25">
      <c r="A258" s="24"/>
    </row>
    <row r="259" spans="1:35" s="17" customFormat="1" ht="30" customHeight="1" x14ac:dyDescent="0.25">
      <c r="A259" s="24"/>
    </row>
    <row r="260" spans="1:35" ht="30" customHeight="1" x14ac:dyDescent="0.25">
      <c r="A260" s="24"/>
      <c r="B260" s="17"/>
      <c r="C260" s="17"/>
      <c r="D260" s="17"/>
      <c r="E260" s="17"/>
      <c r="F260" s="17"/>
      <c r="G260" s="17"/>
      <c r="H260" s="17"/>
      <c r="I260" s="17"/>
      <c r="J260" s="17"/>
      <c r="K260" s="17"/>
      <c r="L260" s="17"/>
      <c r="M260" s="17"/>
      <c r="N260" s="17"/>
      <c r="O260" s="17"/>
      <c r="P260" s="17"/>
      <c r="Q260" s="17"/>
      <c r="R260" s="17"/>
      <c r="S260" s="17"/>
      <c r="T260" s="17"/>
      <c r="U260" s="17"/>
      <c r="V260" s="17"/>
      <c r="W260" s="17"/>
      <c r="X260" s="17"/>
      <c r="Y260" s="17"/>
      <c r="Z260" s="17"/>
      <c r="AA260" s="17"/>
      <c r="AB260" s="17"/>
      <c r="AC260" s="17"/>
      <c r="AD260" s="17"/>
      <c r="AE260" s="17"/>
      <c r="AF260" s="17"/>
      <c r="AG260" s="17"/>
      <c r="AH260" s="17"/>
      <c r="AI260" s="17"/>
    </row>
    <row r="261" spans="1:35" ht="30" customHeight="1" x14ac:dyDescent="0.25">
      <c r="A261" s="24"/>
      <c r="B261" s="17"/>
      <c r="C261" s="17"/>
      <c r="D261" s="17"/>
      <c r="E261" s="17"/>
      <c r="F261" s="17"/>
      <c r="G261" s="17"/>
      <c r="H261" s="17"/>
      <c r="I261" s="17"/>
      <c r="J261" s="17"/>
      <c r="K261" s="17"/>
      <c r="L261" s="17"/>
      <c r="M261" s="17"/>
      <c r="N261" s="17"/>
      <c r="O261" s="17"/>
      <c r="P261" s="17"/>
      <c r="Q261" s="17"/>
      <c r="R261" s="17"/>
      <c r="S261" s="17"/>
      <c r="T261" s="17"/>
      <c r="U261" s="17"/>
      <c r="V261" s="17"/>
      <c r="W261" s="17"/>
      <c r="X261" s="17"/>
      <c r="Y261" s="17"/>
      <c r="Z261" s="17"/>
      <c r="AA261" s="17"/>
      <c r="AB261" s="17"/>
      <c r="AC261" s="17"/>
      <c r="AD261" s="17"/>
      <c r="AE261" s="17"/>
      <c r="AF261" s="17"/>
      <c r="AG261" s="17"/>
      <c r="AH261" s="17"/>
      <c r="AI261" s="17"/>
    </row>
    <row r="262" spans="1:35" ht="30" customHeight="1" x14ac:dyDescent="0.25">
      <c r="A262" s="24"/>
      <c r="B262" s="17"/>
      <c r="C262" s="17"/>
      <c r="D262" s="17"/>
      <c r="E262" s="17"/>
      <c r="F262" s="17"/>
      <c r="G262" s="17"/>
      <c r="H262" s="17"/>
      <c r="I262" s="17"/>
      <c r="J262" s="17"/>
      <c r="K262" s="17"/>
      <c r="L262" s="17"/>
      <c r="M262" s="17"/>
      <c r="N262" s="17"/>
      <c r="O262" s="17"/>
      <c r="P262" s="17"/>
      <c r="Q262" s="17"/>
      <c r="R262" s="17"/>
      <c r="S262" s="17"/>
      <c r="T262" s="17"/>
      <c r="U262" s="17"/>
      <c r="V262" s="17"/>
      <c r="W262" s="17"/>
      <c r="X262" s="17"/>
      <c r="Y262" s="17"/>
      <c r="Z262" s="17"/>
      <c r="AA262" s="17"/>
      <c r="AB262" s="17"/>
      <c r="AC262" s="17"/>
      <c r="AD262" s="17"/>
      <c r="AE262" s="17"/>
      <c r="AF262" s="17"/>
      <c r="AG262" s="17"/>
      <c r="AH262" s="17"/>
      <c r="AI262" s="17"/>
    </row>
    <row r="263" spans="1:35" ht="30" customHeight="1" x14ac:dyDescent="0.25">
      <c r="A263" s="24"/>
      <c r="B263" s="17"/>
      <c r="C263" s="17"/>
      <c r="D263" s="17"/>
      <c r="E263" s="17"/>
      <c r="F263" s="17"/>
      <c r="G263" s="17"/>
      <c r="H263" s="17"/>
      <c r="I263" s="17"/>
      <c r="J263" s="17"/>
      <c r="K263" s="17"/>
      <c r="L263" s="17"/>
      <c r="M263" s="17"/>
      <c r="N263" s="17"/>
      <c r="O263" s="17"/>
      <c r="P263" s="17"/>
      <c r="Q263" s="17"/>
      <c r="R263" s="17"/>
      <c r="S263" s="17"/>
      <c r="T263" s="17"/>
      <c r="U263" s="17"/>
      <c r="V263" s="17"/>
      <c r="W263" s="17"/>
      <c r="X263" s="17"/>
      <c r="Y263" s="17"/>
      <c r="Z263" s="17"/>
      <c r="AA263" s="17"/>
      <c r="AB263" s="17"/>
      <c r="AC263" s="17"/>
      <c r="AD263" s="17"/>
      <c r="AE263" s="17"/>
      <c r="AF263" s="17"/>
      <c r="AG263" s="17"/>
      <c r="AH263" s="17"/>
      <c r="AI263" s="17"/>
    </row>
    <row r="264" spans="1:35" ht="30" customHeight="1" x14ac:dyDescent="0.25">
      <c r="A264" s="24"/>
      <c r="B264" s="17"/>
      <c r="C264" s="17"/>
      <c r="D264" s="17"/>
      <c r="E264" s="17"/>
      <c r="F264" s="17"/>
      <c r="G264" s="17"/>
      <c r="H264" s="17"/>
      <c r="I264" s="17"/>
      <c r="J264" s="17"/>
      <c r="K264" s="17"/>
      <c r="L264" s="17"/>
      <c r="M264" s="17"/>
      <c r="N264" s="17"/>
      <c r="O264" s="17"/>
      <c r="P264" s="17"/>
      <c r="Q264" s="17"/>
      <c r="R264" s="17"/>
      <c r="S264" s="17"/>
      <c r="T264" s="17"/>
      <c r="U264" s="17"/>
      <c r="V264" s="17"/>
      <c r="W264" s="17"/>
      <c r="X264" s="17"/>
      <c r="Y264" s="17"/>
      <c r="Z264" s="17"/>
      <c r="AA264" s="17"/>
      <c r="AB264" s="17"/>
      <c r="AC264" s="17"/>
      <c r="AD264" s="17"/>
      <c r="AE264" s="17"/>
      <c r="AF264" s="17"/>
      <c r="AG264" s="17"/>
      <c r="AH264" s="17"/>
      <c r="AI264" s="17"/>
    </row>
    <row r="265" spans="1:35" ht="30" customHeight="1" x14ac:dyDescent="0.25">
      <c r="A265" s="24"/>
      <c r="B265" s="17"/>
      <c r="C265" s="17"/>
      <c r="D265" s="17"/>
      <c r="E265" s="17"/>
      <c r="F265" s="17"/>
      <c r="G265" s="17"/>
      <c r="H265" s="17"/>
      <c r="I265" s="17"/>
      <c r="J265" s="17"/>
      <c r="K265" s="17"/>
      <c r="L265" s="17"/>
      <c r="M265" s="17"/>
      <c r="N265" s="17"/>
      <c r="O265" s="17"/>
      <c r="P265" s="17"/>
      <c r="Q265" s="17"/>
      <c r="R265" s="17"/>
      <c r="S265" s="17"/>
      <c r="T265" s="17"/>
      <c r="U265" s="17"/>
      <c r="V265" s="17"/>
      <c r="W265" s="17"/>
      <c r="X265" s="17"/>
      <c r="Y265" s="17"/>
      <c r="Z265" s="17"/>
      <c r="AA265" s="17"/>
      <c r="AB265" s="17"/>
      <c r="AC265" s="17"/>
      <c r="AD265" s="17"/>
      <c r="AE265" s="17"/>
      <c r="AF265" s="17"/>
      <c r="AG265" s="17"/>
      <c r="AH265" s="17"/>
      <c r="AI265" s="17"/>
    </row>
    <row r="266" spans="1:35" ht="30" customHeight="1" x14ac:dyDescent="0.25">
      <c r="A266" s="24"/>
      <c r="B266" s="17"/>
      <c r="C266" s="17"/>
      <c r="D266" s="17"/>
      <c r="E266" s="17"/>
      <c r="F266" s="17"/>
      <c r="G266" s="17"/>
      <c r="H266" s="17"/>
      <c r="I266" s="17"/>
      <c r="J266" s="17"/>
      <c r="K266" s="17"/>
      <c r="L266" s="17"/>
      <c r="M266" s="17"/>
      <c r="N266" s="17"/>
      <c r="O266" s="17"/>
      <c r="P266" s="17"/>
      <c r="Q266" s="17"/>
      <c r="R266" s="17"/>
      <c r="S266" s="17"/>
      <c r="T266" s="17"/>
      <c r="U266" s="17"/>
      <c r="V266" s="17"/>
      <c r="W266" s="17"/>
      <c r="X266" s="17"/>
      <c r="Y266" s="17"/>
      <c r="Z266" s="17"/>
      <c r="AA266" s="17"/>
      <c r="AB266" s="17"/>
      <c r="AC266" s="17"/>
      <c r="AD266" s="17"/>
      <c r="AE266" s="17"/>
      <c r="AF266" s="17"/>
      <c r="AG266" s="17"/>
      <c r="AH266" s="17"/>
      <c r="AI266" s="17"/>
    </row>
    <row r="267" spans="1:35" ht="30" customHeight="1" x14ac:dyDescent="0.25">
      <c r="A267" s="24"/>
      <c r="B267" s="17"/>
      <c r="C267" s="17"/>
      <c r="D267" s="17"/>
      <c r="E267" s="17"/>
      <c r="F267" s="17"/>
      <c r="G267" s="17"/>
      <c r="H267" s="17"/>
      <c r="I267" s="17"/>
      <c r="J267" s="17"/>
      <c r="K267" s="17"/>
      <c r="L267" s="17"/>
      <c r="M267" s="17"/>
      <c r="N267" s="17"/>
      <c r="O267" s="17"/>
      <c r="P267" s="17"/>
      <c r="Q267" s="17"/>
      <c r="R267" s="17"/>
      <c r="S267" s="17"/>
      <c r="T267" s="17"/>
      <c r="U267" s="17"/>
      <c r="V267" s="17"/>
      <c r="W267" s="17"/>
      <c r="X267" s="17"/>
      <c r="Y267" s="17"/>
      <c r="Z267" s="17"/>
      <c r="AA267" s="17"/>
      <c r="AB267" s="17"/>
      <c r="AC267" s="17"/>
      <c r="AD267" s="17"/>
      <c r="AE267" s="17"/>
      <c r="AF267" s="17"/>
      <c r="AG267" s="17"/>
      <c r="AH267" s="17"/>
      <c r="AI267" s="17"/>
    </row>
    <row r="268" spans="1:35" ht="30" customHeight="1" x14ac:dyDescent="0.25">
      <c r="A268" s="24"/>
      <c r="B268" s="17"/>
      <c r="C268" s="17"/>
      <c r="D268" s="17"/>
      <c r="E268" s="17"/>
      <c r="F268" s="17"/>
      <c r="G268" s="17"/>
      <c r="H268" s="17"/>
      <c r="I268" s="17"/>
      <c r="J268" s="17"/>
      <c r="K268" s="17"/>
      <c r="L268" s="17"/>
      <c r="M268" s="17"/>
      <c r="N268" s="17"/>
      <c r="O268" s="17"/>
      <c r="P268" s="17"/>
      <c r="Q268" s="17"/>
      <c r="R268" s="17"/>
      <c r="S268" s="17"/>
      <c r="T268" s="17"/>
      <c r="U268" s="17"/>
      <c r="V268" s="17"/>
      <c r="W268" s="17"/>
      <c r="X268" s="17"/>
      <c r="Y268" s="17"/>
      <c r="Z268" s="17"/>
      <c r="AA268" s="17"/>
      <c r="AB268" s="17"/>
      <c r="AC268" s="17"/>
      <c r="AD268" s="17"/>
      <c r="AE268" s="17"/>
      <c r="AF268" s="17"/>
      <c r="AG268" s="17"/>
      <c r="AH268" s="17"/>
      <c r="AI268" s="17"/>
    </row>
    <row r="269" spans="1:35" ht="30" customHeight="1" x14ac:dyDescent="0.25">
      <c r="A269" s="24"/>
      <c r="B269" s="17"/>
      <c r="C269" s="17"/>
      <c r="D269" s="17"/>
      <c r="E269" s="17"/>
      <c r="F269" s="17"/>
      <c r="G269" s="17"/>
      <c r="H269" s="17"/>
      <c r="I269" s="17"/>
      <c r="J269" s="17"/>
      <c r="K269" s="17"/>
      <c r="L269" s="17"/>
      <c r="M269" s="17"/>
      <c r="N269" s="17"/>
      <c r="O269" s="17"/>
      <c r="P269" s="17"/>
      <c r="Q269" s="17"/>
      <c r="R269" s="17"/>
      <c r="S269" s="17"/>
      <c r="T269" s="17"/>
      <c r="U269" s="17"/>
      <c r="V269" s="17"/>
      <c r="W269" s="17"/>
      <c r="X269" s="17"/>
      <c r="Y269" s="17"/>
      <c r="Z269" s="17"/>
      <c r="AA269" s="17"/>
      <c r="AB269" s="17"/>
      <c r="AC269" s="17"/>
      <c r="AD269" s="17"/>
      <c r="AE269" s="17"/>
      <c r="AF269" s="17"/>
      <c r="AG269" s="17"/>
      <c r="AH269" s="17"/>
      <c r="AI269" s="17"/>
    </row>
    <row r="270" spans="1:35" ht="30" customHeight="1" x14ac:dyDescent="0.25">
      <c r="A270" s="24"/>
      <c r="B270" s="17"/>
      <c r="C270" s="17"/>
      <c r="D270" s="17"/>
      <c r="E270" s="17"/>
      <c r="F270" s="17"/>
      <c r="G270" s="17"/>
      <c r="H270" s="17"/>
      <c r="I270" s="17"/>
      <c r="J270" s="17"/>
      <c r="K270" s="17"/>
      <c r="L270" s="17"/>
      <c r="M270" s="17"/>
      <c r="N270" s="17"/>
      <c r="O270" s="17"/>
      <c r="P270" s="17"/>
      <c r="Q270" s="17"/>
      <c r="R270" s="17"/>
      <c r="S270" s="17"/>
      <c r="T270" s="17"/>
      <c r="U270" s="17"/>
      <c r="V270" s="17"/>
      <c r="W270" s="17"/>
      <c r="X270" s="17"/>
      <c r="Y270" s="17"/>
      <c r="Z270" s="17"/>
      <c r="AA270" s="17"/>
      <c r="AB270" s="17"/>
      <c r="AC270" s="17"/>
      <c r="AD270" s="17"/>
      <c r="AE270" s="17"/>
      <c r="AF270" s="17"/>
      <c r="AG270" s="17"/>
      <c r="AH270" s="17"/>
      <c r="AI270" s="17"/>
    </row>
    <row r="271" spans="1:35" ht="30" customHeight="1" x14ac:dyDescent="0.25">
      <c r="A271" s="24"/>
      <c r="B271" s="17"/>
      <c r="C271" s="17"/>
      <c r="D271" s="17"/>
      <c r="E271" s="17"/>
      <c r="F271" s="17"/>
      <c r="G271" s="17"/>
      <c r="H271" s="17"/>
      <c r="I271" s="17"/>
      <c r="J271" s="17"/>
      <c r="K271" s="17"/>
      <c r="L271" s="17"/>
      <c r="M271" s="17"/>
      <c r="N271" s="17"/>
      <c r="O271" s="17"/>
      <c r="P271" s="17"/>
      <c r="Q271" s="17"/>
      <c r="R271" s="17"/>
      <c r="S271" s="17"/>
      <c r="T271" s="17"/>
      <c r="U271" s="17"/>
      <c r="V271" s="17"/>
      <c r="W271" s="17"/>
      <c r="X271" s="17"/>
      <c r="Y271" s="17"/>
      <c r="Z271" s="17"/>
      <c r="AA271" s="17"/>
      <c r="AB271" s="17"/>
      <c r="AC271" s="17"/>
      <c r="AD271" s="17"/>
      <c r="AE271" s="17"/>
      <c r="AF271" s="17"/>
      <c r="AG271" s="17"/>
      <c r="AH271" s="17"/>
      <c r="AI271" s="17"/>
    </row>
    <row r="272" spans="1:35" ht="30" customHeight="1" x14ac:dyDescent="0.25">
      <c r="A272" s="24"/>
      <c r="B272" s="17"/>
      <c r="C272" s="17"/>
      <c r="D272" s="17"/>
      <c r="E272" s="17"/>
      <c r="F272" s="17"/>
      <c r="G272" s="17"/>
      <c r="H272" s="17"/>
      <c r="I272" s="17"/>
      <c r="J272" s="17"/>
      <c r="K272" s="17"/>
      <c r="L272" s="17"/>
      <c r="M272" s="17"/>
      <c r="N272" s="17"/>
      <c r="O272" s="17"/>
      <c r="P272" s="17"/>
      <c r="Q272" s="17"/>
      <c r="R272" s="17"/>
      <c r="S272" s="17"/>
      <c r="T272" s="17"/>
      <c r="U272" s="17"/>
      <c r="V272" s="17"/>
      <c r="W272" s="17"/>
      <c r="X272" s="17"/>
      <c r="Y272" s="17"/>
      <c r="Z272" s="17"/>
      <c r="AA272" s="17"/>
      <c r="AB272" s="17"/>
      <c r="AC272" s="17"/>
      <c r="AD272" s="17"/>
      <c r="AE272" s="17"/>
      <c r="AF272" s="17"/>
      <c r="AG272" s="17"/>
      <c r="AH272" s="17"/>
      <c r="AI272" s="17"/>
    </row>
    <row r="273" spans="1:35" ht="30" customHeight="1" x14ac:dyDescent="0.25">
      <c r="A273" s="24"/>
      <c r="B273" s="17"/>
      <c r="C273" s="17"/>
      <c r="D273" s="17"/>
      <c r="E273" s="17"/>
      <c r="F273" s="17"/>
      <c r="G273" s="17"/>
      <c r="H273" s="17"/>
      <c r="I273" s="17"/>
      <c r="J273" s="17"/>
      <c r="K273" s="17"/>
      <c r="L273" s="17"/>
      <c r="M273" s="17"/>
      <c r="N273" s="17"/>
      <c r="O273" s="17"/>
      <c r="P273" s="17"/>
      <c r="Q273" s="17"/>
      <c r="R273" s="17"/>
      <c r="S273" s="17"/>
      <c r="T273" s="17"/>
      <c r="U273" s="17"/>
      <c r="V273" s="17"/>
      <c r="W273" s="17"/>
      <c r="X273" s="17"/>
      <c r="Y273" s="17"/>
      <c r="Z273" s="17"/>
      <c r="AA273" s="17"/>
      <c r="AB273" s="17"/>
      <c r="AC273" s="17"/>
      <c r="AD273" s="17"/>
      <c r="AE273" s="17"/>
      <c r="AF273" s="17"/>
      <c r="AG273" s="17"/>
      <c r="AH273" s="17"/>
      <c r="AI273" s="17"/>
    </row>
    <row r="274" spans="1:35" ht="30" customHeight="1" x14ac:dyDescent="0.25">
      <c r="A274" s="24"/>
      <c r="B274" s="17"/>
      <c r="C274" s="17"/>
      <c r="D274" s="17"/>
      <c r="E274" s="17"/>
      <c r="F274" s="17"/>
      <c r="G274" s="17"/>
      <c r="H274" s="17"/>
      <c r="I274" s="17"/>
      <c r="J274" s="17"/>
      <c r="K274" s="17"/>
      <c r="L274" s="17"/>
      <c r="M274" s="17"/>
      <c r="N274" s="17"/>
      <c r="O274" s="17"/>
      <c r="P274" s="17"/>
      <c r="Q274" s="17"/>
      <c r="R274" s="17"/>
      <c r="S274" s="17"/>
      <c r="T274" s="17"/>
      <c r="U274" s="17"/>
      <c r="V274" s="17"/>
      <c r="W274" s="17"/>
      <c r="X274" s="17"/>
      <c r="Y274" s="17"/>
      <c r="Z274" s="17"/>
      <c r="AA274" s="17"/>
      <c r="AB274" s="17"/>
      <c r="AC274" s="17"/>
      <c r="AD274" s="17"/>
      <c r="AE274" s="17"/>
      <c r="AF274" s="17"/>
      <c r="AG274" s="17"/>
      <c r="AH274" s="17"/>
      <c r="AI274" s="17"/>
    </row>
    <row r="275" spans="1:35" ht="30" customHeight="1" x14ac:dyDescent="0.25">
      <c r="A275" s="24"/>
      <c r="B275" s="17"/>
      <c r="C275" s="17"/>
      <c r="D275" s="17"/>
      <c r="E275" s="17"/>
      <c r="F275" s="17"/>
      <c r="G275" s="17"/>
      <c r="H275" s="17"/>
      <c r="I275" s="17"/>
      <c r="J275" s="17"/>
      <c r="K275" s="17"/>
      <c r="L275" s="17"/>
      <c r="M275" s="17"/>
      <c r="N275" s="17"/>
      <c r="O275" s="17"/>
      <c r="P275" s="17"/>
      <c r="Q275" s="17"/>
      <c r="R275" s="17"/>
      <c r="S275" s="17"/>
      <c r="T275" s="17"/>
      <c r="U275" s="17"/>
      <c r="V275" s="17"/>
      <c r="W275" s="17"/>
      <c r="X275" s="17"/>
      <c r="Y275" s="17"/>
      <c r="Z275" s="17"/>
      <c r="AA275" s="17"/>
      <c r="AB275" s="17"/>
      <c r="AC275" s="17"/>
      <c r="AD275" s="17"/>
      <c r="AE275" s="17"/>
      <c r="AF275" s="17"/>
      <c r="AG275" s="17"/>
      <c r="AH275" s="17"/>
      <c r="AI275" s="17"/>
    </row>
    <row r="276" spans="1:35" ht="30" customHeight="1" x14ac:dyDescent="0.25">
      <c r="A276" s="24"/>
      <c r="B276" s="17"/>
      <c r="C276" s="17"/>
      <c r="D276" s="17"/>
      <c r="E276" s="17"/>
      <c r="F276" s="17"/>
      <c r="G276" s="17"/>
      <c r="H276" s="17"/>
      <c r="I276" s="17"/>
      <c r="J276" s="17"/>
      <c r="K276" s="17"/>
      <c r="L276" s="17"/>
      <c r="M276" s="17"/>
      <c r="N276" s="17"/>
      <c r="O276" s="17"/>
      <c r="P276" s="17"/>
      <c r="Q276" s="17"/>
      <c r="R276" s="17"/>
      <c r="S276" s="17"/>
      <c r="T276" s="17"/>
      <c r="U276" s="17"/>
      <c r="V276" s="17"/>
      <c r="W276" s="17"/>
      <c r="X276" s="17"/>
      <c r="Y276" s="17"/>
      <c r="Z276" s="17"/>
      <c r="AA276" s="17"/>
      <c r="AB276" s="17"/>
      <c r="AC276" s="17"/>
      <c r="AD276" s="17"/>
      <c r="AE276" s="17"/>
      <c r="AF276" s="17"/>
      <c r="AG276" s="17"/>
      <c r="AH276" s="17"/>
      <c r="AI276" s="17"/>
    </row>
    <row r="277" spans="1:35" ht="30" customHeight="1" x14ac:dyDescent="0.25">
      <c r="A277" s="24"/>
      <c r="B277" s="17"/>
      <c r="C277" s="17"/>
      <c r="D277" s="17"/>
      <c r="E277" s="17"/>
      <c r="F277" s="17"/>
      <c r="G277" s="17"/>
      <c r="H277" s="17"/>
      <c r="I277" s="17"/>
      <c r="J277" s="17"/>
      <c r="K277" s="17"/>
      <c r="L277" s="17"/>
      <c r="M277" s="17"/>
      <c r="N277" s="17"/>
      <c r="O277" s="17"/>
      <c r="P277" s="17"/>
      <c r="Q277" s="17"/>
      <c r="R277" s="17"/>
      <c r="S277" s="17"/>
      <c r="T277" s="17"/>
      <c r="U277" s="17"/>
      <c r="V277" s="17"/>
      <c r="W277" s="17"/>
      <c r="X277" s="17"/>
      <c r="Y277" s="17"/>
      <c r="Z277" s="17"/>
      <c r="AA277" s="17"/>
      <c r="AB277" s="17"/>
      <c r="AC277" s="17"/>
      <c r="AD277" s="17"/>
      <c r="AE277" s="17"/>
      <c r="AF277" s="17"/>
      <c r="AG277" s="17"/>
      <c r="AH277" s="17"/>
      <c r="AI277" s="17"/>
    </row>
    <row r="278" spans="1:35" ht="30" customHeight="1" x14ac:dyDescent="0.25">
      <c r="A278" s="24"/>
      <c r="B278" s="17"/>
      <c r="C278" s="17"/>
      <c r="D278" s="17"/>
      <c r="E278" s="17"/>
      <c r="F278" s="17"/>
      <c r="G278" s="17"/>
      <c r="H278" s="17"/>
      <c r="I278" s="17"/>
      <c r="J278" s="17"/>
      <c r="K278" s="17"/>
      <c r="L278" s="17"/>
      <c r="M278" s="17"/>
      <c r="N278" s="17"/>
      <c r="O278" s="17"/>
      <c r="P278" s="17"/>
      <c r="Q278" s="17"/>
      <c r="R278" s="17"/>
      <c r="S278" s="17"/>
      <c r="T278" s="17"/>
      <c r="U278" s="17"/>
      <c r="V278" s="17"/>
      <c r="W278" s="17"/>
      <c r="X278" s="17"/>
      <c r="Y278" s="17"/>
      <c r="Z278" s="17"/>
      <c r="AA278" s="17"/>
      <c r="AB278" s="17"/>
      <c r="AC278" s="17"/>
      <c r="AD278" s="17"/>
      <c r="AE278" s="17"/>
      <c r="AF278" s="17"/>
      <c r="AG278" s="17"/>
      <c r="AH278" s="17"/>
      <c r="AI278" s="17"/>
    </row>
    <row r="279" spans="1:35" ht="30" customHeight="1" x14ac:dyDescent="0.25">
      <c r="A279" s="24"/>
      <c r="B279" s="17"/>
      <c r="C279" s="17"/>
      <c r="D279" s="17"/>
      <c r="E279" s="17"/>
      <c r="F279" s="17"/>
      <c r="G279" s="17"/>
      <c r="H279" s="17"/>
      <c r="I279" s="17"/>
      <c r="J279" s="17"/>
      <c r="K279" s="17"/>
      <c r="L279" s="17"/>
      <c r="M279" s="17"/>
      <c r="N279" s="17"/>
      <c r="O279" s="17"/>
      <c r="P279" s="17"/>
      <c r="Q279" s="17"/>
      <c r="R279" s="17"/>
      <c r="S279" s="17"/>
      <c r="T279" s="17"/>
      <c r="U279" s="17"/>
      <c r="V279" s="17"/>
      <c r="W279" s="17"/>
      <c r="X279" s="17"/>
      <c r="Y279" s="17"/>
      <c r="Z279" s="17"/>
      <c r="AA279" s="17"/>
      <c r="AB279" s="17"/>
      <c r="AC279" s="17"/>
      <c r="AD279" s="17"/>
      <c r="AE279" s="17"/>
      <c r="AF279" s="17"/>
      <c r="AG279" s="17"/>
      <c r="AH279" s="17"/>
      <c r="AI279" s="17"/>
    </row>
    <row r="280" spans="1:35" ht="30" customHeight="1" x14ac:dyDescent="0.25">
      <c r="A280" s="24"/>
      <c r="B280" s="17"/>
      <c r="C280" s="17"/>
      <c r="D280" s="17"/>
      <c r="E280" s="17"/>
      <c r="F280" s="17"/>
      <c r="G280" s="17"/>
      <c r="H280" s="17"/>
      <c r="I280" s="17"/>
      <c r="J280" s="17"/>
      <c r="K280" s="17"/>
      <c r="L280" s="17"/>
      <c r="M280" s="17"/>
      <c r="N280" s="17"/>
      <c r="O280" s="17"/>
      <c r="P280" s="17"/>
      <c r="Q280" s="17"/>
      <c r="R280" s="17"/>
      <c r="S280" s="17"/>
      <c r="T280" s="17"/>
      <c r="U280" s="17"/>
      <c r="V280" s="17"/>
      <c r="W280" s="17"/>
      <c r="X280" s="17"/>
      <c r="Y280" s="17"/>
      <c r="Z280" s="17"/>
      <c r="AA280" s="17"/>
      <c r="AB280" s="17"/>
      <c r="AC280" s="17"/>
      <c r="AD280" s="17"/>
      <c r="AE280" s="17"/>
      <c r="AF280" s="17"/>
      <c r="AG280" s="17"/>
      <c r="AH280" s="17"/>
      <c r="AI280" s="17"/>
    </row>
    <row r="281" spans="1:35" ht="30" customHeight="1" x14ac:dyDescent="0.25">
      <c r="A281" s="24"/>
      <c r="B281" s="17"/>
      <c r="C281" s="17"/>
      <c r="D281" s="17"/>
      <c r="E281" s="17"/>
      <c r="F281" s="17"/>
      <c r="G281" s="17"/>
      <c r="H281" s="17"/>
      <c r="I281" s="17"/>
      <c r="J281" s="17"/>
      <c r="K281" s="17"/>
      <c r="L281" s="17"/>
      <c r="M281" s="17"/>
      <c r="N281" s="17"/>
      <c r="O281" s="17"/>
      <c r="P281" s="17"/>
      <c r="Q281" s="17"/>
      <c r="R281" s="17"/>
      <c r="S281" s="17"/>
      <c r="T281" s="17"/>
      <c r="U281" s="17"/>
      <c r="V281" s="17"/>
      <c r="W281" s="17"/>
      <c r="X281" s="17"/>
      <c r="Y281" s="17"/>
      <c r="Z281" s="17"/>
      <c r="AA281" s="17"/>
      <c r="AB281" s="17"/>
      <c r="AC281" s="17"/>
      <c r="AD281" s="17"/>
      <c r="AE281" s="17"/>
      <c r="AF281" s="17"/>
      <c r="AG281" s="17"/>
      <c r="AH281" s="17"/>
      <c r="AI281" s="17"/>
    </row>
    <row r="282" spans="1:35" ht="30" customHeight="1" x14ac:dyDescent="0.25">
      <c r="A282" s="24"/>
      <c r="B282" s="17"/>
      <c r="C282" s="17"/>
      <c r="D282" s="17"/>
      <c r="E282" s="17"/>
      <c r="F282" s="17"/>
      <c r="G282" s="17"/>
      <c r="H282" s="17"/>
      <c r="I282" s="17"/>
      <c r="J282" s="17"/>
      <c r="K282" s="17"/>
      <c r="L282" s="17"/>
      <c r="M282" s="17"/>
      <c r="N282" s="17"/>
      <c r="O282" s="17"/>
      <c r="P282" s="17"/>
      <c r="Q282" s="17"/>
      <c r="R282" s="17"/>
      <c r="S282" s="17"/>
      <c r="T282" s="17"/>
      <c r="U282" s="17"/>
      <c r="V282" s="17"/>
      <c r="W282" s="17"/>
      <c r="X282" s="17"/>
      <c r="Y282" s="17"/>
      <c r="Z282" s="17"/>
      <c r="AA282" s="17"/>
      <c r="AB282" s="17"/>
      <c r="AC282" s="17"/>
      <c r="AD282" s="17"/>
      <c r="AE282" s="17"/>
      <c r="AF282" s="17"/>
      <c r="AG282" s="17"/>
      <c r="AH282" s="17"/>
      <c r="AI282" s="17"/>
    </row>
    <row r="283" spans="1:35" ht="30" customHeight="1" x14ac:dyDescent="0.25">
      <c r="A283" s="24"/>
      <c r="B283" s="17"/>
      <c r="C283" s="17"/>
      <c r="D283" s="17"/>
      <c r="E283" s="17"/>
      <c r="F283" s="17"/>
      <c r="G283" s="17"/>
      <c r="H283" s="17"/>
      <c r="I283" s="17"/>
      <c r="J283" s="17"/>
      <c r="K283" s="17"/>
      <c r="L283" s="17"/>
      <c r="M283" s="17"/>
      <c r="N283" s="17"/>
      <c r="O283" s="17"/>
      <c r="P283" s="17"/>
      <c r="Q283" s="17"/>
      <c r="R283" s="17"/>
      <c r="S283" s="17"/>
      <c r="T283" s="17"/>
      <c r="U283" s="17"/>
      <c r="V283" s="17"/>
      <c r="W283" s="17"/>
      <c r="X283" s="17"/>
      <c r="Y283" s="17"/>
      <c r="Z283" s="17"/>
      <c r="AA283" s="17"/>
      <c r="AB283" s="17"/>
      <c r="AC283" s="17"/>
      <c r="AD283" s="17"/>
      <c r="AE283" s="17"/>
      <c r="AF283" s="17"/>
      <c r="AG283" s="17"/>
      <c r="AH283" s="17"/>
      <c r="AI283" s="17"/>
    </row>
    <row r="284" spans="1:35" ht="30" customHeight="1" x14ac:dyDescent="0.25">
      <c r="A284" s="24"/>
      <c r="B284" s="17"/>
      <c r="C284" s="17"/>
      <c r="D284" s="17"/>
      <c r="E284" s="17"/>
      <c r="F284" s="17"/>
      <c r="G284" s="17"/>
      <c r="H284" s="17"/>
      <c r="I284" s="17"/>
      <c r="J284" s="17"/>
      <c r="K284" s="17"/>
      <c r="L284" s="17"/>
      <c r="M284" s="17"/>
      <c r="N284" s="17"/>
      <c r="O284" s="17"/>
      <c r="P284" s="17"/>
      <c r="Q284" s="17"/>
      <c r="R284" s="17"/>
      <c r="S284" s="17"/>
      <c r="T284" s="17"/>
      <c r="U284" s="17"/>
      <c r="V284" s="17"/>
      <c r="W284" s="17"/>
      <c r="X284" s="17"/>
      <c r="Y284" s="17"/>
      <c r="Z284" s="17"/>
      <c r="AA284" s="17"/>
      <c r="AB284" s="17"/>
      <c r="AC284" s="17"/>
      <c r="AD284" s="17"/>
      <c r="AE284" s="17"/>
      <c r="AF284" s="17"/>
      <c r="AG284" s="17"/>
      <c r="AH284" s="17"/>
      <c r="AI284" s="17"/>
    </row>
    <row r="285" spans="1:35" ht="30" customHeight="1" x14ac:dyDescent="0.25">
      <c r="A285" s="24"/>
      <c r="B285" s="17"/>
      <c r="C285" s="17"/>
      <c r="D285" s="17"/>
      <c r="E285" s="17"/>
      <c r="F285" s="17"/>
      <c r="G285" s="17"/>
      <c r="H285" s="17"/>
      <c r="I285" s="17"/>
      <c r="J285" s="17"/>
      <c r="K285" s="17"/>
      <c r="L285" s="17"/>
      <c r="M285" s="17"/>
      <c r="N285" s="17"/>
      <c r="O285" s="17"/>
      <c r="P285" s="17"/>
      <c r="Q285" s="17"/>
      <c r="R285" s="17"/>
      <c r="S285" s="17"/>
      <c r="T285" s="17"/>
      <c r="U285" s="17"/>
      <c r="V285" s="17"/>
      <c r="W285" s="17"/>
      <c r="X285" s="17"/>
      <c r="Y285" s="17"/>
      <c r="Z285" s="17"/>
      <c r="AA285" s="17"/>
      <c r="AB285" s="17"/>
      <c r="AC285" s="17"/>
      <c r="AD285" s="17"/>
      <c r="AE285" s="17"/>
      <c r="AF285" s="17"/>
      <c r="AG285" s="17"/>
      <c r="AH285" s="17"/>
      <c r="AI285" s="17"/>
    </row>
    <row r="286" spans="1:35" ht="30" customHeight="1" x14ac:dyDescent="0.25">
      <c r="A286" s="24"/>
      <c r="B286" s="17"/>
      <c r="C286" s="17"/>
      <c r="D286" s="17"/>
      <c r="E286" s="17"/>
      <c r="F286" s="17"/>
      <c r="G286" s="17"/>
      <c r="H286" s="17"/>
      <c r="I286" s="17"/>
      <c r="J286" s="17"/>
      <c r="K286" s="17"/>
      <c r="L286" s="17"/>
      <c r="M286" s="17"/>
      <c r="N286" s="17"/>
      <c r="O286" s="17"/>
      <c r="P286" s="17"/>
      <c r="Q286" s="17"/>
      <c r="R286" s="17"/>
      <c r="S286" s="17"/>
      <c r="T286" s="17"/>
      <c r="U286" s="17"/>
      <c r="V286" s="17"/>
      <c r="W286" s="17"/>
      <c r="X286" s="17"/>
      <c r="Y286" s="17"/>
      <c r="Z286" s="17"/>
      <c r="AA286" s="17"/>
      <c r="AB286" s="17"/>
      <c r="AC286" s="17"/>
      <c r="AD286" s="17"/>
      <c r="AE286" s="17"/>
      <c r="AF286" s="17"/>
      <c r="AG286" s="17"/>
      <c r="AH286" s="17"/>
      <c r="AI286" s="17"/>
    </row>
    <row r="287" spans="1:35" ht="30" customHeight="1" x14ac:dyDescent="0.25">
      <c r="A287" s="24"/>
      <c r="B287" s="17"/>
      <c r="C287" s="17"/>
      <c r="D287" s="17"/>
      <c r="E287" s="17"/>
      <c r="F287" s="17"/>
      <c r="G287" s="17"/>
      <c r="H287" s="17"/>
      <c r="I287" s="17"/>
      <c r="J287" s="17"/>
      <c r="K287" s="17"/>
      <c r="L287" s="17"/>
      <c r="M287" s="17"/>
      <c r="N287" s="17"/>
      <c r="O287" s="17"/>
      <c r="P287" s="17"/>
      <c r="Q287" s="17"/>
      <c r="R287" s="17"/>
      <c r="S287" s="17"/>
      <c r="T287" s="17"/>
      <c r="U287" s="17"/>
      <c r="V287" s="17"/>
      <c r="W287" s="17"/>
      <c r="X287" s="17"/>
      <c r="Y287" s="17"/>
      <c r="Z287" s="17"/>
      <c r="AA287" s="17"/>
      <c r="AB287" s="17"/>
      <c r="AC287" s="17"/>
      <c r="AD287" s="17"/>
      <c r="AE287" s="17"/>
      <c r="AF287" s="17"/>
      <c r="AG287" s="17"/>
      <c r="AH287" s="17"/>
      <c r="AI287" s="17"/>
    </row>
    <row r="288" spans="1:35" ht="30" customHeight="1" x14ac:dyDescent="0.25">
      <c r="A288" s="24"/>
      <c r="B288" s="17"/>
      <c r="C288" s="17"/>
      <c r="D288" s="17"/>
      <c r="E288" s="17"/>
      <c r="F288" s="17"/>
      <c r="G288" s="17"/>
      <c r="H288" s="17"/>
      <c r="I288" s="17"/>
      <c r="J288" s="17"/>
      <c r="K288" s="17"/>
      <c r="L288" s="17"/>
      <c r="M288" s="17"/>
      <c r="N288" s="17"/>
      <c r="O288" s="17"/>
      <c r="P288" s="17"/>
      <c r="Q288" s="17"/>
      <c r="R288" s="17"/>
      <c r="S288" s="17"/>
      <c r="T288" s="17"/>
      <c r="U288" s="17"/>
      <c r="V288" s="17"/>
      <c r="W288" s="17"/>
      <c r="X288" s="17"/>
      <c r="Y288" s="17"/>
      <c r="Z288" s="17"/>
      <c r="AA288" s="17"/>
      <c r="AB288" s="17"/>
      <c r="AC288" s="17"/>
      <c r="AD288" s="17"/>
      <c r="AE288" s="17"/>
      <c r="AF288" s="17"/>
      <c r="AG288" s="17"/>
      <c r="AH288" s="17"/>
      <c r="AI288" s="17"/>
    </row>
    <row r="289" spans="1:35" ht="30" customHeight="1" x14ac:dyDescent="0.25">
      <c r="A289" s="24"/>
      <c r="B289" s="17"/>
      <c r="C289" s="17"/>
      <c r="D289" s="17"/>
      <c r="E289" s="17"/>
      <c r="F289" s="17"/>
      <c r="G289" s="17"/>
      <c r="H289" s="17"/>
      <c r="I289" s="17"/>
      <c r="J289" s="17"/>
      <c r="K289" s="17"/>
      <c r="L289" s="17"/>
      <c r="M289" s="17"/>
      <c r="N289" s="17"/>
      <c r="O289" s="17"/>
      <c r="P289" s="17"/>
      <c r="Q289" s="17"/>
      <c r="R289" s="17"/>
      <c r="S289" s="17"/>
      <c r="T289" s="17"/>
      <c r="U289" s="17"/>
      <c r="V289" s="17"/>
      <c r="W289" s="17"/>
      <c r="X289" s="17"/>
      <c r="Y289" s="17"/>
      <c r="Z289" s="17"/>
      <c r="AA289" s="17"/>
      <c r="AB289" s="17"/>
      <c r="AC289" s="17"/>
      <c r="AD289" s="17"/>
      <c r="AE289" s="17"/>
      <c r="AF289" s="17"/>
      <c r="AG289" s="17"/>
      <c r="AH289" s="17"/>
      <c r="AI289" s="17"/>
    </row>
    <row r="290" spans="1:35" ht="30" customHeight="1" x14ac:dyDescent="0.25">
      <c r="A290" s="24"/>
      <c r="B290" s="17"/>
      <c r="C290" s="17"/>
      <c r="D290" s="17"/>
      <c r="E290" s="17"/>
      <c r="F290" s="17"/>
      <c r="G290" s="17"/>
      <c r="H290" s="17"/>
      <c r="I290" s="17"/>
      <c r="J290" s="17"/>
      <c r="K290" s="17"/>
      <c r="L290" s="17"/>
      <c r="M290" s="17"/>
      <c r="N290" s="17"/>
      <c r="O290" s="17"/>
      <c r="P290" s="17"/>
      <c r="Q290" s="17"/>
      <c r="R290" s="17"/>
      <c r="S290" s="17"/>
      <c r="T290" s="17"/>
      <c r="U290" s="17"/>
      <c r="V290" s="17"/>
      <c r="W290" s="17"/>
      <c r="X290" s="17"/>
      <c r="Y290" s="17"/>
      <c r="Z290" s="17"/>
      <c r="AA290" s="17"/>
      <c r="AB290" s="17"/>
      <c r="AC290" s="17"/>
      <c r="AD290" s="17"/>
      <c r="AE290" s="17"/>
      <c r="AF290" s="17"/>
      <c r="AG290" s="17"/>
      <c r="AH290" s="17"/>
      <c r="AI290" s="17"/>
    </row>
    <row r="291" spans="1:35" ht="30" customHeight="1" x14ac:dyDescent="0.25">
      <c r="A291" s="24"/>
      <c r="B291" s="17"/>
      <c r="C291" s="17"/>
      <c r="D291" s="17"/>
      <c r="E291" s="17"/>
      <c r="F291" s="17"/>
      <c r="G291" s="17"/>
      <c r="H291" s="17"/>
      <c r="I291" s="17"/>
      <c r="J291" s="17"/>
      <c r="K291" s="17"/>
      <c r="L291" s="17"/>
      <c r="M291" s="17"/>
      <c r="N291" s="17"/>
      <c r="O291" s="17"/>
      <c r="P291" s="17"/>
      <c r="Q291" s="17"/>
      <c r="R291" s="17"/>
      <c r="S291" s="17"/>
      <c r="T291" s="17"/>
      <c r="U291" s="17"/>
      <c r="V291" s="17"/>
      <c r="W291" s="17"/>
      <c r="X291" s="17"/>
      <c r="Y291" s="17"/>
      <c r="Z291" s="17"/>
      <c r="AA291" s="17"/>
      <c r="AB291" s="17"/>
      <c r="AC291" s="17"/>
      <c r="AD291" s="17"/>
      <c r="AE291" s="17"/>
      <c r="AF291" s="17"/>
      <c r="AG291" s="17"/>
      <c r="AH291" s="17"/>
      <c r="AI291" s="17"/>
    </row>
    <row r="292" spans="1:35" ht="30" customHeight="1" x14ac:dyDescent="0.25">
      <c r="A292" s="24"/>
      <c r="B292" s="17"/>
      <c r="C292" s="17"/>
      <c r="D292" s="17"/>
      <c r="E292" s="17"/>
      <c r="F292" s="17"/>
      <c r="G292" s="17"/>
      <c r="H292" s="17"/>
      <c r="I292" s="17"/>
      <c r="J292" s="17"/>
      <c r="K292" s="17"/>
      <c r="L292" s="17"/>
      <c r="M292" s="17"/>
      <c r="N292" s="17"/>
      <c r="O292" s="17"/>
      <c r="P292" s="17"/>
      <c r="Q292" s="17"/>
      <c r="R292" s="17"/>
      <c r="S292" s="17"/>
      <c r="T292" s="17"/>
      <c r="U292" s="17"/>
      <c r="V292" s="17"/>
      <c r="W292" s="17"/>
      <c r="X292" s="17"/>
      <c r="Y292" s="17"/>
      <c r="Z292" s="17"/>
      <c r="AA292" s="17"/>
      <c r="AB292" s="17"/>
      <c r="AC292" s="17"/>
      <c r="AD292" s="17"/>
      <c r="AE292" s="17"/>
      <c r="AF292" s="17"/>
      <c r="AG292" s="17"/>
      <c r="AH292" s="17"/>
      <c r="AI292" s="17"/>
    </row>
    <row r="293" spans="1:35" ht="30" customHeight="1" x14ac:dyDescent="0.25">
      <c r="A293" s="24"/>
      <c r="B293" s="17"/>
      <c r="C293" s="17"/>
      <c r="D293" s="17"/>
      <c r="E293" s="17"/>
      <c r="F293" s="17"/>
      <c r="G293" s="17"/>
      <c r="H293" s="17"/>
      <c r="I293" s="17"/>
      <c r="J293" s="17"/>
      <c r="K293" s="17"/>
      <c r="L293" s="17"/>
      <c r="M293" s="17"/>
      <c r="N293" s="17"/>
      <c r="O293" s="17"/>
      <c r="P293" s="17"/>
      <c r="Q293" s="17"/>
      <c r="R293" s="17"/>
      <c r="S293" s="17"/>
      <c r="T293" s="17"/>
      <c r="U293" s="17"/>
      <c r="V293" s="17"/>
      <c r="W293" s="17"/>
      <c r="X293" s="17"/>
      <c r="Y293" s="17"/>
      <c r="Z293" s="17"/>
      <c r="AA293" s="17"/>
      <c r="AB293" s="17"/>
      <c r="AC293" s="17"/>
      <c r="AD293" s="17"/>
      <c r="AE293" s="17"/>
      <c r="AF293" s="17"/>
      <c r="AG293" s="17"/>
      <c r="AH293" s="17"/>
      <c r="AI293" s="17"/>
    </row>
    <row r="294" spans="1:35" ht="30" customHeight="1" x14ac:dyDescent="0.25">
      <c r="A294" s="24"/>
      <c r="B294" s="17"/>
      <c r="C294" s="17"/>
      <c r="D294" s="17"/>
      <c r="E294" s="17"/>
      <c r="F294" s="17"/>
      <c r="G294" s="17"/>
      <c r="H294" s="17"/>
      <c r="I294" s="17"/>
      <c r="J294" s="17"/>
      <c r="K294" s="17"/>
      <c r="L294" s="17"/>
      <c r="M294" s="17"/>
      <c r="N294" s="17"/>
      <c r="O294" s="17"/>
      <c r="P294" s="17"/>
      <c r="Q294" s="17"/>
      <c r="R294" s="17"/>
      <c r="S294" s="17"/>
      <c r="T294" s="17"/>
      <c r="U294" s="17"/>
      <c r="V294" s="17"/>
      <c r="W294" s="17"/>
      <c r="X294" s="17"/>
      <c r="Y294" s="17"/>
      <c r="Z294" s="17"/>
      <c r="AA294" s="17"/>
      <c r="AB294" s="17"/>
      <c r="AC294" s="17"/>
      <c r="AD294" s="17"/>
      <c r="AE294" s="17"/>
      <c r="AF294" s="17"/>
      <c r="AG294" s="17"/>
      <c r="AH294" s="17"/>
      <c r="AI294" s="17"/>
    </row>
    <row r="295" spans="1:35" ht="30" customHeight="1" x14ac:dyDescent="0.25">
      <c r="A295" s="24"/>
      <c r="B295" s="17"/>
      <c r="C295" s="17"/>
      <c r="D295" s="17"/>
      <c r="E295" s="17"/>
      <c r="F295" s="17"/>
      <c r="G295" s="17"/>
      <c r="H295" s="17"/>
      <c r="I295" s="17"/>
      <c r="J295" s="17"/>
      <c r="K295" s="17"/>
      <c r="L295" s="17"/>
      <c r="M295" s="17"/>
      <c r="N295" s="17"/>
      <c r="O295" s="17"/>
      <c r="P295" s="17"/>
      <c r="Q295" s="17"/>
      <c r="R295" s="17"/>
      <c r="S295" s="17"/>
      <c r="T295" s="17"/>
      <c r="U295" s="17"/>
      <c r="V295" s="17"/>
      <c r="W295" s="17"/>
      <c r="X295" s="17"/>
      <c r="Y295" s="17"/>
      <c r="Z295" s="17"/>
      <c r="AA295" s="17"/>
      <c r="AB295" s="17"/>
      <c r="AC295" s="17"/>
      <c r="AD295" s="17"/>
      <c r="AE295" s="17"/>
      <c r="AF295" s="17"/>
      <c r="AG295" s="17"/>
      <c r="AH295" s="17"/>
      <c r="AI295" s="17"/>
    </row>
    <row r="296" spans="1:35" ht="30" customHeight="1" x14ac:dyDescent="0.25">
      <c r="A296" s="24"/>
      <c r="B296" s="17"/>
      <c r="C296" s="17"/>
      <c r="D296" s="17"/>
      <c r="E296" s="17"/>
      <c r="F296" s="17"/>
      <c r="G296" s="17"/>
      <c r="H296" s="17"/>
      <c r="I296" s="17"/>
      <c r="J296" s="17"/>
      <c r="K296" s="17"/>
      <c r="L296" s="17"/>
      <c r="M296" s="17"/>
      <c r="N296" s="17"/>
      <c r="O296" s="17"/>
      <c r="P296" s="17"/>
      <c r="Q296" s="17"/>
      <c r="R296" s="17"/>
      <c r="S296" s="17"/>
      <c r="T296" s="17"/>
      <c r="U296" s="17"/>
      <c r="V296" s="17"/>
      <c r="W296" s="17"/>
      <c r="X296" s="17"/>
      <c r="Y296" s="17"/>
      <c r="Z296" s="17"/>
      <c r="AA296" s="17"/>
      <c r="AB296" s="17"/>
      <c r="AC296" s="17"/>
      <c r="AD296" s="17"/>
      <c r="AE296" s="17"/>
      <c r="AF296" s="17"/>
      <c r="AG296" s="17"/>
      <c r="AH296" s="17"/>
      <c r="AI296" s="17"/>
    </row>
    <row r="297" spans="1:35" ht="30" customHeight="1" x14ac:dyDescent="0.25">
      <c r="A297" s="24"/>
      <c r="B297" s="17"/>
      <c r="C297" s="17"/>
      <c r="D297" s="17"/>
      <c r="E297" s="17"/>
      <c r="F297" s="17"/>
      <c r="G297" s="17"/>
      <c r="H297" s="17"/>
      <c r="I297" s="17"/>
      <c r="J297" s="17"/>
      <c r="K297" s="17"/>
      <c r="L297" s="17"/>
      <c r="M297" s="17"/>
      <c r="N297" s="17"/>
      <c r="O297" s="17"/>
      <c r="P297" s="17"/>
      <c r="Q297" s="17"/>
      <c r="R297" s="17"/>
      <c r="S297" s="17"/>
      <c r="T297" s="17"/>
      <c r="U297" s="17"/>
      <c r="V297" s="17"/>
      <c r="W297" s="17"/>
      <c r="X297" s="17"/>
      <c r="Y297" s="17"/>
      <c r="Z297" s="17"/>
      <c r="AA297" s="17"/>
      <c r="AB297" s="17"/>
      <c r="AC297" s="17"/>
      <c r="AD297" s="17"/>
      <c r="AE297" s="17"/>
      <c r="AF297" s="17"/>
      <c r="AG297" s="17"/>
      <c r="AH297" s="17"/>
      <c r="AI297" s="17"/>
    </row>
    <row r="298" spans="1:35" ht="30" customHeight="1" x14ac:dyDescent="0.25">
      <c r="A298" s="24"/>
      <c r="B298" s="17"/>
      <c r="C298" s="17"/>
      <c r="D298" s="17"/>
      <c r="E298" s="17"/>
      <c r="F298" s="17"/>
      <c r="G298" s="17"/>
      <c r="H298" s="17"/>
      <c r="I298" s="17"/>
      <c r="J298" s="17"/>
      <c r="K298" s="17"/>
      <c r="L298" s="17"/>
      <c r="M298" s="17"/>
      <c r="N298" s="17"/>
      <c r="O298" s="17"/>
      <c r="P298" s="17"/>
      <c r="Q298" s="17"/>
      <c r="R298" s="17"/>
      <c r="S298" s="17"/>
      <c r="T298" s="17"/>
      <c r="U298" s="17"/>
      <c r="V298" s="17"/>
      <c r="W298" s="17"/>
      <c r="X298" s="17"/>
      <c r="Y298" s="17"/>
      <c r="Z298" s="17"/>
      <c r="AA298" s="17"/>
      <c r="AB298" s="17"/>
      <c r="AC298" s="17"/>
      <c r="AD298" s="17"/>
      <c r="AE298" s="17"/>
      <c r="AF298" s="17"/>
      <c r="AG298" s="17"/>
      <c r="AH298" s="17"/>
      <c r="AI298" s="17"/>
    </row>
    <row r="299" spans="1:35" ht="30" customHeight="1" x14ac:dyDescent="0.25">
      <c r="A299" s="24"/>
      <c r="B299" s="17"/>
      <c r="C299" s="17"/>
      <c r="D299" s="17"/>
      <c r="E299" s="17"/>
      <c r="F299" s="17"/>
      <c r="G299" s="17"/>
      <c r="H299" s="17"/>
      <c r="I299" s="17"/>
      <c r="J299" s="17"/>
      <c r="K299" s="17"/>
      <c r="L299" s="17"/>
      <c r="M299" s="17"/>
      <c r="N299" s="17"/>
      <c r="O299" s="17"/>
      <c r="P299" s="17"/>
      <c r="Q299" s="17"/>
      <c r="R299" s="17"/>
      <c r="S299" s="17"/>
      <c r="T299" s="17"/>
      <c r="U299" s="17"/>
      <c r="V299" s="17"/>
      <c r="W299" s="17"/>
      <c r="X299" s="17"/>
      <c r="Y299" s="17"/>
      <c r="Z299" s="17"/>
      <c r="AA299" s="17"/>
      <c r="AB299" s="17"/>
      <c r="AC299" s="17"/>
      <c r="AD299" s="17"/>
      <c r="AE299" s="17"/>
      <c r="AF299" s="17"/>
      <c r="AG299" s="17"/>
      <c r="AH299" s="17"/>
      <c r="AI299" s="17"/>
    </row>
    <row r="300" spans="1:35" ht="30" customHeight="1" x14ac:dyDescent="0.25">
      <c r="A300" s="24"/>
      <c r="B300" s="17"/>
      <c r="C300" s="17"/>
      <c r="D300" s="17"/>
      <c r="E300" s="17"/>
      <c r="F300" s="17"/>
      <c r="G300" s="17"/>
      <c r="H300" s="17"/>
      <c r="I300" s="17"/>
      <c r="J300" s="17"/>
      <c r="K300" s="17"/>
      <c r="L300" s="17"/>
      <c r="M300" s="17"/>
      <c r="N300" s="17"/>
      <c r="O300" s="17"/>
      <c r="P300" s="17"/>
      <c r="Q300" s="17"/>
      <c r="R300" s="17"/>
      <c r="S300" s="17"/>
      <c r="T300" s="17"/>
      <c r="U300" s="17"/>
      <c r="V300" s="17"/>
      <c r="W300" s="17"/>
      <c r="X300" s="17"/>
      <c r="Y300" s="17"/>
      <c r="Z300" s="17"/>
      <c r="AA300" s="17"/>
      <c r="AB300" s="17"/>
      <c r="AC300" s="17"/>
      <c r="AD300" s="17"/>
      <c r="AE300" s="17"/>
      <c r="AF300" s="17"/>
      <c r="AG300" s="17"/>
      <c r="AH300" s="17"/>
      <c r="AI300" s="17"/>
    </row>
    <row r="301" spans="1:35" ht="30" customHeight="1" x14ac:dyDescent="0.25">
      <c r="A301" s="24"/>
      <c r="B301" s="17"/>
      <c r="C301" s="17"/>
      <c r="D301" s="17"/>
      <c r="E301" s="17"/>
      <c r="F301" s="17"/>
      <c r="G301" s="17"/>
      <c r="H301" s="17"/>
      <c r="I301" s="17"/>
      <c r="J301" s="17"/>
      <c r="K301" s="17"/>
      <c r="L301" s="17"/>
      <c r="M301" s="17"/>
      <c r="N301" s="17"/>
      <c r="O301" s="17"/>
      <c r="P301" s="17"/>
      <c r="Q301" s="17"/>
      <c r="R301" s="17"/>
      <c r="S301" s="17"/>
      <c r="T301" s="17"/>
      <c r="U301" s="17"/>
      <c r="V301" s="17"/>
      <c r="W301" s="17"/>
      <c r="X301" s="17"/>
      <c r="Y301" s="17"/>
      <c r="Z301" s="17"/>
      <c r="AA301" s="17"/>
      <c r="AB301" s="17"/>
      <c r="AC301" s="17"/>
      <c r="AD301" s="17"/>
      <c r="AE301" s="17"/>
      <c r="AF301" s="17"/>
      <c r="AG301" s="17"/>
      <c r="AH301" s="17"/>
      <c r="AI301" s="17"/>
    </row>
    <row r="302" spans="1:35" ht="30" customHeight="1" x14ac:dyDescent="0.25">
      <c r="A302" s="24"/>
      <c r="B302" s="17"/>
      <c r="C302" s="17"/>
      <c r="D302" s="17"/>
      <c r="E302" s="17"/>
      <c r="F302" s="17"/>
      <c r="G302" s="17"/>
      <c r="H302" s="17"/>
      <c r="I302" s="17"/>
      <c r="J302" s="17"/>
      <c r="K302" s="17"/>
      <c r="L302" s="17"/>
      <c r="M302" s="17"/>
      <c r="N302" s="17"/>
      <c r="O302" s="17"/>
      <c r="P302" s="17"/>
      <c r="Q302" s="17"/>
      <c r="R302" s="17"/>
      <c r="S302" s="17"/>
      <c r="T302" s="17"/>
      <c r="U302" s="17"/>
      <c r="V302" s="17"/>
      <c r="W302" s="17"/>
      <c r="X302" s="17"/>
      <c r="Y302" s="17"/>
      <c r="Z302" s="17"/>
      <c r="AA302" s="17"/>
      <c r="AB302" s="17"/>
      <c r="AC302" s="17"/>
      <c r="AD302" s="17"/>
      <c r="AE302" s="17"/>
      <c r="AF302" s="17"/>
      <c r="AG302" s="17"/>
      <c r="AH302" s="17"/>
      <c r="AI302" s="17"/>
    </row>
    <row r="303" spans="1:35" ht="30" customHeight="1" x14ac:dyDescent="0.25">
      <c r="A303" s="24"/>
      <c r="B303" s="17"/>
      <c r="C303" s="17"/>
      <c r="D303" s="17"/>
      <c r="E303" s="17"/>
      <c r="F303" s="17"/>
      <c r="G303" s="17"/>
      <c r="H303" s="17"/>
      <c r="I303" s="17"/>
      <c r="J303" s="17"/>
      <c r="K303" s="17"/>
      <c r="L303" s="17"/>
      <c r="M303" s="17"/>
      <c r="N303" s="17"/>
      <c r="O303" s="17"/>
      <c r="P303" s="17"/>
      <c r="Q303" s="17"/>
      <c r="R303" s="17"/>
      <c r="S303" s="17"/>
      <c r="T303" s="17"/>
      <c r="U303" s="17"/>
      <c r="V303" s="17"/>
      <c r="W303" s="17"/>
      <c r="X303" s="17"/>
      <c r="Y303" s="17"/>
      <c r="Z303" s="17"/>
      <c r="AA303" s="17"/>
      <c r="AB303" s="17"/>
      <c r="AC303" s="17"/>
      <c r="AD303" s="17"/>
      <c r="AE303" s="17"/>
      <c r="AF303" s="17"/>
      <c r="AG303" s="17"/>
      <c r="AH303" s="17"/>
      <c r="AI303" s="17"/>
    </row>
    <row r="304" spans="1:35" ht="30" customHeight="1" x14ac:dyDescent="0.25">
      <c r="A304" s="24"/>
      <c r="B304" s="17"/>
      <c r="C304" s="17"/>
      <c r="D304" s="17"/>
      <c r="E304" s="17"/>
      <c r="F304" s="17"/>
      <c r="G304" s="17"/>
      <c r="H304" s="17"/>
      <c r="I304" s="17"/>
      <c r="J304" s="17"/>
      <c r="K304" s="17"/>
      <c r="L304" s="17"/>
      <c r="M304" s="17"/>
      <c r="N304" s="17"/>
      <c r="O304" s="17"/>
      <c r="P304" s="17"/>
      <c r="Q304" s="17"/>
      <c r="R304" s="17"/>
      <c r="S304" s="17"/>
      <c r="T304" s="17"/>
      <c r="U304" s="17"/>
      <c r="V304" s="17"/>
      <c r="W304" s="17"/>
      <c r="X304" s="17"/>
      <c r="Y304" s="17"/>
      <c r="Z304" s="17"/>
      <c r="AA304" s="17"/>
      <c r="AB304" s="17"/>
      <c r="AC304" s="17"/>
      <c r="AD304" s="17"/>
      <c r="AE304" s="17"/>
      <c r="AF304" s="17"/>
      <c r="AG304" s="17"/>
      <c r="AH304" s="17"/>
      <c r="AI304" s="17"/>
    </row>
    <row r="305" spans="1:35" ht="30" customHeight="1" x14ac:dyDescent="0.25">
      <c r="A305" s="24"/>
      <c r="B305" s="17"/>
      <c r="C305" s="17"/>
      <c r="D305" s="17"/>
      <c r="E305" s="17"/>
      <c r="F305" s="17"/>
      <c r="G305" s="17"/>
      <c r="H305" s="17"/>
      <c r="I305" s="17"/>
      <c r="J305" s="17"/>
      <c r="K305" s="17"/>
      <c r="L305" s="17"/>
      <c r="M305" s="17"/>
      <c r="N305" s="17"/>
      <c r="O305" s="17"/>
      <c r="P305" s="17"/>
      <c r="Q305" s="17"/>
      <c r="R305" s="17"/>
      <c r="S305" s="17"/>
      <c r="T305" s="17"/>
      <c r="U305" s="17"/>
      <c r="V305" s="17"/>
      <c r="W305" s="17"/>
      <c r="X305" s="17"/>
      <c r="Y305" s="17"/>
      <c r="Z305" s="17"/>
      <c r="AA305" s="17"/>
      <c r="AB305" s="17"/>
      <c r="AC305" s="17"/>
      <c r="AD305" s="17"/>
      <c r="AE305" s="17"/>
      <c r="AF305" s="17"/>
      <c r="AG305" s="17"/>
      <c r="AH305" s="17"/>
      <c r="AI305" s="17"/>
    </row>
    <row r="306" spans="1:35" ht="30" customHeight="1" x14ac:dyDescent="0.25">
      <c r="A306" s="24"/>
      <c r="B306" s="17"/>
      <c r="C306" s="17"/>
      <c r="D306" s="17"/>
      <c r="E306" s="17"/>
      <c r="F306" s="17"/>
      <c r="G306" s="17"/>
      <c r="H306" s="17"/>
      <c r="I306" s="17"/>
      <c r="J306" s="17"/>
      <c r="K306" s="17"/>
      <c r="L306" s="17"/>
      <c r="M306" s="17"/>
      <c r="N306" s="17"/>
      <c r="O306" s="17"/>
      <c r="P306" s="17"/>
      <c r="Q306" s="17"/>
      <c r="R306" s="17"/>
      <c r="S306" s="17"/>
      <c r="T306" s="17"/>
      <c r="U306" s="17"/>
      <c r="V306" s="17"/>
      <c r="W306" s="17"/>
      <c r="X306" s="17"/>
      <c r="Y306" s="17"/>
      <c r="Z306" s="17"/>
      <c r="AA306" s="17"/>
      <c r="AB306" s="17"/>
      <c r="AC306" s="17"/>
      <c r="AD306" s="17"/>
      <c r="AE306" s="17"/>
      <c r="AF306" s="17"/>
      <c r="AG306" s="17"/>
      <c r="AH306" s="17"/>
      <c r="AI306" s="17"/>
    </row>
    <row r="307" spans="1:35" ht="30" customHeight="1" x14ac:dyDescent="0.25">
      <c r="A307" s="24"/>
      <c r="B307" s="17"/>
      <c r="C307" s="17"/>
      <c r="D307" s="17"/>
      <c r="E307" s="17"/>
      <c r="F307" s="17"/>
      <c r="G307" s="17"/>
      <c r="H307" s="17"/>
      <c r="I307" s="17"/>
      <c r="J307" s="17"/>
      <c r="K307" s="17"/>
      <c r="L307" s="17"/>
      <c r="M307" s="17"/>
      <c r="N307" s="17"/>
      <c r="O307" s="17"/>
      <c r="P307" s="17"/>
      <c r="Q307" s="17"/>
      <c r="R307" s="17"/>
      <c r="S307" s="17"/>
      <c r="T307" s="17"/>
      <c r="U307" s="17"/>
      <c r="V307" s="17"/>
      <c r="W307" s="17"/>
      <c r="X307" s="17"/>
      <c r="Y307" s="17"/>
      <c r="Z307" s="17"/>
      <c r="AA307" s="17"/>
      <c r="AB307" s="17"/>
      <c r="AC307" s="17"/>
      <c r="AD307" s="17"/>
      <c r="AE307" s="17"/>
      <c r="AF307" s="17"/>
      <c r="AG307" s="17"/>
      <c r="AH307" s="17"/>
      <c r="AI307" s="17"/>
    </row>
    <row r="308" spans="1:35" ht="30" customHeight="1" x14ac:dyDescent="0.25">
      <c r="A308" s="24"/>
      <c r="B308" s="17"/>
      <c r="C308" s="17"/>
      <c r="D308" s="17"/>
      <c r="E308" s="17"/>
      <c r="F308" s="17"/>
      <c r="G308" s="17"/>
      <c r="H308" s="17"/>
      <c r="I308" s="17"/>
      <c r="J308" s="17"/>
      <c r="K308" s="17"/>
      <c r="L308" s="17"/>
      <c r="M308" s="17"/>
      <c r="N308" s="17"/>
      <c r="O308" s="17"/>
      <c r="P308" s="17"/>
      <c r="Q308" s="17"/>
      <c r="R308" s="17"/>
      <c r="S308" s="17"/>
      <c r="T308" s="17"/>
      <c r="U308" s="17"/>
      <c r="V308" s="17"/>
      <c r="W308" s="17"/>
      <c r="X308" s="17"/>
      <c r="Y308" s="17"/>
      <c r="Z308" s="17"/>
      <c r="AA308" s="17"/>
      <c r="AB308" s="17"/>
      <c r="AC308" s="17"/>
      <c r="AD308" s="17"/>
      <c r="AE308" s="17"/>
      <c r="AF308" s="17"/>
      <c r="AG308" s="17"/>
      <c r="AH308" s="17"/>
      <c r="AI308" s="17"/>
    </row>
    <row r="309" spans="1:35" ht="30" customHeight="1" x14ac:dyDescent="0.25">
      <c r="A309" s="24"/>
      <c r="B309" s="17"/>
      <c r="C309" s="17"/>
      <c r="D309" s="17"/>
      <c r="E309" s="17"/>
      <c r="F309" s="17"/>
      <c r="G309" s="17"/>
      <c r="H309" s="17"/>
      <c r="I309" s="17"/>
      <c r="J309" s="17"/>
      <c r="K309" s="17"/>
      <c r="L309" s="17"/>
      <c r="M309" s="17"/>
      <c r="N309" s="17"/>
      <c r="O309" s="17"/>
      <c r="P309" s="17"/>
      <c r="Q309" s="17"/>
      <c r="R309" s="17"/>
      <c r="S309" s="17"/>
      <c r="T309" s="17"/>
      <c r="U309" s="17"/>
      <c r="V309" s="17"/>
      <c r="W309" s="17"/>
      <c r="X309" s="17"/>
      <c r="Y309" s="17"/>
      <c r="Z309" s="17"/>
      <c r="AA309" s="17"/>
      <c r="AB309" s="17"/>
      <c r="AC309" s="17"/>
      <c r="AD309" s="17"/>
      <c r="AE309" s="17"/>
      <c r="AF309" s="17"/>
      <c r="AG309" s="17"/>
      <c r="AH309" s="17"/>
      <c r="AI309" s="17"/>
    </row>
    <row r="310" spans="1:35" ht="30" customHeight="1" x14ac:dyDescent="0.25">
      <c r="A310" s="24"/>
      <c r="B310" s="17"/>
      <c r="C310" s="17"/>
      <c r="D310" s="17"/>
      <c r="E310" s="17"/>
      <c r="F310" s="17"/>
      <c r="G310" s="17"/>
      <c r="H310" s="17"/>
      <c r="I310" s="17"/>
      <c r="J310" s="17"/>
      <c r="K310" s="17"/>
      <c r="L310" s="17"/>
      <c r="M310" s="17"/>
      <c r="N310" s="17"/>
      <c r="O310" s="17"/>
      <c r="P310" s="17"/>
      <c r="Q310" s="17"/>
      <c r="R310" s="17"/>
      <c r="S310" s="17"/>
      <c r="T310" s="17"/>
      <c r="U310" s="17"/>
      <c r="V310" s="17"/>
      <c r="W310" s="17"/>
      <c r="X310" s="17"/>
      <c r="Y310" s="17"/>
      <c r="Z310" s="17"/>
      <c r="AA310" s="17"/>
      <c r="AB310" s="17"/>
      <c r="AC310" s="17"/>
      <c r="AD310" s="17"/>
      <c r="AE310" s="17"/>
      <c r="AF310" s="17"/>
      <c r="AG310" s="17"/>
      <c r="AH310" s="17"/>
      <c r="AI310" s="17"/>
    </row>
    <row r="311" spans="1:35" ht="30" customHeight="1" x14ac:dyDescent="0.25">
      <c r="A311" s="24"/>
      <c r="B311" s="17"/>
      <c r="C311" s="17"/>
      <c r="D311" s="17"/>
      <c r="E311" s="17"/>
      <c r="F311" s="17"/>
      <c r="G311" s="17"/>
      <c r="H311" s="17"/>
      <c r="I311" s="17"/>
      <c r="J311" s="17"/>
      <c r="K311" s="17"/>
      <c r="L311" s="17"/>
      <c r="M311" s="17"/>
      <c r="N311" s="17"/>
      <c r="O311" s="17"/>
      <c r="P311" s="17"/>
      <c r="Q311" s="17"/>
      <c r="R311" s="17"/>
      <c r="S311" s="17"/>
      <c r="T311" s="17"/>
      <c r="U311" s="17"/>
      <c r="V311" s="17"/>
      <c r="W311" s="17"/>
      <c r="X311" s="17"/>
      <c r="Y311" s="17"/>
      <c r="Z311" s="17"/>
      <c r="AA311" s="17"/>
      <c r="AB311" s="17"/>
      <c r="AC311" s="17"/>
      <c r="AD311" s="17"/>
      <c r="AE311" s="17"/>
      <c r="AF311" s="17"/>
      <c r="AG311" s="17"/>
      <c r="AH311" s="17"/>
      <c r="AI311" s="17"/>
    </row>
    <row r="312" spans="1:35" ht="30" customHeight="1" x14ac:dyDescent="0.25">
      <c r="A312" s="24"/>
      <c r="B312" s="17"/>
      <c r="C312" s="17"/>
      <c r="D312" s="17"/>
      <c r="E312" s="17"/>
      <c r="F312" s="17"/>
      <c r="G312" s="17"/>
      <c r="H312" s="17"/>
      <c r="I312" s="17"/>
      <c r="J312" s="17"/>
      <c r="K312" s="17"/>
      <c r="L312" s="17"/>
      <c r="M312" s="17"/>
      <c r="N312" s="17"/>
      <c r="O312" s="17"/>
      <c r="P312" s="17"/>
      <c r="Q312" s="17"/>
      <c r="R312" s="17"/>
      <c r="S312" s="17"/>
      <c r="T312" s="17"/>
      <c r="U312" s="17"/>
      <c r="V312" s="17"/>
      <c r="W312" s="17"/>
      <c r="X312" s="17"/>
      <c r="Y312" s="17"/>
      <c r="Z312" s="17"/>
      <c r="AA312" s="17"/>
      <c r="AB312" s="17"/>
      <c r="AC312" s="17"/>
      <c r="AD312" s="17"/>
      <c r="AE312" s="17"/>
      <c r="AF312" s="17"/>
      <c r="AG312" s="17"/>
      <c r="AH312" s="17"/>
      <c r="AI312" s="17"/>
    </row>
    <row r="313" spans="1:35" ht="30" customHeight="1" x14ac:dyDescent="0.25">
      <c r="A313" s="24"/>
      <c r="B313" s="17"/>
      <c r="C313" s="17"/>
      <c r="D313" s="17"/>
      <c r="E313" s="17"/>
      <c r="F313" s="17"/>
      <c r="G313" s="17"/>
      <c r="H313" s="17"/>
      <c r="I313" s="17"/>
      <c r="J313" s="17"/>
      <c r="K313" s="17"/>
      <c r="L313" s="17"/>
      <c r="M313" s="17"/>
      <c r="N313" s="17"/>
      <c r="O313" s="17"/>
      <c r="P313" s="17"/>
      <c r="Q313" s="17"/>
      <c r="R313" s="17"/>
      <c r="S313" s="17"/>
      <c r="T313" s="17"/>
      <c r="U313" s="17"/>
      <c r="V313" s="17"/>
      <c r="W313" s="17"/>
      <c r="X313" s="17"/>
      <c r="Y313" s="17"/>
      <c r="Z313" s="17"/>
      <c r="AA313" s="17"/>
      <c r="AB313" s="17"/>
      <c r="AC313" s="17"/>
      <c r="AD313" s="17"/>
      <c r="AE313" s="17"/>
      <c r="AF313" s="17"/>
      <c r="AG313" s="17"/>
      <c r="AH313" s="17"/>
      <c r="AI313" s="17"/>
    </row>
    <row r="314" spans="1:35" ht="30" customHeight="1" x14ac:dyDescent="0.25">
      <c r="A314" s="24"/>
      <c r="B314" s="17"/>
      <c r="C314" s="17"/>
      <c r="D314" s="17"/>
      <c r="E314" s="17"/>
      <c r="F314" s="17"/>
      <c r="G314" s="17"/>
      <c r="H314" s="17"/>
      <c r="I314" s="17"/>
      <c r="J314" s="17"/>
      <c r="K314" s="17"/>
      <c r="L314" s="17"/>
      <c r="M314" s="17"/>
      <c r="N314" s="17"/>
      <c r="O314" s="17"/>
      <c r="P314" s="17"/>
      <c r="Q314" s="17"/>
      <c r="R314" s="17"/>
      <c r="S314" s="17"/>
      <c r="T314" s="17"/>
      <c r="U314" s="17"/>
      <c r="V314" s="17"/>
      <c r="W314" s="17"/>
      <c r="X314" s="17"/>
      <c r="Y314" s="17"/>
      <c r="Z314" s="17"/>
      <c r="AA314" s="17"/>
      <c r="AB314" s="17"/>
      <c r="AC314" s="17"/>
      <c r="AD314" s="17"/>
      <c r="AE314" s="17"/>
      <c r="AF314" s="17"/>
      <c r="AG314" s="17"/>
      <c r="AH314" s="17"/>
      <c r="AI314" s="17"/>
    </row>
    <row r="315" spans="1:35" ht="30" customHeight="1" x14ac:dyDescent="0.25">
      <c r="A315" s="24"/>
      <c r="B315" s="17"/>
      <c r="C315" s="17"/>
      <c r="D315" s="17"/>
      <c r="E315" s="17"/>
      <c r="F315" s="17"/>
      <c r="G315" s="17"/>
      <c r="H315" s="17"/>
      <c r="I315" s="17"/>
      <c r="J315" s="17"/>
      <c r="K315" s="17"/>
      <c r="L315" s="17"/>
      <c r="M315" s="17"/>
      <c r="N315" s="17"/>
      <c r="O315" s="17"/>
      <c r="P315" s="17"/>
      <c r="Q315" s="17"/>
      <c r="R315" s="17"/>
      <c r="S315" s="17"/>
      <c r="T315" s="17"/>
      <c r="U315" s="17"/>
      <c r="V315" s="17"/>
      <c r="W315" s="17"/>
      <c r="X315" s="17"/>
      <c r="Y315" s="17"/>
      <c r="Z315" s="17"/>
      <c r="AA315" s="17"/>
      <c r="AB315" s="17"/>
      <c r="AC315" s="17"/>
      <c r="AD315" s="17"/>
      <c r="AE315" s="17"/>
      <c r="AF315" s="17"/>
      <c r="AG315" s="17"/>
      <c r="AH315" s="17"/>
      <c r="AI315" s="17"/>
    </row>
    <row r="316" spans="1:35" ht="30" customHeight="1" x14ac:dyDescent="0.25">
      <c r="A316" s="24"/>
      <c r="B316" s="17"/>
      <c r="C316" s="17"/>
      <c r="D316" s="17"/>
      <c r="E316" s="17"/>
      <c r="F316" s="17"/>
      <c r="G316" s="17"/>
      <c r="H316" s="17"/>
      <c r="I316" s="17"/>
      <c r="J316" s="17"/>
      <c r="K316" s="17"/>
      <c r="L316" s="17"/>
      <c r="M316" s="17"/>
      <c r="N316" s="17"/>
      <c r="O316" s="17"/>
      <c r="P316" s="17"/>
      <c r="Q316" s="17"/>
      <c r="R316" s="17"/>
      <c r="S316" s="17"/>
      <c r="T316" s="17"/>
      <c r="U316" s="17"/>
      <c r="V316" s="17"/>
      <c r="W316" s="17"/>
      <c r="X316" s="17"/>
      <c r="Y316" s="17"/>
      <c r="Z316" s="17"/>
      <c r="AA316" s="17"/>
      <c r="AB316" s="17"/>
      <c r="AC316" s="17"/>
      <c r="AD316" s="17"/>
      <c r="AE316" s="17"/>
      <c r="AF316" s="17"/>
      <c r="AG316" s="17"/>
      <c r="AH316" s="17"/>
      <c r="AI316" s="17"/>
    </row>
    <row r="317" spans="1:35" ht="30" customHeight="1" x14ac:dyDescent="0.25">
      <c r="A317" s="24"/>
      <c r="B317" s="17"/>
      <c r="C317" s="17"/>
      <c r="D317" s="17"/>
      <c r="E317" s="17"/>
      <c r="F317" s="17"/>
      <c r="G317" s="17"/>
      <c r="H317" s="17"/>
      <c r="I317" s="17"/>
      <c r="J317" s="17"/>
      <c r="K317" s="17"/>
      <c r="L317" s="17"/>
      <c r="M317" s="17"/>
      <c r="N317" s="17"/>
      <c r="O317" s="17"/>
      <c r="P317" s="17"/>
      <c r="Q317" s="17"/>
      <c r="R317" s="17"/>
      <c r="S317" s="17"/>
      <c r="T317" s="17"/>
      <c r="U317" s="17"/>
      <c r="V317" s="17"/>
      <c r="W317" s="17"/>
      <c r="X317" s="17"/>
      <c r="Y317" s="17"/>
      <c r="Z317" s="17"/>
      <c r="AA317" s="17"/>
      <c r="AB317" s="17"/>
      <c r="AC317" s="17"/>
      <c r="AD317" s="17"/>
      <c r="AE317" s="17"/>
      <c r="AF317" s="17"/>
      <c r="AG317" s="17"/>
      <c r="AH317" s="17"/>
      <c r="AI317" s="17"/>
    </row>
    <row r="318" spans="1:35" ht="30" customHeight="1" x14ac:dyDescent="0.25">
      <c r="A318" s="24"/>
      <c r="B318" s="17"/>
      <c r="C318" s="17"/>
      <c r="D318" s="17"/>
      <c r="E318" s="17"/>
      <c r="F318" s="17"/>
      <c r="G318" s="17"/>
      <c r="H318" s="17"/>
      <c r="I318" s="17"/>
      <c r="J318" s="17"/>
      <c r="K318" s="17"/>
      <c r="L318" s="17"/>
      <c r="M318" s="17"/>
      <c r="N318" s="17"/>
      <c r="O318" s="17"/>
      <c r="P318" s="17"/>
      <c r="Q318" s="17"/>
      <c r="R318" s="17"/>
      <c r="S318" s="17"/>
      <c r="T318" s="17"/>
      <c r="U318" s="17"/>
      <c r="V318" s="17"/>
      <c r="W318" s="17"/>
      <c r="X318" s="17"/>
      <c r="Y318" s="17"/>
      <c r="Z318" s="17"/>
      <c r="AA318" s="17"/>
      <c r="AB318" s="17"/>
      <c r="AC318" s="17"/>
      <c r="AD318" s="17"/>
      <c r="AE318" s="17"/>
      <c r="AF318" s="17"/>
      <c r="AG318" s="17"/>
      <c r="AH318" s="17"/>
      <c r="AI318" s="17"/>
    </row>
    <row r="319" spans="1:35" ht="30" customHeight="1" x14ac:dyDescent="0.25">
      <c r="A319" s="24"/>
      <c r="B319" s="17"/>
      <c r="C319" s="17"/>
      <c r="D319" s="17"/>
      <c r="E319" s="17"/>
      <c r="F319" s="17"/>
      <c r="G319" s="17"/>
      <c r="H319" s="17"/>
      <c r="I319" s="17"/>
      <c r="J319" s="17"/>
      <c r="K319" s="17"/>
      <c r="L319" s="17"/>
      <c r="M319" s="17"/>
      <c r="N319" s="17"/>
      <c r="O319" s="17"/>
      <c r="P319" s="17"/>
      <c r="Q319" s="17"/>
      <c r="R319" s="17"/>
      <c r="S319" s="17"/>
      <c r="T319" s="17"/>
      <c r="U319" s="17"/>
      <c r="V319" s="17"/>
      <c r="W319" s="17"/>
      <c r="X319" s="17"/>
      <c r="Y319" s="17"/>
      <c r="Z319" s="17"/>
      <c r="AA319" s="17"/>
      <c r="AB319" s="17"/>
      <c r="AC319" s="17"/>
      <c r="AD319" s="17"/>
      <c r="AE319" s="17"/>
      <c r="AF319" s="17"/>
      <c r="AG319" s="17"/>
      <c r="AH319" s="17"/>
      <c r="AI319" s="17"/>
    </row>
    <row r="320" spans="1:35" ht="30" customHeight="1" x14ac:dyDescent="0.25">
      <c r="A320" s="24"/>
      <c r="B320" s="17"/>
      <c r="C320" s="17"/>
      <c r="D320" s="17"/>
      <c r="E320" s="17"/>
      <c r="F320" s="17"/>
      <c r="G320" s="17"/>
      <c r="H320" s="17"/>
      <c r="I320" s="17"/>
      <c r="J320" s="17"/>
      <c r="K320" s="17"/>
      <c r="L320" s="17"/>
      <c r="M320" s="17"/>
      <c r="N320" s="17"/>
      <c r="O320" s="17"/>
      <c r="P320" s="17"/>
      <c r="Q320" s="17"/>
      <c r="R320" s="17"/>
      <c r="S320" s="17"/>
      <c r="T320" s="17"/>
      <c r="U320" s="17"/>
      <c r="V320" s="17"/>
      <c r="W320" s="17"/>
      <c r="X320" s="17"/>
      <c r="Y320" s="17"/>
      <c r="Z320" s="17"/>
      <c r="AA320" s="17"/>
      <c r="AB320" s="17"/>
      <c r="AC320" s="17"/>
      <c r="AD320" s="17"/>
      <c r="AE320" s="17"/>
      <c r="AF320" s="17"/>
      <c r="AG320" s="17"/>
      <c r="AH320" s="17"/>
      <c r="AI320" s="17"/>
    </row>
    <row r="321" spans="1:35" ht="30" customHeight="1" x14ac:dyDescent="0.25">
      <c r="A321" s="24"/>
      <c r="B321" s="17"/>
      <c r="C321" s="17"/>
      <c r="D321" s="17"/>
      <c r="E321" s="17"/>
      <c r="F321" s="17"/>
      <c r="G321" s="17"/>
      <c r="H321" s="17"/>
      <c r="I321" s="17"/>
      <c r="J321" s="17"/>
      <c r="K321" s="17"/>
      <c r="L321" s="17"/>
      <c r="M321" s="17"/>
      <c r="N321" s="17"/>
      <c r="O321" s="17"/>
      <c r="P321" s="17"/>
      <c r="Q321" s="17"/>
      <c r="R321" s="17"/>
      <c r="S321" s="17"/>
      <c r="T321" s="17"/>
      <c r="U321" s="17"/>
      <c r="V321" s="17"/>
      <c r="W321" s="17"/>
      <c r="X321" s="17"/>
      <c r="Y321" s="17"/>
      <c r="Z321" s="17"/>
      <c r="AA321" s="17"/>
      <c r="AB321" s="17"/>
      <c r="AC321" s="17"/>
      <c r="AD321" s="17"/>
      <c r="AE321" s="17"/>
      <c r="AF321" s="17"/>
      <c r="AG321" s="17"/>
      <c r="AH321" s="17"/>
      <c r="AI321" s="17"/>
    </row>
    <row r="322" spans="1:35" ht="30" customHeight="1" x14ac:dyDescent="0.25">
      <c r="A322" s="24"/>
      <c r="B322" s="17"/>
      <c r="C322" s="17"/>
      <c r="D322" s="17"/>
      <c r="E322" s="17"/>
      <c r="F322" s="17"/>
      <c r="G322" s="17"/>
      <c r="H322" s="17"/>
      <c r="I322" s="17"/>
      <c r="J322" s="17"/>
      <c r="K322" s="17"/>
      <c r="L322" s="17"/>
      <c r="M322" s="17"/>
      <c r="N322" s="17"/>
      <c r="O322" s="17"/>
      <c r="P322" s="17"/>
      <c r="Q322" s="17"/>
      <c r="R322" s="17"/>
      <c r="S322" s="17"/>
      <c r="T322" s="17"/>
      <c r="U322" s="17"/>
      <c r="V322" s="17"/>
      <c r="W322" s="17"/>
      <c r="X322" s="17"/>
      <c r="Y322" s="17"/>
      <c r="Z322" s="17"/>
      <c r="AA322" s="17"/>
      <c r="AB322" s="17"/>
      <c r="AC322" s="17"/>
      <c r="AD322" s="17"/>
      <c r="AE322" s="17"/>
      <c r="AF322" s="17"/>
      <c r="AG322" s="17"/>
      <c r="AH322" s="17"/>
      <c r="AI322" s="17"/>
    </row>
    <row r="323" spans="1:35" ht="30" customHeight="1" x14ac:dyDescent="0.25">
      <c r="A323" s="24"/>
      <c r="B323" s="17"/>
      <c r="C323" s="17"/>
      <c r="D323" s="17"/>
      <c r="E323" s="17"/>
      <c r="F323" s="17"/>
      <c r="G323" s="17"/>
      <c r="H323" s="17"/>
      <c r="I323" s="17"/>
      <c r="J323" s="17"/>
      <c r="K323" s="17"/>
      <c r="L323" s="17"/>
      <c r="M323" s="17"/>
      <c r="N323" s="17"/>
      <c r="O323" s="17"/>
      <c r="P323" s="17"/>
      <c r="Q323" s="17"/>
      <c r="R323" s="17"/>
      <c r="S323" s="17"/>
      <c r="T323" s="17"/>
      <c r="U323" s="17"/>
      <c r="V323" s="17"/>
      <c r="W323" s="17"/>
      <c r="X323" s="17"/>
      <c r="Y323" s="17"/>
      <c r="Z323" s="17"/>
      <c r="AA323" s="17"/>
      <c r="AB323" s="17"/>
      <c r="AC323" s="17"/>
      <c r="AD323" s="17"/>
      <c r="AE323" s="17"/>
      <c r="AF323" s="17"/>
      <c r="AG323" s="17"/>
      <c r="AH323" s="17"/>
      <c r="AI323" s="17"/>
    </row>
    <row r="324" spans="1:35" ht="30" customHeight="1" x14ac:dyDescent="0.25">
      <c r="A324" s="24"/>
      <c r="B324" s="17"/>
      <c r="C324" s="17"/>
      <c r="D324" s="17"/>
      <c r="E324" s="17"/>
      <c r="F324" s="17"/>
      <c r="G324" s="17"/>
      <c r="H324" s="17"/>
      <c r="I324" s="17"/>
      <c r="J324" s="17"/>
      <c r="K324" s="17"/>
      <c r="L324" s="17"/>
      <c r="M324" s="17"/>
      <c r="N324" s="17"/>
      <c r="O324" s="17"/>
      <c r="P324" s="17"/>
      <c r="Q324" s="17"/>
      <c r="R324" s="17"/>
      <c r="S324" s="17"/>
      <c r="T324" s="17"/>
      <c r="U324" s="17"/>
      <c r="V324" s="17"/>
      <c r="W324" s="17"/>
      <c r="X324" s="17"/>
      <c r="Y324" s="17"/>
      <c r="Z324" s="17"/>
      <c r="AA324" s="17"/>
      <c r="AB324" s="17"/>
      <c r="AC324" s="17"/>
      <c r="AD324" s="17"/>
      <c r="AE324" s="17"/>
      <c r="AF324" s="17"/>
      <c r="AG324" s="17"/>
      <c r="AH324" s="17"/>
      <c r="AI324" s="17"/>
    </row>
    <row r="325" spans="1:35" ht="30" customHeight="1" x14ac:dyDescent="0.25">
      <c r="A325" s="24"/>
      <c r="B325" s="17"/>
      <c r="C325" s="17"/>
      <c r="D325" s="17"/>
      <c r="E325" s="17"/>
      <c r="F325" s="17"/>
      <c r="G325" s="17"/>
      <c r="H325" s="17"/>
      <c r="I325" s="17"/>
      <c r="J325" s="17"/>
      <c r="K325" s="17"/>
      <c r="L325" s="17"/>
      <c r="M325" s="17"/>
      <c r="N325" s="17"/>
      <c r="O325" s="17"/>
      <c r="P325" s="17"/>
      <c r="Q325" s="17"/>
      <c r="R325" s="17"/>
      <c r="S325" s="17"/>
      <c r="T325" s="17"/>
      <c r="U325" s="17"/>
      <c r="V325" s="17"/>
      <c r="W325" s="17"/>
      <c r="X325" s="17"/>
      <c r="Y325" s="17"/>
      <c r="Z325" s="17"/>
      <c r="AA325" s="17"/>
      <c r="AB325" s="17"/>
      <c r="AC325" s="17"/>
      <c r="AD325" s="17"/>
      <c r="AE325" s="17"/>
      <c r="AF325" s="17"/>
      <c r="AG325" s="17"/>
      <c r="AH325" s="17"/>
      <c r="AI325" s="17"/>
    </row>
    <row r="326" spans="1:35" ht="30" customHeight="1" x14ac:dyDescent="0.25">
      <c r="A326" s="24"/>
      <c r="B326" s="17"/>
      <c r="C326" s="17"/>
      <c r="D326" s="17"/>
      <c r="E326" s="17"/>
      <c r="F326" s="17"/>
      <c r="G326" s="17"/>
      <c r="H326" s="17"/>
      <c r="I326" s="17"/>
      <c r="J326" s="17"/>
      <c r="K326" s="17"/>
      <c r="L326" s="17"/>
      <c r="M326" s="17"/>
      <c r="N326" s="17"/>
      <c r="O326" s="17"/>
      <c r="P326" s="17"/>
      <c r="Q326" s="17"/>
      <c r="R326" s="17"/>
      <c r="S326" s="17"/>
      <c r="T326" s="17"/>
      <c r="U326" s="17"/>
      <c r="V326" s="17"/>
      <c r="W326" s="17"/>
      <c r="X326" s="17"/>
      <c r="Y326" s="17"/>
      <c r="Z326" s="17"/>
      <c r="AA326" s="17"/>
      <c r="AB326" s="17"/>
      <c r="AC326" s="17"/>
      <c r="AD326" s="17"/>
      <c r="AE326" s="17"/>
      <c r="AF326" s="17"/>
      <c r="AG326" s="17"/>
      <c r="AH326" s="17"/>
      <c r="AI326" s="17"/>
    </row>
    <row r="327" spans="1:35" ht="30" customHeight="1" x14ac:dyDescent="0.25">
      <c r="A327" s="24"/>
      <c r="B327" s="17"/>
      <c r="C327" s="17"/>
      <c r="D327" s="17"/>
      <c r="E327" s="17"/>
      <c r="F327" s="17"/>
      <c r="G327" s="17"/>
      <c r="H327" s="17"/>
      <c r="I327" s="17"/>
      <c r="J327" s="17"/>
      <c r="K327" s="17"/>
      <c r="L327" s="17"/>
      <c r="M327" s="17"/>
      <c r="N327" s="17"/>
      <c r="O327" s="17"/>
      <c r="P327" s="17"/>
      <c r="Q327" s="17"/>
      <c r="R327" s="17"/>
      <c r="S327" s="17"/>
      <c r="T327" s="17"/>
      <c r="U327" s="17"/>
      <c r="V327" s="17"/>
      <c r="W327" s="17"/>
      <c r="X327" s="17"/>
      <c r="Y327" s="17"/>
      <c r="Z327" s="17"/>
      <c r="AA327" s="17"/>
      <c r="AB327" s="17"/>
      <c r="AC327" s="17"/>
      <c r="AD327" s="17"/>
      <c r="AE327" s="17"/>
      <c r="AF327" s="17"/>
      <c r="AG327" s="17"/>
      <c r="AH327" s="17"/>
      <c r="AI327" s="17"/>
    </row>
    <row r="328" spans="1:35" ht="30" customHeight="1" x14ac:dyDescent="0.25">
      <c r="A328" s="24"/>
      <c r="B328" s="17"/>
      <c r="C328" s="17"/>
      <c r="D328" s="17"/>
      <c r="E328" s="17"/>
      <c r="F328" s="17"/>
      <c r="G328" s="17"/>
      <c r="H328" s="17"/>
      <c r="I328" s="17"/>
      <c r="J328" s="17"/>
      <c r="K328" s="17"/>
      <c r="L328" s="17"/>
      <c r="M328" s="17"/>
      <c r="N328" s="17"/>
      <c r="O328" s="17"/>
      <c r="P328" s="17"/>
      <c r="Q328" s="17"/>
      <c r="R328" s="17"/>
      <c r="S328" s="17"/>
      <c r="T328" s="17"/>
      <c r="U328" s="17"/>
      <c r="V328" s="17"/>
      <c r="W328" s="17"/>
      <c r="X328" s="17"/>
      <c r="Y328" s="17"/>
      <c r="Z328" s="17"/>
      <c r="AA328" s="17"/>
      <c r="AB328" s="17"/>
      <c r="AC328" s="17"/>
      <c r="AD328" s="17"/>
      <c r="AE328" s="17"/>
      <c r="AF328" s="17"/>
      <c r="AG328" s="17"/>
      <c r="AH328" s="17"/>
      <c r="AI328" s="17"/>
    </row>
    <row r="329" spans="1:35" ht="30" customHeight="1" x14ac:dyDescent="0.25">
      <c r="A329" s="24"/>
      <c r="B329" s="17"/>
      <c r="C329" s="17"/>
      <c r="D329" s="17"/>
      <c r="E329" s="17"/>
      <c r="F329" s="17"/>
      <c r="G329" s="17"/>
      <c r="H329" s="17"/>
      <c r="I329" s="17"/>
      <c r="J329" s="17"/>
      <c r="K329" s="17"/>
      <c r="L329" s="17"/>
      <c r="M329" s="17"/>
      <c r="N329" s="17"/>
      <c r="O329" s="17"/>
      <c r="P329" s="17"/>
      <c r="Q329" s="17"/>
      <c r="R329" s="17"/>
      <c r="S329" s="17"/>
      <c r="T329" s="17"/>
      <c r="U329" s="17"/>
      <c r="V329" s="17"/>
      <c r="W329" s="17"/>
      <c r="X329" s="17"/>
      <c r="Y329" s="17"/>
      <c r="Z329" s="17"/>
      <c r="AA329" s="17"/>
      <c r="AB329" s="17"/>
      <c r="AC329" s="17"/>
      <c r="AD329" s="17"/>
      <c r="AE329" s="17"/>
      <c r="AF329" s="17"/>
      <c r="AG329" s="17"/>
      <c r="AH329" s="17"/>
      <c r="AI329" s="17"/>
    </row>
    <row r="330" spans="1:35" ht="30" customHeight="1" x14ac:dyDescent="0.25">
      <c r="A330" s="24"/>
      <c r="B330" s="17"/>
      <c r="C330" s="17"/>
      <c r="D330" s="17"/>
      <c r="E330" s="17"/>
      <c r="F330" s="17"/>
      <c r="G330" s="17"/>
      <c r="H330" s="17"/>
      <c r="I330" s="17"/>
      <c r="J330" s="17"/>
      <c r="K330" s="17"/>
      <c r="L330" s="17"/>
      <c r="M330" s="17"/>
      <c r="N330" s="17"/>
      <c r="O330" s="17"/>
      <c r="P330" s="17"/>
      <c r="Q330" s="17"/>
      <c r="R330" s="17"/>
      <c r="S330" s="17"/>
      <c r="T330" s="17"/>
      <c r="U330" s="17"/>
      <c r="V330" s="17"/>
      <c r="W330" s="17"/>
      <c r="X330" s="17"/>
      <c r="Y330" s="17"/>
      <c r="Z330" s="17"/>
      <c r="AA330" s="17"/>
      <c r="AB330" s="17"/>
      <c r="AC330" s="17"/>
      <c r="AD330" s="17"/>
      <c r="AE330" s="17"/>
      <c r="AF330" s="17"/>
      <c r="AG330" s="17"/>
      <c r="AH330" s="17"/>
      <c r="AI330" s="17"/>
    </row>
    <row r="331" spans="1:35" ht="30" customHeight="1" x14ac:dyDescent="0.25">
      <c r="A331" s="24"/>
      <c r="B331" s="17"/>
      <c r="C331" s="17"/>
      <c r="D331" s="17"/>
      <c r="E331" s="17"/>
      <c r="F331" s="17"/>
      <c r="G331" s="17"/>
      <c r="H331" s="17"/>
      <c r="I331" s="17"/>
      <c r="J331" s="17"/>
      <c r="K331" s="17"/>
      <c r="L331" s="17"/>
      <c r="M331" s="17"/>
      <c r="N331" s="17"/>
      <c r="O331" s="17"/>
      <c r="P331" s="17"/>
      <c r="Q331" s="17"/>
      <c r="R331" s="17"/>
      <c r="S331" s="17"/>
      <c r="T331" s="17"/>
      <c r="U331" s="17"/>
      <c r="V331" s="17"/>
      <c r="W331" s="17"/>
      <c r="X331" s="17"/>
      <c r="Y331" s="17"/>
      <c r="Z331" s="17"/>
      <c r="AA331" s="17"/>
      <c r="AB331" s="17"/>
      <c r="AC331" s="17"/>
      <c r="AD331" s="17"/>
      <c r="AE331" s="17"/>
      <c r="AF331" s="17"/>
      <c r="AG331" s="17"/>
      <c r="AH331" s="17"/>
      <c r="AI331" s="17"/>
    </row>
    <row r="332" spans="1:35" ht="30" customHeight="1" x14ac:dyDescent="0.25">
      <c r="A332" s="24"/>
      <c r="B332" s="17"/>
      <c r="C332" s="17"/>
      <c r="D332" s="17"/>
      <c r="E332" s="17"/>
      <c r="F332" s="17"/>
      <c r="G332" s="17"/>
      <c r="H332" s="17"/>
      <c r="I332" s="17"/>
      <c r="J332" s="17"/>
      <c r="K332" s="17"/>
      <c r="L332" s="17"/>
      <c r="M332" s="17"/>
      <c r="N332" s="17"/>
      <c r="O332" s="17"/>
      <c r="P332" s="17"/>
      <c r="Q332" s="17"/>
      <c r="R332" s="17"/>
      <c r="S332" s="17"/>
      <c r="T332" s="17"/>
      <c r="U332" s="17"/>
      <c r="V332" s="17"/>
      <c r="W332" s="17"/>
      <c r="X332" s="17"/>
      <c r="Y332" s="17"/>
      <c r="Z332" s="17"/>
      <c r="AA332" s="17"/>
      <c r="AB332" s="17"/>
      <c r="AC332" s="17"/>
      <c r="AD332" s="17"/>
      <c r="AE332" s="17"/>
      <c r="AF332" s="17"/>
      <c r="AG332" s="17"/>
      <c r="AH332" s="17"/>
      <c r="AI332" s="17"/>
    </row>
    <row r="333" spans="1:35" ht="30" customHeight="1" x14ac:dyDescent="0.25">
      <c r="A333" s="24"/>
      <c r="B333" s="17"/>
      <c r="C333" s="17"/>
      <c r="D333" s="17"/>
      <c r="E333" s="17"/>
      <c r="F333" s="17"/>
      <c r="G333" s="17"/>
      <c r="H333" s="17"/>
      <c r="I333" s="17"/>
      <c r="J333" s="17"/>
      <c r="K333" s="17"/>
      <c r="L333" s="17"/>
      <c r="M333" s="17"/>
      <c r="N333" s="17"/>
      <c r="O333" s="17"/>
      <c r="P333" s="17"/>
      <c r="Q333" s="17"/>
      <c r="R333" s="17"/>
      <c r="S333" s="17"/>
      <c r="T333" s="17"/>
      <c r="U333" s="17"/>
      <c r="V333" s="17"/>
      <c r="W333" s="17"/>
      <c r="X333" s="17"/>
      <c r="Y333" s="17"/>
      <c r="Z333" s="17"/>
      <c r="AA333" s="17"/>
      <c r="AB333" s="17"/>
      <c r="AC333" s="17"/>
      <c r="AD333" s="17"/>
      <c r="AE333" s="17"/>
      <c r="AF333" s="17"/>
      <c r="AG333" s="17"/>
      <c r="AH333" s="17"/>
      <c r="AI333" s="17"/>
    </row>
    <row r="334" spans="1:35" ht="30" customHeight="1" x14ac:dyDescent="0.25">
      <c r="A334" s="24"/>
      <c r="B334" s="17"/>
      <c r="C334" s="17"/>
      <c r="D334" s="17"/>
      <c r="E334" s="17"/>
      <c r="F334" s="17"/>
      <c r="G334" s="17"/>
      <c r="H334" s="17"/>
      <c r="I334" s="17"/>
      <c r="J334" s="17"/>
      <c r="K334" s="17"/>
      <c r="L334" s="17"/>
      <c r="M334" s="17"/>
      <c r="N334" s="17"/>
      <c r="O334" s="17"/>
      <c r="P334" s="17"/>
      <c r="Q334" s="17"/>
      <c r="R334" s="17"/>
      <c r="S334" s="17"/>
      <c r="T334" s="17"/>
      <c r="U334" s="17"/>
      <c r="V334" s="17"/>
      <c r="W334" s="17"/>
      <c r="X334" s="17"/>
      <c r="Y334" s="17"/>
      <c r="Z334" s="17"/>
      <c r="AA334" s="17"/>
      <c r="AB334" s="17"/>
      <c r="AC334" s="17"/>
      <c r="AD334" s="17"/>
      <c r="AE334" s="17"/>
      <c r="AF334" s="17"/>
      <c r="AG334" s="17"/>
      <c r="AH334" s="17"/>
      <c r="AI334" s="17"/>
    </row>
    <row r="335" spans="1:35" ht="30" customHeight="1" x14ac:dyDescent="0.25">
      <c r="A335" s="24"/>
      <c r="B335" s="17"/>
      <c r="C335" s="17"/>
      <c r="D335" s="17"/>
      <c r="E335" s="17"/>
      <c r="F335" s="17"/>
      <c r="G335" s="17"/>
      <c r="H335" s="17"/>
      <c r="I335" s="17"/>
      <c r="J335" s="17"/>
      <c r="K335" s="17"/>
      <c r="L335" s="17"/>
      <c r="M335" s="17"/>
      <c r="N335" s="17"/>
      <c r="O335" s="17"/>
      <c r="P335" s="17"/>
      <c r="Q335" s="17"/>
      <c r="R335" s="17"/>
      <c r="S335" s="17"/>
      <c r="T335" s="17"/>
      <c r="U335" s="17"/>
      <c r="V335" s="17"/>
      <c r="W335" s="17"/>
      <c r="X335" s="17"/>
      <c r="Y335" s="17"/>
      <c r="Z335" s="17"/>
      <c r="AA335" s="17"/>
      <c r="AB335" s="17"/>
      <c r="AC335" s="17"/>
      <c r="AD335" s="17"/>
      <c r="AE335" s="17"/>
      <c r="AF335" s="17"/>
      <c r="AG335" s="17"/>
      <c r="AH335" s="17"/>
      <c r="AI335" s="17"/>
    </row>
    <row r="336" spans="1:35" ht="30" customHeight="1" x14ac:dyDescent="0.25">
      <c r="A336" s="24"/>
      <c r="B336" s="17"/>
      <c r="C336" s="17"/>
      <c r="D336" s="17"/>
      <c r="E336" s="17"/>
      <c r="F336" s="17"/>
      <c r="G336" s="17"/>
      <c r="H336" s="17"/>
      <c r="I336" s="17"/>
      <c r="J336" s="17"/>
      <c r="K336" s="17"/>
      <c r="L336" s="17"/>
      <c r="M336" s="17"/>
      <c r="N336" s="17"/>
      <c r="O336" s="17"/>
      <c r="P336" s="17"/>
      <c r="Q336" s="17"/>
      <c r="R336" s="17"/>
      <c r="S336" s="17"/>
      <c r="T336" s="17"/>
      <c r="U336" s="17"/>
      <c r="V336" s="17"/>
      <c r="W336" s="17"/>
      <c r="X336" s="17"/>
      <c r="Y336" s="17"/>
      <c r="Z336" s="17"/>
      <c r="AA336" s="17"/>
      <c r="AB336" s="17"/>
      <c r="AC336" s="17"/>
      <c r="AD336" s="17"/>
      <c r="AE336" s="17"/>
      <c r="AF336" s="17"/>
      <c r="AG336" s="17"/>
      <c r="AH336" s="17"/>
      <c r="AI336" s="17"/>
    </row>
    <row r="337" spans="1:35" ht="30" customHeight="1" x14ac:dyDescent="0.25">
      <c r="A337" s="24"/>
      <c r="B337" s="17"/>
      <c r="C337" s="17"/>
      <c r="D337" s="17"/>
      <c r="E337" s="17"/>
      <c r="F337" s="17"/>
      <c r="G337" s="17"/>
      <c r="H337" s="17"/>
      <c r="I337" s="17"/>
      <c r="J337" s="17"/>
      <c r="K337" s="17"/>
      <c r="L337" s="17"/>
      <c r="M337" s="17"/>
      <c r="N337" s="17"/>
      <c r="O337" s="17"/>
      <c r="P337" s="17"/>
      <c r="Q337" s="17"/>
      <c r="R337" s="17"/>
      <c r="S337" s="17"/>
      <c r="T337" s="17"/>
      <c r="U337" s="17"/>
      <c r="V337" s="17"/>
      <c r="W337" s="17"/>
      <c r="X337" s="17"/>
      <c r="Y337" s="17"/>
      <c r="Z337" s="17"/>
      <c r="AA337" s="17"/>
      <c r="AB337" s="17"/>
      <c r="AC337" s="17"/>
      <c r="AD337" s="17"/>
      <c r="AE337" s="17"/>
      <c r="AF337" s="17"/>
      <c r="AG337" s="17"/>
      <c r="AH337" s="17"/>
      <c r="AI337" s="17"/>
    </row>
    <row r="338" spans="1:35" ht="30" customHeight="1" x14ac:dyDescent="0.25">
      <c r="A338" s="24"/>
      <c r="B338" s="17"/>
      <c r="C338" s="17"/>
      <c r="D338" s="17"/>
      <c r="E338" s="17"/>
      <c r="F338" s="17"/>
      <c r="G338" s="17"/>
      <c r="H338" s="17"/>
      <c r="I338" s="17"/>
      <c r="J338" s="17"/>
      <c r="K338" s="17"/>
      <c r="L338" s="17"/>
      <c r="M338" s="17"/>
      <c r="N338" s="17"/>
      <c r="O338" s="17"/>
      <c r="P338" s="17"/>
      <c r="Q338" s="17"/>
      <c r="R338" s="17"/>
      <c r="S338" s="17"/>
      <c r="T338" s="17"/>
      <c r="U338" s="17"/>
      <c r="V338" s="17"/>
      <c r="W338" s="17"/>
      <c r="X338" s="17"/>
      <c r="Y338" s="17"/>
      <c r="Z338" s="17"/>
      <c r="AA338" s="17"/>
      <c r="AB338" s="17"/>
      <c r="AC338" s="17"/>
      <c r="AD338" s="17"/>
      <c r="AE338" s="17"/>
      <c r="AF338" s="17"/>
      <c r="AG338" s="17"/>
      <c r="AH338" s="17"/>
      <c r="AI338" s="17"/>
    </row>
    <row r="339" spans="1:35" ht="30" customHeight="1" x14ac:dyDescent="0.25">
      <c r="A339" s="24"/>
      <c r="B339" s="17"/>
      <c r="C339" s="17"/>
      <c r="D339" s="17"/>
      <c r="E339" s="17"/>
      <c r="F339" s="17"/>
      <c r="G339" s="17"/>
      <c r="H339" s="17"/>
      <c r="I339" s="17"/>
      <c r="J339" s="17"/>
      <c r="K339" s="17"/>
      <c r="L339" s="17"/>
      <c r="M339" s="17"/>
      <c r="N339" s="17"/>
      <c r="O339" s="17"/>
      <c r="P339" s="17"/>
      <c r="Q339" s="17"/>
      <c r="R339" s="17"/>
      <c r="S339" s="17"/>
      <c r="T339" s="17"/>
      <c r="U339" s="17"/>
      <c r="V339" s="17"/>
      <c r="W339" s="17"/>
      <c r="X339" s="17"/>
      <c r="Y339" s="17"/>
      <c r="Z339" s="17"/>
      <c r="AA339" s="17"/>
      <c r="AB339" s="17"/>
      <c r="AC339" s="17"/>
      <c r="AD339" s="17"/>
      <c r="AE339" s="17"/>
      <c r="AF339" s="17"/>
      <c r="AG339" s="17"/>
      <c r="AH339" s="17"/>
      <c r="AI339" s="17"/>
    </row>
    <row r="340" spans="1:35" ht="30" customHeight="1" x14ac:dyDescent="0.25">
      <c r="A340" s="24"/>
      <c r="B340" s="17"/>
      <c r="C340" s="17"/>
      <c r="D340" s="17"/>
      <c r="E340" s="17"/>
      <c r="F340" s="17"/>
      <c r="G340" s="17"/>
      <c r="H340" s="17"/>
      <c r="I340" s="17"/>
      <c r="J340" s="17"/>
      <c r="K340" s="17"/>
      <c r="L340" s="17"/>
      <c r="M340" s="17"/>
      <c r="N340" s="17"/>
      <c r="O340" s="17"/>
      <c r="P340" s="17"/>
      <c r="Q340" s="17"/>
      <c r="R340" s="17"/>
      <c r="S340" s="17"/>
      <c r="T340" s="17"/>
      <c r="U340" s="17"/>
      <c r="V340" s="17"/>
      <c r="W340" s="17"/>
      <c r="X340" s="17"/>
      <c r="Y340" s="17"/>
      <c r="Z340" s="17"/>
      <c r="AA340" s="17"/>
      <c r="AB340" s="17"/>
      <c r="AC340" s="17"/>
      <c r="AD340" s="17"/>
      <c r="AE340" s="17"/>
      <c r="AF340" s="17"/>
      <c r="AG340" s="17"/>
      <c r="AH340" s="17"/>
      <c r="AI340" s="17"/>
    </row>
    <row r="341" spans="1:35" ht="30" customHeight="1" x14ac:dyDescent="0.25">
      <c r="A341" s="24"/>
      <c r="B341" s="17"/>
      <c r="C341" s="17"/>
      <c r="D341" s="17"/>
      <c r="E341" s="17"/>
      <c r="F341" s="17"/>
      <c r="G341" s="17"/>
      <c r="H341" s="17"/>
      <c r="I341" s="17"/>
      <c r="J341" s="17"/>
      <c r="K341" s="17"/>
      <c r="L341" s="17"/>
      <c r="M341" s="17"/>
      <c r="N341" s="17"/>
      <c r="O341" s="17"/>
      <c r="P341" s="17"/>
      <c r="Q341" s="17"/>
      <c r="R341" s="17"/>
      <c r="S341" s="17"/>
      <c r="T341" s="17"/>
      <c r="U341" s="17"/>
      <c r="V341" s="17"/>
      <c r="W341" s="17"/>
      <c r="X341" s="17"/>
      <c r="Y341" s="17"/>
      <c r="Z341" s="17"/>
      <c r="AA341" s="17"/>
      <c r="AB341" s="17"/>
      <c r="AC341" s="17"/>
      <c r="AD341" s="17"/>
      <c r="AE341" s="17"/>
      <c r="AF341" s="17"/>
      <c r="AG341" s="17"/>
      <c r="AH341" s="17"/>
      <c r="AI341" s="17"/>
    </row>
    <row r="342" spans="1:35" ht="30" customHeight="1" x14ac:dyDescent="0.25">
      <c r="A342" s="24"/>
      <c r="B342" s="17"/>
      <c r="C342" s="17"/>
      <c r="D342" s="17"/>
      <c r="E342" s="17"/>
      <c r="F342" s="17"/>
      <c r="G342" s="17"/>
      <c r="H342" s="17"/>
      <c r="I342" s="17"/>
      <c r="J342" s="17"/>
      <c r="K342" s="17"/>
      <c r="L342" s="17"/>
      <c r="M342" s="17"/>
      <c r="N342" s="17"/>
      <c r="O342" s="17"/>
      <c r="P342" s="17"/>
      <c r="Q342" s="17"/>
      <c r="R342" s="17"/>
      <c r="S342" s="17"/>
      <c r="T342" s="17"/>
      <c r="U342" s="17"/>
      <c r="V342" s="17"/>
      <c r="W342" s="17"/>
      <c r="X342" s="17"/>
      <c r="Y342" s="17"/>
      <c r="Z342" s="17"/>
      <c r="AA342" s="17"/>
      <c r="AB342" s="17"/>
      <c r="AC342" s="17"/>
      <c r="AD342" s="17"/>
      <c r="AE342" s="17"/>
      <c r="AF342" s="17"/>
      <c r="AG342" s="17"/>
      <c r="AH342" s="17"/>
      <c r="AI342" s="17"/>
    </row>
    <row r="343" spans="1:35" ht="30" customHeight="1" x14ac:dyDescent="0.25">
      <c r="A343" s="24"/>
      <c r="B343" s="17"/>
      <c r="C343" s="17"/>
      <c r="D343" s="17"/>
      <c r="E343" s="17"/>
      <c r="F343" s="17"/>
      <c r="G343" s="17"/>
      <c r="H343" s="17"/>
      <c r="I343" s="17"/>
      <c r="J343" s="17"/>
      <c r="K343" s="17"/>
      <c r="L343" s="17"/>
      <c r="M343" s="17"/>
      <c r="N343" s="17"/>
      <c r="O343" s="17"/>
      <c r="P343" s="17"/>
      <c r="Q343" s="17"/>
      <c r="R343" s="17"/>
      <c r="S343" s="17"/>
      <c r="T343" s="17"/>
      <c r="U343" s="17"/>
      <c r="V343" s="17"/>
      <c r="W343" s="17"/>
      <c r="X343" s="17"/>
      <c r="Y343" s="17"/>
      <c r="Z343" s="17"/>
      <c r="AA343" s="17"/>
      <c r="AB343" s="17"/>
      <c r="AC343" s="17"/>
      <c r="AD343" s="17"/>
      <c r="AE343" s="17"/>
      <c r="AF343" s="17"/>
      <c r="AG343" s="17"/>
      <c r="AH343" s="17"/>
      <c r="AI343" s="17"/>
    </row>
    <row r="344" spans="1:35" ht="30" customHeight="1" x14ac:dyDescent="0.25">
      <c r="A344" s="24"/>
      <c r="B344" s="17"/>
      <c r="C344" s="17"/>
      <c r="D344" s="17"/>
      <c r="E344" s="17"/>
      <c r="F344" s="17"/>
      <c r="G344" s="17"/>
      <c r="H344" s="17"/>
      <c r="I344" s="17"/>
      <c r="J344" s="17"/>
      <c r="K344" s="17"/>
      <c r="L344" s="17"/>
      <c r="M344" s="17"/>
      <c r="N344" s="17"/>
      <c r="O344" s="17"/>
      <c r="P344" s="17"/>
      <c r="Q344" s="17"/>
      <c r="R344" s="17"/>
      <c r="S344" s="17"/>
      <c r="T344" s="17"/>
      <c r="U344" s="17"/>
      <c r="V344" s="17"/>
      <c r="W344" s="17"/>
      <c r="X344" s="17"/>
      <c r="Y344" s="17"/>
      <c r="Z344" s="17"/>
      <c r="AA344" s="17"/>
      <c r="AB344" s="17"/>
      <c r="AC344" s="17"/>
      <c r="AD344" s="17"/>
      <c r="AE344" s="17"/>
      <c r="AF344" s="17"/>
      <c r="AG344" s="17"/>
      <c r="AH344" s="17"/>
      <c r="AI344" s="17"/>
    </row>
    <row r="345" spans="1:35" ht="30" customHeight="1" x14ac:dyDescent="0.25">
      <c r="A345" s="24"/>
      <c r="B345" s="17"/>
      <c r="C345" s="17"/>
      <c r="D345" s="17"/>
      <c r="E345" s="17"/>
      <c r="F345" s="17"/>
      <c r="G345" s="17"/>
      <c r="H345" s="17"/>
      <c r="I345" s="17"/>
      <c r="J345" s="17"/>
      <c r="K345" s="17"/>
      <c r="L345" s="17"/>
      <c r="M345" s="17"/>
      <c r="N345" s="17"/>
      <c r="O345" s="17"/>
      <c r="P345" s="17"/>
      <c r="Q345" s="17"/>
      <c r="R345" s="17"/>
      <c r="S345" s="17"/>
      <c r="T345" s="17"/>
      <c r="U345" s="17"/>
      <c r="V345" s="17"/>
      <c r="W345" s="17"/>
      <c r="X345" s="17"/>
      <c r="Y345" s="17"/>
      <c r="Z345" s="17"/>
      <c r="AA345" s="17"/>
      <c r="AB345" s="17"/>
      <c r="AC345" s="17"/>
      <c r="AD345" s="17"/>
      <c r="AE345" s="17"/>
      <c r="AF345" s="17"/>
      <c r="AG345" s="17"/>
      <c r="AH345" s="17"/>
      <c r="AI345" s="17"/>
    </row>
    <row r="346" spans="1:35" ht="30" customHeight="1" x14ac:dyDescent="0.25">
      <c r="A346" s="24"/>
      <c r="B346" s="17"/>
      <c r="C346" s="17"/>
      <c r="D346" s="17"/>
      <c r="E346" s="17"/>
      <c r="F346" s="17"/>
      <c r="G346" s="17"/>
      <c r="H346" s="17"/>
      <c r="I346" s="17"/>
      <c r="J346" s="17"/>
      <c r="K346" s="17"/>
      <c r="L346" s="17"/>
      <c r="M346" s="17"/>
      <c r="N346" s="17"/>
      <c r="O346" s="17"/>
      <c r="P346" s="17"/>
      <c r="Q346" s="17"/>
      <c r="R346" s="17"/>
      <c r="S346" s="17"/>
      <c r="T346" s="17"/>
      <c r="U346" s="17"/>
      <c r="V346" s="17"/>
      <c r="W346" s="17"/>
      <c r="X346" s="17"/>
      <c r="Y346" s="17"/>
      <c r="Z346" s="17"/>
      <c r="AA346" s="17"/>
      <c r="AB346" s="17"/>
      <c r="AC346" s="17"/>
      <c r="AD346" s="17"/>
      <c r="AE346" s="17"/>
      <c r="AF346" s="17"/>
      <c r="AG346" s="17"/>
      <c r="AH346" s="17"/>
      <c r="AI346" s="17"/>
    </row>
    <row r="347" spans="1:35" ht="30" customHeight="1" x14ac:dyDescent="0.25">
      <c r="A347" s="24"/>
      <c r="B347" s="17"/>
      <c r="C347" s="17"/>
      <c r="D347" s="17"/>
      <c r="E347" s="17"/>
      <c r="F347" s="17"/>
      <c r="G347" s="17"/>
      <c r="H347" s="17"/>
      <c r="I347" s="17"/>
      <c r="J347" s="17"/>
      <c r="K347" s="17"/>
      <c r="L347" s="17"/>
      <c r="M347" s="17"/>
      <c r="N347" s="17"/>
      <c r="O347" s="17"/>
      <c r="P347" s="17"/>
      <c r="Q347" s="17"/>
      <c r="R347" s="17"/>
      <c r="S347" s="17"/>
      <c r="T347" s="17"/>
      <c r="U347" s="17"/>
      <c r="V347" s="17"/>
      <c r="W347" s="17"/>
      <c r="X347" s="17"/>
      <c r="Y347" s="17"/>
      <c r="Z347" s="17"/>
      <c r="AA347" s="17"/>
      <c r="AB347" s="17"/>
      <c r="AC347" s="17"/>
      <c r="AD347" s="17"/>
      <c r="AE347" s="17"/>
      <c r="AF347" s="17"/>
      <c r="AG347" s="17"/>
      <c r="AH347" s="17"/>
      <c r="AI347" s="17"/>
    </row>
    <row r="348" spans="1:35" ht="30" customHeight="1" x14ac:dyDescent="0.25">
      <c r="A348" s="24"/>
      <c r="B348" s="17"/>
      <c r="C348" s="17"/>
      <c r="D348" s="17"/>
      <c r="E348" s="17"/>
      <c r="F348" s="17"/>
      <c r="G348" s="17"/>
      <c r="H348" s="17"/>
      <c r="I348" s="17"/>
      <c r="J348" s="17"/>
      <c r="K348" s="17"/>
      <c r="L348" s="17"/>
      <c r="M348" s="17"/>
      <c r="N348" s="17"/>
      <c r="O348" s="17"/>
      <c r="P348" s="17"/>
      <c r="Q348" s="17"/>
      <c r="R348" s="17"/>
      <c r="S348" s="17"/>
      <c r="T348" s="17"/>
      <c r="U348" s="17"/>
      <c r="V348" s="17"/>
      <c r="W348" s="17"/>
      <c r="X348" s="17"/>
      <c r="Y348" s="17"/>
      <c r="Z348" s="17"/>
      <c r="AA348" s="17"/>
      <c r="AB348" s="17"/>
      <c r="AC348" s="17"/>
      <c r="AD348" s="17"/>
      <c r="AE348" s="17"/>
      <c r="AF348" s="17"/>
      <c r="AG348" s="17"/>
      <c r="AH348" s="17"/>
      <c r="AI348" s="17"/>
    </row>
    <row r="349" spans="1:35" ht="30" customHeight="1" x14ac:dyDescent="0.25">
      <c r="A349" s="24"/>
      <c r="B349" s="17"/>
      <c r="C349" s="17"/>
      <c r="D349" s="17"/>
      <c r="E349" s="17"/>
      <c r="F349" s="17"/>
      <c r="G349" s="17"/>
      <c r="H349" s="17"/>
      <c r="I349" s="17"/>
      <c r="J349" s="17"/>
      <c r="K349" s="17"/>
      <c r="L349" s="17"/>
      <c r="M349" s="17"/>
      <c r="N349" s="17"/>
      <c r="O349" s="17"/>
      <c r="P349" s="17"/>
      <c r="Q349" s="17"/>
      <c r="R349" s="17"/>
      <c r="S349" s="17"/>
      <c r="T349" s="17"/>
      <c r="U349" s="17"/>
      <c r="V349" s="17"/>
      <c r="W349" s="17"/>
      <c r="X349" s="17"/>
      <c r="Y349" s="17"/>
      <c r="Z349" s="17"/>
      <c r="AA349" s="17"/>
      <c r="AB349" s="17"/>
      <c r="AC349" s="17"/>
      <c r="AD349" s="17"/>
      <c r="AE349" s="17"/>
      <c r="AF349" s="17"/>
      <c r="AG349" s="17"/>
      <c r="AH349" s="17"/>
      <c r="AI349" s="17"/>
    </row>
  </sheetData>
  <mergeCells count="6">
    <mergeCell ref="S2:V2"/>
    <mergeCell ref="A4:AF4"/>
    <mergeCell ref="N2:Q2"/>
    <mergeCell ref="H2:L2"/>
    <mergeCell ref="X2:AE2"/>
    <mergeCell ref="C2:F2"/>
  </mergeCells>
  <phoneticPr fontId="22" type="noConversion"/>
  <conditionalFormatting sqref="B7:AF101">
    <cfRule type="expression" priority="7" stopIfTrue="1">
      <formula>B7=""</formula>
    </cfRule>
  </conditionalFormatting>
  <conditionalFormatting sqref="AG7:AG101">
    <cfRule type="dataBar" priority="174">
      <dataBar>
        <cfvo type="num" val="0"/>
        <cfvo type="num" val="31"/>
        <color theme="8" tint="0.59999389629810485"/>
      </dataBar>
      <extLst>
        <ext xmlns:x14="http://schemas.microsoft.com/office/spreadsheetml/2009/9/main" uri="{B025F937-C7B1-47D3-B67F-A62EFF666E3E}">
          <x14:id>{ECCE2C3C-1B01-4700-B60E-DAAAB19A9C1A}</x14:id>
        </ext>
      </extLst>
    </cfRule>
  </conditionalFormatting>
  <conditionalFormatting sqref="A1:XFD1 BG2:XFD2 A2:C2 G2:AE2 A3:XFD1048576">
    <cfRule type="cellIs" dxfId="60" priority="2" operator="between">
      <formula>"J2"</formula>
      <formula>"J2"</formula>
    </cfRule>
    <cfRule type="cellIs" dxfId="59" priority="3" operator="between">
      <formula>"R2"</formula>
      <formula>"R2"</formula>
    </cfRule>
    <cfRule type="cellIs" dxfId="58" priority="4" operator="between">
      <formula>"R1"</formula>
      <formula>"R1"</formula>
    </cfRule>
    <cfRule type="cellIs" dxfId="57" priority="5" operator="between">
      <formula>"D"</formula>
      <formula>"D"</formula>
    </cfRule>
    <cfRule type="cellIs" dxfId="56" priority="6" operator="between">
      <formula>"J"</formula>
      <formula>"J"</formula>
    </cfRule>
  </conditionalFormatting>
  <dataValidations xWindow="392" yWindow="428" count="14">
    <dataValidation allowBlank="1" showInputMessage="1" showErrorMessage="1" prompt="Entrez l’année dans cette cellule." sqref="AG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B5" xr:uid="{00000000-0002-0000-0000-000003000000}"/>
    <dataValidation allowBlank="1" showInputMessage="1" showErrorMessage="1" prompt="Calcule automatiquement le nombre total de jours d’absence d’un employé durant ce mois" sqref="AG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A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A4" xr:uid="{00000000-0002-0000-0000-000006000000}"/>
    <dataValidation allowBlank="1" showInputMessage="1" showErrorMessage="1" prompt="Cette ligne définit les clés utilisées dans le tableau : Congé en C2, Personnel en F2 et Congé maladie en J2. Les cellules M2 et R2 sont personnalisables" sqref="A2" xr:uid="{00000000-0002-0000-0000-000007000000}"/>
    <dataValidation allowBlank="1" showInputMessage="1" showErrorMessage="1" prompt="La lettre « C » indique une absence pour cause de congé" sqref="B2" xr:uid="{00000000-0002-0000-0000-000008000000}"/>
    <dataValidation allowBlank="1" showInputMessage="1" showErrorMessage="1" prompt="La lettre « P » indique une absence pour motifs personnels" sqref="G2" xr:uid="{00000000-0002-0000-0000-000009000000}"/>
    <dataValidation allowBlank="1" showInputMessage="1" showErrorMessage="1" prompt="La lettre « M » indique une absence pour cause de maladie" sqref="M2" xr:uid="{00000000-0002-0000-0000-00000A000000}"/>
    <dataValidation allowBlank="1" showInputMessage="1" showErrorMessage="1" prompt="Entrez une lettre et personnalisez l’étiquette à droite pour ajouter un élément de clé" sqref="R2 W2" xr:uid="{00000000-0002-0000-0000-00000B000000}"/>
    <dataValidation allowBlank="1" showInputMessage="1" showErrorMessage="1" prompt="Entrez une étiquette pour décrire la clé personnalisée à gauche" sqref="S2 X2" xr:uid="{00000000-0002-0000-0000-00000C000000}"/>
    <dataValidation allowBlank="1" showInputMessage="1" showErrorMessage="1" prompt="Entrez l’année dans la cellule ci-dessous" sqref="AG3" xr:uid="{00000000-0002-0000-0000-00000E00000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AG7:AG101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0"/>
  </sheetPr>
  <dimension ref="B1:AH12"/>
  <sheetViews>
    <sheetView showGridLines="0" zoomScaleNormal="100" workbookViewId="0">
      <selection activeCell="B8" sqref="B8"/>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1" t="str">
        <f>Titre_Absence_Employé</f>
        <v>Présences des animateurs de l'accueil de loisirs des mercredis / vacances scolaires</v>
      </c>
    </row>
    <row r="2" spans="2:34" ht="15" customHeight="1" x14ac:dyDescent="0.25">
      <c r="B2" s="14" t="s">
        <v>0</v>
      </c>
      <c r="C2" s="2" t="s">
        <v>8</v>
      </c>
      <c r="D2" s="37" t="s">
        <v>10</v>
      </c>
      <c r="E2" s="37"/>
      <c r="F2" s="3" t="s">
        <v>13</v>
      </c>
      <c r="G2" s="37" t="s">
        <v>17</v>
      </c>
      <c r="H2" s="37"/>
      <c r="I2" s="37"/>
      <c r="J2" s="4" t="s">
        <v>15</v>
      </c>
      <c r="K2" s="37" t="s">
        <v>22</v>
      </c>
      <c r="L2" s="37"/>
      <c r="M2" s="5"/>
      <c r="N2" s="37" t="s">
        <v>26</v>
      </c>
      <c r="O2" s="37"/>
      <c r="P2" s="37"/>
      <c r="Q2" s="37"/>
      <c r="R2" s="6"/>
      <c r="S2" s="37" t="s">
        <v>31</v>
      </c>
      <c r="T2" s="37"/>
      <c r="U2" s="37"/>
      <c r="V2" s="37"/>
    </row>
    <row r="3" spans="2:34" ht="15" customHeight="1" x14ac:dyDescent="0.25"/>
    <row r="4" spans="2:34" ht="30" customHeight="1" x14ac:dyDescent="0.25">
      <c r="B4" s="36" t="s">
        <v>49</v>
      </c>
      <c r="C4" s="36"/>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9">
        <f>AnnéeCalendrier</f>
        <v>2023</v>
      </c>
    </row>
    <row r="5" spans="2:34" ht="15" customHeight="1" x14ac:dyDescent="0.25">
      <c r="B5" s="9"/>
      <c r="C5" s="1" t="str">
        <f>TEXT(WEEKDAY(DATE(AnnéeCalendrier,2,1),1),"jjj")</f>
        <v>mer</v>
      </c>
      <c r="D5" s="1" t="str">
        <f>TEXT(WEEKDAY(DATE(AnnéeCalendrier,2,2),1),"jjj")</f>
        <v>jeu</v>
      </c>
      <c r="E5" s="1" t="str">
        <f>TEXT(WEEKDAY(DATE(AnnéeCalendrier,2,3),1),"jjj")</f>
        <v>ven</v>
      </c>
      <c r="F5" s="1" t="str">
        <f>TEXT(WEEKDAY(DATE(AnnéeCalendrier,2,4),1),"jjj")</f>
        <v>sam</v>
      </c>
      <c r="G5" s="1" t="str">
        <f>TEXT(WEEKDAY(DATE(AnnéeCalendrier,2,5),1),"jjj")</f>
        <v>dim</v>
      </c>
      <c r="H5" s="1" t="str">
        <f>TEXT(WEEKDAY(DATE(AnnéeCalendrier,2,6),1),"jjj")</f>
        <v>lun</v>
      </c>
      <c r="I5" s="1" t="str">
        <f>TEXT(WEEKDAY(DATE(AnnéeCalendrier,2,7),1),"jjj")</f>
        <v>mar</v>
      </c>
      <c r="J5" s="1" t="str">
        <f>TEXT(WEEKDAY(DATE(AnnéeCalendrier,2,8),1),"jjj")</f>
        <v>mer</v>
      </c>
      <c r="K5" s="1" t="str">
        <f>TEXT(WEEKDAY(DATE(AnnéeCalendrier,2,9),1),"jjj")</f>
        <v>jeu</v>
      </c>
      <c r="L5" s="1" t="str">
        <f>TEXT(WEEKDAY(DATE(AnnéeCalendrier,2,10),1),"jjj")</f>
        <v>ven</v>
      </c>
      <c r="M5" s="1" t="str">
        <f>TEXT(WEEKDAY(DATE(AnnéeCalendrier,2,11),1),"jjj")</f>
        <v>sam</v>
      </c>
      <c r="N5" s="1" t="str">
        <f>TEXT(WEEKDAY(DATE(AnnéeCalendrier,2,12),1),"jjj")</f>
        <v>dim</v>
      </c>
      <c r="O5" s="1" t="str">
        <f>TEXT(WEEKDAY(DATE(AnnéeCalendrier,2,13),1),"jjj")</f>
        <v>lun</v>
      </c>
      <c r="P5" s="1" t="str">
        <f>TEXT(WEEKDAY(DATE(AnnéeCalendrier,2,14),1),"jjj")</f>
        <v>mar</v>
      </c>
      <c r="Q5" s="1" t="str">
        <f>TEXT(WEEKDAY(DATE(AnnéeCalendrier,2,15),1),"jjj")</f>
        <v>mer</v>
      </c>
      <c r="R5" s="1" t="str">
        <f>TEXT(WEEKDAY(DATE(AnnéeCalendrier,2,16),1),"jjj")</f>
        <v>jeu</v>
      </c>
      <c r="S5" s="1" t="str">
        <f>TEXT(WEEKDAY(DATE(AnnéeCalendrier,2,17),1),"jjj")</f>
        <v>ven</v>
      </c>
      <c r="T5" s="1" t="str">
        <f>TEXT(WEEKDAY(DATE(AnnéeCalendrier,2,18),1),"jjj")</f>
        <v>sam</v>
      </c>
      <c r="U5" s="1" t="str">
        <f>TEXT(WEEKDAY(DATE(AnnéeCalendrier,2,19),1),"jjj")</f>
        <v>dim</v>
      </c>
      <c r="V5" s="1" t="str">
        <f>TEXT(WEEKDAY(DATE(AnnéeCalendrier,2,20),1),"jjj")</f>
        <v>lun</v>
      </c>
      <c r="W5" s="1" t="str">
        <f>TEXT(WEEKDAY(DATE(AnnéeCalendrier,2,21),1),"jjj")</f>
        <v>mar</v>
      </c>
      <c r="X5" s="1" t="str">
        <f>TEXT(WEEKDAY(DATE(AnnéeCalendrier,2,22),1),"jjj")</f>
        <v>mer</v>
      </c>
      <c r="Y5" s="1" t="str">
        <f>TEXT(WEEKDAY(DATE(AnnéeCalendrier,2,23),1),"jjj")</f>
        <v>jeu</v>
      </c>
      <c r="Z5" s="1" t="str">
        <f>TEXT(WEEKDAY(DATE(AnnéeCalendrier,2,24),1),"jjj")</f>
        <v>ven</v>
      </c>
      <c r="AA5" s="1" t="str">
        <f>TEXT(WEEKDAY(DATE(AnnéeCalendrier,2,25),1),"jjj")</f>
        <v>sam</v>
      </c>
      <c r="AB5" s="1" t="str">
        <f>TEXT(WEEKDAY(DATE(AnnéeCalendrier,2,26),1),"jjj")</f>
        <v>dim</v>
      </c>
      <c r="AC5" s="1" t="str">
        <f>TEXT(WEEKDAY(DATE(AnnéeCalendrier,2,27),1),"jjj")</f>
        <v>lun</v>
      </c>
      <c r="AD5" s="1" t="str">
        <f>TEXT(WEEKDAY(DATE(AnnéeCalendrier,2,28),1),"jjj")</f>
        <v>mar</v>
      </c>
      <c r="AE5" s="1" t="str">
        <f>TEXT(WEEKDAY(DATE(AnnéeCalendrier,2,29),1),"jjj")</f>
        <v>mer</v>
      </c>
      <c r="AF5" s="1"/>
      <c r="AG5" s="1"/>
      <c r="AH5" s="9"/>
    </row>
    <row r="6" spans="2:34" ht="15" customHeight="1" x14ac:dyDescent="0.25">
      <c r="B6" s="12" t="s">
        <v>2</v>
      </c>
      <c r="C6" s="1" t="s">
        <v>9</v>
      </c>
      <c r="D6" s="1" t="s">
        <v>11</v>
      </c>
      <c r="E6" s="1" t="s">
        <v>12</v>
      </c>
      <c r="F6" s="1" t="s">
        <v>14</v>
      </c>
      <c r="G6" s="1" t="s">
        <v>16</v>
      </c>
      <c r="H6" s="1" t="s">
        <v>18</v>
      </c>
      <c r="I6" s="1" t="s">
        <v>19</v>
      </c>
      <c r="J6" s="1" t="s">
        <v>20</v>
      </c>
      <c r="K6" s="1" t="s">
        <v>21</v>
      </c>
      <c r="L6" s="1" t="s">
        <v>23</v>
      </c>
      <c r="M6" s="1" t="s">
        <v>24</v>
      </c>
      <c r="N6" s="1" t="s">
        <v>25</v>
      </c>
      <c r="O6" s="1" t="s">
        <v>27</v>
      </c>
      <c r="P6" s="1" t="s">
        <v>28</v>
      </c>
      <c r="Q6" s="1" t="s">
        <v>29</v>
      </c>
      <c r="R6" s="1" t="s">
        <v>30</v>
      </c>
      <c r="S6" s="1" t="s">
        <v>32</v>
      </c>
      <c r="T6" s="1" t="s">
        <v>33</v>
      </c>
      <c r="U6" s="1" t="s">
        <v>34</v>
      </c>
      <c r="V6" s="1" t="s">
        <v>35</v>
      </c>
      <c r="W6" s="1" t="s">
        <v>36</v>
      </c>
      <c r="X6" s="1" t="s">
        <v>37</v>
      </c>
      <c r="Y6" s="1" t="s">
        <v>38</v>
      </c>
      <c r="Z6" s="1" t="s">
        <v>39</v>
      </c>
      <c r="AA6" s="1" t="s">
        <v>40</v>
      </c>
      <c r="AB6" s="1" t="s">
        <v>41</v>
      </c>
      <c r="AC6" s="1" t="s">
        <v>42</v>
      </c>
      <c r="AD6" s="1" t="s">
        <v>43</v>
      </c>
      <c r="AE6" s="1" t="s">
        <v>44</v>
      </c>
      <c r="AF6" s="1" t="s">
        <v>50</v>
      </c>
      <c r="AG6" s="1" t="s">
        <v>51</v>
      </c>
      <c r="AH6" s="13" t="s">
        <v>48</v>
      </c>
    </row>
    <row r="7" spans="2:34" ht="30" customHeight="1" x14ac:dyDescent="0.25">
      <c r="B7" s="7" t="s">
        <v>63</v>
      </c>
      <c r="C7" s="1"/>
      <c r="D7" s="1"/>
      <c r="E7" s="1" t="s">
        <v>8</v>
      </c>
      <c r="F7" s="1" t="s">
        <v>8</v>
      </c>
      <c r="G7" s="1" t="s">
        <v>8</v>
      </c>
      <c r="H7" s="1" t="s">
        <v>8</v>
      </c>
      <c r="I7" s="1"/>
      <c r="J7" s="1"/>
      <c r="K7" s="1"/>
      <c r="L7" s="1"/>
      <c r="M7" s="1"/>
      <c r="N7" s="1"/>
      <c r="O7" s="1" t="s">
        <v>8</v>
      </c>
      <c r="P7" s="1"/>
      <c r="Q7" s="1"/>
      <c r="R7" s="1"/>
      <c r="S7" s="1"/>
      <c r="T7" s="1"/>
      <c r="U7" s="1"/>
      <c r="V7" s="1"/>
      <c r="W7" s="1"/>
      <c r="X7" s="1"/>
      <c r="Y7" s="1"/>
      <c r="Z7" s="1"/>
      <c r="AA7" s="1"/>
      <c r="AB7" s="1"/>
      <c r="AC7" s="1"/>
      <c r="AD7" s="1"/>
      <c r="AE7" s="1"/>
      <c r="AF7" s="1"/>
      <c r="AG7" s="1"/>
      <c r="AH7" s="8">
        <f>COUNTA(Février[[#This Row],[1]:[29]])</f>
        <v>5</v>
      </c>
    </row>
    <row r="8" spans="2:34" ht="30" customHeight="1" x14ac:dyDescent="0.25">
      <c r="B8" s="7" t="s">
        <v>4</v>
      </c>
      <c r="C8" s="1"/>
      <c r="D8" s="1"/>
      <c r="E8" s="1"/>
      <c r="F8" s="1"/>
      <c r="G8" s="1" t="s">
        <v>15</v>
      </c>
      <c r="H8" s="1" t="s">
        <v>15</v>
      </c>
      <c r="I8" s="1"/>
      <c r="J8" s="1"/>
      <c r="K8" s="1"/>
      <c r="L8" s="1"/>
      <c r="M8" s="1" t="s">
        <v>13</v>
      </c>
      <c r="N8" s="1"/>
      <c r="O8" s="1"/>
      <c r="P8" s="1"/>
      <c r="Q8" s="1"/>
      <c r="R8" s="1"/>
      <c r="S8" s="1"/>
      <c r="T8" s="1"/>
      <c r="U8" s="1"/>
      <c r="V8" s="1" t="s">
        <v>15</v>
      </c>
      <c r="W8" s="1"/>
      <c r="X8" s="1"/>
      <c r="Y8" s="1"/>
      <c r="Z8" s="1"/>
      <c r="AA8" s="1" t="s">
        <v>8</v>
      </c>
      <c r="AB8" s="1" t="s">
        <v>8</v>
      </c>
      <c r="AC8" s="1" t="s">
        <v>8</v>
      </c>
      <c r="AD8" s="1"/>
      <c r="AE8" s="1"/>
      <c r="AF8" s="1"/>
      <c r="AG8" s="1"/>
      <c r="AH8" s="8">
        <f>COUNTA(Février[[#This Row],[1]:[29]])</f>
        <v>7</v>
      </c>
    </row>
    <row r="9" spans="2:34" ht="30" customHeight="1" x14ac:dyDescent="0.25">
      <c r="B9" s="7" t="s">
        <v>5</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8">
        <f>COUNTA(Février[[#This Row],[1]:[29]])</f>
        <v>0</v>
      </c>
    </row>
    <row r="10" spans="2:34" ht="30" customHeight="1" x14ac:dyDescent="0.25">
      <c r="B10" s="7" t="s">
        <v>6</v>
      </c>
      <c r="C10" s="1"/>
      <c r="D10" s="1"/>
      <c r="E10" s="1" t="s">
        <v>15</v>
      </c>
      <c r="F10" s="1"/>
      <c r="G10" s="1"/>
      <c r="H10" s="1"/>
      <c r="I10" s="1"/>
      <c r="J10" s="1"/>
      <c r="K10" s="1"/>
      <c r="L10" s="1"/>
      <c r="M10" s="1"/>
      <c r="N10" s="1"/>
      <c r="O10" s="1"/>
      <c r="P10" s="1" t="s">
        <v>15</v>
      </c>
      <c r="Q10" s="1"/>
      <c r="R10" s="1"/>
      <c r="S10" s="1"/>
      <c r="T10" s="1" t="s">
        <v>13</v>
      </c>
      <c r="U10" s="1"/>
      <c r="V10" s="1"/>
      <c r="W10" s="1"/>
      <c r="X10" s="1"/>
      <c r="Y10" s="1"/>
      <c r="Z10" s="1"/>
      <c r="AA10" s="1"/>
      <c r="AB10" s="1"/>
      <c r="AC10" s="1"/>
      <c r="AD10" s="1" t="s">
        <v>15</v>
      </c>
      <c r="AE10" s="1"/>
      <c r="AF10" s="1"/>
      <c r="AG10" s="1"/>
      <c r="AH10" s="8">
        <f>COUNTA(Février[[#This Row],[1]:[29]])</f>
        <v>4</v>
      </c>
    </row>
    <row r="11" spans="2:34" ht="30" customHeight="1" x14ac:dyDescent="0.25">
      <c r="B11" s="7" t="s">
        <v>7</v>
      </c>
      <c r="C11" s="1"/>
      <c r="D11" s="1"/>
      <c r="E11" s="1"/>
      <c r="F11" s="1"/>
      <c r="G11" s="1"/>
      <c r="H11" s="1"/>
      <c r="I11" s="1"/>
      <c r="J11" s="1" t="s">
        <v>8</v>
      </c>
      <c r="K11" s="1" t="s">
        <v>8</v>
      </c>
      <c r="L11" s="1" t="s">
        <v>8</v>
      </c>
      <c r="M11" s="1" t="s">
        <v>8</v>
      </c>
      <c r="N11" s="1"/>
      <c r="O11" s="1"/>
      <c r="P11" s="1"/>
      <c r="Q11" s="1"/>
      <c r="R11" s="1"/>
      <c r="S11" s="1"/>
      <c r="T11" s="1"/>
      <c r="U11" s="1"/>
      <c r="V11" s="1"/>
      <c r="W11" s="1"/>
      <c r="X11" s="1"/>
      <c r="Y11" s="1"/>
      <c r="Z11" s="1" t="s">
        <v>15</v>
      </c>
      <c r="AA11" s="1"/>
      <c r="AB11" s="1"/>
      <c r="AC11" s="1"/>
      <c r="AD11" s="1"/>
      <c r="AE11" s="1"/>
      <c r="AF11" s="1"/>
      <c r="AG11" s="1"/>
      <c r="AH11" s="8">
        <f>COUNTA(Février[[#This Row],[1]:[29]])</f>
        <v>5</v>
      </c>
    </row>
    <row r="12" spans="2:34" ht="30" customHeight="1" x14ac:dyDescent="0.25">
      <c r="B12" s="15" t="str">
        <f>NomMois&amp;" Total"</f>
        <v>Février Total</v>
      </c>
      <c r="C12" s="10">
        <f>SUBTOTAL(103,Février[1])</f>
        <v>0</v>
      </c>
      <c r="D12" s="10">
        <f>SUBTOTAL(103,Février[2])</f>
        <v>0</v>
      </c>
      <c r="E12" s="10">
        <f>SUBTOTAL(103,Février[3])</f>
        <v>2</v>
      </c>
      <c r="F12" s="10">
        <f>SUBTOTAL(103,Février[4])</f>
        <v>1</v>
      </c>
      <c r="G12" s="10">
        <f>SUBTOTAL(103,Février[5])</f>
        <v>2</v>
      </c>
      <c r="H12" s="10">
        <f>SUBTOTAL(103,Février[6])</f>
        <v>2</v>
      </c>
      <c r="I12" s="10">
        <f>SUBTOTAL(103,Février[7])</f>
        <v>0</v>
      </c>
      <c r="J12" s="10">
        <f>SUBTOTAL(103,Février[8])</f>
        <v>1</v>
      </c>
      <c r="K12" s="10">
        <f>SUBTOTAL(103,Février[9])</f>
        <v>1</v>
      </c>
      <c r="L12" s="10">
        <f>SUBTOTAL(103,Février[10])</f>
        <v>1</v>
      </c>
      <c r="M12" s="10">
        <f>SUBTOTAL(103,Février[11])</f>
        <v>2</v>
      </c>
      <c r="N12" s="10">
        <f>SUBTOTAL(103,Février[12])</f>
        <v>0</v>
      </c>
      <c r="O12" s="10">
        <f>SUBTOTAL(103,Février[13])</f>
        <v>1</v>
      </c>
      <c r="P12" s="10">
        <f>SUBTOTAL(103,Février[14])</f>
        <v>1</v>
      </c>
      <c r="Q12" s="10">
        <f>SUBTOTAL(103,Février[15])</f>
        <v>0</v>
      </c>
      <c r="R12" s="10">
        <f>SUBTOTAL(103,Février[16])</f>
        <v>0</v>
      </c>
      <c r="S12" s="10">
        <f>SUBTOTAL(103,Février[17])</f>
        <v>0</v>
      </c>
      <c r="T12" s="10">
        <f>SUBTOTAL(103,Février[18])</f>
        <v>1</v>
      </c>
      <c r="U12" s="10">
        <f>SUBTOTAL(103,Février[19])</f>
        <v>0</v>
      </c>
      <c r="V12" s="10">
        <f>SUBTOTAL(103,Février[20])</f>
        <v>1</v>
      </c>
      <c r="W12" s="10">
        <f>SUBTOTAL(103,Février[21])</f>
        <v>0</v>
      </c>
      <c r="X12" s="10">
        <f>SUBTOTAL(103,Février[22])</f>
        <v>0</v>
      </c>
      <c r="Y12" s="10">
        <f>SUBTOTAL(103,Février[23])</f>
        <v>0</v>
      </c>
      <c r="Z12" s="10">
        <f>SUBTOTAL(103,Février[24])</f>
        <v>1</v>
      </c>
      <c r="AA12" s="10">
        <f>SUBTOTAL(103,Février[25])</f>
        <v>1</v>
      </c>
      <c r="AB12" s="10">
        <f>SUBTOTAL(103,Février[26])</f>
        <v>1</v>
      </c>
      <c r="AC12" s="10">
        <f>SUBTOTAL(103,Février[27])</f>
        <v>1</v>
      </c>
      <c r="AD12" s="10">
        <f>SUBTOTAL(103,Février[28])</f>
        <v>1</v>
      </c>
      <c r="AE12" s="10">
        <f>SUBTOTAL(103,Février[29])</f>
        <v>0</v>
      </c>
      <c r="AF12" s="10"/>
      <c r="AG12" s="10"/>
      <c r="AH12" s="10">
        <f>SUBTOTAL(109,Février[Total des jours])</f>
        <v>21</v>
      </c>
    </row>
  </sheetData>
  <mergeCells count="6">
    <mergeCell ref="B4:AG4"/>
    <mergeCell ref="D2:E2"/>
    <mergeCell ref="G2:I2"/>
    <mergeCell ref="K2:L2"/>
    <mergeCell ref="N2:Q2"/>
    <mergeCell ref="S2:V2"/>
  </mergeCells>
  <conditionalFormatting sqref="AE6">
    <cfRule type="expression" dxfId="55" priority="16">
      <formula>MONTH(DATE(AnnéeCalendrier,2,29))&lt;&gt;2</formula>
    </cfRule>
  </conditionalFormatting>
  <conditionalFormatting sqref="AE5">
    <cfRule type="expression" dxfId="54" priority="15">
      <formula>MONTH(DATE(AnnéeCalendrier,2,29))&lt;&gt;2</formula>
    </cfRule>
  </conditionalFormatting>
  <conditionalFormatting sqref="C7:AG11">
    <cfRule type="expression" dxfId="53" priority="5" stopIfTrue="1">
      <formula>C7=CléPersonnalisée1</formula>
    </cfRule>
    <cfRule type="expression" dxfId="52" priority="6" stopIfTrue="1">
      <formula>C7=CléMaladie</formula>
    </cfRule>
    <cfRule type="expression" dxfId="51" priority="7" stopIfTrue="1">
      <formula>C7=CléPersonnel</formula>
    </cfRule>
    <cfRule type="expression" dxfId="50" priority="8" stopIfTrue="1">
      <formula>C7=CléJournée</formula>
    </cfRule>
  </conditionalFormatting>
  <conditionalFormatting sqref="AH7:AH11">
    <cfRule type="dataBar" priority="153">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5">
    <dataValidation allowBlank="1" showInputMessage="1" showErrorMessage="1" prompt="Année mise à jour automatiquement en fonction de l’année entrée dans la feuille de calcul Janvier" sqref="AH4"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6" xr:uid="{00000000-0002-0000-0100-000002000000}"/>
    <dataValidation allowBlank="1" showInputMessage="1" showErrorMessage="1" prompt="Le titre mis à jour automatiquement figure dans cette cellule. Pour modifier le titre, mettez à jour la cellule B1 de la feuille de calcul Janvier" sqref="B1"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100-000005000000}"/>
    <dataValidation allowBlank="1" showInputMessage="1" showErrorMessage="1" prompt="Cette ligne définit les clés utilisées dans le tableau : Congé en C2, Personnel en F2 et Congé maladie en J2. Les cellules M2 et R2 sont personnalisables" sqref="B2" xr:uid="{00000000-0002-0000-0100-000006000000}"/>
    <dataValidation allowBlank="1" showInputMessage="1" showErrorMessage="1" prompt="Entrez une étiquette pour décrire la clé personnalisée à gauche" sqref="N2 S2" xr:uid="{00000000-0002-0000-0100-000007000000}"/>
    <dataValidation allowBlank="1" showInputMessage="1" showErrorMessage="1" prompt="Entrez une lettre et personnalisez l’étiquette à droite pour ajouter un élément de clé" sqref="M2 R2" xr:uid="{00000000-0002-0000-0100-000008000000}"/>
    <dataValidation allowBlank="1" showInputMessage="1" showErrorMessage="1" prompt="La lettre « M » indique une absence pour cause de maladie" sqref="J2" xr:uid="{00000000-0002-0000-0100-000009000000}"/>
    <dataValidation allowBlank="1" showInputMessage="1" showErrorMessage="1" prompt="La lettre « P » indique une absence pour motifs personnels" sqref="F2" xr:uid="{00000000-0002-0000-0100-00000A000000}"/>
    <dataValidation allowBlank="1" showInputMessage="1" showErrorMessage="1" prompt="La lettre « C » indique une absence pour cause de congé" sqref="C2" xr:uid="{00000000-0002-0000-01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1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100-00000D000000}"/>
    <dataValidation type="list" allowBlank="1" showInputMessage="1" showErrorMessage="1" sqref="B7:B11" xr:uid="{00000000-0002-0000-0100-00000E000000}">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0"/>
  </sheetPr>
  <dimension ref="B1:AH12"/>
  <sheetViews>
    <sheetView showGridLines="0" zoomScaleNormal="100" workbookViewId="0">
      <selection activeCell="B4" sqref="B4:AG4"/>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1" t="str">
        <f>Titre_Absence_Employé</f>
        <v>Présences des animateurs de l'accueil de loisirs des mercredis / vacances scolaires</v>
      </c>
    </row>
    <row r="2" spans="2:34" ht="15" customHeight="1" x14ac:dyDescent="0.25">
      <c r="B2" s="14" t="s">
        <v>0</v>
      </c>
      <c r="C2" s="2" t="s">
        <v>8</v>
      </c>
      <c r="D2" s="37" t="s">
        <v>10</v>
      </c>
      <c r="E2" s="37"/>
      <c r="F2" s="3" t="s">
        <v>13</v>
      </c>
      <c r="G2" s="37" t="s">
        <v>17</v>
      </c>
      <c r="H2" s="37"/>
      <c r="I2" s="37"/>
      <c r="J2" s="4" t="s">
        <v>15</v>
      </c>
      <c r="K2" s="37" t="s">
        <v>22</v>
      </c>
      <c r="L2" s="37"/>
      <c r="M2" s="5"/>
      <c r="N2" s="37" t="s">
        <v>26</v>
      </c>
      <c r="O2" s="37"/>
      <c r="P2" s="37"/>
      <c r="Q2" s="37"/>
      <c r="R2" s="6"/>
      <c r="S2" s="37" t="s">
        <v>31</v>
      </c>
      <c r="T2" s="37"/>
      <c r="U2" s="37"/>
      <c r="V2" s="37"/>
    </row>
    <row r="3" spans="2:34" ht="15" customHeight="1" x14ac:dyDescent="0.25">
      <c r="B3" s="11"/>
    </row>
    <row r="4" spans="2:34" ht="30" customHeight="1" x14ac:dyDescent="0.25">
      <c r="B4" s="36" t="s">
        <v>52</v>
      </c>
      <c r="C4" s="36"/>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9">
        <f>AnnéeCalendrier</f>
        <v>2023</v>
      </c>
    </row>
    <row r="5" spans="2:34" ht="15" customHeight="1" x14ac:dyDescent="0.25">
      <c r="B5" s="9"/>
      <c r="C5" s="1" t="str">
        <f>TEXT(WEEKDAY(DATE(AnnéeCalendrier,3,1),1),"jjj")</f>
        <v>mer</v>
      </c>
      <c r="D5" s="1" t="str">
        <f>TEXT(WEEKDAY(DATE(AnnéeCalendrier,3,2),1),"jjj")</f>
        <v>jeu</v>
      </c>
      <c r="E5" s="1" t="str">
        <f>TEXT(WEEKDAY(DATE(AnnéeCalendrier,3,3),1),"jjj")</f>
        <v>ven</v>
      </c>
      <c r="F5" s="1" t="str">
        <f>TEXT(WEEKDAY(DATE(AnnéeCalendrier,3,4),1),"jjj")</f>
        <v>sam</v>
      </c>
      <c r="G5" s="1" t="str">
        <f>TEXT(WEEKDAY(DATE(AnnéeCalendrier,3,5),1),"jjj")</f>
        <v>dim</v>
      </c>
      <c r="H5" s="1" t="str">
        <f>TEXT(WEEKDAY(DATE(AnnéeCalendrier,3,6),1),"jjj")</f>
        <v>lun</v>
      </c>
      <c r="I5" s="1" t="str">
        <f>TEXT(WEEKDAY(DATE(AnnéeCalendrier,3,7),1),"jjj")</f>
        <v>mar</v>
      </c>
      <c r="J5" s="1" t="str">
        <f>TEXT(WEEKDAY(DATE(AnnéeCalendrier,3,8),1),"jjj")</f>
        <v>mer</v>
      </c>
      <c r="K5" s="1" t="str">
        <f>TEXT(WEEKDAY(DATE(AnnéeCalendrier,3,9),1),"jjj")</f>
        <v>jeu</v>
      </c>
      <c r="L5" s="1" t="str">
        <f>TEXT(WEEKDAY(DATE(AnnéeCalendrier,3,10),1),"jjj")</f>
        <v>ven</v>
      </c>
      <c r="M5" s="1" t="str">
        <f>TEXT(WEEKDAY(DATE(AnnéeCalendrier,3,11),1),"jjj")</f>
        <v>sam</v>
      </c>
      <c r="N5" s="1" t="str">
        <f>TEXT(WEEKDAY(DATE(AnnéeCalendrier,3,12),1),"jjj")</f>
        <v>dim</v>
      </c>
      <c r="O5" s="1" t="str">
        <f>TEXT(WEEKDAY(DATE(AnnéeCalendrier,3,13),1),"jjj")</f>
        <v>lun</v>
      </c>
      <c r="P5" s="1" t="str">
        <f>TEXT(WEEKDAY(DATE(AnnéeCalendrier,3,14),1),"jjj")</f>
        <v>mar</v>
      </c>
      <c r="Q5" s="1" t="str">
        <f>TEXT(WEEKDAY(DATE(AnnéeCalendrier,3,15),1),"jjj")</f>
        <v>mer</v>
      </c>
      <c r="R5" s="1" t="str">
        <f>TEXT(WEEKDAY(DATE(AnnéeCalendrier,3,16),1),"jjj")</f>
        <v>jeu</v>
      </c>
      <c r="S5" s="1" t="str">
        <f>TEXT(WEEKDAY(DATE(AnnéeCalendrier,3,17),1),"jjj")</f>
        <v>ven</v>
      </c>
      <c r="T5" s="1" t="str">
        <f>TEXT(WEEKDAY(DATE(AnnéeCalendrier,3,18),1),"jjj")</f>
        <v>sam</v>
      </c>
      <c r="U5" s="1" t="str">
        <f>TEXT(WEEKDAY(DATE(AnnéeCalendrier,3,19),1),"jjj")</f>
        <v>dim</v>
      </c>
      <c r="V5" s="1" t="str">
        <f>TEXT(WEEKDAY(DATE(AnnéeCalendrier,3,20),1),"jjj")</f>
        <v>lun</v>
      </c>
      <c r="W5" s="1" t="str">
        <f>TEXT(WEEKDAY(DATE(AnnéeCalendrier,3,21),1),"jjj")</f>
        <v>mar</v>
      </c>
      <c r="X5" s="1" t="str">
        <f>TEXT(WEEKDAY(DATE(AnnéeCalendrier,3,22),1),"jjj")</f>
        <v>mer</v>
      </c>
      <c r="Y5" s="1" t="str">
        <f>TEXT(WEEKDAY(DATE(AnnéeCalendrier,3,23),1),"jjj")</f>
        <v>jeu</v>
      </c>
      <c r="Z5" s="1" t="str">
        <f>TEXT(WEEKDAY(DATE(AnnéeCalendrier,3,24),1),"jjj")</f>
        <v>ven</v>
      </c>
      <c r="AA5" s="1" t="str">
        <f>TEXT(WEEKDAY(DATE(AnnéeCalendrier,3,25),1),"jjj")</f>
        <v>sam</v>
      </c>
      <c r="AB5" s="1" t="str">
        <f>TEXT(WEEKDAY(DATE(AnnéeCalendrier,3,26),1),"jjj")</f>
        <v>dim</v>
      </c>
      <c r="AC5" s="1" t="str">
        <f>TEXT(WEEKDAY(DATE(AnnéeCalendrier,3,27),1),"jjj")</f>
        <v>lun</v>
      </c>
      <c r="AD5" s="1" t="str">
        <f>TEXT(WEEKDAY(DATE(AnnéeCalendrier,3,28),1),"jjj")</f>
        <v>mar</v>
      </c>
      <c r="AE5" s="1" t="str">
        <f>TEXT(WEEKDAY(DATE(AnnéeCalendrier,3,29),1),"jjj")</f>
        <v>mer</v>
      </c>
      <c r="AF5" s="1" t="str">
        <f>TEXT(WEEKDAY(DATE(AnnéeCalendrier,3,30),1),"jjj")</f>
        <v>jeu</v>
      </c>
      <c r="AG5" s="1" t="str">
        <f>TEXT(WEEKDAY(DATE(AnnéeCalendrier,3,31),1),"jjj")</f>
        <v>ven</v>
      </c>
      <c r="AH5" s="9"/>
    </row>
    <row r="6" spans="2:34" ht="15" customHeight="1" x14ac:dyDescent="0.25">
      <c r="B6" s="12" t="s">
        <v>2</v>
      </c>
      <c r="C6" s="1" t="s">
        <v>9</v>
      </c>
      <c r="D6" s="1" t="s">
        <v>11</v>
      </c>
      <c r="E6" s="1" t="s">
        <v>12</v>
      </c>
      <c r="F6" s="1" t="s">
        <v>14</v>
      </c>
      <c r="G6" s="1" t="s">
        <v>16</v>
      </c>
      <c r="H6" s="1" t="s">
        <v>18</v>
      </c>
      <c r="I6" s="1" t="s">
        <v>19</v>
      </c>
      <c r="J6" s="1" t="s">
        <v>20</v>
      </c>
      <c r="K6" s="1" t="s">
        <v>21</v>
      </c>
      <c r="L6" s="1" t="s">
        <v>23</v>
      </c>
      <c r="M6" s="1" t="s">
        <v>24</v>
      </c>
      <c r="N6" s="1" t="s">
        <v>25</v>
      </c>
      <c r="O6" s="1" t="s">
        <v>27</v>
      </c>
      <c r="P6" s="1" t="s">
        <v>28</v>
      </c>
      <c r="Q6" s="1" t="s">
        <v>29</v>
      </c>
      <c r="R6" s="1" t="s">
        <v>30</v>
      </c>
      <c r="S6" s="1" t="s">
        <v>32</v>
      </c>
      <c r="T6" s="1" t="s">
        <v>33</v>
      </c>
      <c r="U6" s="1" t="s">
        <v>34</v>
      </c>
      <c r="V6" s="1" t="s">
        <v>35</v>
      </c>
      <c r="W6" s="1" t="s">
        <v>36</v>
      </c>
      <c r="X6" s="1" t="s">
        <v>37</v>
      </c>
      <c r="Y6" s="1" t="s">
        <v>38</v>
      </c>
      <c r="Z6" s="1" t="s">
        <v>39</v>
      </c>
      <c r="AA6" s="1" t="s">
        <v>40</v>
      </c>
      <c r="AB6" s="1" t="s">
        <v>41</v>
      </c>
      <c r="AC6" s="1" t="s">
        <v>42</v>
      </c>
      <c r="AD6" s="1" t="s">
        <v>43</v>
      </c>
      <c r="AE6" s="1" t="s">
        <v>44</v>
      </c>
      <c r="AF6" s="1" t="s">
        <v>45</v>
      </c>
      <c r="AG6" s="1" t="s">
        <v>46</v>
      </c>
      <c r="AH6" s="13" t="s">
        <v>48</v>
      </c>
    </row>
    <row r="7" spans="2:34" ht="30" customHeight="1" x14ac:dyDescent="0.25">
      <c r="B7" s="7" t="s">
        <v>3</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8">
        <f>COUNTA(Mars[[#This Row],[1]:[31]])</f>
        <v>0</v>
      </c>
    </row>
    <row r="8" spans="2:34" ht="30" customHeight="1" x14ac:dyDescent="0.25">
      <c r="B8" s="7" t="s">
        <v>4</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8">
        <f>COUNTA(Mars[[#This Row],[1]:[31]])</f>
        <v>0</v>
      </c>
    </row>
    <row r="9" spans="2:34" ht="30" customHeight="1" x14ac:dyDescent="0.25">
      <c r="B9" s="7" t="s">
        <v>5</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8">
        <f>COUNTA(Mars[[#This Row],[1]:[31]])</f>
        <v>0</v>
      </c>
    </row>
    <row r="10" spans="2:34" ht="30" customHeight="1" x14ac:dyDescent="0.25">
      <c r="B10" s="7" t="s">
        <v>6</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8">
        <f>COUNTA(Mars[[#This Row],[1]:[31]])</f>
        <v>0</v>
      </c>
    </row>
    <row r="11" spans="2:34" ht="30" customHeight="1" x14ac:dyDescent="0.25">
      <c r="B11" s="7" t="s">
        <v>7</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8">
        <f>COUNTA(Mars[[#This Row],[1]:[31]])</f>
        <v>0</v>
      </c>
    </row>
    <row r="12" spans="2:34" ht="30" customHeight="1" x14ac:dyDescent="0.25">
      <c r="B12" s="15" t="str">
        <f>NomMois&amp;" Total"</f>
        <v>Mars Total</v>
      </c>
      <c r="C12" s="10">
        <f>SUBTOTAL(103,Mars[1])</f>
        <v>0</v>
      </c>
      <c r="D12" s="10">
        <f>SUBTOTAL(103,Mars[2])</f>
        <v>0</v>
      </c>
      <c r="E12" s="10">
        <f>SUBTOTAL(103,Mars[3])</f>
        <v>0</v>
      </c>
      <c r="F12" s="10">
        <f>SUBTOTAL(103,Mars[4])</f>
        <v>0</v>
      </c>
      <c r="G12" s="10">
        <f>SUBTOTAL(103,Mars[5])</f>
        <v>0</v>
      </c>
      <c r="H12" s="10">
        <f>SUBTOTAL(103,Mars[6])</f>
        <v>0</v>
      </c>
      <c r="I12" s="10">
        <f>SUBTOTAL(103,Mars[7])</f>
        <v>0</v>
      </c>
      <c r="J12" s="10">
        <f>SUBTOTAL(103,Mars[8])</f>
        <v>0</v>
      </c>
      <c r="K12" s="10">
        <f>SUBTOTAL(103,Mars[9])</f>
        <v>0</v>
      </c>
      <c r="L12" s="10">
        <f>SUBTOTAL(103,Mars[10])</f>
        <v>0</v>
      </c>
      <c r="M12" s="10">
        <f>SUBTOTAL(103,Mars[11])</f>
        <v>0</v>
      </c>
      <c r="N12" s="10">
        <f>SUBTOTAL(103,Mars[12])</f>
        <v>0</v>
      </c>
      <c r="O12" s="10">
        <f>SUBTOTAL(103,Mars[13])</f>
        <v>0</v>
      </c>
      <c r="P12" s="10">
        <f>SUBTOTAL(103,Mars[14])</f>
        <v>0</v>
      </c>
      <c r="Q12" s="10">
        <f>SUBTOTAL(103,Mars[15])</f>
        <v>0</v>
      </c>
      <c r="R12" s="10">
        <f>SUBTOTAL(103,Mars[16])</f>
        <v>0</v>
      </c>
      <c r="S12" s="10">
        <f>SUBTOTAL(103,Mars[17])</f>
        <v>0</v>
      </c>
      <c r="T12" s="10">
        <f>SUBTOTAL(103,Mars[18])</f>
        <v>0</v>
      </c>
      <c r="U12" s="10">
        <f>SUBTOTAL(103,Mars[19])</f>
        <v>0</v>
      </c>
      <c r="V12" s="10">
        <f>SUBTOTAL(103,Mars[20])</f>
        <v>0</v>
      </c>
      <c r="W12" s="10">
        <f>SUBTOTAL(103,Mars[21])</f>
        <v>0</v>
      </c>
      <c r="X12" s="10">
        <f>SUBTOTAL(103,Mars[22])</f>
        <v>0</v>
      </c>
      <c r="Y12" s="10">
        <f>SUBTOTAL(103,Mars[23])</f>
        <v>0</v>
      </c>
      <c r="Z12" s="10">
        <f>SUBTOTAL(103,Mars[24])</f>
        <v>0</v>
      </c>
      <c r="AA12" s="10">
        <f>SUBTOTAL(103,Mars[25])</f>
        <v>0</v>
      </c>
      <c r="AB12" s="10">
        <f>SUBTOTAL(103,Mars[26])</f>
        <v>0</v>
      </c>
      <c r="AC12" s="10">
        <f>SUBTOTAL(103,Mars[27])</f>
        <v>0</v>
      </c>
      <c r="AD12" s="10">
        <f>SUBTOTAL(103,Mars[28])</f>
        <v>0</v>
      </c>
      <c r="AE12" s="10">
        <f>SUBTOTAL(103,Mars[29])</f>
        <v>0</v>
      </c>
      <c r="AF12" s="10">
        <f>SUBTOTAL(103,Mars[30])</f>
        <v>0</v>
      </c>
      <c r="AG12" s="10">
        <f>SUBTOTAL(103,Mars[31])</f>
        <v>0</v>
      </c>
      <c r="AH12" s="10">
        <f>SUBTOTAL(109,Mars[Total des jours])</f>
        <v>0</v>
      </c>
    </row>
  </sheetData>
  <mergeCells count="6">
    <mergeCell ref="B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9" priority="2" stopIfTrue="1">
      <formula>C7=CléPersonnalisée2</formula>
    </cfRule>
    <cfRule type="expression" dxfId="48" priority="3" stopIfTrue="1">
      <formula>C7=CléPersonnalisée1</formula>
    </cfRule>
    <cfRule type="expression" dxfId="47" priority="4" stopIfTrue="1">
      <formula>C7=CléMaladie</formula>
    </cfRule>
    <cfRule type="expression" dxfId="46" priority="5" stopIfTrue="1">
      <formula>C7=CléPersonnel</formula>
    </cfRule>
    <cfRule type="expression" dxfId="45" priority="6" stopIfTrue="1">
      <formula>C7=CléJournée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200-000000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2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200-000002000000}"/>
    <dataValidation allowBlank="1" showInputMessage="1" showErrorMessage="1" prompt="Cette ligne définit les clés utilisées dans le tableau : Congé en C2, Personnel en F2 et Congé maladie en J2. Les cellules M2 et R2 sont personnalisables" sqref="B2" xr:uid="{00000000-0002-0000-0200-000003000000}"/>
    <dataValidation allowBlank="1" showInputMessage="1" showErrorMessage="1" prompt="Entrez une étiquette pour décrire la clé personnalisée à gauche" sqref="N2 S2" xr:uid="{00000000-0002-0000-0200-000004000000}"/>
    <dataValidation allowBlank="1" showInputMessage="1" showErrorMessage="1" prompt="Entrez une lettre et personnalisez l’étiquette à droite pour ajouter un élément de clé" sqref="M2 R2" xr:uid="{00000000-0002-0000-0200-000005000000}"/>
    <dataValidation allowBlank="1" showInputMessage="1" showErrorMessage="1" prompt="La lettre « M » indique une absence pour cause de maladie" sqref="J2" xr:uid="{00000000-0002-0000-0200-000006000000}"/>
    <dataValidation allowBlank="1" showInputMessage="1" showErrorMessage="1" prompt="La lettre « P » indique une absence pour motifs personnels" sqref="F2" xr:uid="{00000000-0002-0000-0200-000007000000}"/>
    <dataValidation allowBlank="1" showInputMessage="1" showErrorMessage="1" prompt="La lettre « C » indique une absence pour cause de congé" sqref="C2" xr:uid="{00000000-0002-0000-0200-000008000000}"/>
    <dataValidation allowBlank="1" showInputMessage="1" showErrorMessage="1" prompt="Le titre mis à jour automatiquement figure dans cette cellule. Pour modifier le titre, mettez à jour la cellule B1 de la feuille de calcul Janvier" sqref="B1" xr:uid="{00000000-0002-0000-0200-000009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200-00000A000000}"/>
    <dataValidation allowBlank="1" showInputMessage="1" showErrorMessage="1" prompt="Suivez les absences du mois de mars dans cette feuille de calcul" sqref="A1" xr:uid="{00000000-0002-0000-0200-00000B000000}"/>
    <dataValidation allowBlank="1" showInputMessage="1" showErrorMessage="1" prompt="Calcule automatiquement le nombre total de jours d’absence d’un employé durant ce mois dans cette colonne" sqref="AH6" xr:uid="{00000000-0002-0000-0200-00000C000000}"/>
    <dataValidation allowBlank="1" showInputMessage="1" showErrorMessage="1" prompt="Année mise à jour automatiquement en fonction de l’année entrée dans la feuille de calcul Janvier" sqref="AH4" xr:uid="{00000000-0002-0000-0200-00000D000000}"/>
    <dataValidation type="list" allowBlank="1" showInputMessage="1" showErrorMessage="1" sqref="B7:B11" xr:uid="{00000000-0002-0000-0200-00000E000000}">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theme="0"/>
  </sheetPr>
  <dimension ref="B1:AH12"/>
  <sheetViews>
    <sheetView showGridLines="0" zoomScaleNormal="100" workbookViewId="0">
      <selection activeCell="B4" sqref="B4:AG4"/>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1" t="str">
        <f>Titre_Absence_Employé</f>
        <v>Présences des animateurs de l'accueil de loisirs des mercredis / vacances scolaires</v>
      </c>
    </row>
    <row r="2" spans="2:34" ht="15" customHeight="1" x14ac:dyDescent="0.25">
      <c r="B2" s="14" t="s">
        <v>0</v>
      </c>
      <c r="C2" s="2" t="s">
        <v>8</v>
      </c>
      <c r="D2" s="37" t="s">
        <v>10</v>
      </c>
      <c r="E2" s="37"/>
      <c r="F2" s="3" t="s">
        <v>13</v>
      </c>
      <c r="G2" s="37" t="s">
        <v>17</v>
      </c>
      <c r="H2" s="37"/>
      <c r="I2" s="37"/>
      <c r="J2" s="4" t="s">
        <v>15</v>
      </c>
      <c r="K2" s="37" t="s">
        <v>22</v>
      </c>
      <c r="L2" s="37"/>
      <c r="M2" s="5"/>
      <c r="N2" s="37" t="s">
        <v>26</v>
      </c>
      <c r="O2" s="37"/>
      <c r="P2" s="37"/>
      <c r="Q2" s="37"/>
      <c r="R2" s="6"/>
      <c r="S2" s="37" t="s">
        <v>31</v>
      </c>
      <c r="T2" s="37"/>
      <c r="U2" s="37"/>
      <c r="V2" s="37"/>
    </row>
    <row r="3" spans="2:34" ht="15" customHeight="1" x14ac:dyDescent="0.25">
      <c r="B3" s="11"/>
    </row>
    <row r="4" spans="2:34" ht="30" customHeight="1" x14ac:dyDescent="0.25">
      <c r="B4" s="36" t="s">
        <v>53</v>
      </c>
      <c r="C4" s="36"/>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9">
        <f>AnnéeCalendrier</f>
        <v>2023</v>
      </c>
    </row>
    <row r="5" spans="2:34" ht="15" customHeight="1" x14ac:dyDescent="0.25">
      <c r="B5" s="9"/>
      <c r="C5" s="1" t="str">
        <f>TEXT(WEEKDAY(DATE(AnnéeCalendrier,4,1),1),"jjj")</f>
        <v>sam</v>
      </c>
      <c r="D5" s="1" t="str">
        <f>TEXT(WEEKDAY(DATE(AnnéeCalendrier,4,2),1),"jjj")</f>
        <v>dim</v>
      </c>
      <c r="E5" s="1" t="str">
        <f>TEXT(WEEKDAY(DATE(AnnéeCalendrier,4,3),1),"jjj")</f>
        <v>lun</v>
      </c>
      <c r="F5" s="1" t="str">
        <f>TEXT(WEEKDAY(DATE(AnnéeCalendrier,4,4),1),"jjj")</f>
        <v>mar</v>
      </c>
      <c r="G5" s="1" t="str">
        <f>TEXT(WEEKDAY(DATE(AnnéeCalendrier,4,5),1),"jjj")</f>
        <v>mer</v>
      </c>
      <c r="H5" s="1" t="str">
        <f>TEXT(WEEKDAY(DATE(AnnéeCalendrier,4,6),1),"jjj")</f>
        <v>jeu</v>
      </c>
      <c r="I5" s="1" t="str">
        <f>TEXT(WEEKDAY(DATE(AnnéeCalendrier,4,7),1),"jjj")</f>
        <v>ven</v>
      </c>
      <c r="J5" s="1" t="str">
        <f>TEXT(WEEKDAY(DATE(AnnéeCalendrier,4,8),1),"jjj")</f>
        <v>sam</v>
      </c>
      <c r="K5" s="1" t="str">
        <f>TEXT(WEEKDAY(DATE(AnnéeCalendrier,4,9),1),"jjj")</f>
        <v>dim</v>
      </c>
      <c r="L5" s="1" t="str">
        <f>TEXT(WEEKDAY(DATE(AnnéeCalendrier,4,10),1),"jjj")</f>
        <v>lun</v>
      </c>
      <c r="M5" s="1" t="str">
        <f>TEXT(WEEKDAY(DATE(AnnéeCalendrier,4,11),1),"jjj")</f>
        <v>mar</v>
      </c>
      <c r="N5" s="1" t="str">
        <f>TEXT(WEEKDAY(DATE(AnnéeCalendrier,4,12),1),"jjj")</f>
        <v>mer</v>
      </c>
      <c r="O5" s="1" t="str">
        <f>TEXT(WEEKDAY(DATE(AnnéeCalendrier,4,13),1),"jjj")</f>
        <v>jeu</v>
      </c>
      <c r="P5" s="1" t="str">
        <f>TEXT(WEEKDAY(DATE(AnnéeCalendrier,4,14),1),"jjj")</f>
        <v>ven</v>
      </c>
      <c r="Q5" s="1" t="str">
        <f>TEXT(WEEKDAY(DATE(AnnéeCalendrier,4,15),1),"jjj")</f>
        <v>sam</v>
      </c>
      <c r="R5" s="1" t="str">
        <f>TEXT(WEEKDAY(DATE(AnnéeCalendrier,4,16),1),"jjj")</f>
        <v>dim</v>
      </c>
      <c r="S5" s="1" t="str">
        <f>TEXT(WEEKDAY(DATE(AnnéeCalendrier,4,17),1),"jjj")</f>
        <v>lun</v>
      </c>
      <c r="T5" s="1" t="str">
        <f>TEXT(WEEKDAY(DATE(AnnéeCalendrier,4,18),1),"jjj")</f>
        <v>mar</v>
      </c>
      <c r="U5" s="1" t="str">
        <f>TEXT(WEEKDAY(DATE(AnnéeCalendrier,4,19),1),"jjj")</f>
        <v>mer</v>
      </c>
      <c r="V5" s="1" t="str">
        <f>TEXT(WEEKDAY(DATE(AnnéeCalendrier,4,20),1),"jjj")</f>
        <v>jeu</v>
      </c>
      <c r="W5" s="1" t="str">
        <f>TEXT(WEEKDAY(DATE(AnnéeCalendrier,4,21),1),"jjj")</f>
        <v>ven</v>
      </c>
      <c r="X5" s="1" t="str">
        <f>TEXT(WEEKDAY(DATE(AnnéeCalendrier,4,22),1),"jjj")</f>
        <v>sam</v>
      </c>
      <c r="Y5" s="1" t="str">
        <f>TEXT(WEEKDAY(DATE(AnnéeCalendrier,4,23),1),"jjj")</f>
        <v>dim</v>
      </c>
      <c r="Z5" s="1" t="str">
        <f>TEXT(WEEKDAY(DATE(AnnéeCalendrier,4,24),1),"jjj")</f>
        <v>lun</v>
      </c>
      <c r="AA5" s="1" t="str">
        <f>TEXT(WEEKDAY(DATE(AnnéeCalendrier,4,25),1),"jjj")</f>
        <v>mar</v>
      </c>
      <c r="AB5" s="1" t="str">
        <f>TEXT(WEEKDAY(DATE(AnnéeCalendrier,4,26),1),"jjj")</f>
        <v>mer</v>
      </c>
      <c r="AC5" s="1" t="str">
        <f>TEXT(WEEKDAY(DATE(AnnéeCalendrier,4,27),1),"jjj")</f>
        <v>jeu</v>
      </c>
      <c r="AD5" s="1" t="str">
        <f>TEXT(WEEKDAY(DATE(AnnéeCalendrier,4,28),1),"jjj")</f>
        <v>ven</v>
      </c>
      <c r="AE5" s="1" t="str">
        <f>TEXT(WEEKDAY(DATE(AnnéeCalendrier,4,29),1),"jjj")</f>
        <v>sam</v>
      </c>
      <c r="AF5" s="1" t="str">
        <f>TEXT(WEEKDAY(DATE(AnnéeCalendrier,4,30),1),"jjj")</f>
        <v>dim</v>
      </c>
      <c r="AG5" s="1"/>
      <c r="AH5" s="9"/>
    </row>
    <row r="6" spans="2:34" ht="15" customHeight="1" x14ac:dyDescent="0.25">
      <c r="B6" s="12" t="s">
        <v>2</v>
      </c>
      <c r="C6" s="1" t="s">
        <v>9</v>
      </c>
      <c r="D6" s="1" t="s">
        <v>11</v>
      </c>
      <c r="E6" s="1" t="s">
        <v>12</v>
      </c>
      <c r="F6" s="1" t="s">
        <v>14</v>
      </c>
      <c r="G6" s="1" t="s">
        <v>16</v>
      </c>
      <c r="H6" s="1" t="s">
        <v>18</v>
      </c>
      <c r="I6" s="1" t="s">
        <v>19</v>
      </c>
      <c r="J6" s="1" t="s">
        <v>20</v>
      </c>
      <c r="K6" s="1" t="s">
        <v>21</v>
      </c>
      <c r="L6" s="1" t="s">
        <v>23</v>
      </c>
      <c r="M6" s="1" t="s">
        <v>24</v>
      </c>
      <c r="N6" s="1" t="s">
        <v>25</v>
      </c>
      <c r="O6" s="1" t="s">
        <v>27</v>
      </c>
      <c r="P6" s="1" t="s">
        <v>28</v>
      </c>
      <c r="Q6" s="1" t="s">
        <v>29</v>
      </c>
      <c r="R6" s="1" t="s">
        <v>30</v>
      </c>
      <c r="S6" s="1" t="s">
        <v>32</v>
      </c>
      <c r="T6" s="1" t="s">
        <v>33</v>
      </c>
      <c r="U6" s="1" t="s">
        <v>34</v>
      </c>
      <c r="V6" s="1" t="s">
        <v>35</v>
      </c>
      <c r="W6" s="1" t="s">
        <v>36</v>
      </c>
      <c r="X6" s="1" t="s">
        <v>37</v>
      </c>
      <c r="Y6" s="1" t="s">
        <v>38</v>
      </c>
      <c r="Z6" s="1" t="s">
        <v>39</v>
      </c>
      <c r="AA6" s="1" t="s">
        <v>40</v>
      </c>
      <c r="AB6" s="1" t="s">
        <v>41</v>
      </c>
      <c r="AC6" s="1" t="s">
        <v>42</v>
      </c>
      <c r="AD6" s="1" t="s">
        <v>43</v>
      </c>
      <c r="AE6" s="1" t="s">
        <v>44</v>
      </c>
      <c r="AF6" s="1" t="s">
        <v>45</v>
      </c>
      <c r="AG6" s="16" t="s">
        <v>50</v>
      </c>
      <c r="AH6" s="13" t="s">
        <v>48</v>
      </c>
    </row>
    <row r="7" spans="2:34" ht="30" customHeight="1" x14ac:dyDescent="0.25">
      <c r="B7" s="7" t="s">
        <v>3</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8">
        <f>COUNTA(Avril[[#This Row],[1]:[30]])</f>
        <v>0</v>
      </c>
    </row>
    <row r="8" spans="2:34" ht="30" customHeight="1" x14ac:dyDescent="0.25">
      <c r="B8" s="7" t="s">
        <v>4</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8">
        <f>COUNTA(Avril[[#This Row],[1]:[30]])</f>
        <v>0</v>
      </c>
    </row>
    <row r="9" spans="2:34" ht="30" customHeight="1" x14ac:dyDescent="0.25">
      <c r="B9" s="7" t="s">
        <v>5</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8">
        <f>COUNTA(Avril[[#This Row],[1]:[30]])</f>
        <v>0</v>
      </c>
    </row>
    <row r="10" spans="2:34" ht="30" customHeight="1" x14ac:dyDescent="0.25">
      <c r="B10" s="7" t="s">
        <v>6</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8">
        <f>COUNTA(Avril[[#This Row],[1]:[30]])</f>
        <v>0</v>
      </c>
    </row>
    <row r="11" spans="2:34" ht="30" customHeight="1" x14ac:dyDescent="0.25">
      <c r="B11" s="7" t="s">
        <v>7</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8">
        <f>COUNTA(Avril[[#This Row],[1]:[30]])</f>
        <v>0</v>
      </c>
    </row>
    <row r="12" spans="2:34" ht="30" customHeight="1" x14ac:dyDescent="0.25">
      <c r="B12" s="15" t="str">
        <f>NomMois&amp;" Total"</f>
        <v>Avril Total</v>
      </c>
      <c r="C12" s="10">
        <f>SUBTOTAL(103,Avril[1])</f>
        <v>0</v>
      </c>
      <c r="D12" s="10">
        <f>SUBTOTAL(103,Avril[2])</f>
        <v>0</v>
      </c>
      <c r="E12" s="10">
        <f>SUBTOTAL(103,Avril[3])</f>
        <v>0</v>
      </c>
      <c r="F12" s="10">
        <f>SUBTOTAL(103,Avril[4])</f>
        <v>0</v>
      </c>
      <c r="G12" s="10">
        <f>SUBTOTAL(103,Avril[5])</f>
        <v>0</v>
      </c>
      <c r="H12" s="10">
        <f>SUBTOTAL(103,Avril[6])</f>
        <v>0</v>
      </c>
      <c r="I12" s="10">
        <f>SUBTOTAL(103,Avril[7])</f>
        <v>0</v>
      </c>
      <c r="J12" s="10">
        <f>SUBTOTAL(103,Avril[8])</f>
        <v>0</v>
      </c>
      <c r="K12" s="10">
        <f>SUBTOTAL(103,Avril[9])</f>
        <v>0</v>
      </c>
      <c r="L12" s="10">
        <f>SUBTOTAL(103,Avril[10])</f>
        <v>0</v>
      </c>
      <c r="M12" s="10">
        <f>SUBTOTAL(103,Avril[11])</f>
        <v>0</v>
      </c>
      <c r="N12" s="10">
        <f>SUBTOTAL(103,Avril[12])</f>
        <v>0</v>
      </c>
      <c r="O12" s="10">
        <f>SUBTOTAL(103,Avril[13])</f>
        <v>0</v>
      </c>
      <c r="P12" s="10">
        <f>SUBTOTAL(103,Avril[14])</f>
        <v>0</v>
      </c>
      <c r="Q12" s="10">
        <f>SUBTOTAL(103,Avril[15])</f>
        <v>0</v>
      </c>
      <c r="R12" s="10">
        <f>SUBTOTAL(103,Avril[16])</f>
        <v>0</v>
      </c>
      <c r="S12" s="10">
        <f>SUBTOTAL(103,Avril[17])</f>
        <v>0</v>
      </c>
      <c r="T12" s="10">
        <f>SUBTOTAL(103,Avril[18])</f>
        <v>0</v>
      </c>
      <c r="U12" s="10">
        <f>SUBTOTAL(103,Avril[19])</f>
        <v>0</v>
      </c>
      <c r="V12" s="10">
        <f>SUBTOTAL(103,Avril[20])</f>
        <v>0</v>
      </c>
      <c r="W12" s="10">
        <f>SUBTOTAL(103,Avril[21])</f>
        <v>0</v>
      </c>
      <c r="X12" s="10">
        <f>SUBTOTAL(103,Avril[22])</f>
        <v>0</v>
      </c>
      <c r="Y12" s="10">
        <f>SUBTOTAL(103,Avril[23])</f>
        <v>0</v>
      </c>
      <c r="Z12" s="10">
        <f>SUBTOTAL(103,Avril[24])</f>
        <v>0</v>
      </c>
      <c r="AA12" s="10">
        <f>SUBTOTAL(103,Avril[25])</f>
        <v>0</v>
      </c>
      <c r="AB12" s="10">
        <f>SUBTOTAL(103,Avril[26])</f>
        <v>0</v>
      </c>
      <c r="AC12" s="10">
        <f>SUBTOTAL(103,Avril[27])</f>
        <v>0</v>
      </c>
      <c r="AD12" s="10">
        <f>SUBTOTAL(103,Avril[28])</f>
        <v>0</v>
      </c>
      <c r="AE12" s="10">
        <f>SUBTOTAL(103,Avril[29])</f>
        <v>0</v>
      </c>
      <c r="AF12" s="10">
        <f>SUBTOTAL(103,Avril[30])</f>
        <v>0</v>
      </c>
      <c r="AG12" s="10">
        <f>SUBTOTAL(103,Avril[30])</f>
        <v>0</v>
      </c>
      <c r="AH12" s="10">
        <f>SUBTOTAL(109,Avril[Total des jours])</f>
        <v>0</v>
      </c>
    </row>
  </sheetData>
  <mergeCells count="6">
    <mergeCell ref="B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4" priority="2" stopIfTrue="1">
      <formula>C7=CléPersonnalisée2</formula>
    </cfRule>
    <cfRule type="expression" dxfId="43" priority="3" stopIfTrue="1">
      <formula>C7=CléPersonnalisée1</formula>
    </cfRule>
    <cfRule type="expression" dxfId="42" priority="4" stopIfTrue="1">
      <formula>C7=CléMaladie</formula>
    </cfRule>
    <cfRule type="expression" dxfId="41" priority="5" stopIfTrue="1">
      <formula>C7=CléPersonnel</formula>
    </cfRule>
    <cfRule type="expression" dxfId="40" priority="6" stopIfTrue="1">
      <formula>C7=CléJournée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5">
    <dataValidation allowBlank="1" showInputMessage="1" showErrorMessage="1" prompt="Année mise à jour automatiquement en fonction de l’année entrée dans la feuille de calcul Janvier" sqref="AH4" xr:uid="{00000000-0002-0000-0300-000000000000}"/>
    <dataValidation allowBlank="1" showInputMessage="1" showErrorMessage="1" prompt="Calcule automatiquement le nombre total de jours d’absence d’un employé durant ce mois dans cette colonne" sqref="AH6" xr:uid="{00000000-0002-0000-0300-000001000000}"/>
    <dataValidation allowBlank="1" showInputMessage="1" showErrorMessage="1" prompt="Suivez les absences du mois d’avril dans cette feuille de calcul" sqref="A1" xr:uid="{00000000-0002-0000-03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300-000003000000}"/>
    <dataValidation allowBlank="1" showInputMessage="1" showErrorMessage="1" prompt="Le titre mis à jour automatiquement figure dans cette cellule. Pour modifier le titre, mettez à jour la cellule B1 de la feuille de calcul Janvier" sqref="B1" xr:uid="{00000000-0002-0000-0300-000004000000}"/>
    <dataValidation allowBlank="1" showInputMessage="1" showErrorMessage="1" prompt="La lettre « C » indique une absence pour cause de congé" sqref="C2" xr:uid="{00000000-0002-0000-0300-000005000000}"/>
    <dataValidation allowBlank="1" showInputMessage="1" showErrorMessage="1" prompt="La lettre « P » indique une absence pour motifs personnels" sqref="F2" xr:uid="{00000000-0002-0000-0300-000006000000}"/>
    <dataValidation allowBlank="1" showInputMessage="1" showErrorMessage="1" prompt="La lettre « M » indique une absence pour cause de maladie" sqref="J2" xr:uid="{00000000-0002-0000-0300-000007000000}"/>
    <dataValidation allowBlank="1" showInputMessage="1" showErrorMessage="1" prompt="Entrez une lettre et personnalisez l’étiquette à droite pour ajouter un élément de clé" sqref="M2 R2" xr:uid="{00000000-0002-0000-0300-000008000000}"/>
    <dataValidation allowBlank="1" showInputMessage="1" showErrorMessage="1" prompt="Entrez une étiquette pour décrire la clé personnalisée à gauche" sqref="N2 S2" xr:uid="{00000000-0002-0000-0300-000009000000}"/>
    <dataValidation allowBlank="1" showInputMessage="1" showErrorMessage="1" prompt="Cette ligne définit les clés utilisées dans le tableau : Congé en C2, Personnel en F2 et Congé maladie en J2. Les cellules M2 et R2 sont personnalisables" sqref="B2" xr:uid="{00000000-0002-0000-03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3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3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300-00000D000000}"/>
    <dataValidation type="list" allowBlank="1" showInputMessage="1" showErrorMessage="1" sqref="B7:B11" xr:uid="{00000000-0002-0000-0300-00000E000000}">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theme="0"/>
  </sheetPr>
  <dimension ref="B1:AH12"/>
  <sheetViews>
    <sheetView showGridLines="0" zoomScaleNormal="100" workbookViewId="0">
      <selection activeCell="B4" sqref="B4:AG4"/>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1" t="str">
        <f>Titre_Absence_Employé</f>
        <v>Présences des animateurs de l'accueil de loisirs des mercredis / vacances scolaires</v>
      </c>
    </row>
    <row r="2" spans="2:34" ht="15" customHeight="1" x14ac:dyDescent="0.25">
      <c r="B2" s="14" t="s">
        <v>0</v>
      </c>
      <c r="C2" s="2" t="s">
        <v>8</v>
      </c>
      <c r="D2" s="37" t="s">
        <v>10</v>
      </c>
      <c r="E2" s="37"/>
      <c r="F2" s="3" t="s">
        <v>13</v>
      </c>
      <c r="G2" s="37" t="s">
        <v>17</v>
      </c>
      <c r="H2" s="37"/>
      <c r="I2" s="37"/>
      <c r="J2" s="4" t="s">
        <v>15</v>
      </c>
      <c r="K2" s="37" t="s">
        <v>22</v>
      </c>
      <c r="L2" s="37"/>
      <c r="M2" s="5"/>
      <c r="N2" s="37" t="s">
        <v>26</v>
      </c>
      <c r="O2" s="37"/>
      <c r="P2" s="37"/>
      <c r="Q2" s="37"/>
      <c r="R2" s="6"/>
      <c r="S2" s="37" t="s">
        <v>31</v>
      </c>
      <c r="T2" s="37"/>
      <c r="U2" s="37"/>
      <c r="V2" s="37"/>
    </row>
    <row r="3" spans="2:34" ht="15" customHeight="1" x14ac:dyDescent="0.25">
      <c r="B3" s="11"/>
    </row>
    <row r="4" spans="2:34" ht="30" customHeight="1" x14ac:dyDescent="0.25">
      <c r="B4" s="36" t="s">
        <v>54</v>
      </c>
      <c r="C4" s="36"/>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9">
        <f>AnnéeCalendrier</f>
        <v>2023</v>
      </c>
    </row>
    <row r="5" spans="2:34" ht="15" customHeight="1" x14ac:dyDescent="0.25">
      <c r="B5" s="9"/>
      <c r="C5" s="1" t="str">
        <f>TEXT(WEEKDAY(DATE(AnnéeCalendrier,5,1),1),"jjj")</f>
        <v>lun</v>
      </c>
      <c r="D5" s="1" t="str">
        <f>TEXT(WEEKDAY(DATE(AnnéeCalendrier,5,2),1),"jjj")</f>
        <v>mar</v>
      </c>
      <c r="E5" s="1" t="str">
        <f>TEXT(WEEKDAY(DATE(AnnéeCalendrier,5,3),1),"jjj")</f>
        <v>mer</v>
      </c>
      <c r="F5" s="1" t="str">
        <f>TEXT(WEEKDAY(DATE(AnnéeCalendrier,5,4),1),"jjj")</f>
        <v>jeu</v>
      </c>
      <c r="G5" s="1" t="str">
        <f>TEXT(WEEKDAY(DATE(AnnéeCalendrier,5,5),1),"jjj")</f>
        <v>ven</v>
      </c>
      <c r="H5" s="1" t="str">
        <f>TEXT(WEEKDAY(DATE(AnnéeCalendrier,5,6),1),"jjj")</f>
        <v>sam</v>
      </c>
      <c r="I5" s="1" t="str">
        <f>TEXT(WEEKDAY(DATE(AnnéeCalendrier,5,7),1),"jjj")</f>
        <v>dim</v>
      </c>
      <c r="J5" s="1" t="str">
        <f>TEXT(WEEKDAY(DATE(AnnéeCalendrier,5,8),1),"jjj")</f>
        <v>lun</v>
      </c>
      <c r="K5" s="1" t="str">
        <f>TEXT(WEEKDAY(DATE(AnnéeCalendrier,5,9),1),"jjj")</f>
        <v>mar</v>
      </c>
      <c r="L5" s="1" t="str">
        <f>TEXT(WEEKDAY(DATE(AnnéeCalendrier,5,10),1),"jjj")</f>
        <v>mer</v>
      </c>
      <c r="M5" s="1" t="str">
        <f>TEXT(WEEKDAY(DATE(AnnéeCalendrier,5,11),1),"jjj")</f>
        <v>jeu</v>
      </c>
      <c r="N5" s="1" t="str">
        <f>TEXT(WEEKDAY(DATE(AnnéeCalendrier,5,12),1),"jjj")</f>
        <v>ven</v>
      </c>
      <c r="O5" s="1" t="str">
        <f>TEXT(WEEKDAY(DATE(AnnéeCalendrier,5,13),1),"jjj")</f>
        <v>sam</v>
      </c>
      <c r="P5" s="1" t="str">
        <f>TEXT(WEEKDAY(DATE(AnnéeCalendrier,5,14),1),"jjj")</f>
        <v>dim</v>
      </c>
      <c r="Q5" s="1" t="str">
        <f>TEXT(WEEKDAY(DATE(AnnéeCalendrier,5,15),1),"jjj")</f>
        <v>lun</v>
      </c>
      <c r="R5" s="1" t="str">
        <f>TEXT(WEEKDAY(DATE(AnnéeCalendrier,5,16),1),"jjj")</f>
        <v>mar</v>
      </c>
      <c r="S5" s="1" t="str">
        <f>TEXT(WEEKDAY(DATE(AnnéeCalendrier,5,17),1),"jjj")</f>
        <v>mer</v>
      </c>
      <c r="T5" s="1" t="str">
        <f>TEXT(WEEKDAY(DATE(AnnéeCalendrier,5,18),1),"jjj")</f>
        <v>jeu</v>
      </c>
      <c r="U5" s="1" t="str">
        <f>TEXT(WEEKDAY(DATE(AnnéeCalendrier,5,19),1),"jjj")</f>
        <v>ven</v>
      </c>
      <c r="V5" s="1" t="str">
        <f>TEXT(WEEKDAY(DATE(AnnéeCalendrier,5,20),1),"jjj")</f>
        <v>sam</v>
      </c>
      <c r="W5" s="1" t="str">
        <f>TEXT(WEEKDAY(DATE(AnnéeCalendrier,5,21),1),"jjj")</f>
        <v>dim</v>
      </c>
      <c r="X5" s="1" t="str">
        <f>TEXT(WEEKDAY(DATE(AnnéeCalendrier,5,22),1),"jjj")</f>
        <v>lun</v>
      </c>
      <c r="Y5" s="1" t="str">
        <f>TEXT(WEEKDAY(DATE(AnnéeCalendrier,5,23),1),"jjj")</f>
        <v>mar</v>
      </c>
      <c r="Z5" s="1" t="str">
        <f>TEXT(WEEKDAY(DATE(AnnéeCalendrier,5,24),1),"jjj")</f>
        <v>mer</v>
      </c>
      <c r="AA5" s="1" t="str">
        <f>TEXT(WEEKDAY(DATE(AnnéeCalendrier,5,25),1),"jjj")</f>
        <v>jeu</v>
      </c>
      <c r="AB5" s="1" t="str">
        <f>TEXT(WEEKDAY(DATE(AnnéeCalendrier,5,26),1),"jjj")</f>
        <v>ven</v>
      </c>
      <c r="AC5" s="1" t="str">
        <f>TEXT(WEEKDAY(DATE(AnnéeCalendrier,5,27),1),"jjj")</f>
        <v>sam</v>
      </c>
      <c r="AD5" s="1" t="str">
        <f>TEXT(WEEKDAY(DATE(AnnéeCalendrier,5,28),1),"jjj")</f>
        <v>dim</v>
      </c>
      <c r="AE5" s="1" t="str">
        <f>TEXT(WEEKDAY(DATE(AnnéeCalendrier,5,29),1),"jjj")</f>
        <v>lun</v>
      </c>
      <c r="AF5" s="1" t="str">
        <f>TEXT(WEEKDAY(DATE(AnnéeCalendrier,5,30),1),"jjj")</f>
        <v>mar</v>
      </c>
      <c r="AG5" s="1" t="str">
        <f>TEXT(WEEKDAY(DATE(AnnéeCalendrier,5,31),1),"jjj")</f>
        <v>mer</v>
      </c>
      <c r="AH5" s="9"/>
    </row>
    <row r="6" spans="2:34" ht="15" customHeight="1" x14ac:dyDescent="0.25">
      <c r="B6" s="12" t="s">
        <v>2</v>
      </c>
      <c r="C6" s="1" t="s">
        <v>9</v>
      </c>
      <c r="D6" s="1" t="s">
        <v>11</v>
      </c>
      <c r="E6" s="1" t="s">
        <v>12</v>
      </c>
      <c r="F6" s="1" t="s">
        <v>14</v>
      </c>
      <c r="G6" s="1" t="s">
        <v>16</v>
      </c>
      <c r="H6" s="1" t="s">
        <v>18</v>
      </c>
      <c r="I6" s="1" t="s">
        <v>19</v>
      </c>
      <c r="J6" s="1" t="s">
        <v>20</v>
      </c>
      <c r="K6" s="1" t="s">
        <v>21</v>
      </c>
      <c r="L6" s="1" t="s">
        <v>23</v>
      </c>
      <c r="M6" s="1" t="s">
        <v>24</v>
      </c>
      <c r="N6" s="1" t="s">
        <v>25</v>
      </c>
      <c r="O6" s="1" t="s">
        <v>27</v>
      </c>
      <c r="P6" s="1" t="s">
        <v>28</v>
      </c>
      <c r="Q6" s="1" t="s">
        <v>29</v>
      </c>
      <c r="R6" s="1" t="s">
        <v>30</v>
      </c>
      <c r="S6" s="1" t="s">
        <v>32</v>
      </c>
      <c r="T6" s="1" t="s">
        <v>33</v>
      </c>
      <c r="U6" s="1" t="s">
        <v>34</v>
      </c>
      <c r="V6" s="1" t="s">
        <v>35</v>
      </c>
      <c r="W6" s="1" t="s">
        <v>36</v>
      </c>
      <c r="X6" s="1" t="s">
        <v>37</v>
      </c>
      <c r="Y6" s="1" t="s">
        <v>38</v>
      </c>
      <c r="Z6" s="1" t="s">
        <v>39</v>
      </c>
      <c r="AA6" s="1" t="s">
        <v>40</v>
      </c>
      <c r="AB6" s="1" t="s">
        <v>41</v>
      </c>
      <c r="AC6" s="1" t="s">
        <v>42</v>
      </c>
      <c r="AD6" s="1" t="s">
        <v>43</v>
      </c>
      <c r="AE6" s="1" t="s">
        <v>44</v>
      </c>
      <c r="AF6" s="1" t="s">
        <v>45</v>
      </c>
      <c r="AG6" s="1" t="s">
        <v>46</v>
      </c>
      <c r="AH6" s="13" t="s">
        <v>48</v>
      </c>
    </row>
    <row r="7" spans="2:34" ht="30" customHeight="1" x14ac:dyDescent="0.25">
      <c r="B7" s="7" t="s">
        <v>3</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8">
        <f>COUNTA(Mai[[#This Row],[1]:[31]])</f>
        <v>0</v>
      </c>
    </row>
    <row r="8" spans="2:34" ht="30" customHeight="1" x14ac:dyDescent="0.25">
      <c r="B8" s="7" t="s">
        <v>4</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8">
        <f>COUNTA(Mai[[#This Row],[1]:[31]])</f>
        <v>0</v>
      </c>
    </row>
    <row r="9" spans="2:34" ht="30" customHeight="1" x14ac:dyDescent="0.25">
      <c r="B9" s="7" t="s">
        <v>5</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8">
        <f>COUNTA(Mai[[#This Row],[1]:[31]])</f>
        <v>0</v>
      </c>
    </row>
    <row r="10" spans="2:34" ht="30" customHeight="1" x14ac:dyDescent="0.25">
      <c r="B10" s="7" t="s">
        <v>6</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8">
        <f>COUNTA(Mai[[#This Row],[1]:[31]])</f>
        <v>0</v>
      </c>
    </row>
    <row r="11" spans="2:34" ht="30" customHeight="1" x14ac:dyDescent="0.25">
      <c r="B11" s="7" t="s">
        <v>7</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8">
        <f>COUNTA(Mai[[#This Row],[1]:[31]])</f>
        <v>0</v>
      </c>
    </row>
    <row r="12" spans="2:34" ht="30" customHeight="1" x14ac:dyDescent="0.25">
      <c r="B12" s="15" t="str">
        <f>NomMois&amp;" Total"</f>
        <v>Mai Total</v>
      </c>
      <c r="C12" s="10">
        <f>SUBTOTAL(103,Mai[1])</f>
        <v>0</v>
      </c>
      <c r="D12" s="10">
        <f>SUBTOTAL(103,Mai[2])</f>
        <v>0</v>
      </c>
      <c r="E12" s="10">
        <f>SUBTOTAL(103,Mai[3])</f>
        <v>0</v>
      </c>
      <c r="F12" s="10">
        <f>SUBTOTAL(103,Mai[4])</f>
        <v>0</v>
      </c>
      <c r="G12" s="10">
        <f>SUBTOTAL(103,Mai[5])</f>
        <v>0</v>
      </c>
      <c r="H12" s="10">
        <f>SUBTOTAL(103,Mai[6])</f>
        <v>0</v>
      </c>
      <c r="I12" s="10">
        <f>SUBTOTAL(103,Mai[7])</f>
        <v>0</v>
      </c>
      <c r="J12" s="10">
        <f>SUBTOTAL(103,Mai[8])</f>
        <v>0</v>
      </c>
      <c r="K12" s="10">
        <f>SUBTOTAL(103,Mai[9])</f>
        <v>0</v>
      </c>
      <c r="L12" s="10">
        <f>SUBTOTAL(103,Mai[10])</f>
        <v>0</v>
      </c>
      <c r="M12" s="10">
        <f>SUBTOTAL(103,Mai[11])</f>
        <v>0</v>
      </c>
      <c r="N12" s="10">
        <f>SUBTOTAL(103,Mai[12])</f>
        <v>0</v>
      </c>
      <c r="O12" s="10">
        <f>SUBTOTAL(103,Mai[13])</f>
        <v>0</v>
      </c>
      <c r="P12" s="10">
        <f>SUBTOTAL(103,Mai[14])</f>
        <v>0</v>
      </c>
      <c r="Q12" s="10">
        <f>SUBTOTAL(103,Mai[15])</f>
        <v>0</v>
      </c>
      <c r="R12" s="10">
        <f>SUBTOTAL(103,Mai[16])</f>
        <v>0</v>
      </c>
      <c r="S12" s="10">
        <f>SUBTOTAL(103,Mai[17])</f>
        <v>0</v>
      </c>
      <c r="T12" s="10">
        <f>SUBTOTAL(103,Mai[18])</f>
        <v>0</v>
      </c>
      <c r="U12" s="10">
        <f>SUBTOTAL(103,Mai[19])</f>
        <v>0</v>
      </c>
      <c r="V12" s="10">
        <f>SUBTOTAL(103,Mai[20])</f>
        <v>0</v>
      </c>
      <c r="W12" s="10">
        <f>SUBTOTAL(103,Mai[21])</f>
        <v>0</v>
      </c>
      <c r="X12" s="10">
        <f>SUBTOTAL(103,Mai[22])</f>
        <v>0</v>
      </c>
      <c r="Y12" s="10">
        <f>SUBTOTAL(103,Mai[23])</f>
        <v>0</v>
      </c>
      <c r="Z12" s="10">
        <f>SUBTOTAL(103,Mai[24])</f>
        <v>0</v>
      </c>
      <c r="AA12" s="10">
        <f>SUBTOTAL(103,Mai[25])</f>
        <v>0</v>
      </c>
      <c r="AB12" s="10">
        <f>SUBTOTAL(103,Mai[26])</f>
        <v>0</v>
      </c>
      <c r="AC12" s="10">
        <f>SUBTOTAL(103,Mai[27])</f>
        <v>0</v>
      </c>
      <c r="AD12" s="10">
        <f>SUBTOTAL(103,Mai[28])</f>
        <v>0</v>
      </c>
      <c r="AE12" s="10">
        <f>SUBTOTAL(103,Mai[29])</f>
        <v>0</v>
      </c>
      <c r="AF12" s="10">
        <f>SUBTOTAL(103,Mai[30])</f>
        <v>0</v>
      </c>
      <c r="AG12" s="10">
        <f>SUBTOTAL(103,Mai[31])</f>
        <v>0</v>
      </c>
      <c r="AH12" s="10">
        <f>SUBTOTAL(109,Mai[Total des jours])</f>
        <v>0</v>
      </c>
    </row>
  </sheetData>
  <mergeCells count="6">
    <mergeCell ref="B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39" priority="2" stopIfTrue="1">
      <formula>C7=CléPersonnalisée2</formula>
    </cfRule>
    <cfRule type="expression" dxfId="38" priority="3" stopIfTrue="1">
      <formula>C7=CléPersonnalisée1</formula>
    </cfRule>
    <cfRule type="expression" dxfId="37" priority="4" stopIfTrue="1">
      <formula>C7=CléMaladie</formula>
    </cfRule>
    <cfRule type="expression" dxfId="36" priority="5" stopIfTrue="1">
      <formula>C7=CléPersonnel</formula>
    </cfRule>
    <cfRule type="expression" dxfId="35" priority="6" stopIfTrue="1">
      <formula>C7=CléJournée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4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400-000001000000}"/>
    <dataValidation allowBlank="1" showInputMessage="1" showErrorMessage="1" prompt="Cette ligne définit les clés utilisées dans le tableau : Congé en C2, Personnel en F2 et Congé maladie en J2. Les cellules M2 et R2 sont personnalisables" sqref="B2" xr:uid="{00000000-0002-0000-0400-000002000000}"/>
    <dataValidation allowBlank="1" showInputMessage="1" showErrorMessage="1" prompt="Entrez une étiquette pour décrire la clé personnalisée à gauche" sqref="N2 S2" xr:uid="{00000000-0002-0000-0400-000003000000}"/>
    <dataValidation allowBlank="1" showInputMessage="1" showErrorMessage="1" prompt="Entrez une lettre et personnalisez l’étiquette à droite pour ajouter un élément de clé" sqref="M2 R2" xr:uid="{00000000-0002-0000-0400-000004000000}"/>
    <dataValidation allowBlank="1" showInputMessage="1" showErrorMessage="1" prompt="La lettre « M » indique une absence pour cause de maladie" sqref="J2" xr:uid="{00000000-0002-0000-0400-000005000000}"/>
    <dataValidation allowBlank="1" showInputMessage="1" showErrorMessage="1" prompt="La lettre « P » indique une absence pour motifs personnels" sqref="F2" xr:uid="{00000000-0002-0000-0400-000006000000}"/>
    <dataValidation allowBlank="1" showInputMessage="1" showErrorMessage="1" prompt="La lettre « C » indique une absence pour cause de congé" sqref="C2" xr:uid="{00000000-0002-0000-0400-000007000000}"/>
    <dataValidation allowBlank="1" showInputMessage="1" showErrorMessage="1" prompt="Le titre mis à jour automatiquement figure dans cette cellule. Pour modifier le titre, mettez à jour la cellule B1 de la feuille de calcul Janvier" sqref="B1" xr:uid="{00000000-0002-0000-04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400-000009000000}"/>
    <dataValidation allowBlank="1" showInputMessage="1" showErrorMessage="1" prompt="Suivez les absences du mois de mai dans cette feuille de calcul" sqref="A1" xr:uid="{00000000-0002-0000-0400-00000A000000}"/>
    <dataValidation allowBlank="1" showInputMessage="1" showErrorMessage="1" prompt="Calcule automatiquement le nombre total de jours d’absence d’un employé durant ce mois dans cette colonne" sqref="AH6" xr:uid="{00000000-0002-0000-0400-00000B000000}"/>
    <dataValidation allowBlank="1" showInputMessage="1" showErrorMessage="1" prompt="Année mise à jour automatiquement en fonction de l’année entrée dans la feuille de calcul Janvier" sqref="AH4" xr:uid="{00000000-0002-0000-04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400-00000D000000}"/>
    <dataValidation type="list" allowBlank="1" showInputMessage="1" showErrorMessage="1" sqref="B7:B11" xr:uid="{00000000-0002-0000-0400-00000E000000}">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theme="0"/>
  </sheetPr>
  <dimension ref="B1:AH12"/>
  <sheetViews>
    <sheetView showGridLines="0" zoomScaleNormal="100" workbookViewId="0">
      <selection activeCell="B4" sqref="B4:AG4"/>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1" t="str">
        <f>Titre_Absence_Employé</f>
        <v>Présences des animateurs de l'accueil de loisirs des mercredis / vacances scolaires</v>
      </c>
    </row>
    <row r="2" spans="2:34" ht="15" customHeight="1" x14ac:dyDescent="0.25">
      <c r="B2" s="14" t="s">
        <v>0</v>
      </c>
      <c r="C2" s="2" t="s">
        <v>8</v>
      </c>
      <c r="D2" s="37" t="s">
        <v>10</v>
      </c>
      <c r="E2" s="37"/>
      <c r="F2" s="3" t="s">
        <v>13</v>
      </c>
      <c r="G2" s="37" t="s">
        <v>17</v>
      </c>
      <c r="H2" s="37"/>
      <c r="I2" s="37"/>
      <c r="J2" s="4" t="s">
        <v>15</v>
      </c>
      <c r="K2" s="37" t="s">
        <v>22</v>
      </c>
      <c r="L2" s="37"/>
      <c r="M2" s="5"/>
      <c r="N2" s="37" t="s">
        <v>26</v>
      </c>
      <c r="O2" s="37"/>
      <c r="P2" s="37"/>
      <c r="Q2" s="37"/>
      <c r="R2" s="6"/>
      <c r="S2" s="37" t="s">
        <v>31</v>
      </c>
      <c r="T2" s="37"/>
      <c r="U2" s="37"/>
      <c r="V2" s="37"/>
    </row>
    <row r="3" spans="2:34" ht="15" customHeight="1" x14ac:dyDescent="0.25">
      <c r="B3" s="11"/>
    </row>
    <row r="4" spans="2:34" ht="30" customHeight="1" x14ac:dyDescent="0.25">
      <c r="B4" s="36" t="s">
        <v>55</v>
      </c>
      <c r="C4" s="36"/>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9">
        <f>AnnéeCalendrier</f>
        <v>2023</v>
      </c>
    </row>
    <row r="5" spans="2:34" ht="15" customHeight="1" x14ac:dyDescent="0.25">
      <c r="B5" s="9"/>
      <c r="C5" s="1" t="str">
        <f>TEXT(WEEKDAY(DATE(AnnéeCalendrier,6,1),1),"jjj")</f>
        <v>jeu</v>
      </c>
      <c r="D5" s="1" t="str">
        <f>TEXT(WEEKDAY(DATE(AnnéeCalendrier,6,2),1),"jjj")</f>
        <v>ven</v>
      </c>
      <c r="E5" s="1" t="str">
        <f>TEXT(WEEKDAY(DATE(AnnéeCalendrier,6,3),1),"jjj")</f>
        <v>sam</v>
      </c>
      <c r="F5" s="1" t="str">
        <f>TEXT(WEEKDAY(DATE(AnnéeCalendrier,6,4),1),"jjj")</f>
        <v>dim</v>
      </c>
      <c r="G5" s="1" t="str">
        <f>TEXT(WEEKDAY(DATE(AnnéeCalendrier,6,5),1),"jjj")</f>
        <v>lun</v>
      </c>
      <c r="H5" s="1" t="str">
        <f>TEXT(WEEKDAY(DATE(AnnéeCalendrier,6,6),1),"jjj")</f>
        <v>mar</v>
      </c>
      <c r="I5" s="1" t="str">
        <f>TEXT(WEEKDAY(DATE(AnnéeCalendrier,6,7),1),"jjj")</f>
        <v>mer</v>
      </c>
      <c r="J5" s="1" t="str">
        <f>TEXT(WEEKDAY(DATE(AnnéeCalendrier,6,8),1),"jjj")</f>
        <v>jeu</v>
      </c>
      <c r="K5" s="1" t="str">
        <f>TEXT(WEEKDAY(DATE(AnnéeCalendrier,6,9),1),"jjj")</f>
        <v>ven</v>
      </c>
      <c r="L5" s="1" t="str">
        <f>TEXT(WEEKDAY(DATE(AnnéeCalendrier,6,10),1),"jjj")</f>
        <v>sam</v>
      </c>
      <c r="M5" s="1" t="str">
        <f>TEXT(WEEKDAY(DATE(AnnéeCalendrier,6,11),1),"jjj")</f>
        <v>dim</v>
      </c>
      <c r="N5" s="1" t="str">
        <f>TEXT(WEEKDAY(DATE(AnnéeCalendrier,6,12),1),"jjj")</f>
        <v>lun</v>
      </c>
      <c r="O5" s="1" t="str">
        <f>TEXT(WEEKDAY(DATE(AnnéeCalendrier,6,13),1),"jjj")</f>
        <v>mar</v>
      </c>
      <c r="P5" s="1" t="str">
        <f>TEXT(WEEKDAY(DATE(AnnéeCalendrier,6,14),1),"jjj")</f>
        <v>mer</v>
      </c>
      <c r="Q5" s="1" t="str">
        <f>TEXT(WEEKDAY(DATE(AnnéeCalendrier,6,15),1),"jjj")</f>
        <v>jeu</v>
      </c>
      <c r="R5" s="1" t="str">
        <f>TEXT(WEEKDAY(DATE(AnnéeCalendrier,6,16),1),"jjj")</f>
        <v>ven</v>
      </c>
      <c r="S5" s="1" t="str">
        <f>TEXT(WEEKDAY(DATE(AnnéeCalendrier,6,17),1),"jjj")</f>
        <v>sam</v>
      </c>
      <c r="T5" s="1" t="str">
        <f>TEXT(WEEKDAY(DATE(AnnéeCalendrier,6,18),1),"jjj")</f>
        <v>dim</v>
      </c>
      <c r="U5" s="1" t="str">
        <f>TEXT(WEEKDAY(DATE(AnnéeCalendrier,6,19),1),"jjj")</f>
        <v>lun</v>
      </c>
      <c r="V5" s="1" t="str">
        <f>TEXT(WEEKDAY(DATE(AnnéeCalendrier,6,20),1),"jjj")</f>
        <v>mar</v>
      </c>
      <c r="W5" s="1" t="str">
        <f>TEXT(WEEKDAY(DATE(AnnéeCalendrier,6,21),1),"jjj")</f>
        <v>mer</v>
      </c>
      <c r="X5" s="1" t="str">
        <f>TEXT(WEEKDAY(DATE(AnnéeCalendrier,6,22),1),"jjj")</f>
        <v>jeu</v>
      </c>
      <c r="Y5" s="1" t="str">
        <f>TEXT(WEEKDAY(DATE(AnnéeCalendrier,6,23),1),"jjj")</f>
        <v>ven</v>
      </c>
      <c r="Z5" s="1" t="str">
        <f>TEXT(WEEKDAY(DATE(AnnéeCalendrier,6,24),1),"jjj")</f>
        <v>sam</v>
      </c>
      <c r="AA5" s="1" t="str">
        <f>TEXT(WEEKDAY(DATE(AnnéeCalendrier,6,25),1),"jjj")</f>
        <v>dim</v>
      </c>
      <c r="AB5" s="1" t="str">
        <f>TEXT(WEEKDAY(DATE(AnnéeCalendrier,6,26),1),"jjj")</f>
        <v>lun</v>
      </c>
      <c r="AC5" s="1" t="str">
        <f>TEXT(WEEKDAY(DATE(AnnéeCalendrier,6,27),1),"jjj")</f>
        <v>mar</v>
      </c>
      <c r="AD5" s="1" t="str">
        <f>TEXT(WEEKDAY(DATE(AnnéeCalendrier,6,28),1),"jjj")</f>
        <v>mer</v>
      </c>
      <c r="AE5" s="1" t="str">
        <f>TEXT(WEEKDAY(DATE(AnnéeCalendrier,6,29),1),"jjj")</f>
        <v>jeu</v>
      </c>
      <c r="AF5" s="1" t="str">
        <f>TEXT(WEEKDAY(DATE(AnnéeCalendrier,6,30),1),"jjj")</f>
        <v>ven</v>
      </c>
      <c r="AG5" s="1"/>
      <c r="AH5" s="9"/>
    </row>
    <row r="6" spans="2:34" ht="15" customHeight="1" x14ac:dyDescent="0.25">
      <c r="B6" s="12" t="s">
        <v>2</v>
      </c>
      <c r="C6" s="1" t="s">
        <v>9</v>
      </c>
      <c r="D6" s="1" t="s">
        <v>11</v>
      </c>
      <c r="E6" s="1" t="s">
        <v>12</v>
      </c>
      <c r="F6" s="1" t="s">
        <v>14</v>
      </c>
      <c r="G6" s="1" t="s">
        <v>16</v>
      </c>
      <c r="H6" s="1" t="s">
        <v>18</v>
      </c>
      <c r="I6" s="1" t="s">
        <v>19</v>
      </c>
      <c r="J6" s="1" t="s">
        <v>20</v>
      </c>
      <c r="K6" s="1" t="s">
        <v>21</v>
      </c>
      <c r="L6" s="1" t="s">
        <v>23</v>
      </c>
      <c r="M6" s="1" t="s">
        <v>24</v>
      </c>
      <c r="N6" s="1" t="s">
        <v>25</v>
      </c>
      <c r="O6" s="1" t="s">
        <v>27</v>
      </c>
      <c r="P6" s="1" t="s">
        <v>28</v>
      </c>
      <c r="Q6" s="1" t="s">
        <v>29</v>
      </c>
      <c r="R6" s="1" t="s">
        <v>30</v>
      </c>
      <c r="S6" s="1" t="s">
        <v>32</v>
      </c>
      <c r="T6" s="1" t="s">
        <v>33</v>
      </c>
      <c r="U6" s="1" t="s">
        <v>34</v>
      </c>
      <c r="V6" s="1" t="s">
        <v>35</v>
      </c>
      <c r="W6" s="1" t="s">
        <v>36</v>
      </c>
      <c r="X6" s="1" t="s">
        <v>37</v>
      </c>
      <c r="Y6" s="1" t="s">
        <v>38</v>
      </c>
      <c r="Z6" s="1" t="s">
        <v>39</v>
      </c>
      <c r="AA6" s="1" t="s">
        <v>40</v>
      </c>
      <c r="AB6" s="1" t="s">
        <v>41</v>
      </c>
      <c r="AC6" s="1" t="s">
        <v>42</v>
      </c>
      <c r="AD6" s="1" t="s">
        <v>43</v>
      </c>
      <c r="AE6" s="1" t="s">
        <v>44</v>
      </c>
      <c r="AF6" s="1" t="s">
        <v>45</v>
      </c>
      <c r="AG6" s="1" t="s">
        <v>50</v>
      </c>
      <c r="AH6" s="13" t="s">
        <v>48</v>
      </c>
    </row>
    <row r="7" spans="2:34" ht="30" customHeight="1" x14ac:dyDescent="0.25">
      <c r="B7" s="7" t="s">
        <v>3</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8">
        <f>COUNTA(Juin[[#This Row],[1]:[30]])</f>
        <v>0</v>
      </c>
    </row>
    <row r="8" spans="2:34" ht="30" customHeight="1" x14ac:dyDescent="0.25">
      <c r="B8" s="7" t="s">
        <v>4</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8">
        <f>COUNTA(Juin[[#This Row],[1]:[30]])</f>
        <v>0</v>
      </c>
    </row>
    <row r="9" spans="2:34" ht="30" customHeight="1" x14ac:dyDescent="0.25">
      <c r="B9" s="7" t="s">
        <v>5</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8">
        <f>COUNTA(Juin[[#This Row],[1]:[30]])</f>
        <v>0</v>
      </c>
    </row>
    <row r="10" spans="2:34" ht="30" customHeight="1" x14ac:dyDescent="0.25">
      <c r="B10" s="7" t="s">
        <v>6</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8">
        <f>COUNTA(Juin[[#This Row],[1]:[30]])</f>
        <v>0</v>
      </c>
    </row>
    <row r="11" spans="2:34" ht="30" customHeight="1" x14ac:dyDescent="0.25">
      <c r="B11" s="7" t="s">
        <v>7</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8">
        <f>COUNTA(Juin[[#This Row],[1]:[30]])</f>
        <v>0</v>
      </c>
    </row>
    <row r="12" spans="2:34" ht="30" customHeight="1" x14ac:dyDescent="0.25">
      <c r="B12" s="15" t="str">
        <f>NomMois&amp;" Total"</f>
        <v>Juin Total</v>
      </c>
      <c r="C12" s="10">
        <f>SUBTOTAL(103,Juin[1])</f>
        <v>0</v>
      </c>
      <c r="D12" s="10">
        <f>SUBTOTAL(103,Juin[2])</f>
        <v>0</v>
      </c>
      <c r="E12" s="10">
        <f>SUBTOTAL(103,Juin[3])</f>
        <v>0</v>
      </c>
      <c r="F12" s="10">
        <f>SUBTOTAL(103,Juin[4])</f>
        <v>0</v>
      </c>
      <c r="G12" s="10">
        <f>SUBTOTAL(103,Juin[5])</f>
        <v>0</v>
      </c>
      <c r="H12" s="10">
        <f>SUBTOTAL(103,Juin[6])</f>
        <v>0</v>
      </c>
      <c r="I12" s="10">
        <f>SUBTOTAL(103,Juin[7])</f>
        <v>0</v>
      </c>
      <c r="J12" s="10">
        <f>SUBTOTAL(103,Juin[8])</f>
        <v>0</v>
      </c>
      <c r="K12" s="10">
        <f>SUBTOTAL(103,Juin[9])</f>
        <v>0</v>
      </c>
      <c r="L12" s="10">
        <f>SUBTOTAL(103,Juin[10])</f>
        <v>0</v>
      </c>
      <c r="M12" s="10">
        <f>SUBTOTAL(103,Juin[11])</f>
        <v>0</v>
      </c>
      <c r="N12" s="10">
        <f>SUBTOTAL(103,Juin[12])</f>
        <v>0</v>
      </c>
      <c r="O12" s="10">
        <f>SUBTOTAL(103,Juin[13])</f>
        <v>0</v>
      </c>
      <c r="P12" s="10">
        <f>SUBTOTAL(103,Juin[14])</f>
        <v>0</v>
      </c>
      <c r="Q12" s="10">
        <f>SUBTOTAL(103,Juin[15])</f>
        <v>0</v>
      </c>
      <c r="R12" s="10">
        <f>SUBTOTAL(103,Juin[16])</f>
        <v>0</v>
      </c>
      <c r="S12" s="10">
        <f>SUBTOTAL(103,Juin[17])</f>
        <v>0</v>
      </c>
      <c r="T12" s="10">
        <f>SUBTOTAL(103,Juin[18])</f>
        <v>0</v>
      </c>
      <c r="U12" s="10">
        <f>SUBTOTAL(103,Juin[19])</f>
        <v>0</v>
      </c>
      <c r="V12" s="10">
        <f>SUBTOTAL(103,Juin[20])</f>
        <v>0</v>
      </c>
      <c r="W12" s="10">
        <f>SUBTOTAL(103,Juin[21])</f>
        <v>0</v>
      </c>
      <c r="X12" s="10">
        <f>SUBTOTAL(103,Juin[22])</f>
        <v>0</v>
      </c>
      <c r="Y12" s="10">
        <f>SUBTOTAL(103,Juin[23])</f>
        <v>0</v>
      </c>
      <c r="Z12" s="10">
        <f>SUBTOTAL(103,Juin[24])</f>
        <v>0</v>
      </c>
      <c r="AA12" s="10">
        <f>SUBTOTAL(103,Juin[25])</f>
        <v>0</v>
      </c>
      <c r="AB12" s="10">
        <f>SUBTOTAL(103,Juin[26])</f>
        <v>0</v>
      </c>
      <c r="AC12" s="10">
        <f>SUBTOTAL(103,Juin[27])</f>
        <v>0</v>
      </c>
      <c r="AD12" s="10">
        <f>SUBTOTAL(103,Juin[28])</f>
        <v>0</v>
      </c>
      <c r="AE12" s="10">
        <f>SUBTOTAL(103,Juin[29])</f>
        <v>0</v>
      </c>
      <c r="AF12" s="10">
        <f>SUBTOTAL(103,Juin[30])</f>
        <v>0</v>
      </c>
      <c r="AG12" s="10">
        <f>SUBTOTAL(103,Juin[[ ]])</f>
        <v>0</v>
      </c>
      <c r="AH12" s="10">
        <f>SUBTOTAL(109,Juin[Total des jours])</f>
        <v>0</v>
      </c>
    </row>
  </sheetData>
  <mergeCells count="6">
    <mergeCell ref="B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34" priority="2" stopIfTrue="1">
      <formula>C7=CléPersonnalisée2</formula>
    </cfRule>
    <cfRule type="expression" dxfId="33" priority="3" stopIfTrue="1">
      <formula>C7=CléPersonnalisée1</formula>
    </cfRule>
    <cfRule type="expression" dxfId="32" priority="4" stopIfTrue="1">
      <formula>C7=CléMaladie</formula>
    </cfRule>
    <cfRule type="expression" dxfId="31" priority="5" stopIfTrue="1">
      <formula>C7=CléPersonnel</formula>
    </cfRule>
    <cfRule type="expression" dxfId="30" priority="6" stopIfTrue="1">
      <formula>C7=CléJournée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500-000000000000}"/>
    <dataValidation allowBlank="1" showInputMessage="1" showErrorMessage="1" prompt="Année mise à jour automatiquement en fonction de l’année entrée dans la feuille de calcul Janvier" sqref="AH4" xr:uid="{00000000-0002-0000-0500-000001000000}"/>
    <dataValidation allowBlank="1" showInputMessage="1" showErrorMessage="1" prompt="Calcule automatiquement le nombre total de jours d’absence d’un employé durant ce mois dans cette colonne" sqref="AH6" xr:uid="{00000000-0002-0000-0500-000002000000}"/>
    <dataValidation allowBlank="1" showInputMessage="1" showErrorMessage="1" prompt="Suivez les absences du mois de juin dans cette feuille de calcul" sqref="A1" xr:uid="{00000000-0002-0000-05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500-000004000000}"/>
    <dataValidation allowBlank="1" showInputMessage="1" showErrorMessage="1" prompt="Le titre mis à jour automatiquement figure dans cette cellule. Pour modifier le titre, mettez à jour la cellule B1 de la feuille de calcul Janvier" sqref="B1" xr:uid="{00000000-0002-0000-0500-000005000000}"/>
    <dataValidation allowBlank="1" showInputMessage="1" showErrorMessage="1" prompt="La lettre « C » indique une absence pour cause de congé" sqref="C2" xr:uid="{00000000-0002-0000-0500-000006000000}"/>
    <dataValidation allowBlank="1" showInputMessage="1" showErrorMessage="1" prompt="La lettre « P » indique une absence pour motifs personnels" sqref="F2" xr:uid="{00000000-0002-0000-0500-000007000000}"/>
    <dataValidation allowBlank="1" showInputMessage="1" showErrorMessage="1" prompt="La lettre « M » indique une absence pour cause de maladie" sqref="J2" xr:uid="{00000000-0002-0000-0500-000008000000}"/>
    <dataValidation allowBlank="1" showInputMessage="1" showErrorMessage="1" prompt="Entrez une lettre et personnalisez l’étiquette à droite pour ajouter un élément de clé" sqref="M2 R2" xr:uid="{00000000-0002-0000-0500-000009000000}"/>
    <dataValidation allowBlank="1" showInputMessage="1" showErrorMessage="1" prompt="Entrez une étiquette pour décrire la clé personnalisée à gauche" sqref="N2 S2" xr:uid="{00000000-0002-0000-0500-00000A000000}"/>
    <dataValidation allowBlank="1" showInputMessage="1" showErrorMessage="1" prompt="Cette ligne définit les clés utilisées dans le tableau : Congé en C2, Personnel en F2 et Congé maladie en J2. Les cellules M2 et R2 sont personnalisables" sqref="B2" xr:uid="{00000000-0002-0000-05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5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D000000}"/>
    <dataValidation type="list" allowBlank="1" showInputMessage="1" showErrorMessage="1" sqref="B7:B11" xr:uid="{00000000-0002-0000-0500-00000E000000}">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0"/>
  </sheetPr>
  <dimension ref="B1:AH12"/>
  <sheetViews>
    <sheetView showGridLines="0" zoomScaleNormal="100" workbookViewId="0">
      <selection activeCell="T13" sqref="T13"/>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1" t="str">
        <f>Titre_Absence_Employé</f>
        <v>Présences des animateurs de l'accueil de loisirs des mercredis / vacances scolaires</v>
      </c>
    </row>
    <row r="2" spans="2:34" ht="15" customHeight="1" x14ac:dyDescent="0.25">
      <c r="B2" s="14" t="s">
        <v>0</v>
      </c>
      <c r="C2" s="2" t="s">
        <v>8</v>
      </c>
      <c r="D2" s="37" t="s">
        <v>10</v>
      </c>
      <c r="E2" s="37"/>
      <c r="F2" s="3" t="s">
        <v>13</v>
      </c>
      <c r="G2" s="37" t="s">
        <v>17</v>
      </c>
      <c r="H2" s="37"/>
      <c r="I2" s="37"/>
      <c r="J2" s="4" t="s">
        <v>15</v>
      </c>
      <c r="K2" s="37" t="s">
        <v>22</v>
      </c>
      <c r="L2" s="37"/>
      <c r="M2" s="5"/>
      <c r="N2" s="37" t="s">
        <v>26</v>
      </c>
      <c r="O2" s="37"/>
      <c r="P2" s="37"/>
      <c r="Q2" s="37"/>
      <c r="R2" s="6"/>
      <c r="S2" s="37" t="s">
        <v>31</v>
      </c>
      <c r="T2" s="37"/>
      <c r="U2" s="37"/>
      <c r="V2" s="37"/>
    </row>
    <row r="3" spans="2:34" ht="15" customHeight="1" x14ac:dyDescent="0.25">
      <c r="B3" s="11"/>
    </row>
    <row r="4" spans="2:34" ht="30" customHeight="1" x14ac:dyDescent="0.25">
      <c r="B4" s="36" t="s">
        <v>56</v>
      </c>
      <c r="C4" s="36"/>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9">
        <f>AnnéeCalendrier</f>
        <v>2023</v>
      </c>
    </row>
    <row r="5" spans="2:34" ht="15" customHeight="1" x14ac:dyDescent="0.25">
      <c r="B5" s="9"/>
      <c r="C5" s="1" t="str">
        <f>TEXT(WEEKDAY(DATE(AnnéeCalendrier,7,1),1),"jjj")</f>
        <v>sam</v>
      </c>
      <c r="D5" s="1" t="str">
        <f>TEXT(WEEKDAY(DATE(AnnéeCalendrier,7,2),1),"jjj")</f>
        <v>dim</v>
      </c>
      <c r="E5" s="1" t="str">
        <f>TEXT(WEEKDAY(DATE(AnnéeCalendrier,7,3),1),"jjj")</f>
        <v>lun</v>
      </c>
      <c r="F5" s="1" t="str">
        <f>TEXT(WEEKDAY(DATE(AnnéeCalendrier,7,4),1),"jjj")</f>
        <v>mar</v>
      </c>
      <c r="G5" s="1" t="str">
        <f>TEXT(WEEKDAY(DATE(AnnéeCalendrier,7,5),1),"jjj")</f>
        <v>mer</v>
      </c>
      <c r="H5" s="1" t="str">
        <f>TEXT(WEEKDAY(DATE(AnnéeCalendrier,7,6),1),"jjj")</f>
        <v>jeu</v>
      </c>
      <c r="I5" s="1" t="str">
        <f>TEXT(WEEKDAY(DATE(AnnéeCalendrier,7,7),1),"jjj")</f>
        <v>ven</v>
      </c>
      <c r="J5" s="1" t="str">
        <f>TEXT(WEEKDAY(DATE(AnnéeCalendrier,7,8),1),"jjj")</f>
        <v>sam</v>
      </c>
      <c r="K5" s="1" t="str">
        <f>TEXT(WEEKDAY(DATE(AnnéeCalendrier,7,9),1),"jjj")</f>
        <v>dim</v>
      </c>
      <c r="L5" s="1" t="str">
        <f>TEXT(WEEKDAY(DATE(AnnéeCalendrier,7,10),1),"jjj")</f>
        <v>lun</v>
      </c>
      <c r="M5" s="1" t="str">
        <f>TEXT(WEEKDAY(DATE(AnnéeCalendrier,7,11),1),"jjj")</f>
        <v>mar</v>
      </c>
      <c r="N5" s="1" t="str">
        <f>TEXT(WEEKDAY(DATE(AnnéeCalendrier,7,12),1),"jjj")</f>
        <v>mer</v>
      </c>
      <c r="O5" s="1" t="str">
        <f>TEXT(WEEKDAY(DATE(AnnéeCalendrier,7,13),1),"jjj")</f>
        <v>jeu</v>
      </c>
      <c r="P5" s="1" t="str">
        <f>TEXT(WEEKDAY(DATE(AnnéeCalendrier,7,14),1),"jjj")</f>
        <v>ven</v>
      </c>
      <c r="Q5" s="1" t="str">
        <f>TEXT(WEEKDAY(DATE(AnnéeCalendrier,7,15),1),"jjj")</f>
        <v>sam</v>
      </c>
      <c r="R5" s="1" t="str">
        <f>TEXT(WEEKDAY(DATE(AnnéeCalendrier,7,16),1),"jjj")</f>
        <v>dim</v>
      </c>
      <c r="S5" s="1" t="str">
        <f>TEXT(WEEKDAY(DATE(AnnéeCalendrier,7,17),1),"jjj")</f>
        <v>lun</v>
      </c>
      <c r="T5" s="1" t="str">
        <f>TEXT(WEEKDAY(DATE(AnnéeCalendrier,7,18),1),"jjj")</f>
        <v>mar</v>
      </c>
      <c r="U5" s="1" t="str">
        <f>TEXT(WEEKDAY(DATE(AnnéeCalendrier,7,19),1),"jjj")</f>
        <v>mer</v>
      </c>
      <c r="V5" s="1" t="str">
        <f>TEXT(WEEKDAY(DATE(AnnéeCalendrier,7,20),1),"jjj")</f>
        <v>jeu</v>
      </c>
      <c r="W5" s="1" t="str">
        <f>TEXT(WEEKDAY(DATE(AnnéeCalendrier,7,21),1),"jjj")</f>
        <v>ven</v>
      </c>
      <c r="X5" s="1" t="str">
        <f>TEXT(WEEKDAY(DATE(AnnéeCalendrier,7,22),1),"jjj")</f>
        <v>sam</v>
      </c>
      <c r="Y5" s="1" t="str">
        <f>TEXT(WEEKDAY(DATE(AnnéeCalendrier,7,23),1),"jjj")</f>
        <v>dim</v>
      </c>
      <c r="Z5" s="1" t="str">
        <f>TEXT(WEEKDAY(DATE(AnnéeCalendrier,7,24),1),"jjj")</f>
        <v>lun</v>
      </c>
      <c r="AA5" s="1" t="str">
        <f>TEXT(WEEKDAY(DATE(AnnéeCalendrier,7,25),1),"jjj")</f>
        <v>mar</v>
      </c>
      <c r="AB5" s="1" t="str">
        <f>TEXT(WEEKDAY(DATE(AnnéeCalendrier,7,26),1),"jjj")</f>
        <v>mer</v>
      </c>
      <c r="AC5" s="1" t="str">
        <f>TEXT(WEEKDAY(DATE(AnnéeCalendrier,7,27),1),"jjj")</f>
        <v>jeu</v>
      </c>
      <c r="AD5" s="1" t="str">
        <f>TEXT(WEEKDAY(DATE(AnnéeCalendrier,7,28),1),"jjj")</f>
        <v>ven</v>
      </c>
      <c r="AE5" s="1" t="str">
        <f>TEXT(WEEKDAY(DATE(AnnéeCalendrier,7,29),1),"jjj")</f>
        <v>sam</v>
      </c>
      <c r="AF5" s="1" t="str">
        <f>TEXT(WEEKDAY(DATE(AnnéeCalendrier,7,30),1),"jjj")</f>
        <v>dim</v>
      </c>
      <c r="AG5" s="1" t="str">
        <f>TEXT(WEEKDAY(DATE(AnnéeCalendrier,7,31),1),"jjj")</f>
        <v>lun</v>
      </c>
      <c r="AH5" s="9"/>
    </row>
    <row r="6" spans="2:34" ht="15" customHeight="1" x14ac:dyDescent="0.25">
      <c r="B6" s="12" t="s">
        <v>2</v>
      </c>
      <c r="C6" s="1" t="s">
        <v>9</v>
      </c>
      <c r="D6" s="1" t="s">
        <v>11</v>
      </c>
      <c r="E6" s="1" t="s">
        <v>12</v>
      </c>
      <c r="F6" s="1" t="s">
        <v>14</v>
      </c>
      <c r="G6" s="1" t="s">
        <v>16</v>
      </c>
      <c r="H6" s="1" t="s">
        <v>18</v>
      </c>
      <c r="I6" s="1" t="s">
        <v>19</v>
      </c>
      <c r="J6" s="1" t="s">
        <v>20</v>
      </c>
      <c r="K6" s="1" t="s">
        <v>21</v>
      </c>
      <c r="L6" s="1" t="s">
        <v>23</v>
      </c>
      <c r="M6" s="1" t="s">
        <v>24</v>
      </c>
      <c r="N6" s="1" t="s">
        <v>25</v>
      </c>
      <c r="O6" s="1" t="s">
        <v>27</v>
      </c>
      <c r="P6" s="1" t="s">
        <v>28</v>
      </c>
      <c r="Q6" s="1" t="s">
        <v>29</v>
      </c>
      <c r="R6" s="1" t="s">
        <v>30</v>
      </c>
      <c r="S6" s="1" t="s">
        <v>32</v>
      </c>
      <c r="T6" s="1" t="s">
        <v>33</v>
      </c>
      <c r="U6" s="1" t="s">
        <v>34</v>
      </c>
      <c r="V6" s="1" t="s">
        <v>35</v>
      </c>
      <c r="W6" s="1" t="s">
        <v>36</v>
      </c>
      <c r="X6" s="1" t="s">
        <v>37</v>
      </c>
      <c r="Y6" s="1" t="s">
        <v>38</v>
      </c>
      <c r="Z6" s="1" t="s">
        <v>39</v>
      </c>
      <c r="AA6" s="1" t="s">
        <v>40</v>
      </c>
      <c r="AB6" s="1" t="s">
        <v>41</v>
      </c>
      <c r="AC6" s="1" t="s">
        <v>42</v>
      </c>
      <c r="AD6" s="1" t="s">
        <v>43</v>
      </c>
      <c r="AE6" s="1" t="s">
        <v>44</v>
      </c>
      <c r="AF6" s="1" t="s">
        <v>45</v>
      </c>
      <c r="AG6" s="1" t="s">
        <v>46</v>
      </c>
      <c r="AH6" s="13" t="s">
        <v>48</v>
      </c>
    </row>
    <row r="7" spans="2:34" ht="30" customHeight="1" x14ac:dyDescent="0.25">
      <c r="B7" s="7" t="s">
        <v>3</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8">
        <f>COUNTA(Juillet[[#This Row],[1]:[31]])</f>
        <v>0</v>
      </c>
    </row>
    <row r="8" spans="2:34" ht="30" customHeight="1" x14ac:dyDescent="0.25">
      <c r="B8" s="7" t="s">
        <v>4</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8">
        <f>COUNTA(Juillet[[#This Row],[1]:[31]])</f>
        <v>0</v>
      </c>
    </row>
    <row r="9" spans="2:34" ht="30" customHeight="1" x14ac:dyDescent="0.25">
      <c r="B9" s="7" t="s">
        <v>5</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8">
        <f>COUNTA(Juillet[[#This Row],[1]:[31]])</f>
        <v>0</v>
      </c>
    </row>
    <row r="10" spans="2:34" ht="30" customHeight="1" x14ac:dyDescent="0.25">
      <c r="B10" s="7" t="s">
        <v>6</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8">
        <f>COUNTA(Juillet[[#This Row],[1]:[31]])</f>
        <v>0</v>
      </c>
    </row>
    <row r="11" spans="2:34" ht="30" customHeight="1" x14ac:dyDescent="0.25">
      <c r="B11" s="7" t="s">
        <v>7</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8">
        <f>COUNTA(Juillet[[#This Row],[1]:[31]])</f>
        <v>0</v>
      </c>
    </row>
    <row r="12" spans="2:34" ht="30" customHeight="1" x14ac:dyDescent="0.25">
      <c r="B12" s="15" t="str">
        <f>NomMois&amp;" Total"</f>
        <v>Juillet Total</v>
      </c>
      <c r="C12" s="10">
        <f>SUBTOTAL(103,Juillet[1])</f>
        <v>0</v>
      </c>
      <c r="D12" s="10">
        <f>SUBTOTAL(103,Juillet[2])</f>
        <v>0</v>
      </c>
      <c r="E12" s="10">
        <f>SUBTOTAL(103,Juillet[3])</f>
        <v>0</v>
      </c>
      <c r="F12" s="10">
        <f>SUBTOTAL(103,Juillet[4])</f>
        <v>0</v>
      </c>
      <c r="G12" s="10">
        <f>SUBTOTAL(103,Juillet[5])</f>
        <v>0</v>
      </c>
      <c r="H12" s="10">
        <f>SUBTOTAL(103,Juillet[6])</f>
        <v>0</v>
      </c>
      <c r="I12" s="10">
        <f>SUBTOTAL(103,Juillet[7])</f>
        <v>0</v>
      </c>
      <c r="J12" s="10">
        <f>SUBTOTAL(103,Juillet[8])</f>
        <v>0</v>
      </c>
      <c r="K12" s="10">
        <f>SUBTOTAL(103,Juillet[9])</f>
        <v>0</v>
      </c>
      <c r="L12" s="10">
        <f>SUBTOTAL(103,Juillet[10])</f>
        <v>0</v>
      </c>
      <c r="M12" s="10">
        <f>SUBTOTAL(103,Juillet[11])</f>
        <v>0</v>
      </c>
      <c r="N12" s="10">
        <f>SUBTOTAL(103,Juillet[12])</f>
        <v>0</v>
      </c>
      <c r="O12" s="10">
        <f>SUBTOTAL(103,Juillet[13])</f>
        <v>0</v>
      </c>
      <c r="P12" s="10">
        <f>SUBTOTAL(103,Juillet[14])</f>
        <v>0</v>
      </c>
      <c r="Q12" s="10">
        <f>SUBTOTAL(103,Juillet[15])</f>
        <v>0</v>
      </c>
      <c r="R12" s="10">
        <f>SUBTOTAL(103,Juillet[16])</f>
        <v>0</v>
      </c>
      <c r="S12" s="10">
        <f>SUBTOTAL(103,Juillet[17])</f>
        <v>0</v>
      </c>
      <c r="T12" s="10">
        <f>SUBTOTAL(103,Juillet[18])</f>
        <v>0</v>
      </c>
      <c r="U12" s="10">
        <f>SUBTOTAL(103,Juillet[19])</f>
        <v>0</v>
      </c>
      <c r="V12" s="10">
        <f>SUBTOTAL(103,Juillet[20])</f>
        <v>0</v>
      </c>
      <c r="W12" s="10">
        <f>SUBTOTAL(103,Juillet[21])</f>
        <v>0</v>
      </c>
      <c r="X12" s="10">
        <f>SUBTOTAL(103,Juillet[22])</f>
        <v>0</v>
      </c>
      <c r="Y12" s="10">
        <f>SUBTOTAL(103,Juillet[23])</f>
        <v>0</v>
      </c>
      <c r="Z12" s="10">
        <f>SUBTOTAL(103,Juillet[24])</f>
        <v>0</v>
      </c>
      <c r="AA12" s="10">
        <f>SUBTOTAL(103,Juillet[25])</f>
        <v>0</v>
      </c>
      <c r="AB12" s="10">
        <f>SUBTOTAL(103,Juillet[26])</f>
        <v>0</v>
      </c>
      <c r="AC12" s="10">
        <f>SUBTOTAL(103,Juillet[27])</f>
        <v>0</v>
      </c>
      <c r="AD12" s="10">
        <f>SUBTOTAL(103,Juillet[28])</f>
        <v>0</v>
      </c>
      <c r="AE12" s="10">
        <f>SUBTOTAL(103,Juillet[29])</f>
        <v>0</v>
      </c>
      <c r="AF12" s="10">
        <f>SUBTOTAL(103,Juillet[30])</f>
        <v>0</v>
      </c>
      <c r="AG12" s="10">
        <f>SUBTOTAL(103,Juillet[31])</f>
        <v>0</v>
      </c>
      <c r="AH12" s="10">
        <f>SUBTOTAL(109,Juillet[Total des jours])</f>
        <v>0</v>
      </c>
    </row>
  </sheetData>
  <mergeCells count="6">
    <mergeCell ref="B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9" priority="2" stopIfTrue="1">
      <formula>C7=CléPersonnalisée2</formula>
    </cfRule>
    <cfRule type="expression" dxfId="28" priority="3" stopIfTrue="1">
      <formula>C7=CléPersonnalisée1</formula>
    </cfRule>
    <cfRule type="expression" dxfId="27" priority="4" stopIfTrue="1">
      <formula>C7=CléMaladie</formula>
    </cfRule>
    <cfRule type="expression" dxfId="26" priority="5" stopIfTrue="1">
      <formula>C7=CléPersonnel</formula>
    </cfRule>
    <cfRule type="expression" dxfId="25" priority="6" stopIfTrue="1">
      <formula>C7=CléJournée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sqref="B2" xr:uid="{00000000-0002-0000-0600-000002000000}"/>
    <dataValidation allowBlank="1" showInputMessage="1" showErrorMessage="1" prompt="Entrez une étiquette pour décrire la clé personnalisée à gauche" sqref="N2 S2" xr:uid="{00000000-0002-0000-0600-000003000000}"/>
    <dataValidation allowBlank="1" showInputMessage="1" showErrorMessage="1" prompt="Entrez une lettre et personnalisez l’étiquette à droite pour ajouter un élément de clé" sqref="M2 R2" xr:uid="{00000000-0002-0000-0600-000004000000}"/>
    <dataValidation allowBlank="1" showInputMessage="1" showErrorMessage="1" prompt="La lettre « M » indique une absence pour cause de maladie" sqref="J2" xr:uid="{00000000-0002-0000-0600-000005000000}"/>
    <dataValidation allowBlank="1" showInputMessage="1" showErrorMessage="1" prompt="La lettre « P » indique une absence pour motifs personnels" sqref="F2" xr:uid="{00000000-0002-0000-0600-000006000000}"/>
    <dataValidation allowBlank="1" showInputMessage="1" showErrorMessage="1" prompt="La lettre « C » indique une absence pour cause de congé" sqref="C2" xr:uid="{00000000-0002-0000-0600-000007000000}"/>
    <dataValidation allowBlank="1" showInputMessage="1" showErrorMessage="1" prompt="Le titre mis à jour automatiquement figure dans cette cellule. Pour modifier le titre, mettez à jour la cellule B1 de la feuille de calcul Janvier" sqref="B1"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600-000009000000}"/>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 type="list" allowBlank="1" showInputMessage="1" showErrorMessage="1" sqref="B7:B11" xr:uid="{00000000-0002-0000-0600-00000E000000}">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theme="0"/>
  </sheetPr>
  <dimension ref="B1:AH12"/>
  <sheetViews>
    <sheetView showGridLines="0" zoomScaleNormal="100" workbookViewId="0">
      <selection activeCell="B4" sqref="B4:AG4"/>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1" t="str">
        <f>Titre_Absence_Employé</f>
        <v>Présences des animateurs de l'accueil de loisirs des mercredis / vacances scolaires</v>
      </c>
    </row>
    <row r="2" spans="2:34" ht="15" customHeight="1" x14ac:dyDescent="0.25">
      <c r="B2" s="14" t="s">
        <v>0</v>
      </c>
      <c r="C2" s="2" t="s">
        <v>8</v>
      </c>
      <c r="D2" s="37" t="s">
        <v>10</v>
      </c>
      <c r="E2" s="37"/>
      <c r="F2" s="3" t="s">
        <v>13</v>
      </c>
      <c r="G2" s="37" t="s">
        <v>17</v>
      </c>
      <c r="H2" s="37"/>
      <c r="I2" s="37"/>
      <c r="J2" s="4" t="s">
        <v>15</v>
      </c>
      <c r="K2" s="37" t="s">
        <v>22</v>
      </c>
      <c r="L2" s="37"/>
      <c r="M2" s="5"/>
      <c r="N2" s="37" t="s">
        <v>26</v>
      </c>
      <c r="O2" s="37"/>
      <c r="P2" s="37"/>
      <c r="Q2" s="37"/>
      <c r="R2" s="6"/>
      <c r="S2" s="37" t="s">
        <v>31</v>
      </c>
      <c r="T2" s="37"/>
      <c r="U2" s="37"/>
      <c r="V2" s="37"/>
    </row>
    <row r="3" spans="2:34" ht="15" customHeight="1" x14ac:dyDescent="0.25">
      <c r="B3" s="11"/>
    </row>
    <row r="4" spans="2:34" ht="30" customHeight="1" x14ac:dyDescent="0.25">
      <c r="B4" s="36" t="s">
        <v>57</v>
      </c>
      <c r="C4" s="36"/>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9">
        <f>AnnéeCalendrier</f>
        <v>2023</v>
      </c>
    </row>
    <row r="5" spans="2:34" ht="15" customHeight="1" x14ac:dyDescent="0.25">
      <c r="B5" s="9"/>
      <c r="C5" s="1" t="str">
        <f>TEXT(WEEKDAY(DATE(AnnéeCalendrier,8,1),1),"jjj")</f>
        <v>mar</v>
      </c>
      <c r="D5" s="1" t="str">
        <f>TEXT(WEEKDAY(DATE(AnnéeCalendrier,8,2),1),"jjj")</f>
        <v>mer</v>
      </c>
      <c r="E5" s="1" t="str">
        <f>TEXT(WEEKDAY(DATE(AnnéeCalendrier,8,3),1),"jjj")</f>
        <v>jeu</v>
      </c>
      <c r="F5" s="1" t="str">
        <f>TEXT(WEEKDAY(DATE(AnnéeCalendrier,8,4),1),"jjj")</f>
        <v>ven</v>
      </c>
      <c r="G5" s="1" t="str">
        <f>TEXT(WEEKDAY(DATE(AnnéeCalendrier,8,5),1),"jjj")</f>
        <v>sam</v>
      </c>
      <c r="H5" s="1" t="str">
        <f>TEXT(WEEKDAY(DATE(AnnéeCalendrier,8,6),1),"jjj")</f>
        <v>dim</v>
      </c>
      <c r="I5" s="1" t="str">
        <f>TEXT(WEEKDAY(DATE(AnnéeCalendrier,8,7),1),"jjj")</f>
        <v>lun</v>
      </c>
      <c r="J5" s="1" t="str">
        <f>TEXT(WEEKDAY(DATE(AnnéeCalendrier,8,8),1),"jjj")</f>
        <v>mar</v>
      </c>
      <c r="K5" s="1" t="str">
        <f>TEXT(WEEKDAY(DATE(AnnéeCalendrier,8,9),1),"jjj")</f>
        <v>mer</v>
      </c>
      <c r="L5" s="1" t="str">
        <f>TEXT(WEEKDAY(DATE(AnnéeCalendrier,8,10),1),"jjj")</f>
        <v>jeu</v>
      </c>
      <c r="M5" s="1" t="str">
        <f>TEXT(WEEKDAY(DATE(AnnéeCalendrier,8,11),1),"jjj")</f>
        <v>ven</v>
      </c>
      <c r="N5" s="1" t="str">
        <f>TEXT(WEEKDAY(DATE(AnnéeCalendrier,8,12),1),"jjj")</f>
        <v>sam</v>
      </c>
      <c r="O5" s="1" t="str">
        <f>TEXT(WEEKDAY(DATE(AnnéeCalendrier,8,13),1),"jjj")</f>
        <v>dim</v>
      </c>
      <c r="P5" s="1" t="str">
        <f>TEXT(WEEKDAY(DATE(AnnéeCalendrier,8,14),1),"jjj")</f>
        <v>lun</v>
      </c>
      <c r="Q5" s="1" t="str">
        <f>TEXT(WEEKDAY(DATE(AnnéeCalendrier,8,15),1),"jjj")</f>
        <v>mar</v>
      </c>
      <c r="R5" s="1" t="str">
        <f>TEXT(WEEKDAY(DATE(AnnéeCalendrier,8,16),1),"jjj")</f>
        <v>mer</v>
      </c>
      <c r="S5" s="1" t="str">
        <f>TEXT(WEEKDAY(DATE(AnnéeCalendrier,8,17),1),"jjj")</f>
        <v>jeu</v>
      </c>
      <c r="T5" s="1" t="str">
        <f>TEXT(WEEKDAY(DATE(AnnéeCalendrier,8,18),1),"jjj")</f>
        <v>ven</v>
      </c>
      <c r="U5" s="1" t="str">
        <f>TEXT(WEEKDAY(DATE(AnnéeCalendrier,8,19),1),"jjj")</f>
        <v>sam</v>
      </c>
      <c r="V5" s="1" t="str">
        <f>TEXT(WEEKDAY(DATE(AnnéeCalendrier,8,20),1),"jjj")</f>
        <v>dim</v>
      </c>
      <c r="W5" s="1" t="str">
        <f>TEXT(WEEKDAY(DATE(AnnéeCalendrier,8,21),1),"jjj")</f>
        <v>lun</v>
      </c>
      <c r="X5" s="1" t="str">
        <f>TEXT(WEEKDAY(DATE(AnnéeCalendrier,8,22),1),"jjj")</f>
        <v>mar</v>
      </c>
      <c r="Y5" s="1" t="str">
        <f>TEXT(WEEKDAY(DATE(AnnéeCalendrier,8,23),1),"jjj")</f>
        <v>mer</v>
      </c>
      <c r="Z5" s="1" t="str">
        <f>TEXT(WEEKDAY(DATE(AnnéeCalendrier,8,24),1),"jjj")</f>
        <v>jeu</v>
      </c>
      <c r="AA5" s="1" t="str">
        <f>TEXT(WEEKDAY(DATE(AnnéeCalendrier,8,25),1),"jjj")</f>
        <v>ven</v>
      </c>
      <c r="AB5" s="1" t="str">
        <f>TEXT(WEEKDAY(DATE(AnnéeCalendrier,8,26),1),"jjj")</f>
        <v>sam</v>
      </c>
      <c r="AC5" s="1" t="str">
        <f>TEXT(WEEKDAY(DATE(AnnéeCalendrier,8,27),1),"jjj")</f>
        <v>dim</v>
      </c>
      <c r="AD5" s="1" t="str">
        <f>TEXT(WEEKDAY(DATE(AnnéeCalendrier,8,28),1),"jjj")</f>
        <v>lun</v>
      </c>
      <c r="AE5" s="1" t="str">
        <f>TEXT(WEEKDAY(DATE(AnnéeCalendrier,8,29),1),"jjj")</f>
        <v>mar</v>
      </c>
      <c r="AF5" s="1" t="str">
        <f>TEXT(WEEKDAY(DATE(AnnéeCalendrier,8,30),1),"jjj")</f>
        <v>mer</v>
      </c>
      <c r="AG5" s="1" t="str">
        <f>TEXT(WEEKDAY(DATE(AnnéeCalendrier,8,31),1),"jjj")</f>
        <v>jeu</v>
      </c>
      <c r="AH5" s="9"/>
    </row>
    <row r="6" spans="2:34" ht="15" customHeight="1" x14ac:dyDescent="0.25">
      <c r="B6" s="12" t="s">
        <v>2</v>
      </c>
      <c r="C6" s="1" t="s">
        <v>9</v>
      </c>
      <c r="D6" s="1" t="s">
        <v>11</v>
      </c>
      <c r="E6" s="1" t="s">
        <v>12</v>
      </c>
      <c r="F6" s="1" t="s">
        <v>14</v>
      </c>
      <c r="G6" s="1" t="s">
        <v>16</v>
      </c>
      <c r="H6" s="1" t="s">
        <v>18</v>
      </c>
      <c r="I6" s="1" t="s">
        <v>19</v>
      </c>
      <c r="J6" s="1" t="s">
        <v>20</v>
      </c>
      <c r="K6" s="1" t="s">
        <v>21</v>
      </c>
      <c r="L6" s="1" t="s">
        <v>23</v>
      </c>
      <c r="M6" s="1" t="s">
        <v>24</v>
      </c>
      <c r="N6" s="1" t="s">
        <v>25</v>
      </c>
      <c r="O6" s="1" t="s">
        <v>27</v>
      </c>
      <c r="P6" s="1" t="s">
        <v>28</v>
      </c>
      <c r="Q6" s="1" t="s">
        <v>29</v>
      </c>
      <c r="R6" s="1" t="s">
        <v>30</v>
      </c>
      <c r="S6" s="1" t="s">
        <v>32</v>
      </c>
      <c r="T6" s="1" t="s">
        <v>33</v>
      </c>
      <c r="U6" s="1" t="s">
        <v>34</v>
      </c>
      <c r="V6" s="1" t="s">
        <v>35</v>
      </c>
      <c r="W6" s="1" t="s">
        <v>36</v>
      </c>
      <c r="X6" s="1" t="s">
        <v>37</v>
      </c>
      <c r="Y6" s="1" t="s">
        <v>38</v>
      </c>
      <c r="Z6" s="1" t="s">
        <v>39</v>
      </c>
      <c r="AA6" s="1" t="s">
        <v>40</v>
      </c>
      <c r="AB6" s="1" t="s">
        <v>41</v>
      </c>
      <c r="AC6" s="1" t="s">
        <v>42</v>
      </c>
      <c r="AD6" s="1" t="s">
        <v>43</v>
      </c>
      <c r="AE6" s="1" t="s">
        <v>44</v>
      </c>
      <c r="AF6" s="1" t="s">
        <v>45</v>
      </c>
      <c r="AG6" s="1" t="s">
        <v>46</v>
      </c>
      <c r="AH6" s="13" t="s">
        <v>48</v>
      </c>
    </row>
    <row r="7" spans="2:34" ht="30" customHeight="1" x14ac:dyDescent="0.25">
      <c r="B7" s="7" t="s">
        <v>3</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8">
        <f>COUNTA(Août[[#This Row],[1]:[31]])</f>
        <v>0</v>
      </c>
    </row>
    <row r="8" spans="2:34" ht="30" customHeight="1" x14ac:dyDescent="0.25">
      <c r="B8" s="7" t="s">
        <v>4</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8">
        <f>COUNTA(Août[[#This Row],[1]:[31]])</f>
        <v>0</v>
      </c>
    </row>
    <row r="9" spans="2:34" ht="30" customHeight="1" x14ac:dyDescent="0.25">
      <c r="B9" s="7" t="s">
        <v>5</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8">
        <f>COUNTA(Août[[#This Row],[1]:[31]])</f>
        <v>0</v>
      </c>
    </row>
    <row r="10" spans="2:34" ht="30" customHeight="1" x14ac:dyDescent="0.25">
      <c r="B10" s="7" t="s">
        <v>6</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8">
        <f>COUNTA(Août[[#This Row],[1]:[31]])</f>
        <v>0</v>
      </c>
    </row>
    <row r="11" spans="2:34" ht="30" customHeight="1" x14ac:dyDescent="0.25">
      <c r="B11" s="7" t="s">
        <v>7</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8">
        <f>COUNTA(Août[[#This Row],[1]:[31]])</f>
        <v>0</v>
      </c>
    </row>
    <row r="12" spans="2:34" ht="30" customHeight="1" x14ac:dyDescent="0.25">
      <c r="B12" s="15" t="str">
        <f>NomMois&amp;" Total"</f>
        <v>Août Total</v>
      </c>
      <c r="C12" s="10">
        <f>SUBTOTAL(103,Août[1])</f>
        <v>0</v>
      </c>
      <c r="D12" s="10">
        <f>SUBTOTAL(103,Août[2])</f>
        <v>0</v>
      </c>
      <c r="E12" s="10">
        <f>SUBTOTAL(103,Août[3])</f>
        <v>0</v>
      </c>
      <c r="F12" s="10">
        <f>SUBTOTAL(103,Août[4])</f>
        <v>0</v>
      </c>
      <c r="G12" s="10">
        <f>SUBTOTAL(103,Août[5])</f>
        <v>0</v>
      </c>
      <c r="H12" s="10">
        <f>SUBTOTAL(103,Août[6])</f>
        <v>0</v>
      </c>
      <c r="I12" s="10">
        <f>SUBTOTAL(103,Août[7])</f>
        <v>0</v>
      </c>
      <c r="J12" s="10">
        <f>SUBTOTAL(103,Août[8])</f>
        <v>0</v>
      </c>
      <c r="K12" s="10">
        <f>SUBTOTAL(103,Août[9])</f>
        <v>0</v>
      </c>
      <c r="L12" s="10">
        <f>SUBTOTAL(103,Août[10])</f>
        <v>0</v>
      </c>
      <c r="M12" s="10">
        <f>SUBTOTAL(103,Août[11])</f>
        <v>0</v>
      </c>
      <c r="N12" s="10">
        <f>SUBTOTAL(103,Août[12])</f>
        <v>0</v>
      </c>
      <c r="O12" s="10">
        <f>SUBTOTAL(103,Août[13])</f>
        <v>0</v>
      </c>
      <c r="P12" s="10">
        <f>SUBTOTAL(103,Août[14])</f>
        <v>0</v>
      </c>
      <c r="Q12" s="10">
        <f>SUBTOTAL(103,Août[15])</f>
        <v>0</v>
      </c>
      <c r="R12" s="10">
        <f>SUBTOTAL(103,Août[16])</f>
        <v>0</v>
      </c>
      <c r="S12" s="10">
        <f>SUBTOTAL(103,Août[17])</f>
        <v>0</v>
      </c>
      <c r="T12" s="10">
        <f>SUBTOTAL(103,Août[18])</f>
        <v>0</v>
      </c>
      <c r="U12" s="10">
        <f>SUBTOTAL(103,Août[19])</f>
        <v>0</v>
      </c>
      <c r="V12" s="10">
        <f>SUBTOTAL(103,Août[20])</f>
        <v>0</v>
      </c>
      <c r="W12" s="10">
        <f>SUBTOTAL(103,Août[21])</f>
        <v>0</v>
      </c>
      <c r="X12" s="10">
        <f>SUBTOTAL(103,Août[22])</f>
        <v>0</v>
      </c>
      <c r="Y12" s="10">
        <f>SUBTOTAL(103,Août[23])</f>
        <v>0</v>
      </c>
      <c r="Z12" s="10">
        <f>SUBTOTAL(103,Août[24])</f>
        <v>0</v>
      </c>
      <c r="AA12" s="10">
        <f>SUBTOTAL(103,Août[25])</f>
        <v>0</v>
      </c>
      <c r="AB12" s="10">
        <f>SUBTOTAL(103,Août[26])</f>
        <v>0</v>
      </c>
      <c r="AC12" s="10">
        <f>SUBTOTAL(103,Août[27])</f>
        <v>0</v>
      </c>
      <c r="AD12" s="10">
        <f>SUBTOTAL(103,Août[28])</f>
        <v>0</v>
      </c>
      <c r="AE12" s="10">
        <f>SUBTOTAL(103,Août[29])</f>
        <v>0</v>
      </c>
      <c r="AF12" s="10">
        <f>SUBTOTAL(103,Août[30])</f>
        <v>0</v>
      </c>
      <c r="AG12" s="10">
        <f>SUBTOTAL(103,Août[31])</f>
        <v>0</v>
      </c>
      <c r="AH12" s="10">
        <f>SUBTOTAL(109,Août[Total des jours])</f>
        <v>0</v>
      </c>
    </row>
  </sheetData>
  <mergeCells count="6">
    <mergeCell ref="B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4" priority="2" stopIfTrue="1">
      <formula>C7=CléPersonnalisée2</formula>
    </cfRule>
    <cfRule type="expression" dxfId="23" priority="3" stopIfTrue="1">
      <formula>C7=CléPersonnalisée1</formula>
    </cfRule>
    <cfRule type="expression" dxfId="22" priority="4" stopIfTrue="1">
      <formula>C7=CléMaladie</formula>
    </cfRule>
    <cfRule type="expression" dxfId="21" priority="5" stopIfTrue="1">
      <formula>C7=CléPersonnel</formula>
    </cfRule>
    <cfRule type="expression" dxfId="20" priority="6" stopIfTrue="1">
      <formula>C7=CléJournée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700-000000000000}"/>
    <dataValidation allowBlank="1" showInputMessage="1" showErrorMessage="1" prompt="Année mise à jour automatiquement en fonction de l’année entrée dans la feuille de calcul Janvier" sqref="AH4" xr:uid="{00000000-0002-0000-0700-000001000000}"/>
    <dataValidation allowBlank="1" showInputMessage="1" showErrorMessage="1" prompt="Calcule automatiquement le nombre total de jours d’absence d’un employé durant ce mois dans cette colonne" sqref="AH6" xr:uid="{00000000-0002-0000-0700-000002000000}"/>
    <dataValidation allowBlank="1" showInputMessage="1" showErrorMessage="1" prompt="Suivez les absences du mois d’août dans cette feuille de calcul" sqref="A1" xr:uid="{00000000-0002-0000-07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700-000004000000}"/>
    <dataValidation allowBlank="1" showInputMessage="1" showErrorMessage="1" prompt="Le titre mis à jour automatiquement figure dans cette cellule. Pour modifier le titre, mettez à jour la cellule B1 de la feuille de calcul Janvier" sqref="B1" xr:uid="{00000000-0002-0000-0700-000005000000}"/>
    <dataValidation allowBlank="1" showInputMessage="1" showErrorMessage="1" prompt="La lettre « C » indique une absence pour cause de congé" sqref="C2" xr:uid="{00000000-0002-0000-0700-000006000000}"/>
    <dataValidation allowBlank="1" showInputMessage="1" showErrorMessage="1" prompt="La lettre « P » indique une absence pour motifs personnels" sqref="F2" xr:uid="{00000000-0002-0000-0700-000007000000}"/>
    <dataValidation allowBlank="1" showInputMessage="1" showErrorMessage="1" prompt="La lettre « M » indique une absence pour cause de maladie" sqref="J2" xr:uid="{00000000-0002-0000-0700-000008000000}"/>
    <dataValidation allowBlank="1" showInputMessage="1" showErrorMessage="1" prompt="Entrez une lettre et personnalisez l’étiquette à droite pour ajouter un élément de clé" sqref="M2 R2" xr:uid="{00000000-0002-0000-0700-000009000000}"/>
    <dataValidation allowBlank="1" showInputMessage="1" showErrorMessage="1" prompt="Entrez une étiquette pour décrire la clé personnalisée à gauche" sqref="N2 S2" xr:uid="{00000000-0002-0000-0700-00000A000000}"/>
    <dataValidation allowBlank="1" showInputMessage="1" showErrorMessage="1" prompt="Cette ligne définit les clés utilisées dans le tableau : Congé en C2, Personnel en F2 et Congé maladie en J2. Les cellules M2 et R2 sont personnalisables" sqref="B2" xr:uid="{00000000-0002-0000-07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7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700-00000D000000}"/>
    <dataValidation type="list" allowBlank="1" showInputMessage="1" showErrorMessage="1" sqref="B7:B11" xr:uid="{00000000-0002-0000-0700-00000E000000}">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tabColor theme="0"/>
  </sheetPr>
  <dimension ref="B1:AH12"/>
  <sheetViews>
    <sheetView showGridLines="0" zoomScaleNormal="100" workbookViewId="0">
      <selection activeCell="B4" sqref="B4:AG4"/>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1" t="str">
        <f>Titre_Absence_Employé</f>
        <v>Présences des animateurs de l'accueil de loisirs des mercredis / vacances scolaires</v>
      </c>
    </row>
    <row r="2" spans="2:34" ht="15" customHeight="1" x14ac:dyDescent="0.25">
      <c r="B2" s="14" t="s">
        <v>0</v>
      </c>
      <c r="C2" s="2" t="s">
        <v>8</v>
      </c>
      <c r="D2" s="37" t="s">
        <v>10</v>
      </c>
      <c r="E2" s="37"/>
      <c r="F2" s="3" t="s">
        <v>13</v>
      </c>
      <c r="G2" s="37" t="s">
        <v>17</v>
      </c>
      <c r="H2" s="37"/>
      <c r="I2" s="37"/>
      <c r="J2" s="4" t="s">
        <v>15</v>
      </c>
      <c r="K2" s="37" t="s">
        <v>22</v>
      </c>
      <c r="L2" s="37"/>
      <c r="M2" s="5"/>
      <c r="N2" s="37" t="s">
        <v>26</v>
      </c>
      <c r="O2" s="37"/>
      <c r="P2" s="37"/>
      <c r="Q2" s="37"/>
      <c r="R2" s="6"/>
      <c r="S2" s="37" t="s">
        <v>31</v>
      </c>
      <c r="T2" s="37"/>
      <c r="U2" s="37"/>
      <c r="V2" s="37"/>
    </row>
    <row r="3" spans="2:34" ht="15" customHeight="1" x14ac:dyDescent="0.25">
      <c r="B3" s="11"/>
    </row>
    <row r="4" spans="2:34" ht="30" customHeight="1" x14ac:dyDescent="0.25">
      <c r="B4" s="36" t="s">
        <v>58</v>
      </c>
      <c r="C4" s="36"/>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9">
        <f>AnnéeCalendrier</f>
        <v>2023</v>
      </c>
    </row>
    <row r="5" spans="2:34" ht="15" customHeight="1" x14ac:dyDescent="0.25">
      <c r="B5" s="9"/>
      <c r="C5" s="1" t="str">
        <f>TEXT(WEEKDAY(DATE(AnnéeCalendrier,9,1),1),"jjj")</f>
        <v>ven</v>
      </c>
      <c r="D5" s="1" t="str">
        <f>TEXT(WEEKDAY(DATE(AnnéeCalendrier,9,2),1),"jjj")</f>
        <v>sam</v>
      </c>
      <c r="E5" s="1" t="str">
        <f>TEXT(WEEKDAY(DATE(AnnéeCalendrier,9,3),1),"jjj")</f>
        <v>dim</v>
      </c>
      <c r="F5" s="1" t="str">
        <f>TEXT(WEEKDAY(DATE(AnnéeCalendrier,9,4),1),"jjj")</f>
        <v>lun</v>
      </c>
      <c r="G5" s="1" t="str">
        <f>TEXT(WEEKDAY(DATE(AnnéeCalendrier,9,5),1),"jjj")</f>
        <v>mar</v>
      </c>
      <c r="H5" s="1" t="str">
        <f>TEXT(WEEKDAY(DATE(AnnéeCalendrier,9,6),1),"jjj")</f>
        <v>mer</v>
      </c>
      <c r="I5" s="1" t="str">
        <f>TEXT(WEEKDAY(DATE(AnnéeCalendrier,9,7),1),"jjj")</f>
        <v>jeu</v>
      </c>
      <c r="J5" s="1" t="str">
        <f>TEXT(WEEKDAY(DATE(AnnéeCalendrier,9,8),1),"jjj")</f>
        <v>ven</v>
      </c>
      <c r="K5" s="1" t="str">
        <f>TEXT(WEEKDAY(DATE(AnnéeCalendrier,9,9),1),"jjj")</f>
        <v>sam</v>
      </c>
      <c r="L5" s="1" t="str">
        <f>TEXT(WEEKDAY(DATE(AnnéeCalendrier,9,10),1),"jjj")</f>
        <v>dim</v>
      </c>
      <c r="M5" s="1" t="str">
        <f>TEXT(WEEKDAY(DATE(AnnéeCalendrier,9,11),1),"jjj")</f>
        <v>lun</v>
      </c>
      <c r="N5" s="1" t="str">
        <f>TEXT(WEEKDAY(DATE(AnnéeCalendrier,9,12),1),"jjj")</f>
        <v>mar</v>
      </c>
      <c r="O5" s="1" t="str">
        <f>TEXT(WEEKDAY(DATE(AnnéeCalendrier,9,13),1),"jjj")</f>
        <v>mer</v>
      </c>
      <c r="P5" s="1" t="str">
        <f>TEXT(WEEKDAY(DATE(AnnéeCalendrier,9,14),1),"jjj")</f>
        <v>jeu</v>
      </c>
      <c r="Q5" s="1" t="str">
        <f>TEXT(WEEKDAY(DATE(AnnéeCalendrier,9,15),1),"jjj")</f>
        <v>ven</v>
      </c>
      <c r="R5" s="1" t="str">
        <f>TEXT(WEEKDAY(DATE(AnnéeCalendrier,9,16),1),"jjj")</f>
        <v>sam</v>
      </c>
      <c r="S5" s="1" t="str">
        <f>TEXT(WEEKDAY(DATE(AnnéeCalendrier,9,17),1),"jjj")</f>
        <v>dim</v>
      </c>
      <c r="T5" s="1" t="str">
        <f>TEXT(WEEKDAY(DATE(AnnéeCalendrier,9,18),1),"jjj")</f>
        <v>lun</v>
      </c>
      <c r="U5" s="1" t="str">
        <f>TEXT(WEEKDAY(DATE(AnnéeCalendrier,9,19),1),"jjj")</f>
        <v>mar</v>
      </c>
      <c r="V5" s="1" t="str">
        <f>TEXT(WEEKDAY(DATE(AnnéeCalendrier,9,20),1),"jjj")</f>
        <v>mer</v>
      </c>
      <c r="W5" s="1" t="str">
        <f>TEXT(WEEKDAY(DATE(AnnéeCalendrier,9,21),1),"jjj")</f>
        <v>jeu</v>
      </c>
      <c r="X5" s="1" t="str">
        <f>TEXT(WEEKDAY(DATE(AnnéeCalendrier,9,22),1),"jjj")</f>
        <v>ven</v>
      </c>
      <c r="Y5" s="1" t="str">
        <f>TEXT(WEEKDAY(DATE(AnnéeCalendrier,9,23),1),"jjj")</f>
        <v>sam</v>
      </c>
      <c r="Z5" s="1" t="str">
        <f>TEXT(WEEKDAY(DATE(AnnéeCalendrier,9,24),1),"jjj")</f>
        <v>dim</v>
      </c>
      <c r="AA5" s="1" t="str">
        <f>TEXT(WEEKDAY(DATE(AnnéeCalendrier,9,25),1),"jjj")</f>
        <v>lun</v>
      </c>
      <c r="AB5" s="1" t="str">
        <f>TEXT(WEEKDAY(DATE(AnnéeCalendrier,9,26),1),"jjj")</f>
        <v>mar</v>
      </c>
      <c r="AC5" s="1" t="str">
        <f>TEXT(WEEKDAY(DATE(AnnéeCalendrier,9,27),1),"jjj")</f>
        <v>mer</v>
      </c>
      <c r="AD5" s="1" t="str">
        <f>TEXT(WEEKDAY(DATE(AnnéeCalendrier,9,28),1),"jjj")</f>
        <v>jeu</v>
      </c>
      <c r="AE5" s="1" t="str">
        <f>TEXT(WEEKDAY(DATE(AnnéeCalendrier,9,29),1),"jjj")</f>
        <v>ven</v>
      </c>
      <c r="AF5" s="1" t="str">
        <f>TEXT(WEEKDAY(DATE(AnnéeCalendrier,9,30),1),"jjj")</f>
        <v>sam</v>
      </c>
      <c r="AG5" s="1"/>
      <c r="AH5" s="9"/>
    </row>
    <row r="6" spans="2:34" ht="15" customHeight="1" x14ac:dyDescent="0.25">
      <c r="B6" s="12" t="s">
        <v>2</v>
      </c>
      <c r="C6" s="1" t="s">
        <v>9</v>
      </c>
      <c r="D6" s="1" t="s">
        <v>11</v>
      </c>
      <c r="E6" s="1" t="s">
        <v>12</v>
      </c>
      <c r="F6" s="1" t="s">
        <v>14</v>
      </c>
      <c r="G6" s="1" t="s">
        <v>16</v>
      </c>
      <c r="H6" s="1" t="s">
        <v>18</v>
      </c>
      <c r="I6" s="1" t="s">
        <v>19</v>
      </c>
      <c r="J6" s="1" t="s">
        <v>20</v>
      </c>
      <c r="K6" s="1" t="s">
        <v>21</v>
      </c>
      <c r="L6" s="1" t="s">
        <v>23</v>
      </c>
      <c r="M6" s="1" t="s">
        <v>24</v>
      </c>
      <c r="N6" s="1" t="s">
        <v>25</v>
      </c>
      <c r="O6" s="1" t="s">
        <v>27</v>
      </c>
      <c r="P6" s="1" t="s">
        <v>28</v>
      </c>
      <c r="Q6" s="1" t="s">
        <v>29</v>
      </c>
      <c r="R6" s="1" t="s">
        <v>30</v>
      </c>
      <c r="S6" s="1" t="s">
        <v>32</v>
      </c>
      <c r="T6" s="1" t="s">
        <v>33</v>
      </c>
      <c r="U6" s="1" t="s">
        <v>34</v>
      </c>
      <c r="V6" s="1" t="s">
        <v>35</v>
      </c>
      <c r="W6" s="1" t="s">
        <v>36</v>
      </c>
      <c r="X6" s="1" t="s">
        <v>37</v>
      </c>
      <c r="Y6" s="1" t="s">
        <v>38</v>
      </c>
      <c r="Z6" s="1" t="s">
        <v>39</v>
      </c>
      <c r="AA6" s="1" t="s">
        <v>40</v>
      </c>
      <c r="AB6" s="1" t="s">
        <v>41</v>
      </c>
      <c r="AC6" s="1" t="s">
        <v>42</v>
      </c>
      <c r="AD6" s="1" t="s">
        <v>43</v>
      </c>
      <c r="AE6" s="1" t="s">
        <v>44</v>
      </c>
      <c r="AF6" s="1" t="s">
        <v>45</v>
      </c>
      <c r="AG6" s="1" t="s">
        <v>50</v>
      </c>
      <c r="AH6" s="13" t="s">
        <v>48</v>
      </c>
    </row>
    <row r="7" spans="2:34" ht="30" customHeight="1" x14ac:dyDescent="0.25">
      <c r="B7" s="7" t="s">
        <v>3</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8">
        <f>COUNTA(Septembre[[#This Row],[1]:[30]])</f>
        <v>0</v>
      </c>
    </row>
    <row r="8" spans="2:34" ht="30" customHeight="1" x14ac:dyDescent="0.25">
      <c r="B8" s="7" t="s">
        <v>4</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8">
        <f>COUNTA(Septembre[[#This Row],[1]:[30]])</f>
        <v>0</v>
      </c>
    </row>
    <row r="9" spans="2:34" ht="30" customHeight="1" x14ac:dyDescent="0.25">
      <c r="B9" s="7" t="s">
        <v>5</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8">
        <f>COUNTA(Septembre[[#This Row],[1]:[30]])</f>
        <v>0</v>
      </c>
    </row>
    <row r="10" spans="2:34" ht="30" customHeight="1" x14ac:dyDescent="0.25">
      <c r="B10" s="7" t="s">
        <v>6</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8">
        <f>COUNTA(Septembre[[#This Row],[1]:[30]])</f>
        <v>0</v>
      </c>
    </row>
    <row r="11" spans="2:34" ht="30" customHeight="1" x14ac:dyDescent="0.25">
      <c r="B11" s="7" t="s">
        <v>7</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8">
        <f>COUNTA(Septembre[[#This Row],[1]:[30]])</f>
        <v>0</v>
      </c>
    </row>
    <row r="12" spans="2:34" ht="30" customHeight="1" x14ac:dyDescent="0.25">
      <c r="B12" s="15" t="str">
        <f>NomMois&amp;" Total"</f>
        <v>Septembre Total</v>
      </c>
      <c r="C12" s="10">
        <f>SUBTOTAL(103,Septembre[1])</f>
        <v>0</v>
      </c>
      <c r="D12" s="10">
        <f>SUBTOTAL(103,Septembre[2])</f>
        <v>0</v>
      </c>
      <c r="E12" s="10">
        <f>SUBTOTAL(103,Septembre[3])</f>
        <v>0</v>
      </c>
      <c r="F12" s="10">
        <f>SUBTOTAL(103,Septembre[4])</f>
        <v>0</v>
      </c>
      <c r="G12" s="10">
        <f>SUBTOTAL(103,Septembre[5])</f>
        <v>0</v>
      </c>
      <c r="H12" s="10">
        <f>SUBTOTAL(103,Septembre[6])</f>
        <v>0</v>
      </c>
      <c r="I12" s="10">
        <f>SUBTOTAL(103,Septembre[7])</f>
        <v>0</v>
      </c>
      <c r="J12" s="10">
        <f>SUBTOTAL(103,Septembre[8])</f>
        <v>0</v>
      </c>
      <c r="K12" s="10">
        <f>SUBTOTAL(103,Septembre[9])</f>
        <v>0</v>
      </c>
      <c r="L12" s="10">
        <f>SUBTOTAL(103,Septembre[10])</f>
        <v>0</v>
      </c>
      <c r="M12" s="10">
        <f>SUBTOTAL(103,Septembre[11])</f>
        <v>0</v>
      </c>
      <c r="N12" s="10">
        <f>SUBTOTAL(103,Septembre[12])</f>
        <v>0</v>
      </c>
      <c r="O12" s="10">
        <f>SUBTOTAL(103,Septembre[13])</f>
        <v>0</v>
      </c>
      <c r="P12" s="10">
        <f>SUBTOTAL(103,Septembre[14])</f>
        <v>0</v>
      </c>
      <c r="Q12" s="10">
        <f>SUBTOTAL(103,Septembre[15])</f>
        <v>0</v>
      </c>
      <c r="R12" s="10">
        <f>SUBTOTAL(103,Septembre[16])</f>
        <v>0</v>
      </c>
      <c r="S12" s="10">
        <f>SUBTOTAL(103,Septembre[17])</f>
        <v>0</v>
      </c>
      <c r="T12" s="10">
        <f>SUBTOTAL(103,Septembre[18])</f>
        <v>0</v>
      </c>
      <c r="U12" s="10">
        <f>SUBTOTAL(103,Septembre[19])</f>
        <v>0</v>
      </c>
      <c r="V12" s="10">
        <f>SUBTOTAL(103,Septembre[20])</f>
        <v>0</v>
      </c>
      <c r="W12" s="10">
        <f>SUBTOTAL(103,Septembre[21])</f>
        <v>0</v>
      </c>
      <c r="X12" s="10">
        <f>SUBTOTAL(103,Septembre[22])</f>
        <v>0</v>
      </c>
      <c r="Y12" s="10">
        <f>SUBTOTAL(103,Septembre[23])</f>
        <v>0</v>
      </c>
      <c r="Z12" s="10">
        <f>SUBTOTAL(103,Septembre[24])</f>
        <v>0</v>
      </c>
      <c r="AA12" s="10">
        <f>SUBTOTAL(103,Septembre[25])</f>
        <v>0</v>
      </c>
      <c r="AB12" s="10">
        <f>SUBTOTAL(103,Septembre[26])</f>
        <v>0</v>
      </c>
      <c r="AC12" s="10">
        <f>SUBTOTAL(103,Septembre[27])</f>
        <v>0</v>
      </c>
      <c r="AD12" s="10">
        <f>SUBTOTAL(103,Septembre[28])</f>
        <v>0</v>
      </c>
      <c r="AE12" s="10">
        <f>SUBTOTAL(103,Septembre[29])</f>
        <v>0</v>
      </c>
      <c r="AF12" s="10">
        <f>SUBTOTAL(103,Septembre[30])</f>
        <v>0</v>
      </c>
      <c r="AG12" s="10">
        <f>SUBTOTAL(103,Septembre[[ ]])</f>
        <v>0</v>
      </c>
      <c r="AH12" s="10">
        <f>SUBTOTAL(109,Septembre[Total des jours])</f>
        <v>0</v>
      </c>
    </row>
  </sheetData>
  <mergeCells count="6">
    <mergeCell ref="B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9" priority="2" stopIfTrue="1">
      <formula>C7=CléPersonnalisée2</formula>
    </cfRule>
    <cfRule type="expression" dxfId="18" priority="3" stopIfTrue="1">
      <formula>C7=CléPersonnalisée1</formula>
    </cfRule>
    <cfRule type="expression" dxfId="17" priority="4" stopIfTrue="1">
      <formula>C7=CléMaladie</formula>
    </cfRule>
    <cfRule type="expression" dxfId="16" priority="5" stopIfTrue="1">
      <formula>C7=CléPersonnel</formula>
    </cfRule>
    <cfRule type="expression" dxfId="15" priority="6" stopIfTrue="1">
      <formula>C7=CléJournée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800-000001000000}"/>
    <dataValidation allowBlank="1" showInputMessage="1" showErrorMessage="1" prompt="Cette ligne définit les clés utilisées dans le tableau : Congé en C2, Personnel en F2 et Congé maladie en J2. Les cellules M2 et R2 sont personnalisables" sqref="B2" xr:uid="{00000000-0002-0000-0800-000002000000}"/>
    <dataValidation allowBlank="1" showInputMessage="1" showErrorMessage="1" prompt="Entrez une étiquette pour décrire la clé personnalisée à gauche" sqref="N2 S2" xr:uid="{00000000-0002-0000-0800-000003000000}"/>
    <dataValidation allowBlank="1" showInputMessage="1" showErrorMessage="1" prompt="Entrez une lettre et personnalisez l’étiquette à droite pour ajouter un élément de clé" sqref="M2 R2" xr:uid="{00000000-0002-0000-0800-000004000000}"/>
    <dataValidation allowBlank="1" showInputMessage="1" showErrorMessage="1" prompt="La lettre « M » indique une absence pour cause de maladie" sqref="J2" xr:uid="{00000000-0002-0000-0800-000005000000}"/>
    <dataValidation allowBlank="1" showInputMessage="1" showErrorMessage="1" prompt="La lettre « P » indique une absence pour motifs personnels" sqref="F2" xr:uid="{00000000-0002-0000-0800-000006000000}"/>
    <dataValidation allowBlank="1" showInputMessage="1" showErrorMessage="1" prompt="La lettre « C » indique une absence pour cause de congé" sqref="C2" xr:uid="{00000000-0002-0000-0800-000007000000}"/>
    <dataValidation allowBlank="1" showInputMessage="1" showErrorMessage="1" prompt="Le titre mis à jour automatiquement figure dans cette cellule. Pour modifier le titre, mettez à jour la cellule B1 de la feuille de calcul Janvier" sqref="B1" xr:uid="{00000000-0002-0000-08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800-000009000000}"/>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6" xr:uid="{00000000-0002-0000-0800-00000B000000}"/>
    <dataValidation allowBlank="1" showInputMessage="1" showErrorMessage="1" prompt="Année mise à jour automatiquement en fonction de l’année entrée dans la feuille de calcul Janvier" sqref="AH4" xr:uid="{00000000-0002-0000-08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800-00000D000000}"/>
    <dataValidation type="list" allowBlank="1" showInputMessage="1" showErrorMessage="1" sqref="B7:B11" xr:uid="{00000000-0002-0000-0800-00000E000000}">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tabColor theme="0"/>
  </sheetPr>
  <dimension ref="B1:AH12"/>
  <sheetViews>
    <sheetView showGridLines="0" zoomScaleNormal="100" workbookViewId="0">
      <selection activeCell="B4" sqref="B4:AG4"/>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1" t="str">
        <f>Titre_Absence_Employé</f>
        <v>Présences des animateurs de l'accueil de loisirs des mercredis / vacances scolaires</v>
      </c>
    </row>
    <row r="2" spans="2:34" ht="15" customHeight="1" x14ac:dyDescent="0.25">
      <c r="B2" s="14" t="s">
        <v>0</v>
      </c>
      <c r="C2" s="2" t="s">
        <v>8</v>
      </c>
      <c r="D2" s="37" t="s">
        <v>10</v>
      </c>
      <c r="E2" s="37"/>
      <c r="F2" s="3" t="s">
        <v>13</v>
      </c>
      <c r="G2" s="37" t="s">
        <v>17</v>
      </c>
      <c r="H2" s="37"/>
      <c r="I2" s="37"/>
      <c r="J2" s="4" t="s">
        <v>15</v>
      </c>
      <c r="K2" s="37" t="s">
        <v>22</v>
      </c>
      <c r="L2" s="37"/>
      <c r="M2" s="5"/>
      <c r="N2" s="37" t="s">
        <v>26</v>
      </c>
      <c r="O2" s="37"/>
      <c r="P2" s="37"/>
      <c r="Q2" s="37"/>
      <c r="R2" s="6"/>
      <c r="S2" s="37" t="s">
        <v>31</v>
      </c>
      <c r="T2" s="37"/>
      <c r="U2" s="37"/>
      <c r="V2" s="37"/>
    </row>
    <row r="3" spans="2:34" ht="15" customHeight="1" x14ac:dyDescent="0.25">
      <c r="B3" s="11"/>
    </row>
    <row r="4" spans="2:34" ht="30" customHeight="1" x14ac:dyDescent="0.25">
      <c r="B4" s="36" t="s">
        <v>59</v>
      </c>
      <c r="C4" s="36"/>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9">
        <f>AnnéeCalendrier</f>
        <v>2023</v>
      </c>
    </row>
    <row r="5" spans="2:34" ht="15" customHeight="1" x14ac:dyDescent="0.25">
      <c r="B5" s="9"/>
      <c r="C5" s="1" t="str">
        <f>TEXT(WEEKDAY(DATE(AnnéeCalendrier,10,1),1),"jjj")</f>
        <v>dim</v>
      </c>
      <c r="D5" s="1" t="str">
        <f>TEXT(WEEKDAY(DATE(AnnéeCalendrier,10,2),1),"jjj")</f>
        <v>lun</v>
      </c>
      <c r="E5" s="1" t="str">
        <f>TEXT(WEEKDAY(DATE(AnnéeCalendrier,10,3),1),"jjj")</f>
        <v>mar</v>
      </c>
      <c r="F5" s="1" t="str">
        <f>TEXT(WEEKDAY(DATE(AnnéeCalendrier,10,4),1),"jjj")</f>
        <v>mer</v>
      </c>
      <c r="G5" s="1" t="str">
        <f>TEXT(WEEKDAY(DATE(AnnéeCalendrier,10,5),1),"jjj")</f>
        <v>jeu</v>
      </c>
      <c r="H5" s="1" t="str">
        <f>TEXT(WEEKDAY(DATE(AnnéeCalendrier,10,6),1),"jjj")</f>
        <v>ven</v>
      </c>
      <c r="I5" s="1" t="str">
        <f>TEXT(WEEKDAY(DATE(AnnéeCalendrier,10,7),1),"jjj")</f>
        <v>sam</v>
      </c>
      <c r="J5" s="1" t="str">
        <f>TEXT(WEEKDAY(DATE(AnnéeCalendrier,10,8),1),"jjj")</f>
        <v>dim</v>
      </c>
      <c r="K5" s="1" t="str">
        <f>TEXT(WEEKDAY(DATE(AnnéeCalendrier,10,9),1),"jjj")</f>
        <v>lun</v>
      </c>
      <c r="L5" s="1" t="str">
        <f>TEXT(WEEKDAY(DATE(AnnéeCalendrier,10,10),1),"jjj")</f>
        <v>mar</v>
      </c>
      <c r="M5" s="1" t="str">
        <f>TEXT(WEEKDAY(DATE(AnnéeCalendrier,10,11),1),"jjj")</f>
        <v>mer</v>
      </c>
      <c r="N5" s="1" t="str">
        <f>TEXT(WEEKDAY(DATE(AnnéeCalendrier,10,12),1),"jjj")</f>
        <v>jeu</v>
      </c>
      <c r="O5" s="1" t="str">
        <f>TEXT(WEEKDAY(DATE(AnnéeCalendrier,10,13),1),"jjj")</f>
        <v>ven</v>
      </c>
      <c r="P5" s="1" t="str">
        <f>TEXT(WEEKDAY(DATE(AnnéeCalendrier,10,14),1),"jjj")</f>
        <v>sam</v>
      </c>
      <c r="Q5" s="1" t="str">
        <f>TEXT(WEEKDAY(DATE(AnnéeCalendrier,10,15),1),"jjj")</f>
        <v>dim</v>
      </c>
      <c r="R5" s="1" t="str">
        <f>TEXT(WEEKDAY(DATE(AnnéeCalendrier,10,16),1),"jjj")</f>
        <v>lun</v>
      </c>
      <c r="S5" s="1" t="str">
        <f>TEXT(WEEKDAY(DATE(AnnéeCalendrier,10,17),1),"jjj")</f>
        <v>mar</v>
      </c>
      <c r="T5" s="1" t="str">
        <f>TEXT(WEEKDAY(DATE(AnnéeCalendrier,10,18),1),"jjj")</f>
        <v>mer</v>
      </c>
      <c r="U5" s="1" t="str">
        <f>TEXT(WEEKDAY(DATE(AnnéeCalendrier,10,19),1),"jjj")</f>
        <v>jeu</v>
      </c>
      <c r="V5" s="1" t="str">
        <f>TEXT(WEEKDAY(DATE(AnnéeCalendrier,10,20),1),"jjj")</f>
        <v>ven</v>
      </c>
      <c r="W5" s="1" t="str">
        <f>TEXT(WEEKDAY(DATE(AnnéeCalendrier,10,21),1),"jjj")</f>
        <v>sam</v>
      </c>
      <c r="X5" s="1" t="str">
        <f>TEXT(WEEKDAY(DATE(AnnéeCalendrier,10,22),1),"jjj")</f>
        <v>dim</v>
      </c>
      <c r="Y5" s="1" t="str">
        <f>TEXT(WEEKDAY(DATE(AnnéeCalendrier,10,23),1),"jjj")</f>
        <v>lun</v>
      </c>
      <c r="Z5" s="1" t="str">
        <f>TEXT(WEEKDAY(DATE(AnnéeCalendrier,10,24),1),"jjj")</f>
        <v>mar</v>
      </c>
      <c r="AA5" s="1" t="str">
        <f>TEXT(WEEKDAY(DATE(AnnéeCalendrier,10,25),1),"jjj")</f>
        <v>mer</v>
      </c>
      <c r="AB5" s="1" t="str">
        <f>TEXT(WEEKDAY(DATE(AnnéeCalendrier,10,26),1),"jjj")</f>
        <v>jeu</v>
      </c>
      <c r="AC5" s="1" t="str">
        <f>TEXT(WEEKDAY(DATE(AnnéeCalendrier,10,27),1),"jjj")</f>
        <v>ven</v>
      </c>
      <c r="AD5" s="1" t="str">
        <f>TEXT(WEEKDAY(DATE(AnnéeCalendrier,10,28),1),"jjj")</f>
        <v>sam</v>
      </c>
      <c r="AE5" s="1" t="str">
        <f>TEXT(WEEKDAY(DATE(AnnéeCalendrier,10,29),1),"jjj")</f>
        <v>dim</v>
      </c>
      <c r="AF5" s="1" t="str">
        <f>TEXT(WEEKDAY(DATE(AnnéeCalendrier,10,30),1),"jjj")</f>
        <v>lun</v>
      </c>
      <c r="AG5" s="1" t="str">
        <f>TEXT(WEEKDAY(DATE(AnnéeCalendrier,10,31),1),"jjj")</f>
        <v>mar</v>
      </c>
      <c r="AH5" s="9"/>
    </row>
    <row r="6" spans="2:34" ht="15" customHeight="1" x14ac:dyDescent="0.25">
      <c r="B6" s="12" t="s">
        <v>2</v>
      </c>
      <c r="C6" s="1" t="s">
        <v>9</v>
      </c>
      <c r="D6" s="1" t="s">
        <v>11</v>
      </c>
      <c r="E6" s="1" t="s">
        <v>12</v>
      </c>
      <c r="F6" s="1" t="s">
        <v>14</v>
      </c>
      <c r="G6" s="1" t="s">
        <v>16</v>
      </c>
      <c r="H6" s="1" t="s">
        <v>18</v>
      </c>
      <c r="I6" s="1" t="s">
        <v>19</v>
      </c>
      <c r="J6" s="1" t="s">
        <v>20</v>
      </c>
      <c r="K6" s="1" t="s">
        <v>21</v>
      </c>
      <c r="L6" s="1" t="s">
        <v>23</v>
      </c>
      <c r="M6" s="1" t="s">
        <v>24</v>
      </c>
      <c r="N6" s="1" t="s">
        <v>25</v>
      </c>
      <c r="O6" s="1" t="s">
        <v>27</v>
      </c>
      <c r="P6" s="1" t="s">
        <v>28</v>
      </c>
      <c r="Q6" s="1" t="s">
        <v>29</v>
      </c>
      <c r="R6" s="1" t="s">
        <v>30</v>
      </c>
      <c r="S6" s="1" t="s">
        <v>32</v>
      </c>
      <c r="T6" s="1" t="s">
        <v>33</v>
      </c>
      <c r="U6" s="1" t="s">
        <v>34</v>
      </c>
      <c r="V6" s="1" t="s">
        <v>35</v>
      </c>
      <c r="W6" s="1" t="s">
        <v>36</v>
      </c>
      <c r="X6" s="1" t="s">
        <v>37</v>
      </c>
      <c r="Y6" s="1" t="s">
        <v>38</v>
      </c>
      <c r="Z6" s="1" t="s">
        <v>39</v>
      </c>
      <c r="AA6" s="1" t="s">
        <v>40</v>
      </c>
      <c r="AB6" s="1" t="s">
        <v>41</v>
      </c>
      <c r="AC6" s="1" t="s">
        <v>42</v>
      </c>
      <c r="AD6" s="1" t="s">
        <v>43</v>
      </c>
      <c r="AE6" s="1" t="s">
        <v>44</v>
      </c>
      <c r="AF6" s="1" t="s">
        <v>45</v>
      </c>
      <c r="AG6" s="1" t="s">
        <v>46</v>
      </c>
      <c r="AH6" s="13" t="s">
        <v>48</v>
      </c>
    </row>
    <row r="7" spans="2:34" ht="30" customHeight="1" x14ac:dyDescent="0.25">
      <c r="B7" s="7" t="s">
        <v>3</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8">
        <f>COUNTA(Octobre[[#This Row],[1]:[31]])</f>
        <v>0</v>
      </c>
    </row>
    <row r="8" spans="2:34" ht="30" customHeight="1" x14ac:dyDescent="0.25">
      <c r="B8" s="7" t="s">
        <v>4</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8">
        <f>COUNTA(Octobre[[#This Row],[1]:[31]])</f>
        <v>0</v>
      </c>
    </row>
    <row r="9" spans="2:34" ht="30" customHeight="1" x14ac:dyDescent="0.25">
      <c r="B9" s="7" t="s">
        <v>5</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8">
        <f>COUNTA(Octobre[[#This Row],[1]:[31]])</f>
        <v>0</v>
      </c>
    </row>
    <row r="10" spans="2:34" ht="30" customHeight="1" x14ac:dyDescent="0.25">
      <c r="B10" s="7" t="s">
        <v>6</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8">
        <f>COUNTA(Octobre[[#This Row],[1]:[31]])</f>
        <v>0</v>
      </c>
    </row>
    <row r="11" spans="2:34" ht="30" customHeight="1" x14ac:dyDescent="0.25">
      <c r="B11" s="7" t="s">
        <v>7</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8">
        <f>COUNTA(Octobre[[#This Row],[1]:[31]])</f>
        <v>0</v>
      </c>
    </row>
    <row r="12" spans="2:34" ht="30" customHeight="1" x14ac:dyDescent="0.25">
      <c r="B12" s="15" t="str">
        <f>NomMois&amp;" Total"</f>
        <v>Octobre Total</v>
      </c>
      <c r="C12" s="10">
        <f>SUBTOTAL(103,Octobre[1])</f>
        <v>0</v>
      </c>
      <c r="D12" s="10">
        <f>SUBTOTAL(103,Octobre[2])</f>
        <v>0</v>
      </c>
      <c r="E12" s="10">
        <f>SUBTOTAL(103,Octobre[3])</f>
        <v>0</v>
      </c>
      <c r="F12" s="10">
        <f>SUBTOTAL(103,Octobre[4])</f>
        <v>0</v>
      </c>
      <c r="G12" s="10">
        <f>SUBTOTAL(103,Octobre[5])</f>
        <v>0</v>
      </c>
      <c r="H12" s="10">
        <f>SUBTOTAL(103,Octobre[6])</f>
        <v>0</v>
      </c>
      <c r="I12" s="10">
        <f>SUBTOTAL(103,Octobre[7])</f>
        <v>0</v>
      </c>
      <c r="J12" s="10">
        <f>SUBTOTAL(103,Octobre[8])</f>
        <v>0</v>
      </c>
      <c r="K12" s="10">
        <f>SUBTOTAL(103,Octobre[9])</f>
        <v>0</v>
      </c>
      <c r="L12" s="10">
        <f>SUBTOTAL(103,Octobre[10])</f>
        <v>0</v>
      </c>
      <c r="M12" s="10">
        <f>SUBTOTAL(103,Octobre[11])</f>
        <v>0</v>
      </c>
      <c r="N12" s="10">
        <f>SUBTOTAL(103,Octobre[12])</f>
        <v>0</v>
      </c>
      <c r="O12" s="10">
        <f>SUBTOTAL(103,Octobre[13])</f>
        <v>0</v>
      </c>
      <c r="P12" s="10">
        <f>SUBTOTAL(103,Octobre[14])</f>
        <v>0</v>
      </c>
      <c r="Q12" s="10">
        <f>SUBTOTAL(103,Octobre[15])</f>
        <v>0</v>
      </c>
      <c r="R12" s="10">
        <f>SUBTOTAL(103,Octobre[16])</f>
        <v>0</v>
      </c>
      <c r="S12" s="10">
        <f>SUBTOTAL(103,Octobre[17])</f>
        <v>0</v>
      </c>
      <c r="T12" s="10">
        <f>SUBTOTAL(103,Octobre[18])</f>
        <v>0</v>
      </c>
      <c r="U12" s="10">
        <f>SUBTOTAL(103,Octobre[19])</f>
        <v>0</v>
      </c>
      <c r="V12" s="10">
        <f>SUBTOTAL(103,Octobre[20])</f>
        <v>0</v>
      </c>
      <c r="W12" s="10">
        <f>SUBTOTAL(103,Octobre[21])</f>
        <v>0</v>
      </c>
      <c r="X12" s="10">
        <f>SUBTOTAL(103,Octobre[22])</f>
        <v>0</v>
      </c>
      <c r="Y12" s="10">
        <f>SUBTOTAL(103,Octobre[23])</f>
        <v>0</v>
      </c>
      <c r="Z12" s="10">
        <f>SUBTOTAL(103,Octobre[24])</f>
        <v>0</v>
      </c>
      <c r="AA12" s="10">
        <f>SUBTOTAL(103,Octobre[25])</f>
        <v>0</v>
      </c>
      <c r="AB12" s="10">
        <f>SUBTOTAL(103,Octobre[26])</f>
        <v>0</v>
      </c>
      <c r="AC12" s="10">
        <f>SUBTOTAL(103,Octobre[27])</f>
        <v>0</v>
      </c>
      <c r="AD12" s="10">
        <f>SUBTOTAL(103,Octobre[28])</f>
        <v>0</v>
      </c>
      <c r="AE12" s="10">
        <f>SUBTOTAL(103,Octobre[29])</f>
        <v>0</v>
      </c>
      <c r="AF12" s="10">
        <f>SUBTOTAL(103,Octobre[30])</f>
        <v>0</v>
      </c>
      <c r="AG12" s="10">
        <f>SUBTOTAL(103,Octobre[31])</f>
        <v>0</v>
      </c>
      <c r="AH12" s="10">
        <f>SUBTOTAL(109,Octobre[Total des jours])</f>
        <v>0</v>
      </c>
    </row>
  </sheetData>
  <mergeCells count="6">
    <mergeCell ref="B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4" priority="2" stopIfTrue="1">
      <formula>C7=CléPersonnalisée2</formula>
    </cfRule>
    <cfRule type="expression" dxfId="13" priority="3" stopIfTrue="1">
      <formula>C7=CléPersonnalisée1</formula>
    </cfRule>
    <cfRule type="expression" dxfId="12" priority="4" stopIfTrue="1">
      <formula>C7=CléMaladie</formula>
    </cfRule>
    <cfRule type="expression" dxfId="11" priority="5" stopIfTrue="1">
      <formula>C7=CléPersonnel</formula>
    </cfRule>
    <cfRule type="expression" dxfId="10" priority="6" stopIfTrue="1">
      <formula>C7=CléJournée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900-000000000000}"/>
    <dataValidation allowBlank="1" showInputMessage="1" showErrorMessage="1" prompt="Année mise à jour automatiquement en fonction de l’année entrée dans la feuille de calcul Janvier" sqref="AH4" xr:uid="{00000000-0002-0000-0900-000001000000}"/>
    <dataValidation allowBlank="1" showInputMessage="1" showErrorMessage="1" prompt="Calcule automatiquement le nombre total de jours d’absence d’un employé durant ce mois dans cette colonne" sqref="AH6" xr:uid="{00000000-0002-0000-0900-000002000000}"/>
    <dataValidation allowBlank="1" showInputMessage="1" showErrorMessage="1" prompt="Suivez les absences du mois d’octobre dans cette feuille de calcul" sqref="A1" xr:uid="{00000000-0002-0000-09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900-000004000000}"/>
    <dataValidation allowBlank="1" showInputMessage="1" showErrorMessage="1" prompt="Le titre mis à jour automatiquement figure dans cette cellule. Pour modifier le titre, mettez à jour la cellule B1 de la feuille de calcul Janvier" sqref="B1" xr:uid="{00000000-0002-0000-0900-000005000000}"/>
    <dataValidation allowBlank="1" showInputMessage="1" showErrorMessage="1" prompt="La lettre « C » indique une absence pour cause de congé" sqref="C2" xr:uid="{00000000-0002-0000-0900-000006000000}"/>
    <dataValidation allowBlank="1" showInputMessage="1" showErrorMessage="1" prompt="La lettre « P » indique une absence pour motifs personnels" sqref="F2" xr:uid="{00000000-0002-0000-0900-000007000000}"/>
    <dataValidation allowBlank="1" showInputMessage="1" showErrorMessage="1" prompt="La lettre « M » indique une absence pour cause de maladie" sqref="J2" xr:uid="{00000000-0002-0000-0900-000008000000}"/>
    <dataValidation allowBlank="1" showInputMessage="1" showErrorMessage="1" prompt="Entrez une lettre et personnalisez l’étiquette à droite pour ajouter un élément de clé" sqref="M2 R2" xr:uid="{00000000-0002-0000-0900-000009000000}"/>
    <dataValidation allowBlank="1" showInputMessage="1" showErrorMessage="1" prompt="Entrez une étiquette pour décrire la clé personnalisée à gauche" sqref="N2 S2" xr:uid="{00000000-0002-0000-0900-00000A000000}"/>
    <dataValidation allowBlank="1" showInputMessage="1" showErrorMessage="1" prompt="Cette ligne définit les clés utilisées dans le tableau : Congé en C2, Personnel en F2 et Congé maladie en J2. Les cellules M2 et R2 sont personnalisables" sqref="B2" xr:uid="{00000000-0002-0000-09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9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900-00000D000000}"/>
    <dataValidation type="list" allowBlank="1" showInputMessage="1" showErrorMessage="1" sqref="B7:B11" xr:uid="{00000000-0002-0000-0900-00000E000000}">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tabColor theme="0"/>
  </sheetPr>
  <dimension ref="B1:AH12"/>
  <sheetViews>
    <sheetView showGridLines="0" zoomScaleNormal="100" workbookViewId="0">
      <selection activeCell="B4" sqref="B4:AG4"/>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1" t="str">
        <f>Titre_Absence_Employé</f>
        <v>Présences des animateurs de l'accueil de loisirs des mercredis / vacances scolaires</v>
      </c>
    </row>
    <row r="2" spans="2:34" ht="15" customHeight="1" x14ac:dyDescent="0.25">
      <c r="B2" s="14" t="s">
        <v>0</v>
      </c>
      <c r="C2" s="2" t="s">
        <v>8</v>
      </c>
      <c r="D2" s="37" t="s">
        <v>10</v>
      </c>
      <c r="E2" s="37"/>
      <c r="F2" s="3" t="s">
        <v>13</v>
      </c>
      <c r="G2" s="37" t="s">
        <v>17</v>
      </c>
      <c r="H2" s="37"/>
      <c r="I2" s="37"/>
      <c r="J2" s="4" t="s">
        <v>15</v>
      </c>
      <c r="K2" s="37" t="s">
        <v>22</v>
      </c>
      <c r="L2" s="37"/>
      <c r="M2" s="5"/>
      <c r="N2" s="37" t="s">
        <v>26</v>
      </c>
      <c r="O2" s="37"/>
      <c r="P2" s="37"/>
      <c r="Q2" s="37"/>
      <c r="R2" s="6"/>
      <c r="S2" s="37" t="s">
        <v>31</v>
      </c>
      <c r="T2" s="37"/>
      <c r="U2" s="37"/>
      <c r="V2" s="37"/>
    </row>
    <row r="3" spans="2:34" ht="15" customHeight="1" x14ac:dyDescent="0.25">
      <c r="B3" s="11"/>
    </row>
    <row r="4" spans="2:34" ht="30" customHeight="1" x14ac:dyDescent="0.25">
      <c r="B4" s="36" t="s">
        <v>60</v>
      </c>
      <c r="C4" s="36"/>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9">
        <f>AnnéeCalendrier</f>
        <v>2023</v>
      </c>
    </row>
    <row r="5" spans="2:34" ht="15" customHeight="1" x14ac:dyDescent="0.25">
      <c r="B5" s="9"/>
      <c r="C5" s="1" t="str">
        <f>TEXT(WEEKDAY(DATE(AnnéeCalendrier,11,1),1),"jjj")</f>
        <v>mer</v>
      </c>
      <c r="D5" s="1" t="str">
        <f>TEXT(WEEKDAY(DATE(AnnéeCalendrier,11,2),1),"jjj")</f>
        <v>jeu</v>
      </c>
      <c r="E5" s="1" t="str">
        <f>TEXT(WEEKDAY(DATE(AnnéeCalendrier,11,3),1),"jjj")</f>
        <v>ven</v>
      </c>
      <c r="F5" s="1" t="str">
        <f>TEXT(WEEKDAY(DATE(AnnéeCalendrier,11,4),1),"jjj")</f>
        <v>sam</v>
      </c>
      <c r="G5" s="1" t="str">
        <f>TEXT(WEEKDAY(DATE(AnnéeCalendrier,11,5),1),"jjj")</f>
        <v>dim</v>
      </c>
      <c r="H5" s="1" t="str">
        <f>TEXT(WEEKDAY(DATE(AnnéeCalendrier,11,6),1),"jjj")</f>
        <v>lun</v>
      </c>
      <c r="I5" s="1" t="str">
        <f>TEXT(WEEKDAY(DATE(AnnéeCalendrier,11,7),1),"jjj")</f>
        <v>mar</v>
      </c>
      <c r="J5" s="1" t="str">
        <f>TEXT(WEEKDAY(DATE(AnnéeCalendrier,11,8),1),"jjj")</f>
        <v>mer</v>
      </c>
      <c r="K5" s="1" t="str">
        <f>TEXT(WEEKDAY(DATE(AnnéeCalendrier,11,9),1),"jjj")</f>
        <v>jeu</v>
      </c>
      <c r="L5" s="1" t="str">
        <f>TEXT(WEEKDAY(DATE(AnnéeCalendrier,11,10),1),"jjj")</f>
        <v>ven</v>
      </c>
      <c r="M5" s="1" t="str">
        <f>TEXT(WEEKDAY(DATE(AnnéeCalendrier,11,11),1),"jjj")</f>
        <v>sam</v>
      </c>
      <c r="N5" s="1" t="str">
        <f>TEXT(WEEKDAY(DATE(AnnéeCalendrier,11,12),1),"jjj")</f>
        <v>dim</v>
      </c>
      <c r="O5" s="1" t="str">
        <f>TEXT(WEEKDAY(DATE(AnnéeCalendrier,11,13),1),"jjj")</f>
        <v>lun</v>
      </c>
      <c r="P5" s="1" t="str">
        <f>TEXT(WEEKDAY(DATE(AnnéeCalendrier,11,14),1),"jjj")</f>
        <v>mar</v>
      </c>
      <c r="Q5" s="1" t="str">
        <f>TEXT(WEEKDAY(DATE(AnnéeCalendrier,11,15),1),"jjj")</f>
        <v>mer</v>
      </c>
      <c r="R5" s="1" t="str">
        <f>TEXT(WEEKDAY(DATE(AnnéeCalendrier,11,16),1),"jjj")</f>
        <v>jeu</v>
      </c>
      <c r="S5" s="1" t="str">
        <f>TEXT(WEEKDAY(DATE(AnnéeCalendrier,11,17),1),"jjj")</f>
        <v>ven</v>
      </c>
      <c r="T5" s="1" t="str">
        <f>TEXT(WEEKDAY(DATE(AnnéeCalendrier,11,18),1),"jjj")</f>
        <v>sam</v>
      </c>
      <c r="U5" s="1" t="str">
        <f>TEXT(WEEKDAY(DATE(AnnéeCalendrier,11,19),1),"jjj")</f>
        <v>dim</v>
      </c>
      <c r="V5" s="1" t="str">
        <f>TEXT(WEEKDAY(DATE(AnnéeCalendrier,11,20),1),"jjj")</f>
        <v>lun</v>
      </c>
      <c r="W5" s="1" t="str">
        <f>TEXT(WEEKDAY(DATE(AnnéeCalendrier,11,21),1),"jjj")</f>
        <v>mar</v>
      </c>
      <c r="X5" s="1" t="str">
        <f>TEXT(WEEKDAY(DATE(AnnéeCalendrier,11,22),1),"jjj")</f>
        <v>mer</v>
      </c>
      <c r="Y5" s="1" t="str">
        <f>TEXT(WEEKDAY(DATE(AnnéeCalendrier,11,23),1),"jjj")</f>
        <v>jeu</v>
      </c>
      <c r="Z5" s="1" t="str">
        <f>TEXT(WEEKDAY(DATE(AnnéeCalendrier,11,24),1),"jjj")</f>
        <v>ven</v>
      </c>
      <c r="AA5" s="1" t="str">
        <f>TEXT(WEEKDAY(DATE(AnnéeCalendrier,11,25),1),"jjj")</f>
        <v>sam</v>
      </c>
      <c r="AB5" s="1" t="str">
        <f>TEXT(WEEKDAY(DATE(AnnéeCalendrier,11,26),1),"jjj")</f>
        <v>dim</v>
      </c>
      <c r="AC5" s="1" t="str">
        <f>TEXT(WEEKDAY(DATE(AnnéeCalendrier,11,27),1),"jjj")</f>
        <v>lun</v>
      </c>
      <c r="AD5" s="1" t="str">
        <f>TEXT(WEEKDAY(DATE(AnnéeCalendrier,11,28),1),"jjj")</f>
        <v>mar</v>
      </c>
      <c r="AE5" s="1" t="str">
        <f>TEXT(WEEKDAY(DATE(AnnéeCalendrier,11,29),1),"jjj")</f>
        <v>mer</v>
      </c>
      <c r="AF5" s="1" t="str">
        <f>TEXT(WEEKDAY(DATE(AnnéeCalendrier,11,30),1),"jjj")</f>
        <v>jeu</v>
      </c>
      <c r="AG5" s="1"/>
      <c r="AH5" s="9"/>
    </row>
    <row r="6" spans="2:34" ht="15" customHeight="1" x14ac:dyDescent="0.25">
      <c r="B6" s="12" t="s">
        <v>2</v>
      </c>
      <c r="C6" s="1" t="s">
        <v>9</v>
      </c>
      <c r="D6" s="1" t="s">
        <v>11</v>
      </c>
      <c r="E6" s="1" t="s">
        <v>12</v>
      </c>
      <c r="F6" s="1" t="s">
        <v>14</v>
      </c>
      <c r="G6" s="1" t="s">
        <v>16</v>
      </c>
      <c r="H6" s="1" t="s">
        <v>18</v>
      </c>
      <c r="I6" s="1" t="s">
        <v>19</v>
      </c>
      <c r="J6" s="1" t="s">
        <v>20</v>
      </c>
      <c r="K6" s="1" t="s">
        <v>21</v>
      </c>
      <c r="L6" s="1" t="s">
        <v>23</v>
      </c>
      <c r="M6" s="1" t="s">
        <v>24</v>
      </c>
      <c r="N6" s="1" t="s">
        <v>25</v>
      </c>
      <c r="O6" s="1" t="s">
        <v>27</v>
      </c>
      <c r="P6" s="1" t="s">
        <v>28</v>
      </c>
      <c r="Q6" s="1" t="s">
        <v>29</v>
      </c>
      <c r="R6" s="1" t="s">
        <v>30</v>
      </c>
      <c r="S6" s="1" t="s">
        <v>32</v>
      </c>
      <c r="T6" s="1" t="s">
        <v>33</v>
      </c>
      <c r="U6" s="1" t="s">
        <v>34</v>
      </c>
      <c r="V6" s="1" t="s">
        <v>35</v>
      </c>
      <c r="W6" s="1" t="s">
        <v>36</v>
      </c>
      <c r="X6" s="1" t="s">
        <v>37</v>
      </c>
      <c r="Y6" s="1" t="s">
        <v>38</v>
      </c>
      <c r="Z6" s="1" t="s">
        <v>39</v>
      </c>
      <c r="AA6" s="1" t="s">
        <v>40</v>
      </c>
      <c r="AB6" s="1" t="s">
        <v>41</v>
      </c>
      <c r="AC6" s="1" t="s">
        <v>42</v>
      </c>
      <c r="AD6" s="1" t="s">
        <v>43</v>
      </c>
      <c r="AE6" s="1" t="s">
        <v>44</v>
      </c>
      <c r="AF6" s="1" t="s">
        <v>45</v>
      </c>
      <c r="AG6" s="1" t="s">
        <v>50</v>
      </c>
      <c r="AH6" s="13" t="s">
        <v>48</v>
      </c>
    </row>
    <row r="7" spans="2:34" ht="30" customHeight="1" x14ac:dyDescent="0.25">
      <c r="B7" s="7" t="s">
        <v>3</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8">
        <f>COUNTA(Novembre[[#This Row],[1]:[30]])</f>
        <v>0</v>
      </c>
    </row>
    <row r="8" spans="2:34" ht="30" customHeight="1" x14ac:dyDescent="0.25">
      <c r="B8" s="7" t="s">
        <v>4</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8">
        <f>COUNTA(Novembre[[#This Row],[1]:[30]])</f>
        <v>0</v>
      </c>
    </row>
    <row r="9" spans="2:34" ht="30" customHeight="1" x14ac:dyDescent="0.25">
      <c r="B9" s="7" t="s">
        <v>5</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8">
        <f>COUNTA(Novembre[[#This Row],[1]:[30]])</f>
        <v>0</v>
      </c>
    </row>
    <row r="10" spans="2:34" ht="30" customHeight="1" x14ac:dyDescent="0.25">
      <c r="B10" s="7" t="s">
        <v>6</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8">
        <f>COUNTA(Novembre[[#This Row],[1]:[30]])</f>
        <v>0</v>
      </c>
    </row>
    <row r="11" spans="2:34" ht="30" customHeight="1" x14ac:dyDescent="0.25">
      <c r="B11" s="7" t="s">
        <v>7</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8">
        <f>COUNTA(Novembre[[#This Row],[1]:[30]])</f>
        <v>0</v>
      </c>
    </row>
    <row r="12" spans="2:34" ht="30" customHeight="1" x14ac:dyDescent="0.25">
      <c r="B12" s="15" t="str">
        <f>NomMois&amp;" Total"</f>
        <v>Novembre Total</v>
      </c>
      <c r="C12" s="10">
        <f>SUBTOTAL(103,Novembre[1])</f>
        <v>0</v>
      </c>
      <c r="D12" s="10">
        <f>SUBTOTAL(103,Novembre[2])</f>
        <v>0</v>
      </c>
      <c r="E12" s="10">
        <f>SUBTOTAL(103,Novembre[3])</f>
        <v>0</v>
      </c>
      <c r="F12" s="10">
        <f>SUBTOTAL(103,Novembre[4])</f>
        <v>0</v>
      </c>
      <c r="G12" s="10">
        <f>SUBTOTAL(103,Novembre[5])</f>
        <v>0</v>
      </c>
      <c r="H12" s="10">
        <f>SUBTOTAL(103,Novembre[6])</f>
        <v>0</v>
      </c>
      <c r="I12" s="10">
        <f>SUBTOTAL(103,Novembre[7])</f>
        <v>0</v>
      </c>
      <c r="J12" s="10">
        <f>SUBTOTAL(103,Novembre[8])</f>
        <v>0</v>
      </c>
      <c r="K12" s="10">
        <f>SUBTOTAL(103,Novembre[9])</f>
        <v>0</v>
      </c>
      <c r="L12" s="10">
        <f>SUBTOTAL(103,Novembre[10])</f>
        <v>0</v>
      </c>
      <c r="M12" s="10">
        <f>SUBTOTAL(103,Novembre[11])</f>
        <v>0</v>
      </c>
      <c r="N12" s="10">
        <f>SUBTOTAL(103,Novembre[12])</f>
        <v>0</v>
      </c>
      <c r="O12" s="10">
        <f>SUBTOTAL(103,Novembre[13])</f>
        <v>0</v>
      </c>
      <c r="P12" s="10">
        <f>SUBTOTAL(103,Novembre[14])</f>
        <v>0</v>
      </c>
      <c r="Q12" s="10">
        <f>SUBTOTAL(103,Novembre[15])</f>
        <v>0</v>
      </c>
      <c r="R12" s="10">
        <f>SUBTOTAL(103,Novembre[16])</f>
        <v>0</v>
      </c>
      <c r="S12" s="10">
        <f>SUBTOTAL(103,Novembre[17])</f>
        <v>0</v>
      </c>
      <c r="T12" s="10">
        <f>SUBTOTAL(103,Novembre[18])</f>
        <v>0</v>
      </c>
      <c r="U12" s="10">
        <f>SUBTOTAL(103,Novembre[19])</f>
        <v>0</v>
      </c>
      <c r="V12" s="10">
        <f>SUBTOTAL(103,Novembre[20])</f>
        <v>0</v>
      </c>
      <c r="W12" s="10">
        <f>SUBTOTAL(103,Novembre[21])</f>
        <v>0</v>
      </c>
      <c r="X12" s="10">
        <f>SUBTOTAL(103,Novembre[22])</f>
        <v>0</v>
      </c>
      <c r="Y12" s="10">
        <f>SUBTOTAL(103,Novembre[23])</f>
        <v>0</v>
      </c>
      <c r="Z12" s="10">
        <f>SUBTOTAL(103,Novembre[24])</f>
        <v>0</v>
      </c>
      <c r="AA12" s="10">
        <f>SUBTOTAL(103,Novembre[25])</f>
        <v>0</v>
      </c>
      <c r="AB12" s="10">
        <f>SUBTOTAL(103,Novembre[26])</f>
        <v>0</v>
      </c>
      <c r="AC12" s="10">
        <f>SUBTOTAL(103,Novembre[27])</f>
        <v>0</v>
      </c>
      <c r="AD12" s="10">
        <f>SUBTOTAL(103,Novembre[28])</f>
        <v>0</v>
      </c>
      <c r="AE12" s="10">
        <f>SUBTOTAL(103,Novembre[29])</f>
        <v>0</v>
      </c>
      <c r="AF12" s="10">
        <f>SUBTOTAL(103,Novembre[30])</f>
        <v>0</v>
      </c>
      <c r="AG12" s="10">
        <f>SUBTOTAL(103,Novembre[[ ]])</f>
        <v>0</v>
      </c>
      <c r="AH12" s="10">
        <f>SUBTOTAL(109,Novembre[Total des jours])</f>
        <v>0</v>
      </c>
    </row>
  </sheetData>
  <mergeCells count="6">
    <mergeCell ref="B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9" priority="2" stopIfTrue="1">
      <formula>C7=CléPersonnalisée2</formula>
    </cfRule>
    <cfRule type="expression" dxfId="8" priority="3" stopIfTrue="1">
      <formula>C7=CléPersonnalisée1</formula>
    </cfRule>
    <cfRule type="expression" dxfId="7" priority="4" stopIfTrue="1">
      <formula>C7=CléMaladie</formula>
    </cfRule>
    <cfRule type="expression" dxfId="6" priority="5" stopIfTrue="1">
      <formula>C7=CléPersonnel</formula>
    </cfRule>
    <cfRule type="expression" dxfId="5" priority="6" stopIfTrue="1">
      <formula>C7=CléJournée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A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A00-000001000000}"/>
    <dataValidation allowBlank="1" showInputMessage="1" showErrorMessage="1" prompt="Cette ligne définit les clés utilisées dans le tableau : Congé en C2, Personnel en F2 et Congé maladie en J2. Les cellules M2 et R2 sont personnalisables" sqref="B2" xr:uid="{00000000-0002-0000-0A00-000002000000}"/>
    <dataValidation allowBlank="1" showInputMessage="1" showErrorMessage="1" prompt="Entrez une étiquette pour décrire la clé personnalisée à gauche" sqref="N2 S2" xr:uid="{00000000-0002-0000-0A00-000003000000}"/>
    <dataValidation allowBlank="1" showInputMessage="1" showErrorMessage="1" prompt="Entrez une lettre et personnalisez l’étiquette à droite pour ajouter un élément de clé" sqref="M2 R2" xr:uid="{00000000-0002-0000-0A00-000004000000}"/>
    <dataValidation allowBlank="1" showInputMessage="1" showErrorMessage="1" prompt="La lettre « M » indique une absence pour cause de maladie" sqref="J2" xr:uid="{00000000-0002-0000-0A00-000005000000}"/>
    <dataValidation allowBlank="1" showInputMessage="1" showErrorMessage="1" prompt="La lettre « P » indique une absence pour motifs personnels" sqref="F2" xr:uid="{00000000-0002-0000-0A00-000006000000}"/>
    <dataValidation allowBlank="1" showInputMessage="1" showErrorMessage="1" prompt="La lettre « C » indique une absence pour cause de congé" sqref="C2" xr:uid="{00000000-0002-0000-0A00-000007000000}"/>
    <dataValidation allowBlank="1" showInputMessage="1" showErrorMessage="1" prompt="Le titre mis à jour automatiquement figure dans cette cellule. Pour modifier le titre, mettez à jour la cellule B1 de la feuille de calcul Janvier" sqref="B1" xr:uid="{00000000-0002-0000-0A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A00-000009000000}"/>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6" xr:uid="{00000000-0002-0000-0A00-00000B000000}"/>
    <dataValidation allowBlank="1" showInputMessage="1" showErrorMessage="1" prompt="Année mise à jour automatiquement en fonction de l’année entrée dans la feuille de calcul Janvier" sqref="AH4" xr:uid="{00000000-0002-0000-0A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A00-00000D000000}"/>
    <dataValidation type="list" allowBlank="1" showInputMessage="1" showErrorMessage="1" sqref="B7:B11" xr:uid="{00000000-0002-0000-0A00-00000E000000}">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tabColor theme="0"/>
  </sheetPr>
  <dimension ref="B1:AH12"/>
  <sheetViews>
    <sheetView showGridLines="0" zoomScaleNormal="100" workbookViewId="0">
      <selection activeCell="B7" sqref="B7"/>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1" t="str">
        <f>Titre_Absence_Employé</f>
        <v>Présences des animateurs de l'accueil de loisirs des mercredis / vacances scolaires</v>
      </c>
    </row>
    <row r="2" spans="2:34" ht="15" customHeight="1" x14ac:dyDescent="0.25">
      <c r="B2" s="14" t="s">
        <v>0</v>
      </c>
      <c r="C2" s="2" t="s">
        <v>8</v>
      </c>
      <c r="D2" s="37" t="s">
        <v>10</v>
      </c>
      <c r="E2" s="37"/>
      <c r="F2" s="3" t="s">
        <v>13</v>
      </c>
      <c r="G2" s="37" t="s">
        <v>17</v>
      </c>
      <c r="H2" s="37"/>
      <c r="I2" s="37"/>
      <c r="J2" s="4" t="s">
        <v>15</v>
      </c>
      <c r="K2" s="37" t="s">
        <v>22</v>
      </c>
      <c r="L2" s="37"/>
      <c r="M2" s="5"/>
      <c r="N2" s="37" t="s">
        <v>26</v>
      </c>
      <c r="O2" s="37"/>
      <c r="P2" s="37"/>
      <c r="Q2" s="37"/>
      <c r="R2" s="6"/>
      <c r="S2" s="37" t="s">
        <v>31</v>
      </c>
      <c r="T2" s="37"/>
      <c r="U2" s="37"/>
      <c r="V2" s="37"/>
    </row>
    <row r="3" spans="2:34" ht="15" customHeight="1" x14ac:dyDescent="0.25">
      <c r="B3" s="11"/>
    </row>
    <row r="4" spans="2:34" ht="30" customHeight="1" x14ac:dyDescent="0.25">
      <c r="B4" s="36" t="s">
        <v>61</v>
      </c>
      <c r="C4" s="36"/>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9">
        <f>AnnéeCalendrier</f>
        <v>2023</v>
      </c>
    </row>
    <row r="5" spans="2:34" ht="15" customHeight="1" x14ac:dyDescent="0.25">
      <c r="B5" s="9"/>
      <c r="C5" s="1" t="str">
        <f>TEXT(WEEKDAY(DATE(AnnéeCalendrier,12,1),1),"jjj")</f>
        <v>ven</v>
      </c>
      <c r="D5" s="1" t="str">
        <f>TEXT(WEEKDAY(DATE(AnnéeCalendrier,12,2),1),"jjj")</f>
        <v>sam</v>
      </c>
      <c r="E5" s="1" t="str">
        <f>TEXT(WEEKDAY(DATE(AnnéeCalendrier,12,3),1),"jjj")</f>
        <v>dim</v>
      </c>
      <c r="F5" s="1" t="str">
        <f>TEXT(WEEKDAY(DATE(AnnéeCalendrier,12,4),1),"jjj")</f>
        <v>lun</v>
      </c>
      <c r="G5" s="1" t="str">
        <f>TEXT(WEEKDAY(DATE(AnnéeCalendrier,12,5),1),"jjj")</f>
        <v>mar</v>
      </c>
      <c r="H5" s="1" t="str">
        <f>TEXT(WEEKDAY(DATE(AnnéeCalendrier,12,6),1),"jjj")</f>
        <v>mer</v>
      </c>
      <c r="I5" s="1" t="str">
        <f>TEXT(WEEKDAY(DATE(AnnéeCalendrier,12,7),1),"jjj")</f>
        <v>jeu</v>
      </c>
      <c r="J5" s="1" t="str">
        <f>TEXT(WEEKDAY(DATE(AnnéeCalendrier,12,8),1),"jjj")</f>
        <v>ven</v>
      </c>
      <c r="K5" s="1" t="str">
        <f>TEXT(WEEKDAY(DATE(AnnéeCalendrier,12,9),1),"jjj")</f>
        <v>sam</v>
      </c>
      <c r="L5" s="1" t="str">
        <f>TEXT(WEEKDAY(DATE(AnnéeCalendrier,12,10),1),"jjj")</f>
        <v>dim</v>
      </c>
      <c r="M5" s="1" t="str">
        <f>TEXT(WEEKDAY(DATE(AnnéeCalendrier,12,11),1),"jjj")</f>
        <v>lun</v>
      </c>
      <c r="N5" s="1" t="str">
        <f>TEXT(WEEKDAY(DATE(AnnéeCalendrier,12,12),1),"jjj")</f>
        <v>mar</v>
      </c>
      <c r="O5" s="1" t="str">
        <f>TEXT(WEEKDAY(DATE(AnnéeCalendrier,12,13),1),"jjj")</f>
        <v>mer</v>
      </c>
      <c r="P5" s="1" t="str">
        <f>TEXT(WEEKDAY(DATE(AnnéeCalendrier,12,14),1),"jjj")</f>
        <v>jeu</v>
      </c>
      <c r="Q5" s="1" t="str">
        <f>TEXT(WEEKDAY(DATE(AnnéeCalendrier,12,15),1),"jjj")</f>
        <v>ven</v>
      </c>
      <c r="R5" s="1" t="str">
        <f>TEXT(WEEKDAY(DATE(AnnéeCalendrier,12,16),1),"jjj")</f>
        <v>sam</v>
      </c>
      <c r="S5" s="1" t="str">
        <f>TEXT(WEEKDAY(DATE(AnnéeCalendrier,12,17),1),"jjj")</f>
        <v>dim</v>
      </c>
      <c r="T5" s="1" t="str">
        <f>TEXT(WEEKDAY(DATE(AnnéeCalendrier,12,18),1),"jjj")</f>
        <v>lun</v>
      </c>
      <c r="U5" s="1" t="str">
        <f>TEXT(WEEKDAY(DATE(AnnéeCalendrier,12,19),1),"jjj")</f>
        <v>mar</v>
      </c>
      <c r="V5" s="1" t="str">
        <f>TEXT(WEEKDAY(DATE(AnnéeCalendrier,12,20),1),"jjj")</f>
        <v>mer</v>
      </c>
      <c r="W5" s="1" t="str">
        <f>TEXT(WEEKDAY(DATE(AnnéeCalendrier,12,21),1),"jjj")</f>
        <v>jeu</v>
      </c>
      <c r="X5" s="1" t="str">
        <f>TEXT(WEEKDAY(DATE(AnnéeCalendrier,12,22),1),"jjj")</f>
        <v>ven</v>
      </c>
      <c r="Y5" s="1" t="str">
        <f>TEXT(WEEKDAY(DATE(AnnéeCalendrier,12,23),1),"jjj")</f>
        <v>sam</v>
      </c>
      <c r="Z5" s="1" t="str">
        <f>TEXT(WEEKDAY(DATE(AnnéeCalendrier,12,24),1),"jjj")</f>
        <v>dim</v>
      </c>
      <c r="AA5" s="1" t="str">
        <f>TEXT(WEEKDAY(DATE(AnnéeCalendrier,12,25),1),"jjj")</f>
        <v>lun</v>
      </c>
      <c r="AB5" s="1" t="str">
        <f>TEXT(WEEKDAY(DATE(AnnéeCalendrier,12,26),1),"jjj")</f>
        <v>mar</v>
      </c>
      <c r="AC5" s="1" t="str">
        <f>TEXT(WEEKDAY(DATE(AnnéeCalendrier,12,27),1),"jjj")</f>
        <v>mer</v>
      </c>
      <c r="AD5" s="1" t="str">
        <f>TEXT(WEEKDAY(DATE(AnnéeCalendrier,12,28),1),"jjj")</f>
        <v>jeu</v>
      </c>
      <c r="AE5" s="1" t="str">
        <f>TEXT(WEEKDAY(DATE(AnnéeCalendrier,12,29),1),"jjj")</f>
        <v>ven</v>
      </c>
      <c r="AF5" s="1" t="str">
        <f>TEXT(WEEKDAY(DATE(AnnéeCalendrier,12,30),1),"jjj")</f>
        <v>sam</v>
      </c>
      <c r="AG5" s="1" t="str">
        <f>TEXT(WEEKDAY(DATE(AnnéeCalendrier,12,31),1),"jjj")</f>
        <v>dim</v>
      </c>
      <c r="AH5" s="9"/>
    </row>
    <row r="6" spans="2:34" ht="15" customHeight="1" x14ac:dyDescent="0.25">
      <c r="B6" s="12" t="s">
        <v>2</v>
      </c>
      <c r="C6" s="1" t="s">
        <v>9</v>
      </c>
      <c r="D6" s="1" t="s">
        <v>11</v>
      </c>
      <c r="E6" s="1" t="s">
        <v>12</v>
      </c>
      <c r="F6" s="1" t="s">
        <v>14</v>
      </c>
      <c r="G6" s="1" t="s">
        <v>16</v>
      </c>
      <c r="H6" s="1" t="s">
        <v>18</v>
      </c>
      <c r="I6" s="1" t="s">
        <v>19</v>
      </c>
      <c r="J6" s="1" t="s">
        <v>20</v>
      </c>
      <c r="K6" s="1" t="s">
        <v>21</v>
      </c>
      <c r="L6" s="1" t="s">
        <v>23</v>
      </c>
      <c r="M6" s="1" t="s">
        <v>24</v>
      </c>
      <c r="N6" s="1" t="s">
        <v>25</v>
      </c>
      <c r="O6" s="1" t="s">
        <v>27</v>
      </c>
      <c r="P6" s="1" t="s">
        <v>28</v>
      </c>
      <c r="Q6" s="1" t="s">
        <v>29</v>
      </c>
      <c r="R6" s="1" t="s">
        <v>30</v>
      </c>
      <c r="S6" s="1" t="s">
        <v>32</v>
      </c>
      <c r="T6" s="1" t="s">
        <v>33</v>
      </c>
      <c r="U6" s="1" t="s">
        <v>34</v>
      </c>
      <c r="V6" s="1" t="s">
        <v>35</v>
      </c>
      <c r="W6" s="1" t="s">
        <v>36</v>
      </c>
      <c r="X6" s="1" t="s">
        <v>37</v>
      </c>
      <c r="Y6" s="1" t="s">
        <v>38</v>
      </c>
      <c r="Z6" s="1" t="s">
        <v>39</v>
      </c>
      <c r="AA6" s="1" t="s">
        <v>40</v>
      </c>
      <c r="AB6" s="1" t="s">
        <v>41</v>
      </c>
      <c r="AC6" s="1" t="s">
        <v>42</v>
      </c>
      <c r="AD6" s="1" t="s">
        <v>43</v>
      </c>
      <c r="AE6" s="1" t="s">
        <v>44</v>
      </c>
      <c r="AF6" s="1" t="s">
        <v>45</v>
      </c>
      <c r="AG6" s="1" t="s">
        <v>46</v>
      </c>
      <c r="AH6" s="13" t="s">
        <v>48</v>
      </c>
    </row>
    <row r="7" spans="2:34" ht="30" customHeight="1" x14ac:dyDescent="0.25">
      <c r="B7" s="7" t="s">
        <v>3</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8">
        <f>COUNTA(Décembre[[#This Row],[1]:[31]])</f>
        <v>0</v>
      </c>
    </row>
    <row r="8" spans="2:34" ht="30" customHeight="1" x14ac:dyDescent="0.25">
      <c r="B8" s="7" t="s">
        <v>4</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8">
        <f>COUNTA(Décembre[[#This Row],[1]:[31]])</f>
        <v>0</v>
      </c>
    </row>
    <row r="9" spans="2:34" ht="30" customHeight="1" x14ac:dyDescent="0.25">
      <c r="B9" s="7" t="s">
        <v>5</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8">
        <f>COUNTA(Décembre[[#This Row],[1]:[31]])</f>
        <v>0</v>
      </c>
    </row>
    <row r="10" spans="2:34" ht="30" customHeight="1" x14ac:dyDescent="0.25">
      <c r="B10" s="7" t="s">
        <v>6</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8">
        <f>COUNTA(Décembre[[#This Row],[1]:[31]])</f>
        <v>0</v>
      </c>
    </row>
    <row r="11" spans="2:34" ht="30" customHeight="1" x14ac:dyDescent="0.25">
      <c r="B11" s="7" t="s">
        <v>7</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8">
        <f>COUNTA(Décembre[[#This Row],[1]:[31]])</f>
        <v>0</v>
      </c>
    </row>
    <row r="12" spans="2:34" ht="30" customHeight="1" x14ac:dyDescent="0.25">
      <c r="B12" s="15" t="str">
        <f>NomMois&amp;" Total"</f>
        <v>Décembre Total</v>
      </c>
      <c r="C12" s="10">
        <f>SUBTOTAL(103,Décembre[1])</f>
        <v>0</v>
      </c>
      <c r="D12" s="10">
        <f>SUBTOTAL(103,Décembre[2])</f>
        <v>0</v>
      </c>
      <c r="E12" s="10">
        <f>SUBTOTAL(103,Décembre[3])</f>
        <v>0</v>
      </c>
      <c r="F12" s="10">
        <f>SUBTOTAL(103,Décembre[4])</f>
        <v>0</v>
      </c>
      <c r="G12" s="10">
        <f>SUBTOTAL(103,Décembre[5])</f>
        <v>0</v>
      </c>
      <c r="H12" s="10">
        <f>SUBTOTAL(103,Décembre[6])</f>
        <v>0</v>
      </c>
      <c r="I12" s="10">
        <f>SUBTOTAL(103,Décembre[7])</f>
        <v>0</v>
      </c>
      <c r="J12" s="10">
        <f>SUBTOTAL(103,Décembre[8])</f>
        <v>0</v>
      </c>
      <c r="K12" s="10">
        <f>SUBTOTAL(103,Décembre[9])</f>
        <v>0</v>
      </c>
      <c r="L12" s="10">
        <f>SUBTOTAL(103,Décembre[10])</f>
        <v>0</v>
      </c>
      <c r="M12" s="10">
        <f>SUBTOTAL(103,Décembre[11])</f>
        <v>0</v>
      </c>
      <c r="N12" s="10">
        <f>SUBTOTAL(103,Décembre[12])</f>
        <v>0</v>
      </c>
      <c r="O12" s="10">
        <f>SUBTOTAL(103,Décembre[13])</f>
        <v>0</v>
      </c>
      <c r="P12" s="10">
        <f>SUBTOTAL(103,Décembre[14])</f>
        <v>0</v>
      </c>
      <c r="Q12" s="10">
        <f>SUBTOTAL(103,Décembre[15])</f>
        <v>0</v>
      </c>
      <c r="R12" s="10">
        <f>SUBTOTAL(103,Décembre[16])</f>
        <v>0</v>
      </c>
      <c r="S12" s="10">
        <f>SUBTOTAL(103,Décembre[17])</f>
        <v>0</v>
      </c>
      <c r="T12" s="10">
        <f>SUBTOTAL(103,Décembre[18])</f>
        <v>0</v>
      </c>
      <c r="U12" s="10">
        <f>SUBTOTAL(103,Décembre[19])</f>
        <v>0</v>
      </c>
      <c r="V12" s="10">
        <f>SUBTOTAL(103,Décembre[20])</f>
        <v>0</v>
      </c>
      <c r="W12" s="10">
        <f>SUBTOTAL(103,Décembre[21])</f>
        <v>0</v>
      </c>
      <c r="X12" s="10">
        <f>SUBTOTAL(103,Décembre[22])</f>
        <v>0</v>
      </c>
      <c r="Y12" s="10">
        <f>SUBTOTAL(103,Décembre[23])</f>
        <v>0</v>
      </c>
      <c r="Z12" s="10">
        <f>SUBTOTAL(103,Décembre[24])</f>
        <v>0</v>
      </c>
      <c r="AA12" s="10">
        <f>SUBTOTAL(103,Décembre[25])</f>
        <v>0</v>
      </c>
      <c r="AB12" s="10">
        <f>SUBTOTAL(103,Décembre[26])</f>
        <v>0</v>
      </c>
      <c r="AC12" s="10">
        <f>SUBTOTAL(103,Décembre[27])</f>
        <v>0</v>
      </c>
      <c r="AD12" s="10">
        <f>SUBTOTAL(103,Décembre[28])</f>
        <v>0</v>
      </c>
      <c r="AE12" s="10">
        <f>SUBTOTAL(103,Décembre[29])</f>
        <v>0</v>
      </c>
      <c r="AF12" s="10">
        <f>SUBTOTAL(103,Décembre[30])</f>
        <v>0</v>
      </c>
      <c r="AG12" s="10">
        <f>SUBTOTAL(103,Décembre[31])</f>
        <v>0</v>
      </c>
      <c r="AH12" s="10">
        <f>SUBTOTAL(109,Décembre[Total des jours])</f>
        <v>0</v>
      </c>
    </row>
  </sheetData>
  <mergeCells count="6">
    <mergeCell ref="B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 priority="2" stopIfTrue="1">
      <formula>C7=CléPersonnalisée2</formula>
    </cfRule>
    <cfRule type="expression" dxfId="3" priority="3" stopIfTrue="1">
      <formula>C7=CléPersonnalisée1</formula>
    </cfRule>
    <cfRule type="expression" dxfId="2" priority="4" stopIfTrue="1">
      <formula>C7=CléMaladie</formula>
    </cfRule>
    <cfRule type="expression" dxfId="1" priority="5" stopIfTrue="1">
      <formula>C7=CléPersonnel</formula>
    </cfRule>
    <cfRule type="expression" dxfId="0" priority="6" stopIfTrue="1">
      <formula>C7=CléJournée</formula>
    </cfRule>
  </conditionalFormatting>
  <conditionalFormatting sqref="AH7:AH11">
    <cfRule type="dataBar" priority="30">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5">
    <dataValidation allowBlank="1" showInputMessage="1" showErrorMessage="1" prompt="Année mise à jour automatiquement en fonction de l’année entrée dans la feuille de calcul Janvier" sqref="AH4" xr:uid="{00000000-0002-0000-0B00-000000000000}"/>
    <dataValidation allowBlank="1" showInputMessage="1" showErrorMessage="1" prompt="Calcule automatiquement le nombre total de jours d’absence d’un employé durant ce mois dans cette colonne" sqref="AH6" xr:uid="{00000000-0002-0000-0B00-000001000000}"/>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B00-000003000000}"/>
    <dataValidation allowBlank="1" showInputMessage="1" showErrorMessage="1" prompt="Le titre mis à jour automatiquement figure dans cette cellule. Pour modifier le titre, mettez à jour la cellule B1 de la feuille de calcul Janvier" sqref="B1" xr:uid="{00000000-0002-0000-0B00-000004000000}"/>
    <dataValidation allowBlank="1" showInputMessage="1" showErrorMessage="1" prompt="La lettre « C » indique une absence pour cause de congé" sqref="C2" xr:uid="{00000000-0002-0000-0B00-000005000000}"/>
    <dataValidation allowBlank="1" showInputMessage="1" showErrorMessage="1" prompt="La lettre « P » indique une absence pour motifs personnels" sqref="F2" xr:uid="{00000000-0002-0000-0B00-000006000000}"/>
    <dataValidation allowBlank="1" showInputMessage="1" showErrorMessage="1" prompt="La lettre « M » indique une absence pour cause de maladie" sqref="J2" xr:uid="{00000000-0002-0000-0B00-000007000000}"/>
    <dataValidation allowBlank="1" showInputMessage="1" showErrorMessage="1" prompt="Entrez une lettre et personnalisez l’étiquette à droite pour ajouter un élément de clé" sqref="M2 R2" xr:uid="{00000000-0002-0000-0B00-000008000000}"/>
    <dataValidation allowBlank="1" showInputMessage="1" showErrorMessage="1" prompt="Entrez une étiquette pour décrire la clé personnalisée à gauche" sqref="N2 S2" xr:uid="{00000000-0002-0000-0B00-000009000000}"/>
    <dataValidation allowBlank="1" showInputMessage="1" showErrorMessage="1" prompt="Cette ligne définit les clés utilisées dans le tableau : Congé en C2, Personnel en F2 et Congé maladie en J2. Les cellules M2 et R2 sont personnalisables" sqref="B2" xr:uid="{00000000-0002-0000-0B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B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B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D000000}"/>
    <dataValidation type="list" allowBlank="1" showInputMessage="1" showErrorMessage="1" sqref="B7:B11" xr:uid="{00000000-0002-0000-0B00-00000E000000}">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2C5DBE00-CCB7-488D-8A5F-1DBE11F6BDD7}">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emplate>TM03987167</Template>
  <Application>Microsoft Excel</Application>
  <DocSecurity>0</DocSecurity>
  <ScaleCrop>false</ScaleCrop>
  <HeadingPairs>
    <vt:vector size="4" baseType="variant">
      <vt:variant>
        <vt:lpstr>Feuilles de calcul</vt:lpstr>
      </vt:variant>
      <vt:variant>
        <vt:i4>12</vt:i4>
      </vt:variant>
      <vt:variant>
        <vt:lpstr>Plages nommées</vt:lpstr>
      </vt:variant>
      <vt:variant>
        <vt:i4>51</vt:i4>
      </vt:variant>
    </vt:vector>
  </HeadingPairs>
  <TitlesOfParts>
    <vt:vector size="63" baseType="lpstr">
      <vt:lpstr>Janvier</vt:lpstr>
      <vt:lpstr>Février</vt:lpstr>
      <vt:lpstr>Mars</vt:lpstr>
      <vt:lpstr>Avril</vt:lpstr>
      <vt:lpstr>Mai</vt:lpstr>
      <vt:lpstr>Juin</vt:lpstr>
      <vt:lpstr>Juillet</vt:lpstr>
      <vt:lpstr>Août</vt:lpstr>
      <vt:lpstr>Septembre</vt:lpstr>
      <vt:lpstr>Octobre</vt:lpstr>
      <vt:lpstr>Novembre</vt:lpstr>
      <vt:lpstr>Décembre</vt:lpstr>
      <vt:lpstr>AnnéeCalendrier</vt:lpstr>
      <vt:lpstr>CléJ</vt:lpstr>
      <vt:lpstr>CléJournée</vt:lpstr>
      <vt:lpstr>CléMaladie</vt:lpstr>
      <vt:lpstr>CléPersonnalisée1</vt:lpstr>
      <vt:lpstr>CléPersonnalisée2</vt:lpstr>
      <vt:lpstr>CléPersonnel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J</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Kevin CONNAN</dc:creator>
  <cp:lastModifiedBy>Claude BRENA</cp:lastModifiedBy>
  <dcterms:created xsi:type="dcterms:W3CDTF">2016-12-06T04:52:27Z</dcterms:created>
  <dcterms:modified xsi:type="dcterms:W3CDTF">2023-03-02T13:00:33Z</dcterms:modified>
</cp:coreProperties>
</file>