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V:\KEVIN\X CHANGEMENTS\"/>
    </mc:Choice>
  </mc:AlternateContent>
  <xr:revisionPtr revIDLastSave="0" documentId="13_ncr:1_{9DE79A3E-039D-4287-9B96-5D6721F3E7A5}" xr6:coauthVersionLast="47" xr6:coauthVersionMax="47" xr10:uidLastSave="{00000000-0000-0000-0000-000000000000}"/>
  <bookViews>
    <workbookView xWindow="-108" yWindow="-108" windowWidth="23256" windowHeight="14016" tabRatio="686" xr2:uid="{00000000-000D-0000-FFFF-FFFF00000000}"/>
  </bookViews>
  <sheets>
    <sheet name="Janvier" sheetId="4" r:id="rId1"/>
    <sheet name="Février" sheetId="5" r:id="rId2"/>
    <sheet name="Mars" sheetId="17" r:id="rId3"/>
    <sheet name="Avril" sheetId="18" r:id="rId4"/>
    <sheet name="Mai" sheetId="19" r:id="rId5"/>
    <sheet name="Juin" sheetId="20" r:id="rId6"/>
    <sheet name="Juillet" sheetId="21" r:id="rId7"/>
    <sheet name="Août" sheetId="22" r:id="rId8"/>
    <sheet name="Septembre" sheetId="23" r:id="rId9"/>
    <sheet name="Octobre" sheetId="24" r:id="rId10"/>
    <sheet name="Novembre" sheetId="25" r:id="rId11"/>
    <sheet name="Décembre" sheetId="15" r:id="rId12"/>
    <sheet name="Noms des employés" sheetId="16" r:id="rId13"/>
  </sheets>
  <definedNames>
    <definedName name="AnnéeCalendrier">Janvier!$AG$4</definedName>
    <definedName name="CléCongé">Janvier!$E$2</definedName>
    <definedName name="CléMaladie">Janvier!$P$2</definedName>
    <definedName name="CléPersonnalisée1">Janvier!$U$2</definedName>
    <definedName name="CléPersonnalisée2">Janvier!$Z$2</definedName>
    <definedName name="CléPersonnel">Janvier!$J$2</definedName>
    <definedName name="ÉtiquetteCléCongé">Janvier!$F$2</definedName>
    <definedName name="ÉtiquetteCléMaladie">Janvier!$Q$2</definedName>
    <definedName name="ÉtiquetteCléPersonnalisée1">Janvier!$V$2</definedName>
    <definedName name="ÉtiquetteCléPersonnalisée2">Janvier!$AA$2</definedName>
    <definedName name="ÉtiquetteCléPersonnel">Janvier!$K$2</definedName>
    <definedName name="_xlnm.Print_Titles" localSheetId="7">Août!$4:$6</definedName>
    <definedName name="_xlnm.Print_Titles" localSheetId="3">Avril!$4:$6</definedName>
    <definedName name="_xlnm.Print_Titles" localSheetId="11">Décembre!$4:$6</definedName>
    <definedName name="_xlnm.Print_Titles" localSheetId="1">Février!$4:$6</definedName>
    <definedName name="_xlnm.Print_Titles" localSheetId="0">Janvier!$4:$6</definedName>
    <definedName name="_xlnm.Print_Titles" localSheetId="6">Juillet!$4:$6</definedName>
    <definedName name="_xlnm.Print_Titles" localSheetId="5">Juin!$4:$6</definedName>
    <definedName name="_xlnm.Print_Titles" localSheetId="4">Mai!$4:$6</definedName>
    <definedName name="_xlnm.Print_Titles" localSheetId="2">Mars!$4:$6</definedName>
    <definedName name="_xlnm.Print_Titles" localSheetId="10">Novembre!$4:$6</definedName>
    <definedName name="_xlnm.Print_Titles" localSheetId="9">Octobre!$4:$6</definedName>
    <definedName name="_xlnm.Print_Titles" localSheetId="8">Septembre!$4:$6</definedName>
    <definedName name="Nom_clé">Janvier!$A$2</definedName>
    <definedName name="NomMois" localSheetId="7">Août!$B$4</definedName>
    <definedName name="NomMois" localSheetId="3">Avril!$B$4</definedName>
    <definedName name="NomMois" localSheetId="11">Décembre!$B$4</definedName>
    <definedName name="NomMois" localSheetId="1">Février!$B$4</definedName>
    <definedName name="NomMois" localSheetId="0">Janvier!$A$4</definedName>
    <definedName name="NomMois" localSheetId="6">Juillet!$B$4</definedName>
    <definedName name="NomMois" localSheetId="5">Juin!$B$4</definedName>
    <definedName name="NomMois" localSheetId="4">Mai!$B$4</definedName>
    <definedName name="NomMois" localSheetId="2">Mars!$B$4</definedName>
    <definedName name="NomMois" localSheetId="10">Novembre!$B$4</definedName>
    <definedName name="NomMois" localSheetId="9">Octobre!$B$4</definedName>
    <definedName name="NomMois" localSheetId="8">Septembre!$B$4</definedName>
    <definedName name="Titre_Absence_Employé">Janvier!$A$1</definedName>
    <definedName name="Titre1">Janvier[[#Headers],[Nom / Prénom ]]</definedName>
    <definedName name="Titre10">Octobre[[#Headers],[Nom de l’employé]]</definedName>
    <definedName name="Titre11">Novembre[[#Headers],[Nom de l’employé]]</definedName>
    <definedName name="Titre12">Décembre[[#Headers],[Nom de l’employé]]</definedName>
    <definedName name="Titre2">Février[[#Headers],[Nom de l’employé]]</definedName>
    <definedName name="Titre3">Mars[[#Headers],[Nom de l’employé]]</definedName>
    <definedName name="Titre4">Avril[[#Headers],[Nom de l’employé]]</definedName>
    <definedName name="Titre5">Mai[[#Headers],[Nom de l’employé]]</definedName>
    <definedName name="Titre6">Juin[[#Headers],[Nom de l’employé]]</definedName>
    <definedName name="Titre7">Juillet[[#Headers],[Nom de l’employé]]</definedName>
    <definedName name="Titre8">Août[[#Headers],[Nom de l’employé]]</definedName>
    <definedName name="Titre9">Septembre[[#Headers],[Nom de l’employé]]</definedName>
    <definedName name="TitreColonne13">NomEmployé[[#Headers],[Noms des employés]]</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H7" i="4" l="1" a="1"/>
  <c r="AH7" i="4" s="1"/>
  <c r="AH8" i="4" a="1"/>
  <c r="AH8" i="4" s="1"/>
  <c r="AH9" i="4" a="1"/>
  <c r="AH9" i="4" s="1"/>
  <c r="AH10" i="4" a="1"/>
  <c r="AH10" i="4" s="1"/>
  <c r="AH11" i="4" a="1"/>
  <c r="AH11" i="4" s="1"/>
  <c r="AH12" i="4" a="1"/>
  <c r="AH12" i="4" s="1"/>
  <c r="AH13" i="4" a="1"/>
  <c r="AH13" i="4" s="1"/>
  <c r="AH14" i="4" a="1"/>
  <c r="AH14" i="4" s="1"/>
  <c r="AH15" i="4" a="1"/>
  <c r="AH15" i="4" s="1"/>
  <c r="AH16" i="4" a="1"/>
  <c r="AH16" i="4" s="1"/>
  <c r="AH17" i="4" a="1"/>
  <c r="AH17" i="4" s="1"/>
  <c r="AH18" i="4" a="1"/>
  <c r="AH18" i="4" s="1"/>
  <c r="AH19" i="4" a="1"/>
  <c r="AH19" i="4" s="1"/>
  <c r="AH20" i="4" a="1"/>
  <c r="AH20" i="4" s="1"/>
  <c r="AH21" i="4" a="1"/>
  <c r="AH21" i="4" s="1"/>
  <c r="AH22" i="4" a="1"/>
  <c r="AH22" i="4" s="1"/>
  <c r="AH23" i="4" a="1"/>
  <c r="AH23" i="4" s="1"/>
  <c r="AH24" i="4" a="1"/>
  <c r="AH24" i="4" s="1"/>
  <c r="AH25" i="4" a="1"/>
  <c r="AH25" i="4" s="1"/>
  <c r="AH26" i="4" a="1"/>
  <c r="AH26" i="4" s="1"/>
  <c r="AH27" i="4" a="1"/>
  <c r="AH27" i="4" s="1"/>
  <c r="AH28" i="4" a="1"/>
  <c r="AH28" i="4" s="1"/>
  <c r="AH29" i="4" a="1"/>
  <c r="AH29" i="4" s="1"/>
  <c r="AH30" i="4" a="1"/>
  <c r="AH30" i="4" s="1"/>
  <c r="AH31" i="4" a="1"/>
  <c r="AH31" i="4" s="1"/>
  <c r="AH32" i="4" a="1"/>
  <c r="AH32" i="4" s="1"/>
  <c r="AH33" i="4" a="1"/>
  <c r="AH33" i="4" s="1"/>
  <c r="AH34" i="4" a="1"/>
  <c r="AH34" i="4" s="1"/>
  <c r="AH35" i="4" a="1"/>
  <c r="AH35" i="4" s="1"/>
  <c r="AH36" i="4" a="1"/>
  <c r="AH36" i="4" s="1"/>
  <c r="AH37" i="4" a="1"/>
  <c r="AH37" i="4" s="1"/>
  <c r="AH38" i="4" a="1"/>
  <c r="AH38" i="4" s="1"/>
  <c r="AH39" i="4" a="1"/>
  <c r="AH39" i="4" s="1"/>
  <c r="AH40" i="4" a="1"/>
  <c r="AH40" i="4" s="1"/>
  <c r="AH41" i="4" a="1"/>
  <c r="AH41" i="4" s="1"/>
  <c r="AH42" i="4" a="1"/>
  <c r="AH42" i="4" s="1"/>
  <c r="AH43" i="4" a="1"/>
  <c r="AH43" i="4" s="1"/>
  <c r="AH44" i="4" a="1"/>
  <c r="AH44" i="4" s="1"/>
  <c r="AH45" i="4" a="1"/>
  <c r="AH45" i="4" s="1"/>
  <c r="AH46" i="4" a="1"/>
  <c r="AH46" i="4" s="1"/>
  <c r="AH47" i="4" a="1"/>
  <c r="AH47" i="4" s="1"/>
  <c r="AH48" i="4" a="1"/>
  <c r="AH48" i="4" s="1"/>
  <c r="AH49" i="4" a="1"/>
  <c r="AH49" i="4" s="1"/>
  <c r="AH50" i="4" a="1"/>
  <c r="AH50" i="4" s="1"/>
  <c r="AH51" i="4" a="1"/>
  <c r="AH51" i="4" s="1"/>
  <c r="AH52" i="4" a="1"/>
  <c r="AH52" i="4" s="1"/>
  <c r="AH53" i="4" a="1"/>
  <c r="AH53" i="4" s="1"/>
  <c r="AH54" i="4" a="1"/>
  <c r="AH54" i="4" s="1"/>
  <c r="AH55" i="4" a="1"/>
  <c r="AH55" i="4" s="1"/>
  <c r="AH56" i="4" a="1"/>
  <c r="AH56" i="4" s="1"/>
  <c r="AH57" i="4" a="1"/>
  <c r="AH57" i="4" s="1"/>
  <c r="AH58" i="4" a="1"/>
  <c r="AH58" i="4" s="1"/>
  <c r="AH59" i="4" a="1"/>
  <c r="AH59" i="4" s="1"/>
  <c r="AH60" i="4" a="1"/>
  <c r="AH60" i="4" s="1"/>
  <c r="AH61" i="4" a="1"/>
  <c r="AH61" i="4" s="1"/>
  <c r="AH62" i="4" a="1"/>
  <c r="AH62" i="4" s="1"/>
  <c r="AH63" i="4" a="1"/>
  <c r="AH63" i="4" s="1"/>
  <c r="AH64" i="4" a="1"/>
  <c r="AH64" i="4" s="1"/>
  <c r="AH65" i="4" a="1"/>
  <c r="AH65" i="4" s="1"/>
  <c r="AH66" i="4" a="1"/>
  <c r="AH66" i="4" s="1"/>
  <c r="AH67" i="4" a="1"/>
  <c r="AH67" i="4" s="1"/>
  <c r="AH68" i="4" a="1"/>
  <c r="AH68" i="4" s="1"/>
  <c r="AH69" i="4" a="1"/>
  <c r="AH69" i="4" s="1"/>
  <c r="AH70" i="4" a="1"/>
  <c r="AH70" i="4" s="1"/>
  <c r="AH71" i="4" a="1"/>
  <c r="AH71" i="4" s="1"/>
  <c r="AH72" i="4" a="1"/>
  <c r="AH72" i="4" s="1"/>
  <c r="AH73" i="4" a="1"/>
  <c r="AH73" i="4" s="1"/>
  <c r="AH74" i="4" a="1"/>
  <c r="AH74" i="4" s="1"/>
  <c r="AH75" i="4" a="1"/>
  <c r="AH75" i="4" s="1"/>
  <c r="AH76" i="4" a="1"/>
  <c r="AH76" i="4" s="1"/>
  <c r="AH77" i="4" a="1"/>
  <c r="AH77" i="4" s="1"/>
  <c r="AH78" i="4" a="1"/>
  <c r="AH78" i="4" s="1"/>
  <c r="AH79" i="4" a="1"/>
  <c r="AH79" i="4" s="1"/>
  <c r="AH80" i="4" a="1"/>
  <c r="AH80" i="4" s="1"/>
  <c r="AH81" i="4" a="1"/>
  <c r="AH81" i="4" s="1"/>
  <c r="AH82" i="4" a="1"/>
  <c r="AH82" i="4" s="1"/>
  <c r="AH83" i="4" a="1"/>
  <c r="AH83" i="4" s="1"/>
  <c r="AH84" i="4" a="1"/>
  <c r="AH84" i="4" s="1"/>
  <c r="AH85" i="4" a="1"/>
  <c r="AH85" i="4" s="1"/>
  <c r="AH86" i="4" a="1"/>
  <c r="AH86" i="4" s="1"/>
  <c r="AH87" i="4" a="1"/>
  <c r="AH87" i="4" s="1"/>
  <c r="AH88" i="4" a="1"/>
  <c r="AH88" i="4" s="1"/>
  <c r="AH89" i="4" a="1"/>
  <c r="AH89" i="4" s="1"/>
  <c r="AH90" i="4" a="1"/>
  <c r="AH90" i="4" s="1"/>
  <c r="AH91" i="4" a="1"/>
  <c r="AH91" i="4" s="1"/>
  <c r="AH92" i="4" a="1"/>
  <c r="AH92" i="4" s="1"/>
  <c r="AH93" i="4" a="1"/>
  <c r="AH93" i="4" s="1"/>
  <c r="AH94" i="4" a="1"/>
  <c r="AH94" i="4" s="1"/>
  <c r="AH95" i="4" a="1"/>
  <c r="AH95" i="4" s="1"/>
  <c r="AH96" i="4" a="1"/>
  <c r="AH96" i="4" s="1"/>
  <c r="AH97" i="4" a="1"/>
  <c r="AH97" i="4" s="1"/>
  <c r="AH98" i="4" a="1"/>
  <c r="AH98" i="4" s="1"/>
  <c r="AH99" i="4" a="1"/>
  <c r="AH99" i="4" s="1"/>
  <c r="AH100" i="4" a="1"/>
  <c r="AH100" i="4" s="1"/>
  <c r="AH101" i="4" a="1"/>
  <c r="AH101" i="4" s="1"/>
  <c r="AG7" i="4" a="1"/>
  <c r="AG7" i="4" s="1"/>
  <c r="AG8" i="4" a="1"/>
  <c r="AG8" i="4" s="1"/>
  <c r="AG9" i="4" a="1"/>
  <c r="AG9" i="4" s="1"/>
  <c r="AG10" i="4" a="1"/>
  <c r="AG10" i="4" s="1"/>
  <c r="AG11" i="4" a="1"/>
  <c r="AG11" i="4" s="1"/>
  <c r="AG12" i="4" a="1"/>
  <c r="AG12" i="4" s="1"/>
  <c r="AG13" i="4" a="1"/>
  <c r="AG13" i="4" s="1"/>
  <c r="AG14" i="4" a="1"/>
  <c r="AG14" i="4" s="1"/>
  <c r="AG15" i="4" a="1"/>
  <c r="AG15" i="4" s="1"/>
  <c r="AG16" i="4" a="1"/>
  <c r="AG16" i="4" s="1"/>
  <c r="AG17" i="4" a="1"/>
  <c r="AG17" i="4" s="1"/>
  <c r="AG18" i="4" a="1"/>
  <c r="AG18" i="4" s="1"/>
  <c r="AG19" i="4" a="1"/>
  <c r="AG19" i="4" s="1"/>
  <c r="AG20" i="4" a="1"/>
  <c r="AG20" i="4" s="1"/>
  <c r="AG21" i="4" a="1"/>
  <c r="AG21" i="4" s="1"/>
  <c r="AG22" i="4" a="1"/>
  <c r="AG22" i="4" s="1"/>
  <c r="AG23" i="4" a="1"/>
  <c r="AG23" i="4" s="1"/>
  <c r="AG24" i="4" a="1"/>
  <c r="AG24" i="4" s="1"/>
  <c r="AG25" i="4" a="1"/>
  <c r="AG25" i="4" s="1"/>
  <c r="AG26" i="4" a="1"/>
  <c r="AG26" i="4" s="1"/>
  <c r="AG27" i="4" a="1"/>
  <c r="AG27" i="4" s="1"/>
  <c r="AG28" i="4" a="1"/>
  <c r="AG28" i="4" s="1"/>
  <c r="AG29" i="4" a="1"/>
  <c r="AG29" i="4" s="1"/>
  <c r="AG30" i="4" a="1"/>
  <c r="AG30" i="4" s="1"/>
  <c r="AG31" i="4" a="1"/>
  <c r="AG31" i="4" s="1"/>
  <c r="AG32" i="4" a="1"/>
  <c r="AG32" i="4" s="1"/>
  <c r="AG33" i="4" a="1"/>
  <c r="AG33" i="4" s="1"/>
  <c r="AG34" i="4" a="1"/>
  <c r="AG34" i="4" s="1"/>
  <c r="AG35" i="4" a="1"/>
  <c r="AG35" i="4" s="1"/>
  <c r="AG36" i="4" a="1"/>
  <c r="AG36" i="4" s="1"/>
  <c r="AG37" i="4" a="1"/>
  <c r="AG37" i="4" s="1"/>
  <c r="AG38" i="4" a="1"/>
  <c r="AG38" i="4" s="1"/>
  <c r="AG39" i="4" a="1"/>
  <c r="AG39" i="4" s="1"/>
  <c r="AG40" i="4" a="1"/>
  <c r="AG40" i="4" s="1"/>
  <c r="AG41" i="4" a="1"/>
  <c r="AG41" i="4" s="1"/>
  <c r="AG42" i="4" a="1"/>
  <c r="AG42" i="4" s="1"/>
  <c r="AG43" i="4" a="1"/>
  <c r="AG43" i="4" s="1"/>
  <c r="AG44" i="4" a="1"/>
  <c r="AG44" i="4" s="1"/>
  <c r="AG45" i="4" a="1"/>
  <c r="AG45" i="4" s="1"/>
  <c r="AG46" i="4" a="1"/>
  <c r="AG46" i="4" s="1"/>
  <c r="AG47" i="4" a="1"/>
  <c r="AG47" i="4" s="1"/>
  <c r="AG48" i="4" a="1"/>
  <c r="AG48" i="4" s="1"/>
  <c r="AG49" i="4" a="1"/>
  <c r="AG49" i="4" s="1"/>
  <c r="AG50" i="4" a="1"/>
  <c r="AG50" i="4" s="1"/>
  <c r="AG51" i="4" a="1"/>
  <c r="AG51" i="4" s="1"/>
  <c r="AG52" i="4" a="1"/>
  <c r="AG52" i="4" s="1"/>
  <c r="AG53" i="4" a="1"/>
  <c r="AG53" i="4" s="1"/>
  <c r="AG54" i="4" a="1"/>
  <c r="AG54" i="4" s="1"/>
  <c r="AG55" i="4" a="1"/>
  <c r="AG55" i="4" s="1"/>
  <c r="AG56" i="4" a="1"/>
  <c r="AG56" i="4" s="1"/>
  <c r="AG57" i="4" a="1"/>
  <c r="AG57" i="4" s="1"/>
  <c r="AG58" i="4" a="1"/>
  <c r="AG58" i="4" s="1"/>
  <c r="AG59" i="4" a="1"/>
  <c r="AG59" i="4" s="1"/>
  <c r="AG60" i="4" a="1"/>
  <c r="AG60" i="4" s="1"/>
  <c r="AG61" i="4" a="1"/>
  <c r="AG61" i="4" s="1"/>
  <c r="AG62" i="4" a="1"/>
  <c r="AG62" i="4" s="1"/>
  <c r="AG63" i="4" a="1"/>
  <c r="AG63" i="4" s="1"/>
  <c r="AG64" i="4" a="1"/>
  <c r="AG64" i="4" s="1"/>
  <c r="AG65" i="4" a="1"/>
  <c r="AG65" i="4" s="1"/>
  <c r="AG66" i="4" a="1"/>
  <c r="AG66" i="4" s="1"/>
  <c r="AG67" i="4" a="1"/>
  <c r="AG67" i="4" s="1"/>
  <c r="AG68" i="4" a="1"/>
  <c r="AG68" i="4" s="1"/>
  <c r="AG69" i="4" a="1"/>
  <c r="AG69" i="4" s="1"/>
  <c r="AG70" i="4" a="1"/>
  <c r="AG70" i="4" s="1"/>
  <c r="AG71" i="4" a="1"/>
  <c r="AG71" i="4" s="1"/>
  <c r="AG72" i="4" a="1"/>
  <c r="AG72" i="4" s="1"/>
  <c r="AG73" i="4" a="1"/>
  <c r="AG73" i="4" s="1"/>
  <c r="AG74" i="4" a="1"/>
  <c r="AG74" i="4" s="1"/>
  <c r="AG75" i="4" a="1"/>
  <c r="AG75" i="4" s="1"/>
  <c r="AG76" i="4" a="1"/>
  <c r="AG76" i="4" s="1"/>
  <c r="AG77" i="4" a="1"/>
  <c r="AG77" i="4" s="1"/>
  <c r="AG78" i="4" a="1"/>
  <c r="AG78" i="4" s="1"/>
  <c r="AG79" i="4" a="1"/>
  <c r="AG79" i="4" s="1"/>
  <c r="AG80" i="4" a="1"/>
  <c r="AG80" i="4" s="1"/>
  <c r="AG81" i="4" a="1"/>
  <c r="AG81" i="4" s="1"/>
  <c r="AG82" i="4" a="1"/>
  <c r="AG82" i="4" s="1"/>
  <c r="AG83" i="4" a="1"/>
  <c r="AG83" i="4" s="1"/>
  <c r="AG84" i="4" a="1"/>
  <c r="AG84" i="4" s="1"/>
  <c r="AG85" i="4" a="1"/>
  <c r="AG85" i="4" s="1"/>
  <c r="AG86" i="4" a="1"/>
  <c r="AG86" i="4" s="1"/>
  <c r="AG87" i="4" a="1"/>
  <c r="AG87" i="4" s="1"/>
  <c r="AG88" i="4" a="1"/>
  <c r="AG88" i="4" s="1"/>
  <c r="AG89" i="4" a="1"/>
  <c r="AG89" i="4" s="1"/>
  <c r="AG90" i="4" a="1"/>
  <c r="AG90" i="4" s="1"/>
  <c r="AG91" i="4" a="1"/>
  <c r="AG91" i="4" s="1"/>
  <c r="AG92" i="4" a="1"/>
  <c r="AG92" i="4" s="1"/>
  <c r="AG93" i="4" a="1"/>
  <c r="AG93" i="4" s="1"/>
  <c r="AG94" i="4" a="1"/>
  <c r="AG94" i="4" s="1"/>
  <c r="AG95" i="4" a="1"/>
  <c r="AG95" i="4" s="1"/>
  <c r="AG96" i="4" a="1"/>
  <c r="AG96" i="4" s="1"/>
  <c r="AG97" i="4" a="1"/>
  <c r="AG97" i="4" s="1"/>
  <c r="AG98" i="4" a="1"/>
  <c r="AG98" i="4" s="1"/>
  <c r="AG99" i="4" a="1"/>
  <c r="AG99" i="4" s="1"/>
  <c r="AG100" i="4" a="1"/>
  <c r="AG100" i="4" s="1"/>
  <c r="AG101" i="4" a="1"/>
  <c r="AG101" i="4" s="1"/>
  <c r="AI14" i="4" a="1"/>
  <c r="AI14" i="4"/>
  <c r="AI15" i="4" a="1"/>
  <c r="AI15" i="4" s="1"/>
  <c r="AI16" i="4" a="1"/>
  <c r="AI16" i="4" s="1"/>
  <c r="AI17" i="4" a="1"/>
  <c r="AI17" i="4"/>
  <c r="AI18" i="4" a="1"/>
  <c r="AI18" i="4" s="1"/>
  <c r="AI19" i="4" a="1"/>
  <c r="AI19" i="4"/>
  <c r="AI20" i="4" a="1"/>
  <c r="AI20" i="4"/>
  <c r="AI21" i="4" a="1"/>
  <c r="AI21" i="4" s="1"/>
  <c r="AI22" i="4" a="1"/>
  <c r="AI22" i="4" s="1"/>
  <c r="AI23" i="4" a="1"/>
  <c r="AI23" i="4"/>
  <c r="AI24" i="4" a="1"/>
  <c r="AI24" i="4" s="1"/>
  <c r="AI25" i="4" a="1"/>
  <c r="AI25" i="4"/>
  <c r="AI26" i="4" a="1"/>
  <c r="AI26" i="4"/>
  <c r="AI27" i="4" a="1"/>
  <c r="AI27" i="4" s="1"/>
  <c r="AI28" i="4" a="1"/>
  <c r="AI28" i="4" s="1"/>
  <c r="AI29" i="4" a="1"/>
  <c r="AI29" i="4"/>
  <c r="AI30" i="4" a="1"/>
  <c r="AI30" i="4" s="1"/>
  <c r="AI31" i="4" a="1"/>
  <c r="AI31" i="4"/>
  <c r="AI32" i="4" a="1"/>
  <c r="AI32" i="4"/>
  <c r="AI33" i="4" a="1"/>
  <c r="AI33" i="4" s="1"/>
  <c r="AI34" i="4" a="1"/>
  <c r="AI34" i="4" s="1"/>
  <c r="AI35" i="4" a="1"/>
  <c r="AI35" i="4"/>
  <c r="AI36" i="4" a="1"/>
  <c r="AI36" i="4" s="1"/>
  <c r="AI37" i="4" a="1"/>
  <c r="AI37" i="4"/>
  <c r="AI38" i="4" a="1"/>
  <c r="AI38" i="4"/>
  <c r="AI39" i="4" a="1"/>
  <c r="AI39" i="4" s="1"/>
  <c r="AI40" i="4" a="1"/>
  <c r="AI40" i="4" s="1"/>
  <c r="AI41" i="4" a="1"/>
  <c r="AI41" i="4"/>
  <c r="AI42" i="4" a="1"/>
  <c r="AI42" i="4" s="1"/>
  <c r="AI43" i="4" a="1"/>
  <c r="AI43" i="4"/>
  <c r="AI44" i="4" a="1"/>
  <c r="AI44" i="4"/>
  <c r="AI45" i="4" a="1"/>
  <c r="AI45" i="4" s="1"/>
  <c r="AI46" i="4" a="1"/>
  <c r="AI46" i="4" s="1"/>
  <c r="AI47" i="4" a="1"/>
  <c r="AI47" i="4"/>
  <c r="AI48" i="4" a="1"/>
  <c r="AI48" i="4" s="1"/>
  <c r="AI49" i="4" a="1"/>
  <c r="AI49" i="4"/>
  <c r="AI50" i="4" a="1"/>
  <c r="AI50" i="4"/>
  <c r="AI51" i="4" a="1"/>
  <c r="AI51" i="4" s="1"/>
  <c r="AI52" i="4" a="1"/>
  <c r="AI52" i="4" s="1"/>
  <c r="AI53" i="4" a="1"/>
  <c r="AI53" i="4"/>
  <c r="AI54" i="4" a="1"/>
  <c r="AI54" i="4" s="1"/>
  <c r="AI55" i="4" a="1"/>
  <c r="AI55" i="4"/>
  <c r="AI56" i="4" a="1"/>
  <c r="AI56" i="4"/>
  <c r="AI57" i="4" a="1"/>
  <c r="AI57" i="4" s="1"/>
  <c r="AI58" i="4" a="1"/>
  <c r="AI58" i="4" s="1"/>
  <c r="AI59" i="4" a="1"/>
  <c r="AI59" i="4"/>
  <c r="AI60" i="4" a="1"/>
  <c r="AI60" i="4" s="1"/>
  <c r="AI61" i="4" a="1"/>
  <c r="AI61" i="4"/>
  <c r="AI62" i="4" a="1"/>
  <c r="AI62" i="4"/>
  <c r="AI63" i="4" a="1"/>
  <c r="AI63" i="4" s="1"/>
  <c r="AI64" i="4" a="1"/>
  <c r="AI64" i="4" s="1"/>
  <c r="AI65" i="4" a="1"/>
  <c r="AI65" i="4"/>
  <c r="AI66" i="4" a="1"/>
  <c r="AI66" i="4" s="1"/>
  <c r="AI67" i="4" a="1"/>
  <c r="AI67" i="4"/>
  <c r="AI68" i="4" a="1"/>
  <c r="AI68" i="4"/>
  <c r="AI69" i="4" a="1"/>
  <c r="AI69" i="4" s="1"/>
  <c r="AI70" i="4" a="1"/>
  <c r="AI70" i="4" s="1"/>
  <c r="AI71" i="4" a="1"/>
  <c r="AI71" i="4"/>
  <c r="AI72" i="4" a="1"/>
  <c r="AI72" i="4" s="1"/>
  <c r="AI73" i="4" a="1"/>
  <c r="AI73" i="4"/>
  <c r="AI74" i="4" a="1"/>
  <c r="AI74" i="4"/>
  <c r="AI75" i="4" a="1"/>
  <c r="AI75" i="4" s="1"/>
  <c r="AI76" i="4" a="1"/>
  <c r="AI76" i="4" s="1"/>
  <c r="AI77" i="4" a="1"/>
  <c r="AI77" i="4"/>
  <c r="AI78" i="4" a="1"/>
  <c r="AI78" i="4" s="1"/>
  <c r="AI79" i="4" a="1"/>
  <c r="AI79" i="4"/>
  <c r="AI80" i="4" a="1"/>
  <c r="AI80" i="4"/>
  <c r="AI81" i="4" a="1"/>
  <c r="AI81" i="4" s="1"/>
  <c r="AI82" i="4" a="1"/>
  <c r="AI82" i="4" s="1"/>
  <c r="AI83" i="4" a="1"/>
  <c r="AI83" i="4" s="1"/>
  <c r="AI84" i="4" a="1"/>
  <c r="AI84" i="4" s="1"/>
  <c r="AI85" i="4" a="1"/>
  <c r="AI85" i="4"/>
  <c r="AI86" i="4" a="1"/>
  <c r="AI86" i="4" s="1"/>
  <c r="AI87" i="4" a="1"/>
  <c r="AI87" i="4" s="1"/>
  <c r="AI88" i="4" a="1"/>
  <c r="AI88" i="4" s="1"/>
  <c r="AI89" i="4" a="1"/>
  <c r="AI89" i="4" s="1"/>
  <c r="AI90" i="4" a="1"/>
  <c r="AI90" i="4" s="1"/>
  <c r="AI91" i="4" a="1"/>
  <c r="AI91" i="4"/>
  <c r="AI92" i="4" a="1"/>
  <c r="AI92" i="4" s="1"/>
  <c r="AI93" i="4" a="1"/>
  <c r="AI93" i="4" s="1"/>
  <c r="AI94" i="4" a="1"/>
  <c r="AI94" i="4" s="1"/>
  <c r="AI95" i="4" a="1"/>
  <c r="AI95" i="4" s="1"/>
  <c r="AI96" i="4" a="1"/>
  <c r="AI96" i="4" s="1"/>
  <c r="AI97" i="4" a="1"/>
  <c r="AI97" i="4"/>
  <c r="AI98" i="4" a="1"/>
  <c r="AI98" i="4" s="1"/>
  <c r="AI99" i="4" a="1"/>
  <c r="AI99" i="4" s="1"/>
  <c r="AI100" i="4" a="1"/>
  <c r="AI100" i="4" s="1"/>
  <c r="AI101" i="4" a="1"/>
  <c r="AI101" i="4" s="1"/>
  <c r="AI12" i="4" a="1"/>
  <c r="AI12" i="4"/>
  <c r="AI13" i="4" a="1"/>
  <c r="AI13" i="4" s="1"/>
  <c r="AI8" i="4" a="1"/>
  <c r="AI8" i="4" s="1"/>
  <c r="AI9" i="4" a="1"/>
  <c r="AI9" i="4" s="1"/>
  <c r="AI10" i="4" a="1"/>
  <c r="AI10" i="4" s="1"/>
  <c r="AI11" i="4" a="1"/>
  <c r="AI11" i="4" s="1"/>
  <c r="AH12" i="15"/>
  <c r="AG12" i="15"/>
  <c r="AF12" i="15"/>
  <c r="AE12" i="15"/>
  <c r="AD12" i="15"/>
  <c r="AC12" i="15"/>
  <c r="AB12" i="15"/>
  <c r="AA12" i="15"/>
  <c r="Z12" i="15"/>
  <c r="Y12" i="15"/>
  <c r="X12" i="15"/>
  <c r="W12" i="15"/>
  <c r="V12" i="15"/>
  <c r="U12" i="15"/>
  <c r="T12" i="15"/>
  <c r="S12" i="15"/>
  <c r="R12" i="15"/>
  <c r="Q12" i="15"/>
  <c r="P12" i="15"/>
  <c r="O12" i="15"/>
  <c r="N12" i="15"/>
  <c r="M12" i="15"/>
  <c r="L12" i="15"/>
  <c r="K12" i="15"/>
  <c r="J12" i="15"/>
  <c r="I12" i="15"/>
  <c r="H12" i="15"/>
  <c r="G12" i="15"/>
  <c r="F12" i="15"/>
  <c r="E12" i="15"/>
  <c r="D12" i="15"/>
  <c r="C12" i="15"/>
  <c r="B12" i="15"/>
  <c r="AH11" i="15"/>
  <c r="AH10" i="15"/>
  <c r="AH9" i="15"/>
  <c r="AH8" i="15"/>
  <c r="AH7" i="15"/>
  <c r="AG5" i="15"/>
  <c r="AF5" i="15"/>
  <c r="AE5" i="15"/>
  <c r="AD5" i="15"/>
  <c r="AC5" i="15"/>
  <c r="AB5" i="15"/>
  <c r="AA5" i="15"/>
  <c r="Z5" i="15"/>
  <c r="Y5" i="15"/>
  <c r="X5" i="15"/>
  <c r="W5" i="15"/>
  <c r="V5" i="15"/>
  <c r="U5" i="15"/>
  <c r="T5" i="15"/>
  <c r="S5" i="15"/>
  <c r="R5" i="15"/>
  <c r="Q5" i="15"/>
  <c r="P5" i="15"/>
  <c r="O5" i="15"/>
  <c r="N5" i="15"/>
  <c r="M5" i="15"/>
  <c r="L5" i="15"/>
  <c r="K5" i="15"/>
  <c r="J5" i="15"/>
  <c r="I5" i="15"/>
  <c r="H5" i="15"/>
  <c r="G5" i="15"/>
  <c r="F5" i="15"/>
  <c r="E5" i="15"/>
  <c r="D5" i="15"/>
  <c r="C5" i="15"/>
  <c r="AH4" i="15"/>
  <c r="B1" i="15"/>
  <c r="AH12" i="25"/>
  <c r="AG12" i="25"/>
  <c r="AF12" i="25"/>
  <c r="AE12" i="25"/>
  <c r="AD12" i="25"/>
  <c r="AC12" i="25"/>
  <c r="AB12" i="25"/>
  <c r="AA12" i="25"/>
  <c r="Z12" i="25"/>
  <c r="Y12" i="25"/>
  <c r="X12" i="25"/>
  <c r="W12" i="25"/>
  <c r="V12" i="25"/>
  <c r="U12" i="25"/>
  <c r="T12" i="25"/>
  <c r="S12" i="25"/>
  <c r="R12" i="25"/>
  <c r="Q12" i="25"/>
  <c r="P12" i="25"/>
  <c r="O12" i="25"/>
  <c r="N12" i="25"/>
  <c r="M12" i="25"/>
  <c r="L12" i="25"/>
  <c r="K12" i="25"/>
  <c r="J12" i="25"/>
  <c r="I12" i="25"/>
  <c r="H12" i="25"/>
  <c r="G12" i="25"/>
  <c r="F12" i="25"/>
  <c r="E12" i="25"/>
  <c r="D12" i="25"/>
  <c r="C12" i="25"/>
  <c r="B12" i="25"/>
  <c r="AH11" i="25"/>
  <c r="AH10" i="25"/>
  <c r="AH9" i="25"/>
  <c r="AH8" i="25"/>
  <c r="AH7" i="25"/>
  <c r="AF5" i="25"/>
  <c r="AE5" i="25"/>
  <c r="AD5" i="25"/>
  <c r="AC5" i="25"/>
  <c r="AB5" i="25"/>
  <c r="AA5" i="25"/>
  <c r="Z5" i="25"/>
  <c r="Y5" i="25"/>
  <c r="X5" i="25"/>
  <c r="W5" i="25"/>
  <c r="V5" i="25"/>
  <c r="U5" i="25"/>
  <c r="T5" i="25"/>
  <c r="S5" i="25"/>
  <c r="R5" i="25"/>
  <c r="Q5" i="25"/>
  <c r="P5" i="25"/>
  <c r="O5" i="25"/>
  <c r="N5" i="25"/>
  <c r="M5" i="25"/>
  <c r="L5" i="25"/>
  <c r="K5" i="25"/>
  <c r="J5" i="25"/>
  <c r="I5" i="25"/>
  <c r="H5" i="25"/>
  <c r="G5" i="25"/>
  <c r="F5" i="25"/>
  <c r="E5" i="25"/>
  <c r="D5" i="25"/>
  <c r="C5" i="25"/>
  <c r="AH4" i="25"/>
  <c r="B1" i="25"/>
  <c r="AH12" i="24"/>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F12" i="24"/>
  <c r="E12" i="24"/>
  <c r="D12" i="24"/>
  <c r="C12" i="24"/>
  <c r="B12" i="24"/>
  <c r="AH11" i="24"/>
  <c r="AH10" i="24"/>
  <c r="AH9" i="24"/>
  <c r="AH8" i="24"/>
  <c r="AH7" i="24"/>
  <c r="AG5" i="24"/>
  <c r="AF5" i="24"/>
  <c r="AE5" i="24"/>
  <c r="AD5" i="24"/>
  <c r="AC5" i="24"/>
  <c r="AB5" i="24"/>
  <c r="AA5" i="24"/>
  <c r="Z5" i="24"/>
  <c r="Y5" i="24"/>
  <c r="X5" i="24"/>
  <c r="W5" i="24"/>
  <c r="V5" i="24"/>
  <c r="U5" i="24"/>
  <c r="T5" i="24"/>
  <c r="S5" i="24"/>
  <c r="R5" i="24"/>
  <c r="Q5" i="24"/>
  <c r="P5" i="24"/>
  <c r="O5" i="24"/>
  <c r="N5" i="24"/>
  <c r="M5" i="24"/>
  <c r="L5" i="24"/>
  <c r="K5" i="24"/>
  <c r="J5" i="24"/>
  <c r="I5" i="24"/>
  <c r="H5" i="24"/>
  <c r="G5" i="24"/>
  <c r="F5" i="24"/>
  <c r="E5" i="24"/>
  <c r="D5" i="24"/>
  <c r="C5" i="24"/>
  <c r="AH4" i="24"/>
  <c r="B1" i="24"/>
  <c r="AH12" i="23"/>
  <c r="AG12" i="23"/>
  <c r="AF12" i="23"/>
  <c r="AE12" i="23"/>
  <c r="AD12" i="23"/>
  <c r="AC12" i="23"/>
  <c r="AB12" i="23"/>
  <c r="AA12" i="23"/>
  <c r="Z12" i="23"/>
  <c r="Y12" i="23"/>
  <c r="X12" i="23"/>
  <c r="W12" i="23"/>
  <c r="V12" i="23"/>
  <c r="U12" i="23"/>
  <c r="T12" i="23"/>
  <c r="S12" i="23"/>
  <c r="R12" i="23"/>
  <c r="Q12" i="23"/>
  <c r="P12" i="23"/>
  <c r="O12" i="23"/>
  <c r="N12" i="23"/>
  <c r="M12" i="23"/>
  <c r="L12" i="23"/>
  <c r="K12" i="23"/>
  <c r="J12" i="23"/>
  <c r="I12" i="23"/>
  <c r="H12" i="23"/>
  <c r="G12" i="23"/>
  <c r="F12" i="23"/>
  <c r="E12" i="23"/>
  <c r="D12" i="23"/>
  <c r="C12" i="23"/>
  <c r="B12" i="23"/>
  <c r="AH11" i="23"/>
  <c r="AH10" i="23"/>
  <c r="AH9" i="23"/>
  <c r="AH8" i="23"/>
  <c r="AH7" i="23"/>
  <c r="AF5" i="23"/>
  <c r="AE5" i="23"/>
  <c r="AD5" i="23"/>
  <c r="AC5" i="23"/>
  <c r="AB5" i="23"/>
  <c r="AA5" i="23"/>
  <c r="Z5" i="23"/>
  <c r="Y5" i="23"/>
  <c r="X5" i="23"/>
  <c r="W5" i="23"/>
  <c r="V5" i="23"/>
  <c r="U5" i="23"/>
  <c r="T5" i="23"/>
  <c r="S5" i="23"/>
  <c r="R5" i="23"/>
  <c r="Q5" i="23"/>
  <c r="P5" i="23"/>
  <c r="O5" i="23"/>
  <c r="N5" i="23"/>
  <c r="M5" i="23"/>
  <c r="L5" i="23"/>
  <c r="K5" i="23"/>
  <c r="J5" i="23"/>
  <c r="I5" i="23"/>
  <c r="H5" i="23"/>
  <c r="G5" i="23"/>
  <c r="F5" i="23"/>
  <c r="E5" i="23"/>
  <c r="D5" i="23"/>
  <c r="C5" i="23"/>
  <c r="AH4" i="23"/>
  <c r="B1" i="23"/>
  <c r="AH12" i="22"/>
  <c r="AG12" i="22"/>
  <c r="AF12" i="22"/>
  <c r="AE12" i="22"/>
  <c r="AD12" i="22"/>
  <c r="AC12" i="22"/>
  <c r="AB12" i="22"/>
  <c r="AA12" i="22"/>
  <c r="Z12" i="22"/>
  <c r="Y12" i="22"/>
  <c r="X12" i="22"/>
  <c r="W12" i="22"/>
  <c r="V12" i="22"/>
  <c r="U12" i="22"/>
  <c r="T12" i="22"/>
  <c r="S12" i="22"/>
  <c r="R12" i="22"/>
  <c r="Q12" i="22"/>
  <c r="P12" i="22"/>
  <c r="O12" i="22"/>
  <c r="N12" i="22"/>
  <c r="M12" i="22"/>
  <c r="L12" i="22"/>
  <c r="K12" i="22"/>
  <c r="J12" i="22"/>
  <c r="I12" i="22"/>
  <c r="H12" i="22"/>
  <c r="G12" i="22"/>
  <c r="F12" i="22"/>
  <c r="E12" i="22"/>
  <c r="D12" i="22"/>
  <c r="C12" i="22"/>
  <c r="B12" i="22"/>
  <c r="AH11" i="22"/>
  <c r="AH10" i="22"/>
  <c r="AH9" i="22"/>
  <c r="AH8" i="22"/>
  <c r="AH7" i="22"/>
  <c r="AG5" i="22"/>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C5" i="22"/>
  <c r="AH4" i="22"/>
  <c r="B1" i="22"/>
  <c r="AH12" i="21"/>
  <c r="AG12" i="21"/>
  <c r="AF12" i="21"/>
  <c r="AE12" i="21"/>
  <c r="AD12" i="21"/>
  <c r="AC12" i="21"/>
  <c r="AB12" i="21"/>
  <c r="AA12" i="21"/>
  <c r="Z12" i="21"/>
  <c r="Y12" i="21"/>
  <c r="X12" i="21"/>
  <c r="W12" i="21"/>
  <c r="V12" i="21"/>
  <c r="U12" i="21"/>
  <c r="T12" i="21"/>
  <c r="S12" i="21"/>
  <c r="R12" i="21"/>
  <c r="Q12" i="21"/>
  <c r="P12" i="21"/>
  <c r="O12" i="21"/>
  <c r="N12" i="21"/>
  <c r="M12" i="21"/>
  <c r="L12" i="21"/>
  <c r="K12" i="21"/>
  <c r="J12" i="21"/>
  <c r="I12" i="21"/>
  <c r="H12" i="21"/>
  <c r="G12" i="21"/>
  <c r="F12" i="21"/>
  <c r="E12" i="21"/>
  <c r="D12" i="21"/>
  <c r="C12" i="21"/>
  <c r="B12" i="21"/>
  <c r="AH11" i="21"/>
  <c r="AH10" i="21"/>
  <c r="AH9" i="21"/>
  <c r="AH8" i="21"/>
  <c r="AH7" i="21"/>
  <c r="AG5" i="21"/>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AH4" i="21"/>
  <c r="B1" i="21"/>
  <c r="AH12" i="20"/>
  <c r="AG12" i="20"/>
  <c r="AF12" i="20"/>
  <c r="AE12" i="20"/>
  <c r="AD12" i="20"/>
  <c r="AC12" i="20"/>
  <c r="AB12" i="20"/>
  <c r="AA12" i="20"/>
  <c r="Z12" i="20"/>
  <c r="Y12" i="20"/>
  <c r="X12" i="20"/>
  <c r="W12" i="20"/>
  <c r="V12" i="20"/>
  <c r="U12" i="20"/>
  <c r="T12" i="20"/>
  <c r="S12" i="20"/>
  <c r="R12" i="20"/>
  <c r="Q12" i="20"/>
  <c r="P12" i="20"/>
  <c r="O12" i="20"/>
  <c r="N12" i="20"/>
  <c r="M12" i="20"/>
  <c r="L12" i="20"/>
  <c r="K12" i="20"/>
  <c r="J12" i="20"/>
  <c r="I12" i="20"/>
  <c r="H12" i="20"/>
  <c r="G12" i="20"/>
  <c r="F12" i="20"/>
  <c r="E12" i="20"/>
  <c r="D12" i="20"/>
  <c r="C12" i="20"/>
  <c r="B12" i="20"/>
  <c r="AH11" i="20"/>
  <c r="AH10" i="20"/>
  <c r="AH9" i="20"/>
  <c r="AH8" i="20"/>
  <c r="AH7" i="20"/>
  <c r="AF5" i="20"/>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AH4" i="20"/>
  <c r="B1" i="20"/>
  <c r="AH12" i="19"/>
  <c r="AG12" i="19"/>
  <c r="AF12" i="19"/>
  <c r="AE12" i="19"/>
  <c r="AD12" i="19"/>
  <c r="AC12" i="19"/>
  <c r="AB12" i="19"/>
  <c r="AA12" i="19"/>
  <c r="Z12" i="19"/>
  <c r="Y12" i="19"/>
  <c r="X12" i="19"/>
  <c r="W12" i="19"/>
  <c r="V12" i="19"/>
  <c r="U12" i="19"/>
  <c r="T12" i="19"/>
  <c r="S12" i="19"/>
  <c r="R12" i="19"/>
  <c r="Q12" i="19"/>
  <c r="P12" i="19"/>
  <c r="O12" i="19"/>
  <c r="N12" i="19"/>
  <c r="M12" i="19"/>
  <c r="L12" i="19"/>
  <c r="K12" i="19"/>
  <c r="J12" i="19"/>
  <c r="I12" i="19"/>
  <c r="H12" i="19"/>
  <c r="G12" i="19"/>
  <c r="F12" i="19"/>
  <c r="E12" i="19"/>
  <c r="D12" i="19"/>
  <c r="C12" i="19"/>
  <c r="B12" i="19"/>
  <c r="AH11" i="19"/>
  <c r="AH10" i="19"/>
  <c r="AH9" i="19"/>
  <c r="AH8" i="19"/>
  <c r="AH7" i="19"/>
  <c r="AG5" i="19"/>
  <c r="AF5" i="19"/>
  <c r="AE5" i="19"/>
  <c r="AD5" i="19"/>
  <c r="AC5" i="19"/>
  <c r="AB5" i="19"/>
  <c r="AA5" i="19"/>
  <c r="Z5" i="19"/>
  <c r="Y5" i="19"/>
  <c r="X5" i="19"/>
  <c r="W5" i="19"/>
  <c r="V5" i="19"/>
  <c r="U5" i="19"/>
  <c r="T5" i="19"/>
  <c r="S5" i="19"/>
  <c r="R5" i="19"/>
  <c r="Q5" i="19"/>
  <c r="P5" i="19"/>
  <c r="O5" i="19"/>
  <c r="N5" i="19"/>
  <c r="M5" i="19"/>
  <c r="L5" i="19"/>
  <c r="K5" i="19"/>
  <c r="J5" i="19"/>
  <c r="I5" i="19"/>
  <c r="H5" i="19"/>
  <c r="G5" i="19"/>
  <c r="F5" i="19"/>
  <c r="E5" i="19"/>
  <c r="D5" i="19"/>
  <c r="C5" i="19"/>
  <c r="AH4" i="19"/>
  <c r="B1" i="19"/>
  <c r="AH12" i="18"/>
  <c r="AG12" i="18"/>
  <c r="AF12" i="18"/>
  <c r="AE12" i="18"/>
  <c r="AD12" i="18"/>
  <c r="AC12" i="18"/>
  <c r="AB12" i="18"/>
  <c r="AA12" i="18"/>
  <c r="Z12" i="18"/>
  <c r="Y12" i="18"/>
  <c r="X12" i="18"/>
  <c r="W12" i="18"/>
  <c r="V12" i="18"/>
  <c r="U12" i="18"/>
  <c r="T12" i="18"/>
  <c r="S12" i="18"/>
  <c r="R12" i="18"/>
  <c r="Q12" i="18"/>
  <c r="P12" i="18"/>
  <c r="O12" i="18"/>
  <c r="N12" i="18"/>
  <c r="M12" i="18"/>
  <c r="L12" i="18"/>
  <c r="K12" i="18"/>
  <c r="J12" i="18"/>
  <c r="I12" i="18"/>
  <c r="H12" i="18"/>
  <c r="G12" i="18"/>
  <c r="F12" i="18"/>
  <c r="E12" i="18"/>
  <c r="D12" i="18"/>
  <c r="C12" i="18"/>
  <c r="B12" i="18"/>
  <c r="AH11" i="18"/>
  <c r="AH10" i="18"/>
  <c r="AH9" i="18"/>
  <c r="AH8" i="18"/>
  <c r="AH7" i="18"/>
  <c r="AF5" i="18"/>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AH4" i="18"/>
  <c r="B1" i="18"/>
  <c r="AH12" i="17"/>
  <c r="AG12" i="17"/>
  <c r="AF12" i="17"/>
  <c r="AE12" i="17"/>
  <c r="AD12" i="17"/>
  <c r="AC12" i="17"/>
  <c r="AB12" i="17"/>
  <c r="AA12" i="17"/>
  <c r="Z12" i="17"/>
  <c r="Y12" i="17"/>
  <c r="X12" i="17"/>
  <c r="W12" i="17"/>
  <c r="V12" i="17"/>
  <c r="U12" i="17"/>
  <c r="T12" i="17"/>
  <c r="S12" i="17"/>
  <c r="R12" i="17"/>
  <c r="Q12" i="17"/>
  <c r="P12" i="17"/>
  <c r="O12" i="17"/>
  <c r="N12" i="17"/>
  <c r="M12" i="17"/>
  <c r="L12" i="17"/>
  <c r="K12" i="17"/>
  <c r="J12" i="17"/>
  <c r="I12" i="17"/>
  <c r="H12" i="17"/>
  <c r="G12" i="17"/>
  <c r="F12" i="17"/>
  <c r="E12" i="17"/>
  <c r="D12" i="17"/>
  <c r="C12" i="17"/>
  <c r="B12" i="17"/>
  <c r="AH11" i="17"/>
  <c r="AH10" i="17"/>
  <c r="AH9" i="17"/>
  <c r="AH8" i="17"/>
  <c r="AH7" i="17"/>
  <c r="AG5" i="17"/>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AH4" i="17"/>
  <c r="B1" i="17"/>
  <c r="AH12" i="5"/>
  <c r="AE12" i="5"/>
  <c r="AD12" i="5"/>
  <c r="AC12" i="5"/>
  <c r="AB12" i="5"/>
  <c r="AA12" i="5"/>
  <c r="Z12" i="5"/>
  <c r="Y12" i="5"/>
  <c r="X12" i="5"/>
  <c r="W12" i="5"/>
  <c r="V12" i="5"/>
  <c r="U12" i="5"/>
  <c r="T12" i="5"/>
  <c r="S12" i="5"/>
  <c r="R12" i="5"/>
  <c r="Q12" i="5"/>
  <c r="P12" i="5"/>
  <c r="O12" i="5"/>
  <c r="N12" i="5"/>
  <c r="M12" i="5"/>
  <c r="L12" i="5"/>
  <c r="K12" i="5"/>
  <c r="J12" i="5"/>
  <c r="I12" i="5"/>
  <c r="H12" i="5"/>
  <c r="G12" i="5"/>
  <c r="F12" i="5"/>
  <c r="E12" i="5"/>
  <c r="D12" i="5"/>
  <c r="C12" i="5"/>
  <c r="B12" i="5"/>
  <c r="AH11" i="5"/>
  <c r="AH10" i="5"/>
  <c r="AH9" i="5"/>
  <c r="AH8" i="5"/>
  <c r="AH7" i="5"/>
  <c r="AE5" i="5"/>
  <c r="AD5" i="5"/>
  <c r="AC5" i="5"/>
  <c r="AB5" i="5"/>
  <c r="AA5" i="5"/>
  <c r="Z5" i="5"/>
  <c r="Y5" i="5"/>
  <c r="X5" i="5"/>
  <c r="W5" i="5"/>
  <c r="V5" i="5"/>
  <c r="U5" i="5"/>
  <c r="T5" i="5"/>
  <c r="S5" i="5"/>
  <c r="R5" i="5"/>
  <c r="Q5" i="5"/>
  <c r="P5" i="5"/>
  <c r="O5" i="5"/>
  <c r="N5" i="5"/>
  <c r="M5" i="5"/>
  <c r="L5" i="5"/>
  <c r="K5" i="5"/>
  <c r="J5" i="5"/>
  <c r="I5" i="5"/>
  <c r="H5" i="5"/>
  <c r="G5" i="5"/>
  <c r="F5" i="5"/>
  <c r="E5" i="5"/>
  <c r="D5" i="5"/>
  <c r="C5" i="5"/>
  <c r="AH4" i="5"/>
  <c r="B1" i="5"/>
  <c r="AF5" i="4"/>
  <c r="AE5" i="4"/>
  <c r="AD5" i="4"/>
  <c r="AC5" i="4"/>
  <c r="AB5" i="4"/>
  <c r="AA5" i="4"/>
  <c r="Z5" i="4"/>
  <c r="Y5" i="4"/>
  <c r="X5" i="4"/>
  <c r="W5" i="4"/>
  <c r="V5" i="4"/>
  <c r="U5" i="4"/>
  <c r="T5" i="4"/>
  <c r="S5" i="4"/>
  <c r="R5" i="4"/>
  <c r="Q5" i="4"/>
  <c r="P5" i="4"/>
  <c r="O5" i="4"/>
  <c r="N5" i="4"/>
  <c r="M5" i="4"/>
  <c r="L5" i="4"/>
  <c r="K5" i="4"/>
  <c r="J5" i="4"/>
  <c r="I5" i="4"/>
  <c r="H5" i="4"/>
  <c r="G5" i="4"/>
  <c r="F5" i="4"/>
  <c r="E5" i="4"/>
  <c r="D5" i="4"/>
  <c r="C5" i="4"/>
  <c r="B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<sst xmlns="http://schemas.openxmlformats.org/spreadsheetml/2006/main" count="620" uniqueCount="84">
  <si>
    <t>Clé de motif d’absence</t>
  </si>
  <si>
    <t>Janvier</t>
  </si>
  <si>
    <t>Nom de l’employé</t>
  </si>
  <si>
    <t>Employé 1</t>
  </si>
  <si>
    <t>Employé 2</t>
  </si>
  <si>
    <t>Employé 3</t>
  </si>
  <si>
    <t>Employé 4</t>
  </si>
  <si>
    <t>Employé 5</t>
  </si>
  <si>
    <t>C</t>
  </si>
  <si>
    <t>1</t>
  </si>
  <si>
    <t>Congé</t>
  </si>
  <si>
    <t>2</t>
  </si>
  <si>
    <t>3</t>
  </si>
  <si>
    <t>P</t>
  </si>
  <si>
    <t>4</t>
  </si>
  <si>
    <t>M</t>
  </si>
  <si>
    <t>5</t>
  </si>
  <si>
    <t>Personnel</t>
  </si>
  <si>
    <t>6</t>
  </si>
  <si>
    <t>7</t>
  </si>
  <si>
    <t>8</t>
  </si>
  <si>
    <t>9</t>
  </si>
  <si>
    <t>Maladie</t>
  </si>
  <si>
    <t>10</t>
  </si>
  <si>
    <t>11</t>
  </si>
  <si>
    <t>12</t>
  </si>
  <si>
    <t>Personnalisé 1</t>
  </si>
  <si>
    <t>13</t>
  </si>
  <si>
    <t>14</t>
  </si>
  <si>
    <t>15</t>
  </si>
  <si>
    <t>16</t>
  </si>
  <si>
    <t>Personnalisé 2</t>
  </si>
  <si>
    <t>17</t>
  </si>
  <si>
    <t>18</t>
  </si>
  <si>
    <t>19</t>
  </si>
  <si>
    <t>20</t>
  </si>
  <si>
    <t>21</t>
  </si>
  <si>
    <t>22</t>
  </si>
  <si>
    <t>23</t>
  </si>
  <si>
    <t>24</t>
  </si>
  <si>
    <t>25</t>
  </si>
  <si>
    <t>26</t>
  </si>
  <si>
    <t>27</t>
  </si>
  <si>
    <t>28</t>
  </si>
  <si>
    <t>29</t>
  </si>
  <si>
    <t>30</t>
  </si>
  <si>
    <t>31</t>
  </si>
  <si>
    <t>Entrez l’année :</t>
  </si>
  <si>
    <t>Total des jours</t>
  </si>
  <si>
    <t>Février</t>
  </si>
  <si>
    <t xml:space="preserve"> </t>
  </si>
  <si>
    <t xml:space="preserve">  </t>
  </si>
  <si>
    <t>Mars</t>
  </si>
  <si>
    <t>Avril</t>
  </si>
  <si>
    <t>Mai</t>
  </si>
  <si>
    <t>Juin</t>
  </si>
  <si>
    <t>Juillet</t>
  </si>
  <si>
    <t>Août</t>
  </si>
  <si>
    <t>Septembre</t>
  </si>
  <si>
    <t>Octobre</t>
  </si>
  <si>
    <t>Novembre</t>
  </si>
  <si>
    <t>Décembre</t>
  </si>
  <si>
    <t>Noms des employés</t>
  </si>
  <si>
    <t>J</t>
  </si>
  <si>
    <t>yuktyu</t>
  </si>
  <si>
    <t>Marie</t>
  </si>
  <si>
    <t>D</t>
  </si>
  <si>
    <t>Journée (sup. 8h)</t>
  </si>
  <si>
    <t>R1</t>
  </si>
  <si>
    <t>Clé de remplissage</t>
  </si>
  <si>
    <t>R2</t>
  </si>
  <si>
    <t>Réunion (sup. 4h)</t>
  </si>
  <si>
    <t>Présences des animateurs de l'accueil de loisirs des mercredis / vacances scolaires</t>
  </si>
  <si>
    <t>Journée animateur adjoint de direction</t>
  </si>
  <si>
    <t>J2</t>
  </si>
  <si>
    <t xml:space="preserve">Nom / Prénom </t>
  </si>
  <si>
    <t>Total</t>
  </si>
  <si>
    <t>Forfaits</t>
  </si>
  <si>
    <t>Demi-journée (max 4h)</t>
  </si>
  <si>
    <t>Réunion (max 4h)</t>
  </si>
  <si>
    <t>Présence</t>
  </si>
  <si>
    <t>Marie JOUIJN</t>
  </si>
  <si>
    <t>Prime demi-journée</t>
  </si>
  <si>
    <t>Prime journée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</si>
</sst>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s>
  <fonts count="24"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1"/>
      <name val="Book Antiqua"/>
      <family val="1"/>
    </font>
    <font>
      <b/>
      <sz val="26"/>
      <color rgb="FF002060"/>
      <name val="Book Antiqua"/>
      <family val="1"/>
    </font>
    <font>
      <b/>
      <sz val="11"/>
      <color theme="1"/>
      <name val="Book Antiqua"/>
      <family val="1"/>
    </font>
    <font>
      <sz val="8"/>
      <name val="Calibri"/>
      <family val="2"/>
      <scheme val="minor"/>
    </font>
    <font>
      <b/>
      <sz val="11"/>
      <color theme="4" tint="-0.24994659260841701"/>
      <name val="Calibri"/>
      <family val="2"/>
      <scheme val="minor"/>
    </font>
  </fonts>
  <fills count="33">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s>
  <borders count="6">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9" fillId="21" borderId="0" applyNumberFormat="0" applyBorder="0" applyAlignment="0" applyProtection="0"/>
    <xf numFmtId="0" fontId="10" fillId="22" borderId="0" applyNumberFormat="0" applyBorder="0" applyAlignment="0" applyProtection="0"/>
    <xf numFmtId="0" fontId="11" fillId="23" borderId="0" applyNumberFormat="0" applyBorder="0" applyAlignment="0" applyProtection="0"/>
    <xf numFmtId="0" fontId="12" fillId="24" borderId="1" applyNumberFormat="0" applyAlignment="0" applyProtection="0"/>
    <xf numFmtId="0" fontId="13" fillId="25" borderId="2" applyNumberFormat="0" applyAlignment="0" applyProtection="0"/>
    <xf numFmtId="0" fontId="14" fillId="25" borderId="1" applyNumberFormat="0" applyAlignment="0" applyProtection="0"/>
    <xf numFmtId="0" fontId="15" fillId="0" borderId="3" applyNumberFormat="0" applyFill="0" applyAlignment="0" applyProtection="0"/>
    <xf numFmtId="0" fontId="16" fillId="26" borderId="4" applyNumberFormat="0" applyAlignment="0" applyProtection="0"/>
    <xf numFmtId="0" fontId="17" fillId="0" borderId="0" applyNumberFormat="0" applyFill="0" applyBorder="0" applyAlignment="0" applyProtection="0"/>
    <xf numFmtId="0" fontId="1" fillId="27" borderId="5" applyNumberFormat="0" applyFont="0" applyAlignment="0" applyProtection="0"/>
    <xf numFmtId="0" fontId="18"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8">
    <xf numFmtId="0" fontId="0" fillId="0" borderId="0" xfId="0">
      <alignment horizontal="left" vertical="center"/>
    </xf>
    <xf numFmtId="0" fontId="1" fillId="0" borderId="0" xfId="26">
      <alignment horizontal="left" vertical="center" wrapText="1" indent="2"/>
    </xf>
    <xf numFmtId="0" fontId="0" fillId="0" borderId="0" xfId="0" applyAlignment="1">
      <alignment horizontal="center" vertical="center"/>
    </xf>
    <xf numFmtId="0" fontId="2" fillId="15" borderId="0" xfId="12" applyAlignment="1" applyProtection="1">
      <alignment horizontal="center" vertical="center"/>
    </xf>
    <xf numFmtId="0" fontId="2" fillId="10" borderId="0" xfId="19" applyAlignment="1" applyProtection="1">
      <alignment horizontal="center" vertical="center"/>
    </xf>
    <xf numFmtId="0" fontId="2" fillId="13" borderId="0" xfId="23" applyAlignment="1" applyProtection="1">
      <alignment horizontal="center" vertical="center"/>
    </xf>
    <xf numFmtId="166" fontId="2" fillId="9" borderId="0" xfId="8" applyNumberFormat="1" applyAlignment="1" applyProtection="1">
      <alignment horizontal="center" vertical="center"/>
    </xf>
    <xf numFmtId="166" fontId="2" fillId="14" borderId="0" xfId="24" applyNumberFormat="1" applyAlignment="1" applyProtection="1">
      <alignment horizontal="center" vertical="center"/>
    </xf>
    <xf numFmtId="0" fontId="1" fillId="0" borderId="0" xfId="26" applyFill="1" applyBorder="1">
      <alignment horizontal="left" vertical="center" wrapText="1" indent="2"/>
    </xf>
    <xf numFmtId="1" fontId="1" fillId="0" borderId="0" xfId="25" applyFill="1" applyBorder="1" applyProtection="1">
      <alignment horizontal="center" vertical="center"/>
    </xf>
    <xf numFmtId="0" fontId="5" fillId="2" borderId="0" xfId="3" applyProtection="1">
      <alignment horizontal="center" vertical="center"/>
    </xf>
    <xf numFmtId="166" fontId="0" fillId="0" borderId="0" xfId="0" applyNumberFormat="1" applyAlignment="1">
      <alignment horizontal="center" vertical="center"/>
    </xf>
    <xf numFmtId="0" fontId="6" fillId="0" borderId="0" xfId="1" applyProtection="1">
      <alignment vertical="top"/>
    </xf>
    <xf numFmtId="0" fontId="1" fillId="2" borderId="0" xfId="21" applyBorder="1" applyAlignment="1" applyProtection="1">
      <alignment horizontal="left" vertical="center" indent="1"/>
    </xf>
    <xf numFmtId="0" fontId="0" fillId="0" borderId="0" xfId="21" applyFont="1" applyFill="1" applyBorder="1" applyAlignment="1" applyProtection="1">
      <alignment horizontal="center" vertical="center"/>
    </xf>
    <xf numFmtId="0" fontId="2" fillId="20" borderId="0" xfId="4" applyProtection="1">
      <alignment horizontal="right" vertical="center" indent="1"/>
    </xf>
    <xf numFmtId="0" fontId="7" fillId="0" borderId="0" xfId="27">
      <alignment horizontal="center"/>
    </xf>
    <xf numFmtId="0" fontId="0" fillId="0" borderId="0" xfId="0" applyAlignment="1">
      <alignment horizontal="left" vertical="center" indent="1"/>
    </xf>
    <xf numFmtId="0" fontId="6" fillId="0" borderId="0" xfId="1">
      <alignment vertical="top"/>
    </xf>
    <xf numFmtId="0" fontId="8" fillId="0" borderId="0" xfId="0" applyFont="1" applyAlignment="1">
      <alignment horizontal="center" vertical="center"/>
    </xf>
    <xf numFmtId="0" fontId="19" fillId="0" borderId="0" xfId="0" applyFont="1">
      <alignment horizontal="left" vertical="center"/>
    </xf>
    <xf numFmtId="0" fontId="20" fillId="0" borderId="0" xfId="1" applyFont="1" applyProtection="1">
      <alignment vertical="top"/>
    </xf>
    <xf numFmtId="0" fontId="21" fillId="15" borderId="0" xfId="12" applyFont="1" applyAlignment="1" applyProtection="1">
      <alignment horizontal="center" vertical="center"/>
    </xf>
    <xf numFmtId="0" fontId="21" fillId="10" borderId="0" xfId="19" applyFont="1" applyAlignment="1" applyProtection="1">
      <alignment horizontal="center" vertical="center"/>
    </xf>
    <xf numFmtId="0" fontId="21" fillId="13" borderId="0" xfId="23" applyFont="1" applyAlignment="1" applyProtection="1">
      <alignment horizontal="center" vertical="center"/>
    </xf>
    <xf numFmtId="166" fontId="21" fillId="9" borderId="0" xfId="8" applyNumberFormat="1" applyFont="1" applyAlignment="1" applyProtection="1">
      <alignment horizontal="center" vertical="center"/>
    </xf>
    <xf numFmtId="166" fontId="21" fillId="14" borderId="0" xfId="24" applyNumberFormat="1" applyFont="1" applyAlignment="1" applyProtection="1">
      <alignment horizontal="center" vertical="center"/>
    </xf>
    <xf numFmtId="0" fontId="19" fillId="0" borderId="0" xfId="0" applyFont="1" applyAlignment="1">
      <alignment horizontal="center" vertical="center"/>
    </xf>
    <xf numFmtId="0" fontId="21" fillId="20" borderId="0" xfId="4" applyFont="1" applyAlignment="1" applyProtection="1">
      <alignment horizontal="center" vertical="center"/>
    </xf>
    <xf numFmtId="1" fontId="19" fillId="0" borderId="0" xfId="25" applyFont="1" applyFill="1" applyBorder="1" applyProtection="1">
      <alignment horizontal="center" vertical="center"/>
    </xf>
    <xf numFmtId="0" fontId="19" fillId="2" borderId="0" xfId="21" applyFont="1" applyBorder="1" applyAlignment="1" applyProtection="1">
      <alignment horizontal="center" vertical="center"/>
    </xf>
    <xf numFmtId="0" fontId="19" fillId="0" borderId="0" xfId="26" applyFont="1" applyFill="1" applyBorder="1" applyAlignment="1">
      <alignment horizontal="center" vertical="center" wrapText="1"/>
    </xf>
    <xf numFmtId="0" fontId="21" fillId="0" borderId="0" xfId="0" applyFont="1" applyAlignment="1">
      <alignment horizontal="center" vertical="center"/>
    </xf>
    <xf numFmtId="0" fontId="23" fillId="2" borderId="0" xfId="3" applyFont="1" applyProtection="1">
      <alignment horizontal="center" vertical="center"/>
    </xf>
    <xf numFmtId="0" fontId="19" fillId="2" borderId="0" xfId="21" applyFont="1" applyAlignment="1" applyProtection="1">
      <alignment horizontal="center" vertical="center"/>
    </xf>
    <xf numFmtId="0" fontId="5" fillId="2" borderId="0" xfId="3" applyProtection="1">
      <alignment horizontal="center" vertical="center"/>
    </xf>
    <xf numFmtId="0" fontId="19" fillId="2" borderId="0" xfId="0" applyFont="1" applyFill="1" applyAlignment="1">
      <alignment horizontal="center" vertical="center"/>
    </xf>
    <xf numFmtId="0" fontId="1" fillId="2" borderId="0" xfId="21" applyAlignment="1" applyProtection="1">
      <alignment horizontal="left" vertical="center"/>
    </xf>
  </cellXfs>
  <cellStyles count="49">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xr:uid="{00000000-0005-0000-0000-000013000000}"/>
    <cellStyle name="Entrée" xfId="36" builtinId="20" customBuiltin="1"/>
    <cellStyle name="Étiquette" xfId="27" xr:uid="{00000000-0005-0000-0000-000018000000}"/>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911">
    <dxf>
      <font>
        <strike val="0"/>
        <outline val="0"/>
        <shadow val="0"/>
        <u val="none"/>
        <vertAlign val="baseline"/>
        <sz val="11"/>
        <color theme="1"/>
        <name val="Book Antiqua"/>
        <family val="1"/>
        <scheme val="none"/>
      </font>
      <numFmt numFmtId="0" formatCode="General"/>
      <protection locked="1" hidden="0"/>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alignment horizontal="left" vertical="center" textRotation="0" wrapText="0" indent="1" justifyLastLine="0" shrinkToFit="0" readingOrder="0"/>
    </dxf>
    <dxf>
      <fill>
        <patternFill patternType="none">
          <fgColor indexed="64"/>
          <bgColor indexed="65"/>
        </patternFill>
      </fill>
      <protection locked="1" hidden="0"/>
    </dxf>
    <dxf>
      <protection locked="1" hidden="0"/>
    </dxf>
    <dxf>
      <protection locked="1" hidden="0"/>
    </dxf>
    <dxf>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0"/>
      </font>
      <border>
        <vertical/>
        <horizontal/>
      </border>
    </dxf>
    <dxf>
      <font>
        <b val="0"/>
        <i val="0"/>
        <color theme="3"/>
      </font>
      <border>
        <vertical/>
        <horizontal/>
      </border>
    </dxf>
    <dxf>
      <font>
        <b val="0"/>
        <i val="0"/>
        <strike val="0"/>
        <condense val="0"/>
        <extend val="0"/>
        <outline val="0"/>
        <shadow val="0"/>
        <u val="none"/>
        <vertAlign val="baseline"/>
        <sz val="11"/>
        <color theme="1"/>
        <name val="Book Antiqua"/>
        <family val="1"/>
        <scheme val="none"/>
      </font>
      <alignment horizontal="center" vertical="center" textRotation="0" wrapText="0" indent="0" justifyLastLine="0" shrinkToFit="0" readingOrder="0"/>
      <protection locked="1" hidden="0"/>
    </dxf>
    <dxf>
      <font>
        <strike val="0"/>
        <outline val="0"/>
        <shadow val="0"/>
        <u val="none"/>
        <vertAlign val="baseline"/>
        <sz val="11"/>
        <color theme="1"/>
        <name val="Book Antiqua"/>
        <family val="1"/>
        <scheme val="none"/>
      </font>
      <numFmt numFmtId="0" formatCode="General"/>
      <protection locked="1" hidden="0"/>
    </dxf>
    <dxf>
      <font>
        <b val="0"/>
        <i val="0"/>
        <strike val="0"/>
        <condense val="0"/>
        <extend val="0"/>
        <outline val="0"/>
        <shadow val="0"/>
        <u val="none"/>
        <vertAlign val="baseline"/>
        <sz val="11"/>
        <color theme="1"/>
        <name val="Book Antiqua"/>
        <family val="1"/>
        <scheme val="none"/>
      </font>
      <alignment horizontal="center" vertical="center" textRotation="0" wrapText="0" indent="0" justifyLastLine="0" shrinkToFit="0" readingOrder="0"/>
      <protection locked="1" hidden="0"/>
    </dxf>
    <dxf>
      <font>
        <strike val="0"/>
        <outline val="0"/>
        <shadow val="0"/>
        <u val="none"/>
        <vertAlign val="baseline"/>
        <sz val="11"/>
        <color theme="1"/>
        <name val="Book Antiqua"/>
        <family val="1"/>
        <scheme val="none"/>
      </font>
      <numFmt numFmtId="1" formatCode="0"/>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b val="0"/>
        <i val="0"/>
        <strike val="0"/>
        <condense val="0"/>
        <extend val="0"/>
        <outline val="0"/>
        <shadow val="0"/>
        <u val="none"/>
        <vertAlign val="baseline"/>
        <sz val="11"/>
        <color theme="1"/>
        <name val="Book Antiqua"/>
        <family val="1"/>
        <scheme val="none"/>
      </font>
      <numFmt numFmtId="166" formatCode="0;0;"/>
      <alignment horizontal="center" vertical="center" textRotation="0" wrapText="0" indent="0" justifyLastLine="0" shrinkToFit="0" readingOrder="0"/>
    </dxf>
    <dxf>
      <font>
        <strike val="0"/>
        <outline val="0"/>
        <shadow val="0"/>
        <u val="none"/>
        <vertAlign val="baseline"/>
        <sz val="11"/>
        <color theme="1"/>
        <name val="Book Antiqua"/>
        <family val="1"/>
        <scheme val="none"/>
      </font>
      <protection locked="1" hidden="0"/>
    </dxf>
    <dxf>
      <font>
        <strike val="0"/>
        <outline val="0"/>
        <shadow val="0"/>
        <u val="none"/>
        <vertAlign val="baseline"/>
        <sz val="11"/>
        <color theme="1"/>
        <name val="Book Antiqua"/>
        <family val="1"/>
        <scheme val="none"/>
      </font>
      <fill>
        <patternFill patternType="none">
          <fgColor indexed="64"/>
          <bgColor indexed="65"/>
        </patternFill>
      </fill>
      <alignment horizontal="center" vertical="center" textRotation="0" indent="0" justifyLastLine="0" shrinkToFit="0" readingOrder="0"/>
    </dxf>
    <dxf>
      <protection locked="1" hidden="0"/>
    </dxf>
    <dxf>
      <protection locked="1" hidden="0"/>
    </dxf>
    <dxf>
      <protection locked="1" hidden="0"/>
    </dxf>
    <dxf>
      <font>
        <b/>
        <i val="0"/>
        <color theme="0"/>
      </font>
      <fill>
        <patternFill>
          <bgColor rgb="FFFF9999"/>
        </patternFill>
      </fill>
    </dxf>
    <dxf>
      <font>
        <b/>
        <i val="0"/>
        <color theme="0"/>
      </font>
      <fill>
        <patternFill>
          <bgColor rgb="FF00B0F0"/>
        </patternFill>
      </fill>
    </dxf>
    <dxf>
      <font>
        <b/>
        <i val="0"/>
        <color theme="0"/>
      </font>
      <fill>
        <patternFill>
          <bgColor rgb="FFFFC000"/>
        </patternFill>
      </fill>
    </dxf>
    <dxf>
      <font>
        <b/>
        <i val="0"/>
        <color theme="0"/>
      </font>
      <fill>
        <patternFill>
          <bgColor rgb="FF33CC33"/>
        </patternFill>
      </fill>
    </dxf>
    <dxf>
      <font>
        <b/>
        <i val="0"/>
        <color theme="0"/>
      </font>
      <fill>
        <patternFill>
          <bgColor rgb="FFCC9900"/>
        </patternFill>
      </fill>
    </dxf>
    <dxf>
      <font>
        <b/>
        <i val="0"/>
        <color theme="0"/>
      </font>
      <fill>
        <patternFill>
          <bgColor rgb="FFFF000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StyleMedium2" defaultPivotStyle="PivotStyleLight16">
    <tableStyle name="Tableau des absences des employés" pivot="0" count="13" xr9:uid="{00000000-0011-0000-FFFF-FFFF00000000}">
      <tableStyleElement type="wholeTable" dxfId="910"/>
      <tableStyleElement type="headerRow" dxfId="909"/>
      <tableStyleElement type="totalRow" dxfId="908"/>
      <tableStyleElement type="firstColumn" dxfId="907"/>
      <tableStyleElement type="lastColumn" dxfId="906"/>
      <tableStyleElement type="firstRowStripe" dxfId="905"/>
      <tableStyleElement type="secondRowStripe" dxfId="904"/>
      <tableStyleElement type="firstColumnStripe" dxfId="903"/>
      <tableStyleElement type="secondColumnStripe" dxfId="902"/>
      <tableStyleElement type="firstHeaderCell" dxfId="901"/>
      <tableStyleElement type="lastHeaderCell" dxfId="900"/>
      <tableStyleElement type="firstTotalCell" dxfId="899"/>
      <tableStyleElement type="lastTotalCell" dxfId="898"/>
    </tableStyle>
  </tableStyles>
  <colors>
    <mruColors>
      <color rgb="FFFF9999"/>
      <color rgb="FF33CCCC"/>
      <color rgb="FFCC9900"/>
      <color rgb="FFFF7C8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A6:AI101" totalsRowShown="0" headerRowDxfId="886" dataDxfId="885" totalsRowDxfId="884">
  <autoFilter ref="A6:AI101"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autoFilter>
  <tableColumns count="35">
    <tableColumn id="1" xr3:uid="{00000000-0010-0000-0000-000001000000}" name="Nom / Prénom " dataDxfId="883" dataCellStyle="Employé"/>
    <tableColumn id="2" xr3:uid="{00000000-0010-0000-0000-000002000000}" name="1" dataDxfId="882" totalsRowDxfId="881"/>
    <tableColumn id="3" xr3:uid="{00000000-0010-0000-0000-000003000000}" name="2" dataDxfId="880" totalsRowDxfId="879"/>
    <tableColumn id="4" xr3:uid="{00000000-0010-0000-0000-000004000000}" name="3" dataDxfId="878" totalsRowDxfId="877"/>
    <tableColumn id="5" xr3:uid="{00000000-0010-0000-0000-000005000000}" name="4" dataDxfId="876" totalsRowDxfId="875"/>
    <tableColumn id="6" xr3:uid="{00000000-0010-0000-0000-000006000000}" name="5" dataDxfId="874" totalsRowDxfId="873"/>
    <tableColumn id="7" xr3:uid="{00000000-0010-0000-0000-000007000000}" name="6" dataDxfId="872" totalsRowDxfId="871"/>
    <tableColumn id="8" xr3:uid="{00000000-0010-0000-0000-000008000000}" name="7" dataDxfId="870" totalsRowDxfId="869"/>
    <tableColumn id="9" xr3:uid="{00000000-0010-0000-0000-000009000000}" name="8" dataDxfId="868" totalsRowDxfId="867"/>
    <tableColumn id="10" xr3:uid="{00000000-0010-0000-0000-00000A000000}" name="9" dataDxfId="866" totalsRowDxfId="865"/>
    <tableColumn id="11" xr3:uid="{00000000-0010-0000-0000-00000B000000}" name="10" dataDxfId="864" totalsRowDxfId="863"/>
    <tableColumn id="12" xr3:uid="{00000000-0010-0000-0000-00000C000000}" name="11" dataDxfId="862" totalsRowDxfId="861"/>
    <tableColumn id="13" xr3:uid="{00000000-0010-0000-0000-00000D000000}" name="12" dataDxfId="860" totalsRowDxfId="859"/>
    <tableColumn id="14" xr3:uid="{00000000-0010-0000-0000-00000E000000}" name="13" dataDxfId="858" totalsRowDxfId="857"/>
    <tableColumn id="15" xr3:uid="{00000000-0010-0000-0000-00000F000000}" name="14" dataDxfId="856" totalsRowDxfId="855"/>
    <tableColumn id="16" xr3:uid="{00000000-0010-0000-0000-000010000000}" name="15" dataDxfId="854" totalsRowDxfId="853"/>
    <tableColumn id="17" xr3:uid="{00000000-0010-0000-0000-000011000000}" name="16" dataDxfId="852" totalsRowDxfId="851"/>
    <tableColumn id="18" xr3:uid="{00000000-0010-0000-0000-000012000000}" name="17" dataDxfId="850" totalsRowDxfId="849"/>
    <tableColumn id="19" xr3:uid="{00000000-0010-0000-0000-000013000000}" name="18" dataDxfId="848" totalsRowDxfId="847"/>
    <tableColumn id="20" xr3:uid="{00000000-0010-0000-0000-000014000000}" name="19" dataDxfId="846" totalsRowDxfId="845"/>
    <tableColumn id="21" xr3:uid="{00000000-0010-0000-0000-000015000000}" name="20" dataDxfId="844" totalsRowDxfId="843"/>
    <tableColumn id="22" xr3:uid="{00000000-0010-0000-0000-000016000000}" name="21" dataDxfId="842" totalsRowDxfId="841"/>
    <tableColumn id="23" xr3:uid="{00000000-0010-0000-0000-000017000000}" name="22" dataDxfId="840" totalsRowDxfId="839"/>
    <tableColumn id="24" xr3:uid="{00000000-0010-0000-0000-000018000000}" name="23" dataDxfId="838" totalsRowDxfId="837"/>
    <tableColumn id="25" xr3:uid="{00000000-0010-0000-0000-000019000000}" name="24" dataDxfId="836" totalsRowDxfId="835"/>
    <tableColumn id="26" xr3:uid="{00000000-0010-0000-0000-00001A000000}" name="25" dataDxfId="834" totalsRowDxfId="833"/>
    <tableColumn id="27" xr3:uid="{00000000-0010-0000-0000-00001B000000}" name="26" dataDxfId="832" totalsRowDxfId="831"/>
    <tableColumn id="28" xr3:uid="{00000000-0010-0000-0000-00001C000000}" name="27" dataDxfId="830" totalsRowDxfId="829"/>
    <tableColumn id="29" xr3:uid="{00000000-0010-0000-0000-00001D000000}" name="28" dataDxfId="828" totalsRowDxfId="827"/>
    <tableColumn id="30" xr3:uid="{00000000-0010-0000-0000-00001E000000}" name="29" dataDxfId="826" totalsRowDxfId="825"/>
    <tableColumn id="31" xr3:uid="{00000000-0010-0000-0000-00001F000000}" name="30" dataDxfId="824" totalsRowDxfId="823"/>
    <tableColumn id="32" xr3:uid="{00000000-0010-0000-0000-000020000000}" name="31" dataDxfId="822" totalsRowDxfId="821"/>
    <tableColumn id="33" xr3:uid="{00000000-0010-0000-0000-000021000000}" name="Forfaits" dataDxfId="820">
      <calculatedColumnFormula array="1">SUM(IF((Janvier[[#This Row],[1]:[31]])="P",1,0))</calculatedColumnFormula>
    </tableColumn>
    <tableColumn id="35" xr3:uid="{439EAEFD-0C93-4490-9F89-7FF7F11B7B61}" name="Prime journée" dataDxfId="0" totalsRowDxfId="819">
      <calculatedColumnFormula array="1">SUM(IF((Janvier[[#This Row],[1]:[31]])="P",1,0))</calculatedColumnFormula>
    </tableColumn>
    <tableColumn id="36" xr3:uid="{1CF16D8B-1D98-4F6F-9FE1-E82E5F53E6D9}" name="Prime demi-journée" dataDxfId="818" totalsRowDxfId="817">
      <calculatedColumnFormula array="1">J</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Février" displayName="Février" ref="B6:AH12" totalsRowCount="1" headerRowDxfId="810" dataDxfId="809" totalsRowDxfId="808">
  <tableColumns count="33">
    <tableColumn id="1" xr3:uid="{00000000-0010-0000-0100-000001000000}" name="Nom de l’employé" totalsRowFunction="custom" dataDxfId="807" totalsRowDxfId="806" dataCellStyle="Employé">
      <totalsRowFormula>NomMois&amp;" Total"</totalsRowFormula>
    </tableColumn>
    <tableColumn id="2" xr3:uid="{00000000-0010-0000-0100-000002000000}" name="1" totalsRowFunction="count" dataDxfId="805" totalsRowDxfId="804"/>
    <tableColumn id="3" xr3:uid="{00000000-0010-0000-0100-000003000000}" name="2" totalsRowFunction="count" dataDxfId="803" totalsRowDxfId="802"/>
    <tableColumn id="4" xr3:uid="{00000000-0010-0000-0100-000004000000}" name="3" totalsRowFunction="count" dataDxfId="801" totalsRowDxfId="800"/>
    <tableColumn id="5" xr3:uid="{00000000-0010-0000-0100-000005000000}" name="4" totalsRowFunction="count" dataDxfId="799" totalsRowDxfId="798"/>
    <tableColumn id="6" xr3:uid="{00000000-0010-0000-0100-000006000000}" name="5" totalsRowFunction="count" dataDxfId="797" totalsRowDxfId="796"/>
    <tableColumn id="7" xr3:uid="{00000000-0010-0000-0100-000007000000}" name="6" totalsRowFunction="count" dataDxfId="795" totalsRowDxfId="794"/>
    <tableColumn id="8" xr3:uid="{00000000-0010-0000-0100-000008000000}" name="7" totalsRowFunction="count" dataDxfId="793" totalsRowDxfId="792"/>
    <tableColumn id="9" xr3:uid="{00000000-0010-0000-0100-000009000000}" name="8" totalsRowFunction="count" dataDxfId="791" totalsRowDxfId="790"/>
    <tableColumn id="10" xr3:uid="{00000000-0010-0000-0100-00000A000000}" name="9" totalsRowFunction="count" dataDxfId="789" totalsRowDxfId="788"/>
    <tableColumn id="11" xr3:uid="{00000000-0010-0000-0100-00000B000000}" name="10" totalsRowFunction="count" dataDxfId="787" totalsRowDxfId="786"/>
    <tableColumn id="12" xr3:uid="{00000000-0010-0000-0100-00000C000000}" name="11" totalsRowFunction="count" dataDxfId="785" totalsRowDxfId="784"/>
    <tableColumn id="13" xr3:uid="{00000000-0010-0000-0100-00000D000000}" name="12" totalsRowFunction="count" dataDxfId="783" totalsRowDxfId="782"/>
    <tableColumn id="14" xr3:uid="{00000000-0010-0000-0100-00000E000000}" name="13" totalsRowFunction="count" dataDxfId="781" totalsRowDxfId="780"/>
    <tableColumn id="15" xr3:uid="{00000000-0010-0000-0100-00000F000000}" name="14" totalsRowFunction="count" dataDxfId="779" totalsRowDxfId="778"/>
    <tableColumn id="16" xr3:uid="{00000000-0010-0000-0100-000010000000}" name="15" totalsRowFunction="count" dataDxfId="777" totalsRowDxfId="776"/>
    <tableColumn id="17" xr3:uid="{00000000-0010-0000-0100-000011000000}" name="16" totalsRowFunction="count" dataDxfId="775" totalsRowDxfId="774"/>
    <tableColumn id="18" xr3:uid="{00000000-0010-0000-0100-000012000000}" name="17" totalsRowFunction="count" dataDxfId="773" totalsRowDxfId="772"/>
    <tableColumn id="19" xr3:uid="{00000000-0010-0000-0100-000013000000}" name="18" totalsRowFunction="count" dataDxfId="771" totalsRowDxfId="770"/>
    <tableColumn id="20" xr3:uid="{00000000-0010-0000-0100-000014000000}" name="19" totalsRowFunction="count" dataDxfId="769" totalsRowDxfId="768"/>
    <tableColumn id="21" xr3:uid="{00000000-0010-0000-0100-000015000000}" name="20" totalsRowFunction="count" dataDxfId="767" totalsRowDxfId="766"/>
    <tableColumn id="22" xr3:uid="{00000000-0010-0000-0100-000016000000}" name="21" totalsRowFunction="count" dataDxfId="765" totalsRowDxfId="764"/>
    <tableColumn id="23" xr3:uid="{00000000-0010-0000-0100-000017000000}" name="22" totalsRowFunction="count" dataDxfId="763" totalsRowDxfId="762"/>
    <tableColumn id="24" xr3:uid="{00000000-0010-0000-0100-000018000000}" name="23" totalsRowFunction="count" dataDxfId="761" totalsRowDxfId="760"/>
    <tableColumn id="25" xr3:uid="{00000000-0010-0000-0100-000019000000}" name="24" totalsRowFunction="count" dataDxfId="759" totalsRowDxfId="758"/>
    <tableColumn id="26" xr3:uid="{00000000-0010-0000-0100-00001A000000}" name="25" totalsRowFunction="count" dataDxfId="757" totalsRowDxfId="756"/>
    <tableColumn id="27" xr3:uid="{00000000-0010-0000-0100-00001B000000}" name="26" totalsRowFunction="count" dataDxfId="755" totalsRowDxfId="754"/>
    <tableColumn id="28" xr3:uid="{00000000-0010-0000-0100-00001C000000}" name="27" totalsRowFunction="count" dataDxfId="753" totalsRowDxfId="752"/>
    <tableColumn id="29" xr3:uid="{00000000-0010-0000-0100-00001D000000}" name="28" totalsRowFunction="count" dataDxfId="751" totalsRowDxfId="750"/>
    <tableColumn id="30" xr3:uid="{00000000-0010-0000-0100-00001E000000}" name="29" totalsRowFunction="count" dataDxfId="749" totalsRowDxfId="748"/>
    <tableColumn id="31" xr3:uid="{00000000-0010-0000-0100-00001F000000}" name=" " dataDxfId="747" totalsRowDxfId="746"/>
    <tableColumn id="32" xr3:uid="{00000000-0010-0000-0100-000020000000}" name="  " dataDxfId="745" totalsRowDxfId="744"/>
    <tableColumn id="33" xr3:uid="{00000000-0010-0000-0100-000021000000}" name="Total des jours" totalsRowFunction="sum" dataDxfId="743" totalsRowDxfId="742">
      <calculatedColumnFormula>COUNTA(Février[[#This Row],[1]:[29]])</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2000000}" name="Mars" displayName="Mars" ref="B6:AH12" totalsRowCount="1" headerRowDxfId="736" dataDxfId="735" totalsRowDxfId="734">
  <tableColumns count="33">
    <tableColumn id="1" xr3:uid="{00000000-0010-0000-0200-000001000000}" name="Nom de l’employé" totalsRowFunction="custom" dataDxfId="733" totalsRowDxfId="732" dataCellStyle="Employé">
      <totalsRowFormula>NomMois&amp;" Total"</totalsRowFormula>
    </tableColumn>
    <tableColumn id="2" xr3:uid="{00000000-0010-0000-0200-000002000000}" name="1" totalsRowFunction="count" dataDxfId="731" totalsRowDxfId="730"/>
    <tableColumn id="3" xr3:uid="{00000000-0010-0000-0200-000003000000}" name="2" totalsRowFunction="count" dataDxfId="729" totalsRowDxfId="728"/>
    <tableColumn id="4" xr3:uid="{00000000-0010-0000-0200-000004000000}" name="3" totalsRowFunction="count" dataDxfId="727" totalsRowDxfId="726"/>
    <tableColumn id="5" xr3:uid="{00000000-0010-0000-0200-000005000000}" name="4" totalsRowFunction="count" dataDxfId="725" totalsRowDxfId="724"/>
    <tableColumn id="6" xr3:uid="{00000000-0010-0000-0200-000006000000}" name="5" totalsRowFunction="count" dataDxfId="723" totalsRowDxfId="722"/>
    <tableColumn id="7" xr3:uid="{00000000-0010-0000-0200-000007000000}" name="6" totalsRowFunction="count" dataDxfId="721" totalsRowDxfId="720"/>
    <tableColumn id="8" xr3:uid="{00000000-0010-0000-0200-000008000000}" name="7" totalsRowFunction="count" dataDxfId="719" totalsRowDxfId="718"/>
    <tableColumn id="9" xr3:uid="{00000000-0010-0000-0200-000009000000}" name="8" totalsRowFunction="count" dataDxfId="717" totalsRowDxfId="716"/>
    <tableColumn id="10" xr3:uid="{00000000-0010-0000-0200-00000A000000}" name="9" totalsRowFunction="count" dataDxfId="715" totalsRowDxfId="714"/>
    <tableColumn id="11" xr3:uid="{00000000-0010-0000-0200-00000B000000}" name="10" totalsRowFunction="count" dataDxfId="713" totalsRowDxfId="712"/>
    <tableColumn id="12" xr3:uid="{00000000-0010-0000-0200-00000C000000}" name="11" totalsRowFunction="count" dataDxfId="711" totalsRowDxfId="710"/>
    <tableColumn id="13" xr3:uid="{00000000-0010-0000-0200-00000D000000}" name="12" totalsRowFunction="count" dataDxfId="709" totalsRowDxfId="708"/>
    <tableColumn id="14" xr3:uid="{00000000-0010-0000-0200-00000E000000}" name="13" totalsRowFunction="count" dataDxfId="707" totalsRowDxfId="706"/>
    <tableColumn id="15" xr3:uid="{00000000-0010-0000-0200-00000F000000}" name="14" totalsRowFunction="count" dataDxfId="705" totalsRowDxfId="704"/>
    <tableColumn id="16" xr3:uid="{00000000-0010-0000-0200-000010000000}" name="15" totalsRowFunction="count" dataDxfId="703" totalsRowDxfId="702"/>
    <tableColumn id="17" xr3:uid="{00000000-0010-0000-0200-000011000000}" name="16" totalsRowFunction="count" dataDxfId="701" totalsRowDxfId="700"/>
    <tableColumn id="18" xr3:uid="{00000000-0010-0000-0200-000012000000}" name="17" totalsRowFunction="count" dataDxfId="699" totalsRowDxfId="698"/>
    <tableColumn id="19" xr3:uid="{00000000-0010-0000-0200-000013000000}" name="18" totalsRowFunction="count" dataDxfId="697" totalsRowDxfId="696"/>
    <tableColumn id="20" xr3:uid="{00000000-0010-0000-0200-000014000000}" name="19" totalsRowFunction="count" dataDxfId="695" totalsRowDxfId="694"/>
    <tableColumn id="21" xr3:uid="{00000000-0010-0000-0200-000015000000}" name="20" totalsRowFunction="count" dataDxfId="693" totalsRowDxfId="692"/>
    <tableColumn id="22" xr3:uid="{00000000-0010-0000-0200-000016000000}" name="21" totalsRowFunction="count" dataDxfId="691" totalsRowDxfId="690"/>
    <tableColumn id="23" xr3:uid="{00000000-0010-0000-0200-000017000000}" name="22" totalsRowFunction="count" dataDxfId="689" totalsRowDxfId="688"/>
    <tableColumn id="24" xr3:uid="{00000000-0010-0000-0200-000018000000}" name="23" totalsRowFunction="count" dataDxfId="687" totalsRowDxfId="686"/>
    <tableColumn id="25" xr3:uid="{00000000-0010-0000-0200-000019000000}" name="24" totalsRowFunction="count" dataDxfId="685" totalsRowDxfId="684"/>
    <tableColumn id="26" xr3:uid="{00000000-0010-0000-0200-00001A000000}" name="25" totalsRowFunction="count" dataDxfId="683" totalsRowDxfId="682"/>
    <tableColumn id="27" xr3:uid="{00000000-0010-0000-0200-00001B000000}" name="26" totalsRowFunction="count" dataDxfId="681" totalsRowDxfId="680"/>
    <tableColumn id="28" xr3:uid="{00000000-0010-0000-0200-00001C000000}" name="27" totalsRowFunction="count" dataDxfId="679" totalsRowDxfId="678"/>
    <tableColumn id="29" xr3:uid="{00000000-0010-0000-0200-00001D000000}" name="28" totalsRowFunction="count" dataDxfId="677" totalsRowDxfId="676"/>
    <tableColumn id="30" xr3:uid="{00000000-0010-0000-0200-00001E000000}" name="29" totalsRowFunction="count" dataDxfId="675" totalsRowDxfId="674"/>
    <tableColumn id="31" xr3:uid="{00000000-0010-0000-0200-00001F000000}" name="30" totalsRowFunction="count" dataDxfId="673" totalsRowDxfId="672"/>
    <tableColumn id="32" xr3:uid="{00000000-0010-0000-0200-000020000000}" name="31" totalsRowFunction="count" dataDxfId="671" totalsRowDxfId="670"/>
    <tableColumn id="33" xr3:uid="{00000000-0010-0000-0200-000021000000}" name="Total des jours" totalsRowFunction="sum" dataDxfId="669" totalsRowDxfId="668">
      <calculatedColumnFormula>COUNTA(Mars[[#This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3000000}" name="Avril" displayName="Avril" ref="B6:AH12" totalsRowCount="1" headerRowDxfId="662" dataDxfId="661" totalsRowDxfId="660">
  <tableColumns count="33">
    <tableColumn id="1" xr3:uid="{00000000-0010-0000-0300-000001000000}" name="Nom de l’employé" totalsRowFunction="custom" dataDxfId="659" totalsRowDxfId="658" dataCellStyle="Employé">
      <totalsRowFormula>NomMois&amp;" Total"</totalsRowFormula>
    </tableColumn>
    <tableColumn id="2" xr3:uid="{00000000-0010-0000-0300-000002000000}" name="1" totalsRowFunction="count" dataDxfId="657" totalsRowDxfId="656"/>
    <tableColumn id="3" xr3:uid="{00000000-0010-0000-0300-000003000000}" name="2" totalsRowFunction="count" dataDxfId="655" totalsRowDxfId="654"/>
    <tableColumn id="4" xr3:uid="{00000000-0010-0000-0300-000004000000}" name="3" totalsRowFunction="count" dataDxfId="653" totalsRowDxfId="652"/>
    <tableColumn id="5" xr3:uid="{00000000-0010-0000-0300-000005000000}" name="4" totalsRowFunction="count" dataDxfId="651" totalsRowDxfId="650"/>
    <tableColumn id="6" xr3:uid="{00000000-0010-0000-0300-000006000000}" name="5" totalsRowFunction="count" dataDxfId="649" totalsRowDxfId="648"/>
    <tableColumn id="7" xr3:uid="{00000000-0010-0000-0300-000007000000}" name="6" totalsRowFunction="count" dataDxfId="647" totalsRowDxfId="646"/>
    <tableColumn id="8" xr3:uid="{00000000-0010-0000-0300-000008000000}" name="7" totalsRowFunction="count" dataDxfId="645" totalsRowDxfId="644"/>
    <tableColumn id="9" xr3:uid="{00000000-0010-0000-0300-000009000000}" name="8" totalsRowFunction="count" dataDxfId="643" totalsRowDxfId="642"/>
    <tableColumn id="10" xr3:uid="{00000000-0010-0000-0300-00000A000000}" name="9" totalsRowFunction="count" dataDxfId="641" totalsRowDxfId="640"/>
    <tableColumn id="11" xr3:uid="{00000000-0010-0000-0300-00000B000000}" name="10" totalsRowFunction="count" dataDxfId="639" totalsRowDxfId="638"/>
    <tableColumn id="12" xr3:uid="{00000000-0010-0000-0300-00000C000000}" name="11" totalsRowFunction="count" dataDxfId="637" totalsRowDxfId="636"/>
    <tableColumn id="13" xr3:uid="{00000000-0010-0000-0300-00000D000000}" name="12" totalsRowFunction="count" dataDxfId="635" totalsRowDxfId="634"/>
    <tableColumn id="14" xr3:uid="{00000000-0010-0000-0300-00000E000000}" name="13" totalsRowFunction="count" dataDxfId="633" totalsRowDxfId="632"/>
    <tableColumn id="15" xr3:uid="{00000000-0010-0000-0300-00000F000000}" name="14" totalsRowFunction="count" dataDxfId="631" totalsRowDxfId="630"/>
    <tableColumn id="16" xr3:uid="{00000000-0010-0000-0300-000010000000}" name="15" totalsRowFunction="count" dataDxfId="629" totalsRowDxfId="628"/>
    <tableColumn id="17" xr3:uid="{00000000-0010-0000-0300-000011000000}" name="16" totalsRowFunction="count" dataDxfId="627" totalsRowDxfId="626"/>
    <tableColumn id="18" xr3:uid="{00000000-0010-0000-0300-000012000000}" name="17" totalsRowFunction="count" dataDxfId="625" totalsRowDxfId="624"/>
    <tableColumn id="19" xr3:uid="{00000000-0010-0000-0300-000013000000}" name="18" totalsRowFunction="count" dataDxfId="623" totalsRowDxfId="622"/>
    <tableColumn id="20" xr3:uid="{00000000-0010-0000-0300-000014000000}" name="19" totalsRowFunction="count" dataDxfId="621" totalsRowDxfId="620"/>
    <tableColumn id="21" xr3:uid="{00000000-0010-0000-0300-000015000000}" name="20" totalsRowFunction="count" dataDxfId="619" totalsRowDxfId="618"/>
    <tableColumn id="22" xr3:uid="{00000000-0010-0000-0300-000016000000}" name="21" totalsRowFunction="count" dataDxfId="617" totalsRowDxfId="616"/>
    <tableColumn id="23" xr3:uid="{00000000-0010-0000-0300-000017000000}" name="22" totalsRowFunction="count" dataDxfId="615" totalsRowDxfId="614"/>
    <tableColumn id="24" xr3:uid="{00000000-0010-0000-0300-000018000000}" name="23" totalsRowFunction="count" dataDxfId="613" totalsRowDxfId="612"/>
    <tableColumn id="25" xr3:uid="{00000000-0010-0000-0300-000019000000}" name="24" totalsRowFunction="count" dataDxfId="611" totalsRowDxfId="610"/>
    <tableColumn id="26" xr3:uid="{00000000-0010-0000-0300-00001A000000}" name="25" totalsRowFunction="count" dataDxfId="609" totalsRowDxfId="608"/>
    <tableColumn id="27" xr3:uid="{00000000-0010-0000-0300-00001B000000}" name="26" totalsRowFunction="count" dataDxfId="607" totalsRowDxfId="606"/>
    <tableColumn id="28" xr3:uid="{00000000-0010-0000-0300-00001C000000}" name="27" totalsRowFunction="count" dataDxfId="605" totalsRowDxfId="604"/>
    <tableColumn id="29" xr3:uid="{00000000-0010-0000-0300-00001D000000}" name="28" totalsRowFunction="count" dataDxfId="603" totalsRowDxfId="602"/>
    <tableColumn id="30" xr3:uid="{00000000-0010-0000-0300-00001E000000}" name="29" totalsRowFunction="count" dataDxfId="601" totalsRowDxfId="600"/>
    <tableColumn id="31" xr3:uid="{00000000-0010-0000-0300-00001F000000}" name="30" totalsRowFunction="count" dataDxfId="599" totalsRowDxfId="598"/>
    <tableColumn id="32" xr3:uid="{00000000-0010-0000-0300-000020000000}" name=" " totalsRowFunction="custom" dataDxfId="597" totalsRowDxfId="596">
      <totalsRowFormula>SUBTOTAL(103,Avril[30])</totalsRowFormula>
    </tableColumn>
    <tableColumn id="33" xr3:uid="{00000000-0010-0000-0300-000021000000}" name="Total des jours" totalsRowFunction="sum" dataDxfId="595" totalsRowDxfId="594">
      <calculatedColumnFormula>COUNTA(Avril[[#This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4000000}" name="Mai" displayName="Mai" ref="B6:AH12" totalsRowCount="1" headerRowDxfId="588" dataDxfId="587" totalsRowDxfId="586">
  <tableColumns count="33">
    <tableColumn id="1" xr3:uid="{00000000-0010-0000-0400-000001000000}" name="Nom de l’employé" totalsRowFunction="custom" dataDxfId="585" totalsRowDxfId="584" dataCellStyle="Employé">
      <totalsRowFormula>NomMois&amp;" Total"</totalsRowFormula>
    </tableColumn>
    <tableColumn id="2" xr3:uid="{00000000-0010-0000-0400-000002000000}" name="1" totalsRowFunction="count" dataDxfId="583" totalsRowDxfId="582"/>
    <tableColumn id="3" xr3:uid="{00000000-0010-0000-0400-000003000000}" name="2" totalsRowFunction="count" dataDxfId="581" totalsRowDxfId="580"/>
    <tableColumn id="4" xr3:uid="{00000000-0010-0000-0400-000004000000}" name="3" totalsRowFunction="count" dataDxfId="579" totalsRowDxfId="578"/>
    <tableColumn id="5" xr3:uid="{00000000-0010-0000-0400-000005000000}" name="4" totalsRowFunction="count" dataDxfId="577" totalsRowDxfId="576"/>
    <tableColumn id="6" xr3:uid="{00000000-0010-0000-0400-000006000000}" name="5" totalsRowFunction="count" dataDxfId="575" totalsRowDxfId="574"/>
    <tableColumn id="7" xr3:uid="{00000000-0010-0000-0400-000007000000}" name="6" totalsRowFunction="count" dataDxfId="573" totalsRowDxfId="572"/>
    <tableColumn id="8" xr3:uid="{00000000-0010-0000-0400-000008000000}" name="7" totalsRowFunction="count" dataDxfId="571" totalsRowDxfId="570"/>
    <tableColumn id="9" xr3:uid="{00000000-0010-0000-0400-000009000000}" name="8" totalsRowFunction="count" dataDxfId="569" totalsRowDxfId="568"/>
    <tableColumn id="10" xr3:uid="{00000000-0010-0000-0400-00000A000000}" name="9" totalsRowFunction="count" dataDxfId="567" totalsRowDxfId="566"/>
    <tableColumn id="11" xr3:uid="{00000000-0010-0000-0400-00000B000000}" name="10" totalsRowFunction="count" dataDxfId="565" totalsRowDxfId="564"/>
    <tableColumn id="12" xr3:uid="{00000000-0010-0000-0400-00000C000000}" name="11" totalsRowFunction="count" dataDxfId="563" totalsRowDxfId="562"/>
    <tableColumn id="13" xr3:uid="{00000000-0010-0000-0400-00000D000000}" name="12" totalsRowFunction="count" dataDxfId="561" totalsRowDxfId="560"/>
    <tableColumn id="14" xr3:uid="{00000000-0010-0000-0400-00000E000000}" name="13" totalsRowFunction="count" dataDxfId="559" totalsRowDxfId="558"/>
    <tableColumn id="15" xr3:uid="{00000000-0010-0000-0400-00000F000000}" name="14" totalsRowFunction="count" dataDxfId="557" totalsRowDxfId="556"/>
    <tableColumn id="16" xr3:uid="{00000000-0010-0000-0400-000010000000}" name="15" totalsRowFunction="count" dataDxfId="555" totalsRowDxfId="554"/>
    <tableColumn id="17" xr3:uid="{00000000-0010-0000-0400-000011000000}" name="16" totalsRowFunction="count" dataDxfId="553" totalsRowDxfId="552"/>
    <tableColumn id="18" xr3:uid="{00000000-0010-0000-0400-000012000000}" name="17" totalsRowFunction="count" dataDxfId="551" totalsRowDxfId="550"/>
    <tableColumn id="19" xr3:uid="{00000000-0010-0000-0400-000013000000}" name="18" totalsRowFunction="count" dataDxfId="549" totalsRowDxfId="548"/>
    <tableColumn id="20" xr3:uid="{00000000-0010-0000-0400-000014000000}" name="19" totalsRowFunction="count" dataDxfId="547" totalsRowDxfId="546"/>
    <tableColumn id="21" xr3:uid="{00000000-0010-0000-0400-000015000000}" name="20" totalsRowFunction="count" dataDxfId="545" totalsRowDxfId="544"/>
    <tableColumn id="22" xr3:uid="{00000000-0010-0000-0400-000016000000}" name="21" totalsRowFunction="count" dataDxfId="543" totalsRowDxfId="542"/>
    <tableColumn id="23" xr3:uid="{00000000-0010-0000-0400-000017000000}" name="22" totalsRowFunction="count" dataDxfId="541" totalsRowDxfId="540"/>
    <tableColumn id="24" xr3:uid="{00000000-0010-0000-0400-000018000000}" name="23" totalsRowFunction="count" dataDxfId="539" totalsRowDxfId="538"/>
    <tableColumn id="25" xr3:uid="{00000000-0010-0000-0400-000019000000}" name="24" totalsRowFunction="count" dataDxfId="537" totalsRowDxfId="536"/>
    <tableColumn id="26" xr3:uid="{00000000-0010-0000-0400-00001A000000}" name="25" totalsRowFunction="count" dataDxfId="535" totalsRowDxfId="534"/>
    <tableColumn id="27" xr3:uid="{00000000-0010-0000-0400-00001B000000}" name="26" totalsRowFunction="count" dataDxfId="533" totalsRowDxfId="532"/>
    <tableColumn id="28" xr3:uid="{00000000-0010-0000-0400-00001C000000}" name="27" totalsRowFunction="count" dataDxfId="531" totalsRowDxfId="530"/>
    <tableColumn id="29" xr3:uid="{00000000-0010-0000-0400-00001D000000}" name="28" totalsRowFunction="count" dataDxfId="529" totalsRowDxfId="528"/>
    <tableColumn id="30" xr3:uid="{00000000-0010-0000-0400-00001E000000}" name="29" totalsRowFunction="count" dataDxfId="527" totalsRowDxfId="526"/>
    <tableColumn id="31" xr3:uid="{00000000-0010-0000-0400-00001F000000}" name="30" totalsRowFunction="count" dataDxfId="525" totalsRowDxfId="524"/>
    <tableColumn id="32" xr3:uid="{00000000-0010-0000-0400-000020000000}" name="31" totalsRowFunction="count" dataDxfId="523" totalsRowDxfId="522"/>
    <tableColumn id="33" xr3:uid="{00000000-0010-0000-0400-000021000000}" name="Total des jours" totalsRowFunction="sum" dataDxfId="521" totalsRowDxfId="520">
      <calculatedColumnFormula>COUNTA(Mai[[#This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5000000}" name="Juin" displayName="Juin" ref="B6:AH12" totalsRowCount="1" headerRowDxfId="514" dataDxfId="513" totalsRowDxfId="512">
  <tableColumns count="33">
    <tableColumn id="1" xr3:uid="{00000000-0010-0000-0500-000001000000}" name="Nom de l’employé" totalsRowFunction="custom" dataDxfId="511" totalsRowDxfId="510" dataCellStyle="Employé">
      <totalsRowFormula>NomMois&amp;" Total"</totalsRowFormula>
    </tableColumn>
    <tableColumn id="2" xr3:uid="{00000000-0010-0000-0500-000002000000}" name="1" totalsRowFunction="count" dataDxfId="509" totalsRowDxfId="508"/>
    <tableColumn id="3" xr3:uid="{00000000-0010-0000-0500-000003000000}" name="2" totalsRowFunction="count" dataDxfId="507" totalsRowDxfId="506"/>
    <tableColumn id="4" xr3:uid="{00000000-0010-0000-0500-000004000000}" name="3" totalsRowFunction="count" dataDxfId="505" totalsRowDxfId="504"/>
    <tableColumn id="5" xr3:uid="{00000000-0010-0000-0500-000005000000}" name="4" totalsRowFunction="count" dataDxfId="503" totalsRowDxfId="502"/>
    <tableColumn id="6" xr3:uid="{00000000-0010-0000-0500-000006000000}" name="5" totalsRowFunction="count" dataDxfId="501" totalsRowDxfId="500"/>
    <tableColumn id="7" xr3:uid="{00000000-0010-0000-0500-000007000000}" name="6" totalsRowFunction="count" dataDxfId="499" totalsRowDxfId="498"/>
    <tableColumn id="8" xr3:uid="{00000000-0010-0000-0500-000008000000}" name="7" totalsRowFunction="count" dataDxfId="497" totalsRowDxfId="496"/>
    <tableColumn id="9" xr3:uid="{00000000-0010-0000-0500-000009000000}" name="8" totalsRowFunction="count" dataDxfId="495" totalsRowDxfId="494"/>
    <tableColumn id="10" xr3:uid="{00000000-0010-0000-0500-00000A000000}" name="9" totalsRowFunction="count" dataDxfId="493" totalsRowDxfId="492"/>
    <tableColumn id="11" xr3:uid="{00000000-0010-0000-0500-00000B000000}" name="10" totalsRowFunction="count" dataDxfId="491" totalsRowDxfId="490"/>
    <tableColumn id="12" xr3:uid="{00000000-0010-0000-0500-00000C000000}" name="11" totalsRowFunction="count" dataDxfId="489" totalsRowDxfId="488"/>
    <tableColumn id="13" xr3:uid="{00000000-0010-0000-0500-00000D000000}" name="12" totalsRowFunction="count" dataDxfId="487" totalsRowDxfId="486"/>
    <tableColumn id="14" xr3:uid="{00000000-0010-0000-0500-00000E000000}" name="13" totalsRowFunction="count" dataDxfId="485" totalsRowDxfId="484"/>
    <tableColumn id="15" xr3:uid="{00000000-0010-0000-0500-00000F000000}" name="14" totalsRowFunction="count" dataDxfId="483" totalsRowDxfId="482"/>
    <tableColumn id="16" xr3:uid="{00000000-0010-0000-0500-000010000000}" name="15" totalsRowFunction="count" dataDxfId="481" totalsRowDxfId="480"/>
    <tableColumn id="17" xr3:uid="{00000000-0010-0000-0500-000011000000}" name="16" totalsRowFunction="count" dataDxfId="479" totalsRowDxfId="478"/>
    <tableColumn id="18" xr3:uid="{00000000-0010-0000-0500-000012000000}" name="17" totalsRowFunction="count" dataDxfId="477" totalsRowDxfId="476"/>
    <tableColumn id="19" xr3:uid="{00000000-0010-0000-0500-000013000000}" name="18" totalsRowFunction="count" dataDxfId="475" totalsRowDxfId="474"/>
    <tableColumn id="20" xr3:uid="{00000000-0010-0000-0500-000014000000}" name="19" totalsRowFunction="count" dataDxfId="473" totalsRowDxfId="472"/>
    <tableColumn id="21" xr3:uid="{00000000-0010-0000-0500-000015000000}" name="20" totalsRowFunction="count" dataDxfId="471" totalsRowDxfId="470"/>
    <tableColumn id="22" xr3:uid="{00000000-0010-0000-0500-000016000000}" name="21" totalsRowFunction="count" dataDxfId="469" totalsRowDxfId="468"/>
    <tableColumn id="23" xr3:uid="{00000000-0010-0000-0500-000017000000}" name="22" totalsRowFunction="count" dataDxfId="467" totalsRowDxfId="466"/>
    <tableColumn id="24" xr3:uid="{00000000-0010-0000-0500-000018000000}" name="23" totalsRowFunction="count" dataDxfId="465" totalsRowDxfId="464"/>
    <tableColumn id="25" xr3:uid="{00000000-0010-0000-0500-000019000000}" name="24" totalsRowFunction="count" dataDxfId="463" totalsRowDxfId="462"/>
    <tableColumn id="26" xr3:uid="{00000000-0010-0000-0500-00001A000000}" name="25" totalsRowFunction="count" dataDxfId="461" totalsRowDxfId="460"/>
    <tableColumn id="27" xr3:uid="{00000000-0010-0000-0500-00001B000000}" name="26" totalsRowFunction="count" dataDxfId="459" totalsRowDxfId="458"/>
    <tableColumn id="28" xr3:uid="{00000000-0010-0000-0500-00001C000000}" name="27" totalsRowFunction="count" dataDxfId="457" totalsRowDxfId="456"/>
    <tableColumn id="29" xr3:uid="{00000000-0010-0000-0500-00001D000000}" name="28" totalsRowFunction="count" dataDxfId="455" totalsRowDxfId="454"/>
    <tableColumn id="30" xr3:uid="{00000000-0010-0000-0500-00001E000000}" name="29" totalsRowFunction="count" dataDxfId="453" totalsRowDxfId="452"/>
    <tableColumn id="31" xr3:uid="{00000000-0010-0000-0500-00001F000000}" name="30" totalsRowFunction="count" dataDxfId="451" totalsRowDxfId="450"/>
    <tableColumn id="32" xr3:uid="{00000000-0010-0000-0500-000020000000}" name=" " totalsRowFunction="count" dataDxfId="449" totalsRowDxfId="448"/>
    <tableColumn id="33" xr3:uid="{00000000-0010-0000-0500-000021000000}" name="Total des jours" totalsRowFunction="sum" dataDxfId="447" totalsRowDxfId="446">
      <calculatedColumnFormula>COUNTA(Juin[[#This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6000000}" name="Juillet" displayName="Juillet" ref="B6:AH12" totalsRowCount="1" headerRowDxfId="440" dataDxfId="439" totalsRowDxfId="438">
  <tableColumns count="33">
    <tableColumn id="1" xr3:uid="{00000000-0010-0000-0600-000001000000}" name="Nom de l’employé" totalsRowFunction="custom" dataDxfId="437" totalsRowDxfId="436" dataCellStyle="Employé">
      <totalsRowFormula>NomMois&amp;" Total"</totalsRowFormula>
    </tableColumn>
    <tableColumn id="2" xr3:uid="{00000000-0010-0000-0600-000002000000}" name="1" totalsRowFunction="count" dataDxfId="435" totalsRowDxfId="434"/>
    <tableColumn id="3" xr3:uid="{00000000-0010-0000-0600-000003000000}" name="2" totalsRowFunction="count" dataDxfId="433" totalsRowDxfId="432"/>
    <tableColumn id="4" xr3:uid="{00000000-0010-0000-0600-000004000000}" name="3" totalsRowFunction="count" dataDxfId="431" totalsRowDxfId="430"/>
    <tableColumn id="5" xr3:uid="{00000000-0010-0000-0600-000005000000}" name="4" totalsRowFunction="count" dataDxfId="429" totalsRowDxfId="428"/>
    <tableColumn id="6" xr3:uid="{00000000-0010-0000-0600-000006000000}" name="5" totalsRowFunction="count" dataDxfId="427" totalsRowDxfId="426"/>
    <tableColumn id="7" xr3:uid="{00000000-0010-0000-0600-000007000000}" name="6" totalsRowFunction="count" dataDxfId="425" totalsRowDxfId="424"/>
    <tableColumn id="8" xr3:uid="{00000000-0010-0000-0600-000008000000}" name="7" totalsRowFunction="count" dataDxfId="423" totalsRowDxfId="422"/>
    <tableColumn id="9" xr3:uid="{00000000-0010-0000-0600-000009000000}" name="8" totalsRowFunction="count" dataDxfId="421" totalsRowDxfId="420"/>
    <tableColumn id="10" xr3:uid="{00000000-0010-0000-0600-00000A000000}" name="9" totalsRowFunction="count" dataDxfId="419" totalsRowDxfId="418"/>
    <tableColumn id="11" xr3:uid="{00000000-0010-0000-0600-00000B000000}" name="10" totalsRowFunction="count" dataDxfId="417" totalsRowDxfId="416"/>
    <tableColumn id="12" xr3:uid="{00000000-0010-0000-0600-00000C000000}" name="11" totalsRowFunction="count" dataDxfId="415" totalsRowDxfId="414"/>
    <tableColumn id="13" xr3:uid="{00000000-0010-0000-0600-00000D000000}" name="12" totalsRowFunction="count" dataDxfId="413" totalsRowDxfId="412"/>
    <tableColumn id="14" xr3:uid="{00000000-0010-0000-0600-00000E000000}" name="13" totalsRowFunction="count" dataDxfId="411" totalsRowDxfId="410"/>
    <tableColumn id="15" xr3:uid="{00000000-0010-0000-0600-00000F000000}" name="14" totalsRowFunction="count" dataDxfId="409" totalsRowDxfId="408"/>
    <tableColumn id="16" xr3:uid="{00000000-0010-0000-0600-000010000000}" name="15" totalsRowFunction="count" dataDxfId="407" totalsRowDxfId="406"/>
    <tableColumn id="17" xr3:uid="{00000000-0010-0000-0600-000011000000}" name="16" totalsRowFunction="count" dataDxfId="405" totalsRowDxfId="404"/>
    <tableColumn id="18" xr3:uid="{00000000-0010-0000-0600-000012000000}" name="17" totalsRowFunction="count" dataDxfId="403" totalsRowDxfId="402"/>
    <tableColumn id="19" xr3:uid="{00000000-0010-0000-0600-000013000000}" name="18" totalsRowFunction="count" dataDxfId="401" totalsRowDxfId="400"/>
    <tableColumn id="20" xr3:uid="{00000000-0010-0000-0600-000014000000}" name="19" totalsRowFunction="count" dataDxfId="399" totalsRowDxfId="398"/>
    <tableColumn id="21" xr3:uid="{00000000-0010-0000-0600-000015000000}" name="20" totalsRowFunction="count" dataDxfId="397" totalsRowDxfId="396"/>
    <tableColumn id="22" xr3:uid="{00000000-0010-0000-0600-000016000000}" name="21" totalsRowFunction="count" dataDxfId="395" totalsRowDxfId="394"/>
    <tableColumn id="23" xr3:uid="{00000000-0010-0000-0600-000017000000}" name="22" totalsRowFunction="count" dataDxfId="393" totalsRowDxfId="392"/>
    <tableColumn id="24" xr3:uid="{00000000-0010-0000-0600-000018000000}" name="23" totalsRowFunction="count" dataDxfId="391" totalsRowDxfId="390"/>
    <tableColumn id="25" xr3:uid="{00000000-0010-0000-0600-000019000000}" name="24" totalsRowFunction="count" dataDxfId="389" totalsRowDxfId="388"/>
    <tableColumn id="26" xr3:uid="{00000000-0010-0000-0600-00001A000000}" name="25" totalsRowFunction="count" dataDxfId="387" totalsRowDxfId="386"/>
    <tableColumn id="27" xr3:uid="{00000000-0010-0000-0600-00001B000000}" name="26" totalsRowFunction="count" dataDxfId="385" totalsRowDxfId="384"/>
    <tableColumn id="28" xr3:uid="{00000000-0010-0000-0600-00001C000000}" name="27" totalsRowFunction="count" dataDxfId="383" totalsRowDxfId="382"/>
    <tableColumn id="29" xr3:uid="{00000000-0010-0000-0600-00001D000000}" name="28" totalsRowFunction="count" dataDxfId="381" totalsRowDxfId="380"/>
    <tableColumn id="30" xr3:uid="{00000000-0010-0000-0600-00001E000000}" name="29" totalsRowFunction="count" dataDxfId="379" totalsRowDxfId="378"/>
    <tableColumn id="31" xr3:uid="{00000000-0010-0000-0600-00001F000000}" name="30" totalsRowFunction="count" dataDxfId="377" totalsRowDxfId="376"/>
    <tableColumn id="32" xr3:uid="{00000000-0010-0000-0600-000020000000}" name="31" totalsRowFunction="count" dataDxfId="375" totalsRowDxfId="374"/>
    <tableColumn id="33" xr3:uid="{00000000-0010-0000-0600-000021000000}" name="Total des jours" totalsRowFunction="sum" dataDxfId="373" totalsRowDxfId="372">
      <calculatedColumnFormula>COUNTA(Juillet[[#This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7000000}" name="Août" displayName="Août" ref="B6:AH12" totalsRowCount="1" headerRowDxfId="366" dataDxfId="365" totalsRowDxfId="364">
  <tableColumns count="33">
    <tableColumn id="1" xr3:uid="{00000000-0010-0000-0700-000001000000}" name="Nom de l’employé" totalsRowFunction="custom" dataDxfId="363" totalsRowDxfId="362" dataCellStyle="Employé">
      <totalsRowFormula>NomMois&amp;" Total"</totalsRowFormula>
    </tableColumn>
    <tableColumn id="2" xr3:uid="{00000000-0010-0000-0700-000002000000}" name="1" totalsRowFunction="count" dataDxfId="361" totalsRowDxfId="360"/>
    <tableColumn id="3" xr3:uid="{00000000-0010-0000-0700-000003000000}" name="2" totalsRowFunction="count" dataDxfId="359" totalsRowDxfId="358"/>
    <tableColumn id="4" xr3:uid="{00000000-0010-0000-0700-000004000000}" name="3" totalsRowFunction="count" dataDxfId="357" totalsRowDxfId="356"/>
    <tableColumn id="5" xr3:uid="{00000000-0010-0000-0700-000005000000}" name="4" totalsRowFunction="count" dataDxfId="355" totalsRowDxfId="354"/>
    <tableColumn id="6" xr3:uid="{00000000-0010-0000-0700-000006000000}" name="5" totalsRowFunction="count" dataDxfId="353" totalsRowDxfId="352"/>
    <tableColumn id="7" xr3:uid="{00000000-0010-0000-0700-000007000000}" name="6" totalsRowFunction="count" dataDxfId="351" totalsRowDxfId="350"/>
    <tableColumn id="8" xr3:uid="{00000000-0010-0000-0700-000008000000}" name="7" totalsRowFunction="count" dataDxfId="349" totalsRowDxfId="348"/>
    <tableColumn id="9" xr3:uid="{00000000-0010-0000-0700-000009000000}" name="8" totalsRowFunction="count" dataDxfId="347" totalsRowDxfId="346"/>
    <tableColumn id="10" xr3:uid="{00000000-0010-0000-0700-00000A000000}" name="9" totalsRowFunction="count" dataDxfId="345" totalsRowDxfId="344"/>
    <tableColumn id="11" xr3:uid="{00000000-0010-0000-0700-00000B000000}" name="10" totalsRowFunction="count" dataDxfId="343" totalsRowDxfId="342"/>
    <tableColumn id="12" xr3:uid="{00000000-0010-0000-0700-00000C000000}" name="11" totalsRowFunction="count" dataDxfId="341" totalsRowDxfId="340"/>
    <tableColumn id="13" xr3:uid="{00000000-0010-0000-0700-00000D000000}" name="12" totalsRowFunction="count" dataDxfId="339" totalsRowDxfId="338"/>
    <tableColumn id="14" xr3:uid="{00000000-0010-0000-0700-00000E000000}" name="13" totalsRowFunction="count" dataDxfId="337" totalsRowDxfId="336"/>
    <tableColumn id="15" xr3:uid="{00000000-0010-0000-0700-00000F000000}" name="14" totalsRowFunction="count" dataDxfId="335" totalsRowDxfId="334"/>
    <tableColumn id="16" xr3:uid="{00000000-0010-0000-0700-000010000000}" name="15" totalsRowFunction="count" dataDxfId="333" totalsRowDxfId="332"/>
    <tableColumn id="17" xr3:uid="{00000000-0010-0000-0700-000011000000}" name="16" totalsRowFunction="count" dataDxfId="331" totalsRowDxfId="330"/>
    <tableColumn id="18" xr3:uid="{00000000-0010-0000-0700-000012000000}" name="17" totalsRowFunction="count" dataDxfId="329" totalsRowDxfId="328"/>
    <tableColumn id="19" xr3:uid="{00000000-0010-0000-0700-000013000000}" name="18" totalsRowFunction="count" dataDxfId="327" totalsRowDxfId="326"/>
    <tableColumn id="20" xr3:uid="{00000000-0010-0000-0700-000014000000}" name="19" totalsRowFunction="count" dataDxfId="325" totalsRowDxfId="324"/>
    <tableColumn id="21" xr3:uid="{00000000-0010-0000-0700-000015000000}" name="20" totalsRowFunction="count" dataDxfId="323" totalsRowDxfId="322"/>
    <tableColumn id="22" xr3:uid="{00000000-0010-0000-0700-000016000000}" name="21" totalsRowFunction="count" dataDxfId="321" totalsRowDxfId="320"/>
    <tableColumn id="23" xr3:uid="{00000000-0010-0000-0700-000017000000}" name="22" totalsRowFunction="count" dataDxfId="319" totalsRowDxfId="318"/>
    <tableColumn id="24" xr3:uid="{00000000-0010-0000-0700-000018000000}" name="23" totalsRowFunction="count" dataDxfId="317" totalsRowDxfId="316"/>
    <tableColumn id="25" xr3:uid="{00000000-0010-0000-0700-000019000000}" name="24" totalsRowFunction="count" dataDxfId="315" totalsRowDxfId="314"/>
    <tableColumn id="26" xr3:uid="{00000000-0010-0000-0700-00001A000000}" name="25" totalsRowFunction="count" dataDxfId="313" totalsRowDxfId="312"/>
    <tableColumn id="27" xr3:uid="{00000000-0010-0000-0700-00001B000000}" name="26" totalsRowFunction="count" dataDxfId="311" totalsRowDxfId="310"/>
    <tableColumn id="28" xr3:uid="{00000000-0010-0000-0700-00001C000000}" name="27" totalsRowFunction="count" dataDxfId="309" totalsRowDxfId="308"/>
    <tableColumn id="29" xr3:uid="{00000000-0010-0000-0700-00001D000000}" name="28" totalsRowFunction="count" dataDxfId="307" totalsRowDxfId="306"/>
    <tableColumn id="30" xr3:uid="{00000000-0010-0000-0700-00001E000000}" name="29" totalsRowFunction="count" dataDxfId="305" totalsRowDxfId="304"/>
    <tableColumn id="31" xr3:uid="{00000000-0010-0000-0700-00001F000000}" name="30" totalsRowFunction="count" dataDxfId="303" totalsRowDxfId="302"/>
    <tableColumn id="32" xr3:uid="{00000000-0010-0000-0700-000020000000}" name="31" totalsRowFunction="count" dataDxfId="301" totalsRowDxfId="300"/>
    <tableColumn id="33" xr3:uid="{00000000-0010-0000-0700-000021000000}" name="Total des jours" totalsRowFunction="sum" dataDxfId="299" totalsRowDxfId="298">
      <calculatedColumnFormula>COUNTA(Août[[#This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8000000}" name="Septembre" displayName="Septembre" ref="B6:AH12" totalsRowCount="1" headerRowDxfId="292" dataDxfId="291" totalsRowDxfId="290">
  <tableColumns count="33">
    <tableColumn id="1" xr3:uid="{00000000-0010-0000-0800-000001000000}" name="Nom de l’employé" totalsRowFunction="custom" dataDxfId="289" totalsRowDxfId="288" dataCellStyle="Employé">
      <totalsRowFormula>NomMois&amp;" Total"</totalsRowFormula>
    </tableColumn>
    <tableColumn id="2" xr3:uid="{00000000-0010-0000-0800-000002000000}" name="1" totalsRowFunction="count" dataDxfId="287" totalsRowDxfId="286"/>
    <tableColumn id="3" xr3:uid="{00000000-0010-0000-0800-000003000000}" name="2" totalsRowFunction="count" dataDxfId="285" totalsRowDxfId="284"/>
    <tableColumn id="4" xr3:uid="{00000000-0010-0000-0800-000004000000}" name="3" totalsRowFunction="count" dataDxfId="283" totalsRowDxfId="282"/>
    <tableColumn id="5" xr3:uid="{00000000-0010-0000-0800-000005000000}" name="4" totalsRowFunction="count" dataDxfId="281" totalsRowDxfId="280"/>
    <tableColumn id="6" xr3:uid="{00000000-0010-0000-0800-000006000000}" name="5" totalsRowFunction="count" dataDxfId="279" totalsRowDxfId="278"/>
    <tableColumn id="7" xr3:uid="{00000000-0010-0000-0800-000007000000}" name="6" totalsRowFunction="count" dataDxfId="277" totalsRowDxfId="276"/>
    <tableColumn id="8" xr3:uid="{00000000-0010-0000-0800-000008000000}" name="7" totalsRowFunction="count" dataDxfId="275" totalsRowDxfId="274"/>
    <tableColumn id="9" xr3:uid="{00000000-0010-0000-0800-000009000000}" name="8" totalsRowFunction="count" dataDxfId="273" totalsRowDxfId="272"/>
    <tableColumn id="10" xr3:uid="{00000000-0010-0000-0800-00000A000000}" name="9" totalsRowFunction="count" dataDxfId="271" totalsRowDxfId="270"/>
    <tableColumn id="11" xr3:uid="{00000000-0010-0000-0800-00000B000000}" name="10" totalsRowFunction="count" dataDxfId="269" totalsRowDxfId="268"/>
    <tableColumn id="12" xr3:uid="{00000000-0010-0000-0800-00000C000000}" name="11" totalsRowFunction="count" dataDxfId="267" totalsRowDxfId="266"/>
    <tableColumn id="13" xr3:uid="{00000000-0010-0000-0800-00000D000000}" name="12" totalsRowFunction="count" dataDxfId="265" totalsRowDxfId="264"/>
    <tableColumn id="14" xr3:uid="{00000000-0010-0000-0800-00000E000000}" name="13" totalsRowFunction="count" dataDxfId="263" totalsRowDxfId="262"/>
    <tableColumn id="15" xr3:uid="{00000000-0010-0000-0800-00000F000000}" name="14" totalsRowFunction="count" dataDxfId="261" totalsRowDxfId="260"/>
    <tableColumn id="16" xr3:uid="{00000000-0010-0000-0800-000010000000}" name="15" totalsRowFunction="count" dataDxfId="259" totalsRowDxfId="258"/>
    <tableColumn id="17" xr3:uid="{00000000-0010-0000-0800-000011000000}" name="16" totalsRowFunction="count" dataDxfId="257" totalsRowDxfId="256"/>
    <tableColumn id="18" xr3:uid="{00000000-0010-0000-0800-000012000000}" name="17" totalsRowFunction="count" dataDxfId="255" totalsRowDxfId="254"/>
    <tableColumn id="19" xr3:uid="{00000000-0010-0000-0800-000013000000}" name="18" totalsRowFunction="count" dataDxfId="253" totalsRowDxfId="252"/>
    <tableColumn id="20" xr3:uid="{00000000-0010-0000-0800-000014000000}" name="19" totalsRowFunction="count" dataDxfId="251" totalsRowDxfId="250"/>
    <tableColumn id="21" xr3:uid="{00000000-0010-0000-0800-000015000000}" name="20" totalsRowFunction="count" dataDxfId="249" totalsRowDxfId="248"/>
    <tableColumn id="22" xr3:uid="{00000000-0010-0000-0800-000016000000}" name="21" totalsRowFunction="count" dataDxfId="247" totalsRowDxfId="246"/>
    <tableColumn id="23" xr3:uid="{00000000-0010-0000-0800-000017000000}" name="22" totalsRowFunction="count" dataDxfId="245" totalsRowDxfId="244"/>
    <tableColumn id="24" xr3:uid="{00000000-0010-0000-0800-000018000000}" name="23" totalsRowFunction="count" dataDxfId="243" totalsRowDxfId="242"/>
    <tableColumn id="25" xr3:uid="{00000000-0010-0000-0800-000019000000}" name="24" totalsRowFunction="count" dataDxfId="241" totalsRowDxfId="240"/>
    <tableColumn id="26" xr3:uid="{00000000-0010-0000-0800-00001A000000}" name="25" totalsRowFunction="count" dataDxfId="239" totalsRowDxfId="238"/>
    <tableColumn id="27" xr3:uid="{00000000-0010-0000-0800-00001B000000}" name="26" totalsRowFunction="count" dataDxfId="237" totalsRowDxfId="236"/>
    <tableColumn id="28" xr3:uid="{00000000-0010-0000-0800-00001C000000}" name="27" totalsRowFunction="count" dataDxfId="235" totalsRowDxfId="234"/>
    <tableColumn id="29" xr3:uid="{00000000-0010-0000-0800-00001D000000}" name="28" totalsRowFunction="count" dataDxfId="233" totalsRowDxfId="232"/>
    <tableColumn id="30" xr3:uid="{00000000-0010-0000-0800-00001E000000}" name="29" totalsRowFunction="count" dataDxfId="231" totalsRowDxfId="230"/>
    <tableColumn id="31" xr3:uid="{00000000-0010-0000-0800-00001F000000}" name="30" totalsRowFunction="count" dataDxfId="229" totalsRowDxfId="228"/>
    <tableColumn id="32" xr3:uid="{00000000-0010-0000-0800-000020000000}" name=" " totalsRowFunction="count" dataDxfId="227" totalsRowDxfId="226"/>
    <tableColumn id="33" xr3:uid="{00000000-0010-0000-0800-000021000000}" name="Total des jours" totalsRowFunction="sum" dataDxfId="225" totalsRowDxfId="224">
      <calculatedColumnFormula>COUNTA(Septembre[[#This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9000000}" name="Octobre" displayName="Octobre" ref="B6:AH12" totalsRowCount="1" headerRowDxfId="218" dataDxfId="217" totalsRowDxfId="216">
  <tableColumns count="33">
    <tableColumn id="1" xr3:uid="{00000000-0010-0000-0900-000001000000}" name="Nom de l’employé" totalsRowFunction="custom" dataDxfId="215" totalsRowDxfId="214" dataCellStyle="Employé">
      <totalsRowFormula>NomMois&amp;" Total"</totalsRowFormula>
    </tableColumn>
    <tableColumn id="2" xr3:uid="{00000000-0010-0000-0900-000002000000}" name="1" totalsRowFunction="count" dataDxfId="213" totalsRowDxfId="212"/>
    <tableColumn id="3" xr3:uid="{00000000-0010-0000-0900-000003000000}" name="2" totalsRowFunction="count" dataDxfId="211" totalsRowDxfId="210"/>
    <tableColumn id="4" xr3:uid="{00000000-0010-0000-0900-000004000000}" name="3" totalsRowFunction="count" dataDxfId="209" totalsRowDxfId="208"/>
    <tableColumn id="5" xr3:uid="{00000000-0010-0000-0900-000005000000}" name="4" totalsRowFunction="count" dataDxfId="207" totalsRowDxfId="206"/>
    <tableColumn id="6" xr3:uid="{00000000-0010-0000-0900-000006000000}" name="5" totalsRowFunction="count" dataDxfId="205" totalsRowDxfId="204"/>
    <tableColumn id="7" xr3:uid="{00000000-0010-0000-0900-000007000000}" name="6" totalsRowFunction="count" dataDxfId="203" totalsRowDxfId="202"/>
    <tableColumn id="8" xr3:uid="{00000000-0010-0000-0900-000008000000}" name="7" totalsRowFunction="count" dataDxfId="201" totalsRowDxfId="200"/>
    <tableColumn id="9" xr3:uid="{00000000-0010-0000-0900-000009000000}" name="8" totalsRowFunction="count" dataDxfId="199" totalsRowDxfId="198"/>
    <tableColumn id="10" xr3:uid="{00000000-0010-0000-0900-00000A000000}" name="9" totalsRowFunction="count" dataDxfId="197" totalsRowDxfId="196"/>
    <tableColumn id="11" xr3:uid="{00000000-0010-0000-0900-00000B000000}" name="10" totalsRowFunction="count" dataDxfId="195" totalsRowDxfId="194"/>
    <tableColumn id="12" xr3:uid="{00000000-0010-0000-0900-00000C000000}" name="11" totalsRowFunction="count" dataDxfId="193" totalsRowDxfId="192"/>
    <tableColumn id="13" xr3:uid="{00000000-0010-0000-0900-00000D000000}" name="12" totalsRowFunction="count" dataDxfId="191" totalsRowDxfId="190"/>
    <tableColumn id="14" xr3:uid="{00000000-0010-0000-0900-00000E000000}" name="13" totalsRowFunction="count" dataDxfId="189" totalsRowDxfId="188"/>
    <tableColumn id="15" xr3:uid="{00000000-0010-0000-0900-00000F000000}" name="14" totalsRowFunction="count" dataDxfId="187" totalsRowDxfId="186"/>
    <tableColumn id="16" xr3:uid="{00000000-0010-0000-0900-000010000000}" name="15" totalsRowFunction="count" dataDxfId="185" totalsRowDxfId="184"/>
    <tableColumn id="17" xr3:uid="{00000000-0010-0000-0900-000011000000}" name="16" totalsRowFunction="count" dataDxfId="183" totalsRowDxfId="182"/>
    <tableColumn id="18" xr3:uid="{00000000-0010-0000-0900-000012000000}" name="17" totalsRowFunction="count" dataDxfId="181" totalsRowDxfId="180"/>
    <tableColumn id="19" xr3:uid="{00000000-0010-0000-0900-000013000000}" name="18" totalsRowFunction="count" dataDxfId="179" totalsRowDxfId="178"/>
    <tableColumn id="20" xr3:uid="{00000000-0010-0000-0900-000014000000}" name="19" totalsRowFunction="count" dataDxfId="177" totalsRowDxfId="176"/>
    <tableColumn id="21" xr3:uid="{00000000-0010-0000-0900-000015000000}" name="20" totalsRowFunction="count" dataDxfId="175" totalsRowDxfId="174"/>
    <tableColumn id="22" xr3:uid="{00000000-0010-0000-0900-000016000000}" name="21" totalsRowFunction="count" dataDxfId="173" totalsRowDxfId="172"/>
    <tableColumn id="23" xr3:uid="{00000000-0010-0000-0900-000017000000}" name="22" totalsRowFunction="count" dataDxfId="171" totalsRowDxfId="170"/>
    <tableColumn id="24" xr3:uid="{00000000-0010-0000-0900-000018000000}" name="23" totalsRowFunction="count" dataDxfId="169" totalsRowDxfId="168"/>
    <tableColumn id="25" xr3:uid="{00000000-0010-0000-0900-000019000000}" name="24" totalsRowFunction="count" dataDxfId="167" totalsRowDxfId="166"/>
    <tableColumn id="26" xr3:uid="{00000000-0010-0000-0900-00001A000000}" name="25" totalsRowFunction="count" dataDxfId="165" totalsRowDxfId="164"/>
    <tableColumn id="27" xr3:uid="{00000000-0010-0000-0900-00001B000000}" name="26" totalsRowFunction="count" dataDxfId="163" totalsRowDxfId="162"/>
    <tableColumn id="28" xr3:uid="{00000000-0010-0000-0900-00001C000000}" name="27" totalsRowFunction="count" dataDxfId="161" totalsRowDxfId="160"/>
    <tableColumn id="29" xr3:uid="{00000000-0010-0000-0900-00001D000000}" name="28" totalsRowFunction="count" dataDxfId="159" totalsRowDxfId="158"/>
    <tableColumn id="30" xr3:uid="{00000000-0010-0000-0900-00001E000000}" name="29" totalsRowFunction="count" dataDxfId="157" totalsRowDxfId="156"/>
    <tableColumn id="31" xr3:uid="{00000000-0010-0000-0900-00001F000000}" name="30" totalsRowFunction="count" dataDxfId="155" totalsRowDxfId="154"/>
    <tableColumn id="32" xr3:uid="{00000000-0010-0000-0900-000020000000}" name="31" totalsRowFunction="count" dataDxfId="153" totalsRowDxfId="152"/>
    <tableColumn id="33" xr3:uid="{00000000-0010-0000-0900-000021000000}" name="Total des jours" totalsRowFunction="sum" dataDxfId="151" totalsRowDxfId="150">
      <calculatedColumnFormula>COUNTA(Octobre[[#This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A000000}" name="Novembre" displayName="Novembre" ref="B6:AH12" totalsRowCount="1" headerRowDxfId="144" dataDxfId="143" totalsRowDxfId="142">
  <tableColumns count="33">
    <tableColumn id="1" xr3:uid="{00000000-0010-0000-0A00-000001000000}" name="Nom de l’employé" totalsRowFunction="custom" dataDxfId="141" totalsRowDxfId="140" dataCellStyle="Employé">
      <totalsRowFormula>NomMois&amp;" Total"</totalsRowFormula>
    </tableColumn>
    <tableColumn id="2" xr3:uid="{00000000-0010-0000-0A00-000002000000}" name="1" totalsRowFunction="count" dataDxfId="139" totalsRowDxfId="138"/>
    <tableColumn id="3" xr3:uid="{00000000-0010-0000-0A00-000003000000}" name="2" totalsRowFunction="count" dataDxfId="137" totalsRowDxfId="136"/>
    <tableColumn id="4" xr3:uid="{00000000-0010-0000-0A00-000004000000}" name="3" totalsRowFunction="count" dataDxfId="135" totalsRowDxfId="134"/>
    <tableColumn id="5" xr3:uid="{00000000-0010-0000-0A00-000005000000}" name="4" totalsRowFunction="count" dataDxfId="133" totalsRowDxfId="132"/>
    <tableColumn id="6" xr3:uid="{00000000-0010-0000-0A00-000006000000}" name="5" totalsRowFunction="count" dataDxfId="131" totalsRowDxfId="130"/>
    <tableColumn id="7" xr3:uid="{00000000-0010-0000-0A00-000007000000}" name="6" totalsRowFunction="count" dataDxfId="129" totalsRowDxfId="128"/>
    <tableColumn id="8" xr3:uid="{00000000-0010-0000-0A00-000008000000}" name="7" totalsRowFunction="count" dataDxfId="127" totalsRowDxfId="126"/>
    <tableColumn id="9" xr3:uid="{00000000-0010-0000-0A00-000009000000}" name="8" totalsRowFunction="count" dataDxfId="125" totalsRowDxfId="124"/>
    <tableColumn id="10" xr3:uid="{00000000-0010-0000-0A00-00000A000000}" name="9" totalsRowFunction="count" dataDxfId="123" totalsRowDxfId="122"/>
    <tableColumn id="11" xr3:uid="{00000000-0010-0000-0A00-00000B000000}" name="10" totalsRowFunction="count" dataDxfId="121" totalsRowDxfId="120"/>
    <tableColumn id="12" xr3:uid="{00000000-0010-0000-0A00-00000C000000}" name="11" totalsRowFunction="count" dataDxfId="119" totalsRowDxfId="118"/>
    <tableColumn id="13" xr3:uid="{00000000-0010-0000-0A00-00000D000000}" name="12" totalsRowFunction="count" dataDxfId="117" totalsRowDxfId="116"/>
    <tableColumn id="14" xr3:uid="{00000000-0010-0000-0A00-00000E000000}" name="13" totalsRowFunction="count" dataDxfId="115" totalsRowDxfId="114"/>
    <tableColumn id="15" xr3:uid="{00000000-0010-0000-0A00-00000F000000}" name="14" totalsRowFunction="count" dataDxfId="113" totalsRowDxfId="112"/>
    <tableColumn id="16" xr3:uid="{00000000-0010-0000-0A00-000010000000}" name="15" totalsRowFunction="count" dataDxfId="111" totalsRowDxfId="110"/>
    <tableColumn id="17" xr3:uid="{00000000-0010-0000-0A00-000011000000}" name="16" totalsRowFunction="count" dataDxfId="109" totalsRowDxfId="108"/>
    <tableColumn id="18" xr3:uid="{00000000-0010-0000-0A00-000012000000}" name="17" totalsRowFunction="count" dataDxfId="107" totalsRowDxfId="106"/>
    <tableColumn id="19" xr3:uid="{00000000-0010-0000-0A00-000013000000}" name="18" totalsRowFunction="count" dataDxfId="105" totalsRowDxfId="104"/>
    <tableColumn id="20" xr3:uid="{00000000-0010-0000-0A00-000014000000}" name="19" totalsRowFunction="count" dataDxfId="103" totalsRowDxfId="102"/>
    <tableColumn id="21" xr3:uid="{00000000-0010-0000-0A00-000015000000}" name="20" totalsRowFunction="count" dataDxfId="101" totalsRowDxfId="100"/>
    <tableColumn id="22" xr3:uid="{00000000-0010-0000-0A00-000016000000}" name="21" totalsRowFunction="count" dataDxfId="99" totalsRowDxfId="98"/>
    <tableColumn id="23" xr3:uid="{00000000-0010-0000-0A00-000017000000}" name="22" totalsRowFunction="count" dataDxfId="97" totalsRowDxfId="96"/>
    <tableColumn id="24" xr3:uid="{00000000-0010-0000-0A00-000018000000}" name="23" totalsRowFunction="count" dataDxfId="95" totalsRowDxfId="94"/>
    <tableColumn id="25" xr3:uid="{00000000-0010-0000-0A00-000019000000}" name="24" totalsRowFunction="count" dataDxfId="93" totalsRowDxfId="92"/>
    <tableColumn id="26" xr3:uid="{00000000-0010-0000-0A00-00001A000000}" name="25" totalsRowFunction="count" dataDxfId="91" totalsRowDxfId="90"/>
    <tableColumn id="27" xr3:uid="{00000000-0010-0000-0A00-00001B000000}" name="26" totalsRowFunction="count" dataDxfId="89" totalsRowDxfId="88"/>
    <tableColumn id="28" xr3:uid="{00000000-0010-0000-0A00-00001C000000}" name="27" totalsRowFunction="count" dataDxfId="87" totalsRowDxfId="86"/>
    <tableColumn id="29" xr3:uid="{00000000-0010-0000-0A00-00001D000000}" name="28" totalsRowFunction="count" dataDxfId="85" totalsRowDxfId="84"/>
    <tableColumn id="30" xr3:uid="{00000000-0010-0000-0A00-00001E000000}" name="29" totalsRowFunction="count" dataDxfId="83" totalsRowDxfId="82"/>
    <tableColumn id="31" xr3:uid="{00000000-0010-0000-0A00-00001F000000}" name="30" totalsRowFunction="count" dataDxfId="81" totalsRowDxfId="80"/>
    <tableColumn id="32" xr3:uid="{00000000-0010-0000-0A00-000020000000}" name=" " totalsRowFunction="count" dataDxfId="79" totalsRowDxfId="78"/>
    <tableColumn id="33" xr3:uid="{00000000-0010-0000-0A00-000021000000}" name="Total des jours" totalsRowFunction="sum" dataDxfId="77" totalsRowDxfId="76">
      <calculatedColumnFormula>COUNTA(Novembre[[#This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Décembre" displayName="Décembre" ref="B6:AH12" totalsRowCount="1" headerRowDxfId="70" dataDxfId="69" totalsRowDxfId="68">
  <tableColumns count="33">
    <tableColumn id="1" xr3:uid="{00000000-0010-0000-0B00-000001000000}" name="Nom de l’employé" totalsRowFunction="custom" dataDxfId="67" totalsRowDxfId="66" dataCellStyle="Employé">
      <totalsRowFormula>NomMois&amp;" Total"</totalsRowFormula>
    </tableColumn>
    <tableColumn id="2" xr3:uid="{00000000-0010-0000-0B00-000002000000}" name="1" totalsRowFunction="count" dataDxfId="65" totalsRowDxfId="64"/>
    <tableColumn id="3" xr3:uid="{00000000-0010-0000-0B00-000003000000}" name="2" totalsRowFunction="count" dataDxfId="63" totalsRowDxfId="62"/>
    <tableColumn id="4" xr3:uid="{00000000-0010-0000-0B00-000004000000}" name="3" totalsRowFunction="count" dataDxfId="61" totalsRowDxfId="60"/>
    <tableColumn id="5" xr3:uid="{00000000-0010-0000-0B00-000005000000}" name="4" totalsRowFunction="count" dataDxfId="59" totalsRowDxfId="58"/>
    <tableColumn id="6" xr3:uid="{00000000-0010-0000-0B00-000006000000}" name="5" totalsRowFunction="count" dataDxfId="57" totalsRowDxfId="56"/>
    <tableColumn id="7" xr3:uid="{00000000-0010-0000-0B00-000007000000}" name="6" totalsRowFunction="count" dataDxfId="55" totalsRowDxfId="54"/>
    <tableColumn id="8" xr3:uid="{00000000-0010-0000-0B00-000008000000}" name="7" totalsRowFunction="count" dataDxfId="53" totalsRowDxfId="52"/>
    <tableColumn id="9" xr3:uid="{00000000-0010-0000-0B00-000009000000}" name="8" totalsRowFunction="count" dataDxfId="51" totalsRowDxfId="50"/>
    <tableColumn id="10" xr3:uid="{00000000-0010-0000-0B00-00000A000000}" name="9" totalsRowFunction="count" dataDxfId="49" totalsRowDxfId="48"/>
    <tableColumn id="11" xr3:uid="{00000000-0010-0000-0B00-00000B000000}" name="10" totalsRowFunction="count" dataDxfId="47" totalsRowDxfId="46"/>
    <tableColumn id="12" xr3:uid="{00000000-0010-0000-0B00-00000C000000}" name="11" totalsRowFunction="count" dataDxfId="45" totalsRowDxfId="44"/>
    <tableColumn id="13" xr3:uid="{00000000-0010-0000-0B00-00000D000000}" name="12" totalsRowFunction="count" dataDxfId="43" totalsRowDxfId="42"/>
    <tableColumn id="14" xr3:uid="{00000000-0010-0000-0B00-00000E000000}" name="13" totalsRowFunction="count" dataDxfId="41" totalsRowDxfId="40"/>
    <tableColumn id="15" xr3:uid="{00000000-0010-0000-0B00-00000F000000}" name="14" totalsRowFunction="count" dataDxfId="39" totalsRowDxfId="38"/>
    <tableColumn id="16" xr3:uid="{00000000-0010-0000-0B00-000010000000}" name="15" totalsRowFunction="count" dataDxfId="37" totalsRowDxfId="36"/>
    <tableColumn id="17" xr3:uid="{00000000-0010-0000-0B00-000011000000}" name="16" totalsRowFunction="count" dataDxfId="35" totalsRowDxfId="34"/>
    <tableColumn id="18" xr3:uid="{00000000-0010-0000-0B00-000012000000}" name="17" totalsRowFunction="count" dataDxfId="33" totalsRowDxfId="32"/>
    <tableColumn id="19" xr3:uid="{00000000-0010-0000-0B00-000013000000}" name="18" totalsRowFunction="count" dataDxfId="31" totalsRowDxfId="30"/>
    <tableColumn id="20" xr3:uid="{00000000-0010-0000-0B00-000014000000}" name="19" totalsRowFunction="count" dataDxfId="29" totalsRowDxfId="28"/>
    <tableColumn id="21" xr3:uid="{00000000-0010-0000-0B00-000015000000}" name="20" totalsRowFunction="count" dataDxfId="27" totalsRowDxfId="26"/>
    <tableColumn id="22" xr3:uid="{00000000-0010-0000-0B00-000016000000}" name="21" totalsRowFunction="count" dataDxfId="25" totalsRowDxfId="24"/>
    <tableColumn id="23" xr3:uid="{00000000-0010-0000-0B00-000017000000}" name="22" totalsRowFunction="count" dataDxfId="23" totalsRowDxfId="22"/>
    <tableColumn id="24" xr3:uid="{00000000-0010-0000-0B00-000018000000}" name="23" totalsRowFunction="count" dataDxfId="21" totalsRowDxfId="20"/>
    <tableColumn id="25" xr3:uid="{00000000-0010-0000-0B00-000019000000}" name="24" totalsRowFunction="count" dataDxfId="19" totalsRowDxfId="18"/>
    <tableColumn id="26" xr3:uid="{00000000-0010-0000-0B00-00001A000000}" name="25" totalsRowFunction="count" dataDxfId="17" totalsRowDxfId="16"/>
    <tableColumn id="27" xr3:uid="{00000000-0010-0000-0B00-00001B000000}" name="26" totalsRowFunction="count" dataDxfId="15" totalsRowDxfId="14"/>
    <tableColumn id="28" xr3:uid="{00000000-0010-0000-0B00-00001C000000}" name="27" totalsRowFunction="count" dataDxfId="13" totalsRowDxfId="12"/>
    <tableColumn id="29" xr3:uid="{00000000-0010-0000-0B00-00001D000000}" name="28" totalsRowFunction="count" dataDxfId="11" totalsRowDxfId="10"/>
    <tableColumn id="30" xr3:uid="{00000000-0010-0000-0B00-00001E000000}" name="29" totalsRowFunction="count" dataDxfId="9" totalsRowDxfId="8"/>
    <tableColumn id="31" xr3:uid="{00000000-0010-0000-0B00-00001F000000}" name="30" totalsRowFunction="count" dataDxfId="7" totalsRowDxfId="6"/>
    <tableColumn id="32" xr3:uid="{00000000-0010-0000-0B00-000020000000}" name="31" totalsRowFunction="count" dataDxfId="5" totalsRowDxfId="4"/>
    <tableColumn id="33" xr3:uid="{00000000-0010-0000-0B00-000021000000}" name="Total des jours" totalsRowFunction="sum" dataDxfId="3" totalsRowDxfId="2">
      <calculatedColumnFormula>COUNTA(Décembre[[#This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NomEmployé" displayName="NomEmployé" ref="B3:B121">
  <autoFilter ref="B3:B121" xr:uid="{00000000-0009-0000-0100-00000D000000}"/>
  <tableColumns count="1">
    <tableColumn id="1" xr3:uid="{00000000-0010-0000-0C00-000001000000}" name="Noms des employés" totalsRowFunction="count" totalsRowDxfId="1"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AI349"/>
  <sheetViews>
    <sheetView showGridLines="0" tabSelected="1" zoomScaleNormal="100" workbookViewId="0">
      <selection activeCell="AH7" sqref="AH7"/>
    </sheetView>
  </sheetViews>
  <sheetFormatPr baseColWidth="10" defaultColWidth="9.109375" defaultRowHeight="30" customHeight="1" x14ac:dyDescent="0.3"/>
  <cols>
    <col min="1" max="1" width="19" style="2" customWidth="1"/>
    <col min="2" max="32" width="4.6640625" customWidth="1"/>
    <col min="33" max="33" width="11.5546875" customWidth="1"/>
    <col min="34" max="34" width="12.88671875" customWidth="1"/>
  </cols>
  <sheetData>
    <row r="1" spans="1:35" ht="50.1" customHeight="1" x14ac:dyDescent="0.3">
      <c r="A1" s="21" t="s">
        <v>72</v>
      </c>
    </row>
    <row r="2" spans="1:35" s="20" customFormat="1" ht="15" customHeight="1" x14ac:dyDescent="0.3">
      <c r="A2" s="28" t="s">
        <v>69</v>
      </c>
      <c r="B2" s="32" t="s">
        <v>13</v>
      </c>
      <c r="C2" s="36" t="s">
        <v>80</v>
      </c>
      <c r="D2" s="36"/>
      <c r="E2" s="22" t="s">
        <v>63</v>
      </c>
      <c r="F2" s="34" t="s">
        <v>67</v>
      </c>
      <c r="G2" s="34"/>
      <c r="H2" s="34"/>
      <c r="I2" s="34"/>
      <c r="J2" s="23" t="s">
        <v>66</v>
      </c>
      <c r="K2" s="34" t="s">
        <v>78</v>
      </c>
      <c r="L2" s="34"/>
      <c r="M2" s="34"/>
      <c r="N2" s="34"/>
      <c r="O2" s="34"/>
      <c r="P2" s="24" t="s">
        <v>68</v>
      </c>
      <c r="Q2" s="34" t="s">
        <v>79</v>
      </c>
      <c r="R2" s="34"/>
      <c r="S2" s="34"/>
      <c r="T2" s="34"/>
      <c r="U2" s="25" t="s">
        <v>70</v>
      </c>
      <c r="V2" s="34" t="s">
        <v>71</v>
      </c>
      <c r="W2" s="34"/>
      <c r="X2" s="34"/>
      <c r="Y2" s="34"/>
      <c r="Z2" s="26" t="s">
        <v>74</v>
      </c>
      <c r="AA2" s="34" t="s">
        <v>73</v>
      </c>
      <c r="AB2" s="34"/>
      <c r="AC2" s="34"/>
      <c r="AD2" s="34"/>
      <c r="AE2" s="34"/>
      <c r="AF2" s="34"/>
      <c r="AG2" s="34"/>
      <c r="AH2" s="34"/>
    </row>
    <row r="3" spans="1:35" ht="34.799999999999997" customHeight="1" x14ac:dyDescent="0.3">
      <c r="AG3" s="16" t="s">
        <v>47</v>
      </c>
    </row>
    <row r="4" spans="1:35" ht="30" customHeight="1" x14ac:dyDescent="0.3">
      <c r="A4" s="35" t="s">
        <v>1</v>
      </c>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3">
        <v>2023</v>
      </c>
    </row>
    <row r="5" spans="1:35" ht="15" customHeight="1" x14ac:dyDescent="0.3">
      <c r="A5" s="10"/>
      <c r="B5" s="2" t="str">
        <f>TEXT(WEEKDAY(DATE(AnnéeCalendrier,1,1),1),"jjj")</f>
        <v>dim</v>
      </c>
      <c r="C5" s="2" t="str">
        <f>TEXT(WEEKDAY(DATE(AnnéeCalendrier,1,2),1),"jjj")</f>
        <v>lun</v>
      </c>
      <c r="D5" s="2" t="str">
        <f>TEXT(WEEKDAY(DATE(AnnéeCalendrier,1,3),1),"jjj")</f>
        <v>mar</v>
      </c>
      <c r="E5" s="2" t="str">
        <f>TEXT(WEEKDAY(DATE(AnnéeCalendrier,1,4),1),"jjj")</f>
        <v>mer</v>
      </c>
      <c r="F5" s="2" t="str">
        <f>TEXT(WEEKDAY(DATE(AnnéeCalendrier,1,5),1),"jjj")</f>
        <v>jeu</v>
      </c>
      <c r="G5" s="2" t="str">
        <f>TEXT(WEEKDAY(DATE(AnnéeCalendrier,1,6),1),"jjj")</f>
        <v>ven</v>
      </c>
      <c r="H5" s="2" t="str">
        <f>TEXT(WEEKDAY(DATE(AnnéeCalendrier,1,7),1),"jjj")</f>
        <v>sam</v>
      </c>
      <c r="I5" s="2" t="str">
        <f>TEXT(WEEKDAY(DATE(AnnéeCalendrier,1,8),1),"jjj")</f>
        <v>dim</v>
      </c>
      <c r="J5" s="2" t="str">
        <f>TEXT(WEEKDAY(DATE(AnnéeCalendrier,1,9),1),"jjj")</f>
        <v>lun</v>
      </c>
      <c r="K5" s="2" t="str">
        <f>TEXT(WEEKDAY(DATE(AnnéeCalendrier,1,10),1),"jjj")</f>
        <v>mar</v>
      </c>
      <c r="L5" s="2" t="str">
        <f>TEXT(WEEKDAY(DATE(AnnéeCalendrier,1,11),1),"jjj")</f>
        <v>mer</v>
      </c>
      <c r="M5" s="2" t="str">
        <f>TEXT(WEEKDAY(DATE(AnnéeCalendrier,1,12),1),"jjj")</f>
        <v>jeu</v>
      </c>
      <c r="N5" s="2" t="str">
        <f>TEXT(WEEKDAY(DATE(AnnéeCalendrier,1,13),1),"jjj")</f>
        <v>ven</v>
      </c>
      <c r="O5" s="2" t="str">
        <f>TEXT(WEEKDAY(DATE(AnnéeCalendrier,1,14),1),"jjj")</f>
        <v>sam</v>
      </c>
      <c r="P5" s="2" t="str">
        <f>TEXT(WEEKDAY(DATE(AnnéeCalendrier,1,15),1),"jjj")</f>
        <v>dim</v>
      </c>
      <c r="Q5" s="2" t="str">
        <f>TEXT(WEEKDAY(DATE(AnnéeCalendrier,1,16),1),"jjj")</f>
        <v>lun</v>
      </c>
      <c r="R5" s="2" t="str">
        <f>TEXT(WEEKDAY(DATE(AnnéeCalendrier,1,17),1),"jjj")</f>
        <v>mar</v>
      </c>
      <c r="S5" s="2" t="str">
        <f>TEXT(WEEKDAY(DATE(AnnéeCalendrier,1,18),1),"jjj")</f>
        <v>mer</v>
      </c>
      <c r="T5" s="2" t="str">
        <f>TEXT(WEEKDAY(DATE(AnnéeCalendrier,1,19),1),"jjj")</f>
        <v>jeu</v>
      </c>
      <c r="U5" s="2" t="str">
        <f>TEXT(WEEKDAY(DATE(AnnéeCalendrier,1,20),1),"jjj")</f>
        <v>ven</v>
      </c>
      <c r="V5" s="2" t="str">
        <f>TEXT(WEEKDAY(DATE(AnnéeCalendrier,1,21),1),"jjj")</f>
        <v>sam</v>
      </c>
      <c r="W5" s="2" t="str">
        <f>TEXT(WEEKDAY(DATE(AnnéeCalendrier,1,22),1),"jjj")</f>
        <v>dim</v>
      </c>
      <c r="X5" s="2" t="str">
        <f>TEXT(WEEKDAY(DATE(AnnéeCalendrier,1,23),1),"jjj")</f>
        <v>lun</v>
      </c>
      <c r="Y5" s="2" t="str">
        <f>TEXT(WEEKDAY(DATE(AnnéeCalendrier,1,24),1),"jjj")</f>
        <v>mar</v>
      </c>
      <c r="Z5" s="2" t="str">
        <f>TEXT(WEEKDAY(DATE(AnnéeCalendrier,1,25),1),"jjj")</f>
        <v>mer</v>
      </c>
      <c r="AA5" s="2" t="str">
        <f>TEXT(WEEKDAY(DATE(AnnéeCalendrier,1,26),1),"jjj")</f>
        <v>jeu</v>
      </c>
      <c r="AB5" s="2" t="str">
        <f>TEXT(WEEKDAY(DATE(AnnéeCalendrier,1,27),1),"jjj")</f>
        <v>ven</v>
      </c>
      <c r="AC5" s="2" t="str">
        <f>TEXT(WEEKDAY(DATE(AnnéeCalendrier,1,28),1),"jjj")</f>
        <v>sam</v>
      </c>
      <c r="AD5" s="2" t="str">
        <f>TEXT(WEEKDAY(DATE(AnnéeCalendrier,1,29),1),"jjj")</f>
        <v>dim</v>
      </c>
      <c r="AE5" s="2" t="str">
        <f>TEXT(WEEKDAY(DATE(AnnéeCalendrier,1,30),1),"jjj")</f>
        <v>lun</v>
      </c>
      <c r="AF5" s="2" t="str">
        <f>TEXT(WEEKDAY(DATE(AnnéeCalendrier,1,31),1),"jjj")</f>
        <v>mar</v>
      </c>
      <c r="AG5" s="10" t="s">
        <v>76</v>
      </c>
    </row>
    <row r="6" spans="1:35" ht="15" customHeight="1" x14ac:dyDescent="0.3">
      <c r="A6" s="30" t="s">
        <v>75</v>
      </c>
      <c r="B6" s="2" t="s">
        <v>9</v>
      </c>
      <c r="C6" s="2" t="s">
        <v>11</v>
      </c>
      <c r="D6" s="2" t="s">
        <v>12</v>
      </c>
      <c r="E6" s="2" t="s">
        <v>14</v>
      </c>
      <c r="F6" s="2" t="s">
        <v>16</v>
      </c>
      <c r="G6" s="2" t="s">
        <v>18</v>
      </c>
      <c r="H6" s="2" t="s">
        <v>19</v>
      </c>
      <c r="I6" s="2" t="s">
        <v>20</v>
      </c>
      <c r="J6" s="2" t="s">
        <v>21</v>
      </c>
      <c r="K6" s="2" t="s">
        <v>23</v>
      </c>
      <c r="L6" s="2" t="s">
        <v>24</v>
      </c>
      <c r="M6" s="2" t="s">
        <v>25</v>
      </c>
      <c r="N6" s="2" t="s">
        <v>27</v>
      </c>
      <c r="O6" s="2" t="s">
        <v>28</v>
      </c>
      <c r="P6" s="2" t="s">
        <v>29</v>
      </c>
      <c r="Q6" s="2" t="s">
        <v>30</v>
      </c>
      <c r="R6" s="2" t="s">
        <v>32</v>
      </c>
      <c r="S6" s="2" t="s">
        <v>33</v>
      </c>
      <c r="T6" s="2" t="s">
        <v>34</v>
      </c>
      <c r="U6" s="2" t="s">
        <v>35</v>
      </c>
      <c r="V6" s="2" t="s">
        <v>36</v>
      </c>
      <c r="W6" s="2" t="s">
        <v>37</v>
      </c>
      <c r="X6" s="2" t="s">
        <v>38</v>
      </c>
      <c r="Y6" s="2" t="s">
        <v>39</v>
      </c>
      <c r="Z6" s="2" t="s">
        <v>40</v>
      </c>
      <c r="AA6" s="2" t="s">
        <v>41</v>
      </c>
      <c r="AB6" s="2" t="s">
        <v>42</v>
      </c>
      <c r="AC6" s="2" t="s">
        <v>43</v>
      </c>
      <c r="AD6" s="2" t="s">
        <v>44</v>
      </c>
      <c r="AE6" s="2" t="s">
        <v>45</v>
      </c>
      <c r="AF6" s="2" t="s">
        <v>46</v>
      </c>
      <c r="AG6" s="14" t="s">
        <v>77</v>
      </c>
      <c r="AH6" t="s">
        <v>83</v>
      </c>
      <c r="AI6" t="s">
        <v>82</v>
      </c>
    </row>
    <row r="7" spans="1:35" s="20" customFormat="1" ht="30" customHeight="1" x14ac:dyDescent="0.3">
      <c r="A7" s="31" t="s">
        <v>81</v>
      </c>
      <c r="B7" s="27"/>
      <c r="C7" s="27"/>
      <c r="D7" s="27"/>
      <c r="E7" s="27" t="s">
        <v>13</v>
      </c>
      <c r="F7" s="27"/>
      <c r="G7" s="27"/>
      <c r="H7" s="27" t="s">
        <v>63</v>
      </c>
      <c r="I7" s="27"/>
      <c r="J7" s="27" t="s">
        <v>66</v>
      </c>
      <c r="K7" s="27"/>
      <c r="L7" s="27"/>
      <c r="M7" s="27"/>
      <c r="N7" s="27"/>
      <c r="O7" s="27"/>
      <c r="P7" s="27"/>
      <c r="Q7" s="27"/>
      <c r="R7" s="27" t="s">
        <v>13</v>
      </c>
      <c r="S7" s="27"/>
      <c r="T7" s="27"/>
      <c r="U7" s="27"/>
      <c r="V7" s="27" t="s">
        <v>13</v>
      </c>
      <c r="W7" s="27"/>
      <c r="X7" s="27"/>
      <c r="Y7" s="27"/>
      <c r="Z7" s="27"/>
      <c r="AA7" s="27"/>
      <c r="AB7" s="27"/>
      <c r="AC7" s="27"/>
      <c r="AD7" s="27"/>
      <c r="AE7" s="27"/>
      <c r="AF7" s="27"/>
      <c r="AG7" s="29" cm="1">
        <f t="array" ref="AG7">SUM(IF((Janvier[[#This Row],[1]:[31]])="P",1,0))</f>
        <v>3</v>
      </c>
      <c r="AH7" s="20" cm="1">
        <f t="array" ref="AH7">SUM(IF((Janvier[[#This Row],[1]:[31]])="P",1,0))</f>
        <v>3</v>
      </c>
    </row>
    <row r="8" spans="1:35" s="20" customFormat="1" ht="30" customHeight="1" x14ac:dyDescent="0.3">
      <c r="A8" s="31" t="s">
        <v>4</v>
      </c>
      <c r="B8" s="27"/>
      <c r="C8" s="27"/>
      <c r="D8" s="27"/>
      <c r="E8" s="27"/>
      <c r="F8" s="27"/>
      <c r="G8" s="27"/>
      <c r="H8" s="27"/>
      <c r="I8" s="27"/>
      <c r="J8" s="27" t="s">
        <v>63</v>
      </c>
      <c r="K8" s="27"/>
      <c r="L8" s="27"/>
      <c r="M8" s="27"/>
      <c r="N8" s="27"/>
      <c r="O8" s="27"/>
      <c r="P8" s="27"/>
      <c r="Q8" s="27"/>
      <c r="R8" s="27"/>
      <c r="S8" s="27"/>
      <c r="T8" s="27"/>
      <c r="U8" s="27"/>
      <c r="V8" s="27"/>
      <c r="W8" s="27"/>
      <c r="X8" s="27"/>
      <c r="Y8" s="27"/>
      <c r="Z8" s="27"/>
      <c r="AA8" s="27"/>
      <c r="AB8" s="27"/>
      <c r="AC8" s="27"/>
      <c r="AD8" s="27"/>
      <c r="AE8" s="27"/>
      <c r="AF8" s="27"/>
      <c r="AG8" s="29" cm="1">
        <f t="array" ref="AG8">SUM(IF((Janvier[[#This Row],[1]:[31]])="P",1,0))</f>
        <v>0</v>
      </c>
      <c r="AH8" s="20" cm="1">
        <f t="array" ref="AH8">SUM(IF((Janvier[[#This Row],[1]:[31]])="P",1,0))</f>
        <v>0</v>
      </c>
      <c r="AI8" s="20" t="e" cm="1">
        <f t="array" ref="AI8">J</f>
        <v>#NAME?</v>
      </c>
    </row>
    <row r="9" spans="1:35" s="20" customFormat="1" ht="30" customHeight="1" x14ac:dyDescent="0.3">
      <c r="A9" s="31" t="s">
        <v>5</v>
      </c>
      <c r="B9" s="27"/>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9" cm="1">
        <f t="array" ref="AG9">SUM(IF((Janvier[[#This Row],[1]:[31]])="P",1,0))</f>
        <v>0</v>
      </c>
      <c r="AH9" s="20" cm="1">
        <f t="array" ref="AH9">SUM(IF((Janvier[[#This Row],[1]:[31]])="P",1,0))</f>
        <v>0</v>
      </c>
      <c r="AI9" s="20" t="e" cm="1">
        <f t="array" ref="AI9">J</f>
        <v>#NAME?</v>
      </c>
    </row>
    <row r="10" spans="1:35" s="20" customFormat="1" ht="30" customHeight="1" x14ac:dyDescent="0.3">
      <c r="A10" s="31" t="s">
        <v>6</v>
      </c>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9" cm="1">
        <f t="array" ref="AG10">SUM(IF((Janvier[[#This Row],[1]:[31]])="P",1,0))</f>
        <v>0</v>
      </c>
      <c r="AH10" s="20" cm="1">
        <f t="array" ref="AH10">SUM(IF((Janvier[[#This Row],[1]:[31]])="P",1,0))</f>
        <v>0</v>
      </c>
      <c r="AI10" s="20" t="e" cm="1">
        <f t="array" ref="AI10">J</f>
        <v>#NAME?</v>
      </c>
    </row>
    <row r="11" spans="1:35" s="20" customFormat="1" ht="30" customHeight="1" x14ac:dyDescent="0.3">
      <c r="A11" s="31" t="s">
        <v>7</v>
      </c>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9" cm="1">
        <f t="array" ref="AG11">SUM(IF((Janvier[[#This Row],[1]:[31]])="P",1,0))</f>
        <v>0</v>
      </c>
      <c r="AH11" s="20" cm="1">
        <f t="array" ref="AH11">SUM(IF((Janvier[[#This Row],[1]:[31]])="P",1,0))</f>
        <v>0</v>
      </c>
      <c r="AI11" s="20" t="e" cm="1">
        <f t="array" ref="AI11">J</f>
        <v>#NAME?</v>
      </c>
    </row>
    <row r="12" spans="1:35" s="20" customFormat="1" ht="30" customHeight="1" x14ac:dyDescent="0.3">
      <c r="A12" s="31"/>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9" cm="1">
        <f t="array" ref="AG12">SUM(IF((Janvier[[#This Row],[1]:[31]])="P",1,0))</f>
        <v>0</v>
      </c>
      <c r="AH12" s="20" cm="1">
        <f t="array" ref="AH12">SUM(IF((Janvier[[#This Row],[1]:[31]])="P",1,0))</f>
        <v>0</v>
      </c>
      <c r="AI12" s="20" t="e" cm="1">
        <f t="array" ref="AI12">J</f>
        <v>#NAME?</v>
      </c>
    </row>
    <row r="13" spans="1:35" s="20" customFormat="1" ht="30" customHeight="1" x14ac:dyDescent="0.3">
      <c r="A13" s="31"/>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9" cm="1">
        <f t="array" ref="AG13">SUM(IF((Janvier[[#This Row],[1]:[31]])="P",1,0))</f>
        <v>0</v>
      </c>
      <c r="AH13" s="20" cm="1">
        <f t="array" ref="AH13">SUM(IF((Janvier[[#This Row],[1]:[31]])="P",1,0))</f>
        <v>0</v>
      </c>
      <c r="AI13" s="20" t="e" cm="1">
        <f t="array" ref="AI13">J</f>
        <v>#NAME?</v>
      </c>
    </row>
    <row r="14" spans="1:35" s="20" customFormat="1" ht="30" customHeight="1" x14ac:dyDescent="0.3">
      <c r="A14" s="31"/>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9" cm="1">
        <f t="array" ref="AG14">SUM(IF((Janvier[[#This Row],[1]:[31]])="P",1,0))</f>
        <v>0</v>
      </c>
      <c r="AH14" s="20" cm="1">
        <f t="array" ref="AH14">SUM(IF((Janvier[[#This Row],[1]:[31]])="P",1,0))</f>
        <v>0</v>
      </c>
      <c r="AI14" s="20" t="e" cm="1">
        <f t="array" ref="AI14">J</f>
        <v>#NAME?</v>
      </c>
    </row>
    <row r="15" spans="1:35" s="20" customFormat="1" ht="30" customHeight="1" x14ac:dyDescent="0.3">
      <c r="A15" s="31"/>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9" cm="1">
        <f t="array" ref="AG15">SUM(IF((Janvier[[#This Row],[1]:[31]])="P",1,0))</f>
        <v>0</v>
      </c>
      <c r="AH15" s="20" cm="1">
        <f t="array" ref="AH15">SUM(IF((Janvier[[#This Row],[1]:[31]])="P",1,0))</f>
        <v>0</v>
      </c>
      <c r="AI15" s="20" t="e" cm="1">
        <f t="array" ref="AI15">J</f>
        <v>#NAME?</v>
      </c>
    </row>
    <row r="16" spans="1:35" s="20" customFormat="1" ht="30" customHeight="1" x14ac:dyDescent="0.3">
      <c r="A16" s="31"/>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9" cm="1">
        <f t="array" ref="AG16">SUM(IF((Janvier[[#This Row],[1]:[31]])="P",1,0))</f>
        <v>0</v>
      </c>
      <c r="AH16" s="20" cm="1">
        <f t="array" ref="AH16">SUM(IF((Janvier[[#This Row],[1]:[31]])="P",1,0))</f>
        <v>0</v>
      </c>
      <c r="AI16" s="20" t="e" cm="1">
        <f t="array" ref="AI16">J</f>
        <v>#NAME?</v>
      </c>
    </row>
    <row r="17" spans="1:35" s="20" customFormat="1" ht="30" customHeight="1" x14ac:dyDescent="0.3">
      <c r="A17" s="31"/>
      <c r="B17" s="27"/>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9" cm="1">
        <f t="array" ref="AG17">SUM(IF((Janvier[[#This Row],[1]:[31]])="P",1,0))</f>
        <v>0</v>
      </c>
      <c r="AH17" s="20" cm="1">
        <f t="array" ref="AH17">SUM(IF((Janvier[[#This Row],[1]:[31]])="P",1,0))</f>
        <v>0</v>
      </c>
      <c r="AI17" s="20" t="e" cm="1">
        <f t="array" ref="AI17">J</f>
        <v>#NAME?</v>
      </c>
    </row>
    <row r="18" spans="1:35" s="20" customFormat="1" ht="30" customHeight="1" x14ac:dyDescent="0.3">
      <c r="A18" s="31"/>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9" cm="1">
        <f t="array" ref="AG18">SUM(IF((Janvier[[#This Row],[1]:[31]])="P",1,0))</f>
        <v>0</v>
      </c>
      <c r="AH18" s="20" cm="1">
        <f t="array" ref="AH18">SUM(IF((Janvier[[#This Row],[1]:[31]])="P",1,0))</f>
        <v>0</v>
      </c>
      <c r="AI18" s="20" t="e" cm="1">
        <f t="array" ref="AI18">J</f>
        <v>#NAME?</v>
      </c>
    </row>
    <row r="19" spans="1:35" s="20" customFormat="1" ht="30" customHeight="1" x14ac:dyDescent="0.3">
      <c r="A19" s="31"/>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9" cm="1">
        <f t="array" ref="AG19">SUM(IF((Janvier[[#This Row],[1]:[31]])="P",1,0))</f>
        <v>0</v>
      </c>
      <c r="AH19" s="20" cm="1">
        <f t="array" ref="AH19">SUM(IF((Janvier[[#This Row],[1]:[31]])="P",1,0))</f>
        <v>0</v>
      </c>
      <c r="AI19" s="20" t="e" cm="1">
        <f t="array" ref="AI19">J</f>
        <v>#NAME?</v>
      </c>
    </row>
    <row r="20" spans="1:35" s="20" customFormat="1" ht="30" customHeight="1" x14ac:dyDescent="0.3">
      <c r="A20" s="31"/>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9" cm="1">
        <f t="array" ref="AG20">SUM(IF((Janvier[[#This Row],[1]:[31]])="P",1,0))</f>
        <v>0</v>
      </c>
      <c r="AH20" s="20" cm="1">
        <f t="array" ref="AH20">SUM(IF((Janvier[[#This Row],[1]:[31]])="P",1,0))</f>
        <v>0</v>
      </c>
      <c r="AI20" s="20" t="e" cm="1">
        <f t="array" ref="AI20">J</f>
        <v>#NAME?</v>
      </c>
    </row>
    <row r="21" spans="1:35" s="20" customFormat="1" ht="30" customHeight="1" x14ac:dyDescent="0.3">
      <c r="A21" s="31"/>
      <c r="B21" s="27"/>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9" cm="1">
        <f t="array" ref="AG21">SUM(IF((Janvier[[#This Row],[1]:[31]])="P",1,0))</f>
        <v>0</v>
      </c>
      <c r="AH21" s="20" cm="1">
        <f t="array" ref="AH21">SUM(IF((Janvier[[#This Row],[1]:[31]])="P",1,0))</f>
        <v>0</v>
      </c>
      <c r="AI21" s="20" t="e" cm="1">
        <f t="array" ref="AI21">J</f>
        <v>#NAME?</v>
      </c>
    </row>
    <row r="22" spans="1:35" s="20" customFormat="1" ht="30" customHeight="1" x14ac:dyDescent="0.3">
      <c r="A22" s="31"/>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9" cm="1">
        <f t="array" ref="AG22">SUM(IF((Janvier[[#This Row],[1]:[31]])="P",1,0))</f>
        <v>0</v>
      </c>
      <c r="AH22" s="20" cm="1">
        <f t="array" ref="AH22">SUM(IF((Janvier[[#This Row],[1]:[31]])="P",1,0))</f>
        <v>0</v>
      </c>
      <c r="AI22" s="20" t="e" cm="1">
        <f t="array" ref="AI22">J</f>
        <v>#NAME?</v>
      </c>
    </row>
    <row r="23" spans="1:35" s="20" customFormat="1" ht="30" customHeight="1" x14ac:dyDescent="0.3">
      <c r="A23" s="31"/>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9" cm="1">
        <f t="array" ref="AG23">SUM(IF((Janvier[[#This Row],[1]:[31]])="P",1,0))</f>
        <v>0</v>
      </c>
      <c r="AH23" s="20" cm="1">
        <f t="array" ref="AH23">SUM(IF((Janvier[[#This Row],[1]:[31]])="P",1,0))</f>
        <v>0</v>
      </c>
      <c r="AI23" s="20" t="e" cm="1">
        <f t="array" ref="AI23">J</f>
        <v>#NAME?</v>
      </c>
    </row>
    <row r="24" spans="1:35" s="20" customFormat="1" ht="30" customHeight="1" x14ac:dyDescent="0.3">
      <c r="A24" s="31"/>
      <c r="B24" s="27"/>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9" cm="1">
        <f t="array" ref="AG24">SUM(IF((Janvier[[#This Row],[1]:[31]])="P",1,0))</f>
        <v>0</v>
      </c>
      <c r="AH24" s="20" cm="1">
        <f t="array" ref="AH24">SUM(IF((Janvier[[#This Row],[1]:[31]])="P",1,0))</f>
        <v>0</v>
      </c>
      <c r="AI24" s="20" t="e" cm="1">
        <f t="array" ref="AI24">J</f>
        <v>#NAME?</v>
      </c>
    </row>
    <row r="25" spans="1:35" s="20" customFormat="1" ht="30" customHeight="1" x14ac:dyDescent="0.3">
      <c r="A25" s="31"/>
      <c r="B25" s="27"/>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9" cm="1">
        <f t="array" ref="AG25">SUM(IF((Janvier[[#This Row],[1]:[31]])="P",1,0))</f>
        <v>0</v>
      </c>
      <c r="AH25" s="20" cm="1">
        <f t="array" ref="AH25">SUM(IF((Janvier[[#This Row],[1]:[31]])="P",1,0))</f>
        <v>0</v>
      </c>
      <c r="AI25" s="20" t="e" cm="1">
        <f t="array" ref="AI25">J</f>
        <v>#NAME?</v>
      </c>
    </row>
    <row r="26" spans="1:35" s="20" customFormat="1" ht="30" customHeight="1" x14ac:dyDescent="0.3">
      <c r="A26" s="31"/>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9" cm="1">
        <f t="array" ref="AG26">SUM(IF((Janvier[[#This Row],[1]:[31]])="P",1,0))</f>
        <v>0</v>
      </c>
      <c r="AH26" s="20" cm="1">
        <f t="array" ref="AH26">SUM(IF((Janvier[[#This Row],[1]:[31]])="P",1,0))</f>
        <v>0</v>
      </c>
      <c r="AI26" s="20" t="e" cm="1">
        <f t="array" ref="AI26">J</f>
        <v>#NAME?</v>
      </c>
    </row>
    <row r="27" spans="1:35" s="20" customFormat="1" ht="30" customHeight="1" x14ac:dyDescent="0.3">
      <c r="A27" s="31"/>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9" cm="1">
        <f t="array" ref="AG27">SUM(IF((Janvier[[#This Row],[1]:[31]])="P",1,0))</f>
        <v>0</v>
      </c>
      <c r="AH27" s="20" cm="1">
        <f t="array" ref="AH27">SUM(IF((Janvier[[#This Row],[1]:[31]])="P",1,0))</f>
        <v>0</v>
      </c>
      <c r="AI27" s="20" t="e" cm="1">
        <f t="array" ref="AI27">J</f>
        <v>#NAME?</v>
      </c>
    </row>
    <row r="28" spans="1:35" s="20" customFormat="1" ht="30" customHeight="1" x14ac:dyDescent="0.3">
      <c r="A28" s="31"/>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9" cm="1">
        <f t="array" ref="AG28">SUM(IF((Janvier[[#This Row],[1]:[31]])="P",1,0))</f>
        <v>0</v>
      </c>
      <c r="AH28" s="20" cm="1">
        <f t="array" ref="AH28">SUM(IF((Janvier[[#This Row],[1]:[31]])="P",1,0))</f>
        <v>0</v>
      </c>
      <c r="AI28" s="20" t="e" cm="1">
        <f t="array" ref="AI28">J</f>
        <v>#NAME?</v>
      </c>
    </row>
    <row r="29" spans="1:35" s="20" customFormat="1" ht="30" customHeight="1" x14ac:dyDescent="0.3">
      <c r="A29" s="31"/>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9" cm="1">
        <f t="array" ref="AG29">SUM(IF((Janvier[[#This Row],[1]:[31]])="P",1,0))</f>
        <v>0</v>
      </c>
      <c r="AH29" s="20" cm="1">
        <f t="array" ref="AH29">SUM(IF((Janvier[[#This Row],[1]:[31]])="P",1,0))</f>
        <v>0</v>
      </c>
      <c r="AI29" s="20" t="e" cm="1">
        <f t="array" ref="AI29">J</f>
        <v>#NAME?</v>
      </c>
    </row>
    <row r="30" spans="1:35" s="20" customFormat="1" ht="30" customHeight="1" x14ac:dyDescent="0.3">
      <c r="A30" s="31"/>
      <c r="B30" s="27"/>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9" cm="1">
        <f t="array" ref="AG30">SUM(IF((Janvier[[#This Row],[1]:[31]])="P",1,0))</f>
        <v>0</v>
      </c>
      <c r="AH30" s="20" cm="1">
        <f t="array" ref="AH30">SUM(IF((Janvier[[#This Row],[1]:[31]])="P",1,0))</f>
        <v>0</v>
      </c>
      <c r="AI30" s="20" t="e" cm="1">
        <f t="array" ref="AI30">J</f>
        <v>#NAME?</v>
      </c>
    </row>
    <row r="31" spans="1:35" s="20" customFormat="1" ht="30" customHeight="1" x14ac:dyDescent="0.3">
      <c r="A31" s="31"/>
      <c r="B31" s="27"/>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9" cm="1">
        <f t="array" ref="AG31">SUM(IF((Janvier[[#This Row],[1]:[31]])="P",1,0))</f>
        <v>0</v>
      </c>
      <c r="AH31" s="20" cm="1">
        <f t="array" ref="AH31">SUM(IF((Janvier[[#This Row],[1]:[31]])="P",1,0))</f>
        <v>0</v>
      </c>
      <c r="AI31" s="20" t="e" cm="1">
        <f t="array" ref="AI31">J</f>
        <v>#NAME?</v>
      </c>
    </row>
    <row r="32" spans="1:35" s="20" customFormat="1" ht="30" customHeight="1" x14ac:dyDescent="0.3">
      <c r="A32" s="31"/>
      <c r="B32" s="27"/>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9" cm="1">
        <f t="array" ref="AG32">SUM(IF((Janvier[[#This Row],[1]:[31]])="P",1,0))</f>
        <v>0</v>
      </c>
      <c r="AH32" s="20" cm="1">
        <f t="array" ref="AH32">SUM(IF((Janvier[[#This Row],[1]:[31]])="P",1,0))</f>
        <v>0</v>
      </c>
      <c r="AI32" s="20" t="e" cm="1">
        <f t="array" ref="AI32">J</f>
        <v>#NAME?</v>
      </c>
    </row>
    <row r="33" spans="1:35" s="20" customFormat="1" ht="30" customHeight="1" x14ac:dyDescent="0.3">
      <c r="A33" s="31"/>
      <c r="B33" s="27"/>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9" cm="1">
        <f t="array" ref="AG33">SUM(IF((Janvier[[#This Row],[1]:[31]])="P",1,0))</f>
        <v>0</v>
      </c>
      <c r="AH33" s="20" cm="1">
        <f t="array" ref="AH33">SUM(IF((Janvier[[#This Row],[1]:[31]])="P",1,0))</f>
        <v>0</v>
      </c>
      <c r="AI33" s="20" t="e" cm="1">
        <f t="array" ref="AI33">J</f>
        <v>#NAME?</v>
      </c>
    </row>
    <row r="34" spans="1:35" s="20" customFormat="1" ht="30" customHeight="1" x14ac:dyDescent="0.3">
      <c r="A34" s="31"/>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9" cm="1">
        <f t="array" ref="AG34">SUM(IF((Janvier[[#This Row],[1]:[31]])="P",1,0))</f>
        <v>0</v>
      </c>
      <c r="AH34" s="20" cm="1">
        <f t="array" ref="AH34">SUM(IF((Janvier[[#This Row],[1]:[31]])="P",1,0))</f>
        <v>0</v>
      </c>
      <c r="AI34" s="20" t="e" cm="1">
        <f t="array" ref="AI34">J</f>
        <v>#NAME?</v>
      </c>
    </row>
    <row r="35" spans="1:35" s="20" customFormat="1" ht="30" customHeight="1" x14ac:dyDescent="0.3">
      <c r="A35" s="31"/>
      <c r="B35" s="27"/>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9" cm="1">
        <f t="array" ref="AG35">SUM(IF((Janvier[[#This Row],[1]:[31]])="P",1,0))</f>
        <v>0</v>
      </c>
      <c r="AH35" s="20" cm="1">
        <f t="array" ref="AH35">SUM(IF((Janvier[[#This Row],[1]:[31]])="P",1,0))</f>
        <v>0</v>
      </c>
      <c r="AI35" s="20" t="e" cm="1">
        <f t="array" ref="AI35">J</f>
        <v>#NAME?</v>
      </c>
    </row>
    <row r="36" spans="1:35" s="20" customFormat="1" ht="30" customHeight="1" x14ac:dyDescent="0.3">
      <c r="A36" s="31"/>
      <c r="B36" s="27"/>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9" cm="1">
        <f t="array" ref="AG36">SUM(IF((Janvier[[#This Row],[1]:[31]])="P",1,0))</f>
        <v>0</v>
      </c>
      <c r="AH36" s="20" cm="1">
        <f t="array" ref="AH36">SUM(IF((Janvier[[#This Row],[1]:[31]])="P",1,0))</f>
        <v>0</v>
      </c>
      <c r="AI36" s="20" t="e" cm="1">
        <f t="array" ref="AI36">J</f>
        <v>#NAME?</v>
      </c>
    </row>
    <row r="37" spans="1:35" s="20" customFormat="1" ht="30" customHeight="1" x14ac:dyDescent="0.3">
      <c r="A37" s="31"/>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9" cm="1">
        <f t="array" ref="AG37">SUM(IF((Janvier[[#This Row],[1]:[31]])="P",1,0))</f>
        <v>0</v>
      </c>
      <c r="AH37" s="20" cm="1">
        <f t="array" ref="AH37">SUM(IF((Janvier[[#This Row],[1]:[31]])="P",1,0))</f>
        <v>0</v>
      </c>
      <c r="AI37" s="20" t="e" cm="1">
        <f t="array" ref="AI37">J</f>
        <v>#NAME?</v>
      </c>
    </row>
    <row r="38" spans="1:35" s="20" customFormat="1" ht="30" customHeight="1" x14ac:dyDescent="0.3">
      <c r="A38" s="31"/>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9" cm="1">
        <f t="array" ref="AG38">SUM(IF((Janvier[[#This Row],[1]:[31]])="P",1,0))</f>
        <v>0</v>
      </c>
      <c r="AH38" s="20" cm="1">
        <f t="array" ref="AH38">SUM(IF((Janvier[[#This Row],[1]:[31]])="P",1,0))</f>
        <v>0</v>
      </c>
      <c r="AI38" s="20" t="e" cm="1">
        <f t="array" ref="AI38">J</f>
        <v>#NAME?</v>
      </c>
    </row>
    <row r="39" spans="1:35" s="20" customFormat="1" ht="30" customHeight="1" x14ac:dyDescent="0.3">
      <c r="A39" s="31"/>
      <c r="B39" s="27"/>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9" cm="1">
        <f t="array" ref="AG39">SUM(IF((Janvier[[#This Row],[1]:[31]])="P",1,0))</f>
        <v>0</v>
      </c>
      <c r="AH39" s="20" cm="1">
        <f t="array" ref="AH39">SUM(IF((Janvier[[#This Row],[1]:[31]])="P",1,0))</f>
        <v>0</v>
      </c>
      <c r="AI39" s="20" t="e" cm="1">
        <f t="array" ref="AI39">J</f>
        <v>#NAME?</v>
      </c>
    </row>
    <row r="40" spans="1:35" s="20" customFormat="1" ht="30" customHeight="1" x14ac:dyDescent="0.3">
      <c r="A40" s="31"/>
      <c r="B40" s="27"/>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9" cm="1">
        <f t="array" ref="AG40">SUM(IF((Janvier[[#This Row],[1]:[31]])="P",1,0))</f>
        <v>0</v>
      </c>
      <c r="AH40" s="20" cm="1">
        <f t="array" ref="AH40">SUM(IF((Janvier[[#This Row],[1]:[31]])="P",1,0))</f>
        <v>0</v>
      </c>
      <c r="AI40" s="20" t="e" cm="1">
        <f t="array" ref="AI40">J</f>
        <v>#NAME?</v>
      </c>
    </row>
    <row r="41" spans="1:35" s="20" customFormat="1" ht="30" customHeight="1" x14ac:dyDescent="0.3">
      <c r="A41" s="31"/>
      <c r="B41" s="2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9" cm="1">
        <f t="array" ref="AG41">SUM(IF((Janvier[[#This Row],[1]:[31]])="P",1,0))</f>
        <v>0</v>
      </c>
      <c r="AH41" s="20" cm="1">
        <f t="array" ref="AH41">SUM(IF((Janvier[[#This Row],[1]:[31]])="P",1,0))</f>
        <v>0</v>
      </c>
      <c r="AI41" s="20" t="e" cm="1">
        <f t="array" ref="AI41">J</f>
        <v>#NAME?</v>
      </c>
    </row>
    <row r="42" spans="1:35" s="20" customFormat="1" ht="30" customHeight="1" x14ac:dyDescent="0.3">
      <c r="A42" s="31"/>
      <c r="B42" s="27"/>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9" cm="1">
        <f t="array" ref="AG42">SUM(IF((Janvier[[#This Row],[1]:[31]])="P",1,0))</f>
        <v>0</v>
      </c>
      <c r="AH42" s="20" cm="1">
        <f t="array" ref="AH42">SUM(IF((Janvier[[#This Row],[1]:[31]])="P",1,0))</f>
        <v>0</v>
      </c>
      <c r="AI42" s="20" t="e" cm="1">
        <f t="array" ref="AI42">J</f>
        <v>#NAME?</v>
      </c>
    </row>
    <row r="43" spans="1:35" s="20" customFormat="1" ht="30" customHeight="1" x14ac:dyDescent="0.3">
      <c r="A43" s="31"/>
      <c r="B43" s="2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9" cm="1">
        <f t="array" ref="AG43">SUM(IF((Janvier[[#This Row],[1]:[31]])="P",1,0))</f>
        <v>0</v>
      </c>
      <c r="AH43" s="20" cm="1">
        <f t="array" ref="AH43">SUM(IF((Janvier[[#This Row],[1]:[31]])="P",1,0))</f>
        <v>0</v>
      </c>
      <c r="AI43" s="20" t="e" cm="1">
        <f t="array" ref="AI43">J</f>
        <v>#NAME?</v>
      </c>
    </row>
    <row r="44" spans="1:35" s="20" customFormat="1" ht="30" customHeight="1" x14ac:dyDescent="0.3">
      <c r="A44" s="31"/>
      <c r="B44" s="27"/>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9" cm="1">
        <f t="array" ref="AG44">SUM(IF((Janvier[[#This Row],[1]:[31]])="P",1,0))</f>
        <v>0</v>
      </c>
      <c r="AH44" s="20" cm="1">
        <f t="array" ref="AH44">SUM(IF((Janvier[[#This Row],[1]:[31]])="P",1,0))</f>
        <v>0</v>
      </c>
      <c r="AI44" s="20" t="e" cm="1">
        <f t="array" ref="AI44">J</f>
        <v>#NAME?</v>
      </c>
    </row>
    <row r="45" spans="1:35" s="20" customFormat="1" ht="30" customHeight="1" x14ac:dyDescent="0.3">
      <c r="A45" s="31"/>
      <c r="B45" s="27"/>
      <c r="C45" s="2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9" cm="1">
        <f t="array" ref="AG45">SUM(IF((Janvier[[#This Row],[1]:[31]])="P",1,0))</f>
        <v>0</v>
      </c>
      <c r="AH45" s="20" cm="1">
        <f t="array" ref="AH45">SUM(IF((Janvier[[#This Row],[1]:[31]])="P",1,0))</f>
        <v>0</v>
      </c>
      <c r="AI45" s="20" t="e" cm="1">
        <f t="array" ref="AI45">J</f>
        <v>#NAME?</v>
      </c>
    </row>
    <row r="46" spans="1:35" s="20" customFormat="1" ht="30" customHeight="1" x14ac:dyDescent="0.3">
      <c r="A46" s="31"/>
      <c r="B46" s="2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9" cm="1">
        <f t="array" ref="AG46">SUM(IF((Janvier[[#This Row],[1]:[31]])="P",1,0))</f>
        <v>0</v>
      </c>
      <c r="AH46" s="20" cm="1">
        <f t="array" ref="AH46">SUM(IF((Janvier[[#This Row],[1]:[31]])="P",1,0))</f>
        <v>0</v>
      </c>
      <c r="AI46" s="20" t="e" cm="1">
        <f t="array" ref="AI46">J</f>
        <v>#NAME?</v>
      </c>
    </row>
    <row r="47" spans="1:35" s="20" customFormat="1" ht="30" customHeight="1" x14ac:dyDescent="0.3">
      <c r="A47" s="31"/>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9" cm="1">
        <f t="array" ref="AG47">SUM(IF((Janvier[[#This Row],[1]:[31]])="P",1,0))</f>
        <v>0</v>
      </c>
      <c r="AH47" s="20" cm="1">
        <f t="array" ref="AH47">SUM(IF((Janvier[[#This Row],[1]:[31]])="P",1,0))</f>
        <v>0</v>
      </c>
      <c r="AI47" s="20" t="e" cm="1">
        <f t="array" ref="AI47">J</f>
        <v>#NAME?</v>
      </c>
    </row>
    <row r="48" spans="1:35" s="20" customFormat="1" ht="30" customHeight="1" x14ac:dyDescent="0.3">
      <c r="A48" s="31"/>
      <c r="B48" s="27"/>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9" cm="1">
        <f t="array" ref="AG48">SUM(IF((Janvier[[#This Row],[1]:[31]])="P",1,0))</f>
        <v>0</v>
      </c>
      <c r="AH48" s="20" cm="1">
        <f t="array" ref="AH48">SUM(IF((Janvier[[#This Row],[1]:[31]])="P",1,0))</f>
        <v>0</v>
      </c>
      <c r="AI48" s="20" t="e" cm="1">
        <f t="array" ref="AI48">J</f>
        <v>#NAME?</v>
      </c>
    </row>
    <row r="49" spans="1:35" s="20" customFormat="1" ht="30" customHeight="1" x14ac:dyDescent="0.3">
      <c r="A49" s="31"/>
      <c r="B49" s="27"/>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9" cm="1">
        <f t="array" ref="AG49">SUM(IF((Janvier[[#This Row],[1]:[31]])="P",1,0))</f>
        <v>0</v>
      </c>
      <c r="AH49" s="20" cm="1">
        <f t="array" ref="AH49">SUM(IF((Janvier[[#This Row],[1]:[31]])="P",1,0))</f>
        <v>0</v>
      </c>
      <c r="AI49" s="20" t="e" cm="1">
        <f t="array" ref="AI49">J</f>
        <v>#NAME?</v>
      </c>
    </row>
    <row r="50" spans="1:35" s="20" customFormat="1" ht="30" customHeight="1" x14ac:dyDescent="0.3">
      <c r="A50" s="31"/>
      <c r="B50" s="27"/>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9" cm="1">
        <f t="array" ref="AG50">SUM(IF((Janvier[[#This Row],[1]:[31]])="P",1,0))</f>
        <v>0</v>
      </c>
      <c r="AH50" s="20" cm="1">
        <f t="array" ref="AH50">SUM(IF((Janvier[[#This Row],[1]:[31]])="P",1,0))</f>
        <v>0</v>
      </c>
      <c r="AI50" s="20" t="e" cm="1">
        <f t="array" ref="AI50">J</f>
        <v>#NAME?</v>
      </c>
    </row>
    <row r="51" spans="1:35" s="20" customFormat="1" ht="30" customHeight="1" x14ac:dyDescent="0.3">
      <c r="A51" s="31"/>
      <c r="B51" s="2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9" cm="1">
        <f t="array" ref="AG51">SUM(IF((Janvier[[#This Row],[1]:[31]])="P",1,0))</f>
        <v>0</v>
      </c>
      <c r="AH51" s="20" cm="1">
        <f t="array" ref="AH51">SUM(IF((Janvier[[#This Row],[1]:[31]])="P",1,0))</f>
        <v>0</v>
      </c>
      <c r="AI51" s="20" t="e" cm="1">
        <f t="array" ref="AI51">J</f>
        <v>#NAME?</v>
      </c>
    </row>
    <row r="52" spans="1:35" s="20" customFormat="1" ht="30" customHeight="1" x14ac:dyDescent="0.3">
      <c r="A52" s="31"/>
      <c r="B52" s="27"/>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9" cm="1">
        <f t="array" ref="AG52">SUM(IF((Janvier[[#This Row],[1]:[31]])="P",1,0))</f>
        <v>0</v>
      </c>
      <c r="AH52" s="20" cm="1">
        <f t="array" ref="AH52">SUM(IF((Janvier[[#This Row],[1]:[31]])="P",1,0))</f>
        <v>0</v>
      </c>
      <c r="AI52" s="20" t="e" cm="1">
        <f t="array" ref="AI52">J</f>
        <v>#NAME?</v>
      </c>
    </row>
    <row r="53" spans="1:35" s="20" customFormat="1" ht="30" customHeight="1" x14ac:dyDescent="0.3">
      <c r="A53" s="31"/>
      <c r="B53" s="27"/>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9" cm="1">
        <f t="array" ref="AG53">SUM(IF((Janvier[[#This Row],[1]:[31]])="P",1,0))</f>
        <v>0</v>
      </c>
      <c r="AH53" s="20" cm="1">
        <f t="array" ref="AH53">SUM(IF((Janvier[[#This Row],[1]:[31]])="P",1,0))</f>
        <v>0</v>
      </c>
      <c r="AI53" s="20" t="e" cm="1">
        <f t="array" ref="AI53">J</f>
        <v>#NAME?</v>
      </c>
    </row>
    <row r="54" spans="1:35" s="20" customFormat="1" ht="30" customHeight="1" x14ac:dyDescent="0.3">
      <c r="A54" s="31"/>
      <c r="B54" s="27"/>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9" cm="1">
        <f t="array" ref="AG54">SUM(IF((Janvier[[#This Row],[1]:[31]])="P",1,0))</f>
        <v>0</v>
      </c>
      <c r="AH54" s="20" cm="1">
        <f t="array" ref="AH54">SUM(IF((Janvier[[#This Row],[1]:[31]])="P",1,0))</f>
        <v>0</v>
      </c>
      <c r="AI54" s="20" t="e" cm="1">
        <f t="array" ref="AI54">J</f>
        <v>#NAME?</v>
      </c>
    </row>
    <row r="55" spans="1:35" s="20" customFormat="1" ht="30" customHeight="1" x14ac:dyDescent="0.3">
      <c r="A55" s="31"/>
      <c r="B55" s="27"/>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9" cm="1">
        <f t="array" ref="AG55">SUM(IF((Janvier[[#This Row],[1]:[31]])="P",1,0))</f>
        <v>0</v>
      </c>
      <c r="AH55" s="20" cm="1">
        <f t="array" ref="AH55">SUM(IF((Janvier[[#This Row],[1]:[31]])="P",1,0))</f>
        <v>0</v>
      </c>
      <c r="AI55" s="20" t="e" cm="1">
        <f t="array" ref="AI55">J</f>
        <v>#NAME?</v>
      </c>
    </row>
    <row r="56" spans="1:35" s="20" customFormat="1" ht="30" customHeight="1" x14ac:dyDescent="0.3">
      <c r="A56" s="31"/>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9" cm="1">
        <f t="array" ref="AG56">SUM(IF((Janvier[[#This Row],[1]:[31]])="P",1,0))</f>
        <v>0</v>
      </c>
      <c r="AH56" s="20" cm="1">
        <f t="array" ref="AH56">SUM(IF((Janvier[[#This Row],[1]:[31]])="P",1,0))</f>
        <v>0</v>
      </c>
      <c r="AI56" s="20" t="e" cm="1">
        <f t="array" ref="AI56">J</f>
        <v>#NAME?</v>
      </c>
    </row>
    <row r="57" spans="1:35" s="20" customFormat="1" ht="30" customHeight="1" x14ac:dyDescent="0.3">
      <c r="A57" s="31"/>
      <c r="B57" s="27"/>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9" cm="1">
        <f t="array" ref="AG57">SUM(IF((Janvier[[#This Row],[1]:[31]])="P",1,0))</f>
        <v>0</v>
      </c>
      <c r="AH57" s="20" cm="1">
        <f t="array" ref="AH57">SUM(IF((Janvier[[#This Row],[1]:[31]])="P",1,0))</f>
        <v>0</v>
      </c>
      <c r="AI57" s="20" t="e" cm="1">
        <f t="array" ref="AI57">J</f>
        <v>#NAME?</v>
      </c>
    </row>
    <row r="58" spans="1:35" s="20" customFormat="1" ht="30" customHeight="1" x14ac:dyDescent="0.3">
      <c r="A58" s="31"/>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9" cm="1">
        <f t="array" ref="AG58">SUM(IF((Janvier[[#This Row],[1]:[31]])="P",1,0))</f>
        <v>0</v>
      </c>
      <c r="AH58" s="20" cm="1">
        <f t="array" ref="AH58">SUM(IF((Janvier[[#This Row],[1]:[31]])="P",1,0))</f>
        <v>0</v>
      </c>
      <c r="AI58" s="20" t="e" cm="1">
        <f t="array" ref="AI58">J</f>
        <v>#NAME?</v>
      </c>
    </row>
    <row r="59" spans="1:35" s="20" customFormat="1" ht="30" customHeight="1" x14ac:dyDescent="0.3">
      <c r="A59" s="31"/>
      <c r="B59" s="27"/>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9" cm="1">
        <f t="array" ref="AG59">SUM(IF((Janvier[[#This Row],[1]:[31]])="P",1,0))</f>
        <v>0</v>
      </c>
      <c r="AH59" s="20" cm="1">
        <f t="array" ref="AH59">SUM(IF((Janvier[[#This Row],[1]:[31]])="P",1,0))</f>
        <v>0</v>
      </c>
      <c r="AI59" s="20" t="e" cm="1">
        <f t="array" ref="AI59">J</f>
        <v>#NAME?</v>
      </c>
    </row>
    <row r="60" spans="1:35" s="20" customFormat="1" ht="30" customHeight="1" x14ac:dyDescent="0.3">
      <c r="A60" s="31"/>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9" cm="1">
        <f t="array" ref="AG60">SUM(IF((Janvier[[#This Row],[1]:[31]])="P",1,0))</f>
        <v>0</v>
      </c>
      <c r="AH60" s="20" cm="1">
        <f t="array" ref="AH60">SUM(IF((Janvier[[#This Row],[1]:[31]])="P",1,0))</f>
        <v>0</v>
      </c>
      <c r="AI60" s="20" t="e" cm="1">
        <f t="array" ref="AI60">J</f>
        <v>#NAME?</v>
      </c>
    </row>
    <row r="61" spans="1:35" s="20" customFormat="1" ht="30" customHeight="1" x14ac:dyDescent="0.3">
      <c r="A61" s="31"/>
      <c r="B61" s="27"/>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9" cm="1">
        <f t="array" ref="AG61">SUM(IF((Janvier[[#This Row],[1]:[31]])="P",1,0))</f>
        <v>0</v>
      </c>
      <c r="AH61" s="20" cm="1">
        <f t="array" ref="AH61">SUM(IF((Janvier[[#This Row],[1]:[31]])="P",1,0))</f>
        <v>0</v>
      </c>
      <c r="AI61" s="20" t="e" cm="1">
        <f t="array" ref="AI61">J</f>
        <v>#NAME?</v>
      </c>
    </row>
    <row r="62" spans="1:35" s="20" customFormat="1" ht="30" customHeight="1" x14ac:dyDescent="0.3">
      <c r="A62" s="31"/>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9" cm="1">
        <f t="array" ref="AG62">SUM(IF((Janvier[[#This Row],[1]:[31]])="P",1,0))</f>
        <v>0</v>
      </c>
      <c r="AH62" s="20" cm="1">
        <f t="array" ref="AH62">SUM(IF((Janvier[[#This Row],[1]:[31]])="P",1,0))</f>
        <v>0</v>
      </c>
      <c r="AI62" s="20" t="e" cm="1">
        <f t="array" ref="AI62">J</f>
        <v>#NAME?</v>
      </c>
    </row>
    <row r="63" spans="1:35" s="20" customFormat="1" ht="30" customHeight="1" x14ac:dyDescent="0.3">
      <c r="A63" s="31"/>
      <c r="B63" s="27"/>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9" cm="1">
        <f t="array" ref="AG63">SUM(IF((Janvier[[#This Row],[1]:[31]])="P",1,0))</f>
        <v>0</v>
      </c>
      <c r="AH63" s="20" cm="1">
        <f t="array" ref="AH63">SUM(IF((Janvier[[#This Row],[1]:[31]])="P",1,0))</f>
        <v>0</v>
      </c>
      <c r="AI63" s="20" t="e" cm="1">
        <f t="array" ref="AI63">J</f>
        <v>#NAME?</v>
      </c>
    </row>
    <row r="64" spans="1:35" s="20" customFormat="1" ht="30" customHeight="1" x14ac:dyDescent="0.3">
      <c r="A64" s="31"/>
      <c r="B64" s="27"/>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9" cm="1">
        <f t="array" ref="AG64">SUM(IF((Janvier[[#This Row],[1]:[31]])="P",1,0))</f>
        <v>0</v>
      </c>
      <c r="AH64" s="20" cm="1">
        <f t="array" ref="AH64">SUM(IF((Janvier[[#This Row],[1]:[31]])="P",1,0))</f>
        <v>0</v>
      </c>
      <c r="AI64" s="20" t="e" cm="1">
        <f t="array" ref="AI64">J</f>
        <v>#NAME?</v>
      </c>
    </row>
    <row r="65" spans="1:35" s="20" customFormat="1" ht="30" customHeight="1" x14ac:dyDescent="0.3">
      <c r="A65" s="31"/>
      <c r="B65" s="27"/>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9" cm="1">
        <f t="array" ref="AG65">SUM(IF((Janvier[[#This Row],[1]:[31]])="P",1,0))</f>
        <v>0</v>
      </c>
      <c r="AH65" s="20" cm="1">
        <f t="array" ref="AH65">SUM(IF((Janvier[[#This Row],[1]:[31]])="P",1,0))</f>
        <v>0</v>
      </c>
      <c r="AI65" s="20" t="e" cm="1">
        <f t="array" ref="AI65">J</f>
        <v>#NAME?</v>
      </c>
    </row>
    <row r="66" spans="1:35" s="20" customFormat="1" ht="30" customHeight="1" x14ac:dyDescent="0.3">
      <c r="A66" s="31"/>
      <c r="B66" s="27"/>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9" cm="1">
        <f t="array" ref="AG66">SUM(IF((Janvier[[#This Row],[1]:[31]])="P",1,0))</f>
        <v>0</v>
      </c>
      <c r="AH66" s="20" cm="1">
        <f t="array" ref="AH66">SUM(IF((Janvier[[#This Row],[1]:[31]])="P",1,0))</f>
        <v>0</v>
      </c>
      <c r="AI66" s="20" t="e" cm="1">
        <f t="array" ref="AI66">J</f>
        <v>#NAME?</v>
      </c>
    </row>
    <row r="67" spans="1:35" s="20" customFormat="1" ht="30" customHeight="1" x14ac:dyDescent="0.3">
      <c r="A67" s="31"/>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9" cm="1">
        <f t="array" ref="AG67">SUM(IF((Janvier[[#This Row],[1]:[31]])="P",1,0))</f>
        <v>0</v>
      </c>
      <c r="AH67" s="20" cm="1">
        <f t="array" ref="AH67">SUM(IF((Janvier[[#This Row],[1]:[31]])="P",1,0))</f>
        <v>0</v>
      </c>
      <c r="AI67" s="20" t="e" cm="1">
        <f t="array" ref="AI67">J</f>
        <v>#NAME?</v>
      </c>
    </row>
    <row r="68" spans="1:35" s="20" customFormat="1" ht="30" customHeight="1" x14ac:dyDescent="0.3">
      <c r="A68" s="31"/>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9" cm="1">
        <f t="array" ref="AG68">SUM(IF((Janvier[[#This Row],[1]:[31]])="P",1,0))</f>
        <v>0</v>
      </c>
      <c r="AH68" s="20" cm="1">
        <f t="array" ref="AH68">SUM(IF((Janvier[[#This Row],[1]:[31]])="P",1,0))</f>
        <v>0</v>
      </c>
      <c r="AI68" s="20" t="e" cm="1">
        <f t="array" ref="AI68">J</f>
        <v>#NAME?</v>
      </c>
    </row>
    <row r="69" spans="1:35" s="20" customFormat="1" ht="30" customHeight="1" x14ac:dyDescent="0.3">
      <c r="A69" s="31"/>
      <c r="B69" s="27"/>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9" cm="1">
        <f t="array" ref="AG69">SUM(IF((Janvier[[#This Row],[1]:[31]])="P",1,0))</f>
        <v>0</v>
      </c>
      <c r="AH69" s="20" cm="1">
        <f t="array" ref="AH69">SUM(IF((Janvier[[#This Row],[1]:[31]])="P",1,0))</f>
        <v>0</v>
      </c>
      <c r="AI69" s="20" t="e" cm="1">
        <f t="array" ref="AI69">J</f>
        <v>#NAME?</v>
      </c>
    </row>
    <row r="70" spans="1:35" s="20" customFormat="1" ht="30" customHeight="1" x14ac:dyDescent="0.3">
      <c r="A70" s="31"/>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9" cm="1">
        <f t="array" ref="AG70">SUM(IF((Janvier[[#This Row],[1]:[31]])="P",1,0))</f>
        <v>0</v>
      </c>
      <c r="AH70" s="20" cm="1">
        <f t="array" ref="AH70">SUM(IF((Janvier[[#This Row],[1]:[31]])="P",1,0))</f>
        <v>0</v>
      </c>
      <c r="AI70" s="20" t="e" cm="1">
        <f t="array" ref="AI70">J</f>
        <v>#NAME?</v>
      </c>
    </row>
    <row r="71" spans="1:35" s="20" customFormat="1" ht="30" customHeight="1" x14ac:dyDescent="0.3">
      <c r="A71" s="31"/>
      <c r="B71" s="27"/>
      <c r="C71" s="27"/>
      <c r="D71" s="27"/>
      <c r="E71" s="27"/>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9" cm="1">
        <f t="array" ref="AG71">SUM(IF((Janvier[[#This Row],[1]:[31]])="P",1,0))</f>
        <v>0</v>
      </c>
      <c r="AH71" s="20" cm="1">
        <f t="array" ref="AH71">SUM(IF((Janvier[[#This Row],[1]:[31]])="P",1,0))</f>
        <v>0</v>
      </c>
      <c r="AI71" s="20" t="e" cm="1">
        <f t="array" ref="AI71">J</f>
        <v>#NAME?</v>
      </c>
    </row>
    <row r="72" spans="1:35" s="20" customFormat="1" ht="30" customHeight="1" x14ac:dyDescent="0.3">
      <c r="A72" s="31"/>
      <c r="B72" s="27"/>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9" cm="1">
        <f t="array" ref="AG72">SUM(IF((Janvier[[#This Row],[1]:[31]])="P",1,0))</f>
        <v>0</v>
      </c>
      <c r="AH72" s="20" cm="1">
        <f t="array" ref="AH72">SUM(IF((Janvier[[#This Row],[1]:[31]])="P",1,0))</f>
        <v>0</v>
      </c>
      <c r="AI72" s="20" t="e" cm="1">
        <f t="array" ref="AI72">J</f>
        <v>#NAME?</v>
      </c>
    </row>
    <row r="73" spans="1:35" s="20" customFormat="1" ht="30" customHeight="1" x14ac:dyDescent="0.3">
      <c r="A73" s="31"/>
      <c r="B73" s="27"/>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9" cm="1">
        <f t="array" ref="AG73">SUM(IF((Janvier[[#This Row],[1]:[31]])="P",1,0))</f>
        <v>0</v>
      </c>
      <c r="AH73" s="20" cm="1">
        <f t="array" ref="AH73">SUM(IF((Janvier[[#This Row],[1]:[31]])="P",1,0))</f>
        <v>0</v>
      </c>
      <c r="AI73" s="20" t="e" cm="1">
        <f t="array" ref="AI73">J</f>
        <v>#NAME?</v>
      </c>
    </row>
    <row r="74" spans="1:35" s="20" customFormat="1" ht="30" customHeight="1" x14ac:dyDescent="0.3">
      <c r="A74" s="31"/>
      <c r="B74" s="27"/>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9" cm="1">
        <f t="array" ref="AG74">SUM(IF((Janvier[[#This Row],[1]:[31]])="P",1,0))</f>
        <v>0</v>
      </c>
      <c r="AH74" s="20" cm="1">
        <f t="array" ref="AH74">SUM(IF((Janvier[[#This Row],[1]:[31]])="P",1,0))</f>
        <v>0</v>
      </c>
      <c r="AI74" s="20" t="e" cm="1">
        <f t="array" ref="AI74">J</f>
        <v>#NAME?</v>
      </c>
    </row>
    <row r="75" spans="1:35" s="20" customFormat="1" ht="30" customHeight="1" x14ac:dyDescent="0.3">
      <c r="A75" s="31"/>
      <c r="B75" s="27"/>
      <c r="C75" s="27"/>
      <c r="D75" s="27"/>
      <c r="E75" s="27"/>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9" cm="1">
        <f t="array" ref="AG75">SUM(IF((Janvier[[#This Row],[1]:[31]])="P",1,0))</f>
        <v>0</v>
      </c>
      <c r="AH75" s="20" cm="1">
        <f t="array" ref="AH75">SUM(IF((Janvier[[#This Row],[1]:[31]])="P",1,0))</f>
        <v>0</v>
      </c>
      <c r="AI75" s="20" t="e" cm="1">
        <f t="array" ref="AI75">J</f>
        <v>#NAME?</v>
      </c>
    </row>
    <row r="76" spans="1:35" s="20" customFormat="1" ht="30" customHeight="1" x14ac:dyDescent="0.3">
      <c r="A76" s="31"/>
      <c r="B76" s="27"/>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9" cm="1">
        <f t="array" ref="AG76">SUM(IF((Janvier[[#This Row],[1]:[31]])="P",1,0))</f>
        <v>0</v>
      </c>
      <c r="AH76" s="20" cm="1">
        <f t="array" ref="AH76">SUM(IF((Janvier[[#This Row],[1]:[31]])="P",1,0))</f>
        <v>0</v>
      </c>
      <c r="AI76" s="20" t="e" cm="1">
        <f t="array" ref="AI76">J</f>
        <v>#NAME?</v>
      </c>
    </row>
    <row r="77" spans="1:35" s="20" customFormat="1" ht="30" customHeight="1" x14ac:dyDescent="0.3">
      <c r="A77" s="31"/>
      <c r="B77" s="27"/>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9" cm="1">
        <f t="array" ref="AG77">SUM(IF((Janvier[[#This Row],[1]:[31]])="P",1,0))</f>
        <v>0</v>
      </c>
      <c r="AH77" s="20" cm="1">
        <f t="array" ref="AH77">SUM(IF((Janvier[[#This Row],[1]:[31]])="P",1,0))</f>
        <v>0</v>
      </c>
      <c r="AI77" s="20" t="e" cm="1">
        <f t="array" ref="AI77">J</f>
        <v>#NAME?</v>
      </c>
    </row>
    <row r="78" spans="1:35" s="20" customFormat="1" ht="30" customHeight="1" x14ac:dyDescent="0.3">
      <c r="A78" s="31"/>
      <c r="B78" s="27"/>
      <c r="C78" s="27"/>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9" cm="1">
        <f t="array" ref="AG78">SUM(IF((Janvier[[#This Row],[1]:[31]])="P",1,0))</f>
        <v>0</v>
      </c>
      <c r="AH78" s="20" cm="1">
        <f t="array" ref="AH78">SUM(IF((Janvier[[#This Row],[1]:[31]])="P",1,0))</f>
        <v>0</v>
      </c>
      <c r="AI78" s="20" t="e" cm="1">
        <f t="array" ref="AI78">J</f>
        <v>#NAME?</v>
      </c>
    </row>
    <row r="79" spans="1:35" s="20" customFormat="1" ht="30" customHeight="1" x14ac:dyDescent="0.3">
      <c r="A79" s="31"/>
      <c r="B79" s="27"/>
      <c r="C79" s="27"/>
      <c r="D79" s="27"/>
      <c r="E79" s="27"/>
      <c r="F79" s="27"/>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9" cm="1">
        <f t="array" ref="AG79">SUM(IF((Janvier[[#This Row],[1]:[31]])="P",1,0))</f>
        <v>0</v>
      </c>
      <c r="AH79" s="20" cm="1">
        <f t="array" ref="AH79">SUM(IF((Janvier[[#This Row],[1]:[31]])="P",1,0))</f>
        <v>0</v>
      </c>
      <c r="AI79" s="20" t="e" cm="1">
        <f t="array" ref="AI79">J</f>
        <v>#NAME?</v>
      </c>
    </row>
    <row r="80" spans="1:35" s="20" customFormat="1" ht="30" customHeight="1" x14ac:dyDescent="0.3">
      <c r="A80" s="31"/>
      <c r="B80" s="27"/>
      <c r="C80" s="27"/>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9" cm="1">
        <f t="array" ref="AG80">SUM(IF((Janvier[[#This Row],[1]:[31]])="P",1,0))</f>
        <v>0</v>
      </c>
      <c r="AH80" s="20" cm="1">
        <f t="array" ref="AH80">SUM(IF((Janvier[[#This Row],[1]:[31]])="P",1,0))</f>
        <v>0</v>
      </c>
      <c r="AI80" s="20" t="e" cm="1">
        <f t="array" ref="AI80">J</f>
        <v>#NAME?</v>
      </c>
    </row>
    <row r="81" spans="1:35" s="20" customFormat="1" ht="30" customHeight="1" x14ac:dyDescent="0.3">
      <c r="A81" s="31"/>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9" cm="1">
        <f t="array" ref="AG81">SUM(IF((Janvier[[#This Row],[1]:[31]])="P",1,0))</f>
        <v>0</v>
      </c>
      <c r="AH81" s="20" cm="1">
        <f t="array" ref="AH81">SUM(IF((Janvier[[#This Row],[1]:[31]])="P",1,0))</f>
        <v>0</v>
      </c>
      <c r="AI81" s="20" t="e" cm="1">
        <f t="array" ref="AI81">J</f>
        <v>#NAME?</v>
      </c>
    </row>
    <row r="82" spans="1:35" s="20" customFormat="1" ht="30" customHeight="1" x14ac:dyDescent="0.3">
      <c r="A82" s="31"/>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9" cm="1">
        <f t="array" ref="AG82">SUM(IF((Janvier[[#This Row],[1]:[31]])="P",1,0))</f>
        <v>0</v>
      </c>
      <c r="AH82" s="20" cm="1">
        <f t="array" ref="AH82">SUM(IF((Janvier[[#This Row],[1]:[31]])="P",1,0))</f>
        <v>0</v>
      </c>
      <c r="AI82" s="20" t="e" cm="1">
        <f t="array" ref="AI82">J</f>
        <v>#NAME?</v>
      </c>
    </row>
    <row r="83" spans="1:35" s="20" customFormat="1" ht="30" customHeight="1" x14ac:dyDescent="0.3">
      <c r="A83" s="31"/>
      <c r="B83" s="27"/>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9" cm="1">
        <f t="array" ref="AG83">SUM(IF((Janvier[[#This Row],[1]:[31]])="P",1,0))</f>
        <v>0</v>
      </c>
      <c r="AH83" s="20" cm="1">
        <f t="array" ref="AH83">SUM(IF((Janvier[[#This Row],[1]:[31]])="P",1,0))</f>
        <v>0</v>
      </c>
      <c r="AI83" s="20" t="e" cm="1">
        <f t="array" ref="AI83">J</f>
        <v>#NAME?</v>
      </c>
    </row>
    <row r="84" spans="1:35" s="20" customFormat="1" ht="30" customHeight="1" x14ac:dyDescent="0.3">
      <c r="A84" s="31"/>
      <c r="B84" s="27"/>
      <c r="C84" s="27"/>
      <c r="D84" s="27"/>
      <c r="E84" s="27"/>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9" cm="1">
        <f t="array" ref="AG84">SUM(IF((Janvier[[#This Row],[1]:[31]])="P",1,0))</f>
        <v>0</v>
      </c>
      <c r="AH84" s="20" cm="1">
        <f t="array" ref="AH84">SUM(IF((Janvier[[#This Row],[1]:[31]])="P",1,0))</f>
        <v>0</v>
      </c>
      <c r="AI84" s="20" t="e" cm="1">
        <f t="array" ref="AI84">J</f>
        <v>#NAME?</v>
      </c>
    </row>
    <row r="85" spans="1:35" s="20" customFormat="1" ht="30" customHeight="1" x14ac:dyDescent="0.3">
      <c r="A85" s="31"/>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9" cm="1">
        <f t="array" ref="AG85">SUM(IF((Janvier[[#This Row],[1]:[31]])="P",1,0))</f>
        <v>0</v>
      </c>
      <c r="AH85" s="20" cm="1">
        <f t="array" ref="AH85">SUM(IF((Janvier[[#This Row],[1]:[31]])="P",1,0))</f>
        <v>0</v>
      </c>
      <c r="AI85" s="20" t="e" cm="1">
        <f t="array" ref="AI85">J</f>
        <v>#NAME?</v>
      </c>
    </row>
    <row r="86" spans="1:35" s="20" customFormat="1" ht="30" customHeight="1" x14ac:dyDescent="0.3">
      <c r="A86" s="31"/>
      <c r="B86" s="27"/>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9" cm="1">
        <f t="array" ref="AG86">SUM(IF((Janvier[[#This Row],[1]:[31]])="P",1,0))</f>
        <v>0</v>
      </c>
      <c r="AH86" s="20" cm="1">
        <f t="array" ref="AH86">SUM(IF((Janvier[[#This Row],[1]:[31]])="P",1,0))</f>
        <v>0</v>
      </c>
      <c r="AI86" s="20" t="e" cm="1">
        <f t="array" ref="AI86">J</f>
        <v>#NAME?</v>
      </c>
    </row>
    <row r="87" spans="1:35" s="20" customFormat="1" ht="30" customHeight="1" x14ac:dyDescent="0.3">
      <c r="A87" s="31"/>
      <c r="B87" s="27"/>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9" cm="1">
        <f t="array" ref="AG87">SUM(IF((Janvier[[#This Row],[1]:[31]])="P",1,0))</f>
        <v>0</v>
      </c>
      <c r="AH87" s="20" cm="1">
        <f t="array" ref="AH87">SUM(IF((Janvier[[#This Row],[1]:[31]])="P",1,0))</f>
        <v>0</v>
      </c>
      <c r="AI87" s="20" t="e" cm="1">
        <f t="array" ref="AI87">J</f>
        <v>#NAME?</v>
      </c>
    </row>
    <row r="88" spans="1:35" s="20" customFormat="1" ht="30" customHeight="1" x14ac:dyDescent="0.3">
      <c r="A88" s="31"/>
      <c r="B88" s="27"/>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9" cm="1">
        <f t="array" ref="AG88">SUM(IF((Janvier[[#This Row],[1]:[31]])="P",1,0))</f>
        <v>0</v>
      </c>
      <c r="AH88" s="20" cm="1">
        <f t="array" ref="AH88">SUM(IF((Janvier[[#This Row],[1]:[31]])="P",1,0))</f>
        <v>0</v>
      </c>
      <c r="AI88" s="20" t="e" cm="1">
        <f t="array" ref="AI88">J</f>
        <v>#NAME?</v>
      </c>
    </row>
    <row r="89" spans="1:35" s="20" customFormat="1" ht="30" customHeight="1" x14ac:dyDescent="0.3">
      <c r="A89" s="31"/>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9" cm="1">
        <f t="array" ref="AG89">SUM(IF((Janvier[[#This Row],[1]:[31]])="P",1,0))</f>
        <v>0</v>
      </c>
      <c r="AH89" s="20" cm="1">
        <f t="array" ref="AH89">SUM(IF((Janvier[[#This Row],[1]:[31]])="P",1,0))</f>
        <v>0</v>
      </c>
      <c r="AI89" s="20" t="e" cm="1">
        <f t="array" ref="AI89">J</f>
        <v>#NAME?</v>
      </c>
    </row>
    <row r="90" spans="1:35" s="20" customFormat="1" ht="30" customHeight="1" x14ac:dyDescent="0.3">
      <c r="A90" s="31"/>
      <c r="B90" s="27"/>
      <c r="C90" s="27"/>
      <c r="D90" s="27"/>
      <c r="E90" s="27"/>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9" cm="1">
        <f t="array" ref="AG90">SUM(IF((Janvier[[#This Row],[1]:[31]])="P",1,0))</f>
        <v>0</v>
      </c>
      <c r="AH90" s="20" cm="1">
        <f t="array" ref="AH90">SUM(IF((Janvier[[#This Row],[1]:[31]])="P",1,0))</f>
        <v>0</v>
      </c>
      <c r="AI90" s="20" t="e" cm="1">
        <f t="array" ref="AI90">J</f>
        <v>#NAME?</v>
      </c>
    </row>
    <row r="91" spans="1:35" s="20" customFormat="1" ht="30" customHeight="1" x14ac:dyDescent="0.3">
      <c r="A91" s="31"/>
      <c r="B91" s="27"/>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9" cm="1">
        <f t="array" ref="AG91">SUM(IF((Janvier[[#This Row],[1]:[31]])="P",1,0))</f>
        <v>0</v>
      </c>
      <c r="AH91" s="20" cm="1">
        <f t="array" ref="AH91">SUM(IF((Janvier[[#This Row],[1]:[31]])="P",1,0))</f>
        <v>0</v>
      </c>
      <c r="AI91" s="20" t="e" cm="1">
        <f t="array" ref="AI91">J</f>
        <v>#NAME?</v>
      </c>
    </row>
    <row r="92" spans="1:35" s="20" customFormat="1" ht="30" customHeight="1" x14ac:dyDescent="0.3">
      <c r="A92" s="31"/>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9" cm="1">
        <f t="array" ref="AG92">SUM(IF((Janvier[[#This Row],[1]:[31]])="P",1,0))</f>
        <v>0</v>
      </c>
      <c r="AH92" s="20" cm="1">
        <f t="array" ref="AH92">SUM(IF((Janvier[[#This Row],[1]:[31]])="P",1,0))</f>
        <v>0</v>
      </c>
      <c r="AI92" s="20" t="e" cm="1">
        <f t="array" ref="AI92">J</f>
        <v>#NAME?</v>
      </c>
    </row>
    <row r="93" spans="1:35" s="20" customFormat="1" ht="30" customHeight="1" x14ac:dyDescent="0.3">
      <c r="A93" s="31"/>
      <c r="B93" s="27"/>
      <c r="C93" s="27"/>
      <c r="D93" s="27"/>
      <c r="E93" s="27"/>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9" cm="1">
        <f t="array" ref="AG93">SUM(IF((Janvier[[#This Row],[1]:[31]])="P",1,0))</f>
        <v>0</v>
      </c>
      <c r="AH93" s="20" cm="1">
        <f t="array" ref="AH93">SUM(IF((Janvier[[#This Row],[1]:[31]])="P",1,0))</f>
        <v>0</v>
      </c>
      <c r="AI93" s="20" t="e" cm="1">
        <f t="array" ref="AI93">J</f>
        <v>#NAME?</v>
      </c>
    </row>
    <row r="94" spans="1:35" s="20" customFormat="1" ht="30" customHeight="1" x14ac:dyDescent="0.3">
      <c r="A94" s="31"/>
      <c r="B94" s="27"/>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9" cm="1">
        <f t="array" ref="AG94">SUM(IF((Janvier[[#This Row],[1]:[31]])="P",1,0))</f>
        <v>0</v>
      </c>
      <c r="AH94" s="20" cm="1">
        <f t="array" ref="AH94">SUM(IF((Janvier[[#This Row],[1]:[31]])="P",1,0))</f>
        <v>0</v>
      </c>
      <c r="AI94" s="20" t="e" cm="1">
        <f t="array" ref="AI94">J</f>
        <v>#NAME?</v>
      </c>
    </row>
    <row r="95" spans="1:35" s="20" customFormat="1" ht="30" customHeight="1" x14ac:dyDescent="0.3">
      <c r="A95" s="31"/>
      <c r="B95" s="27"/>
      <c r="C95" s="27"/>
      <c r="D95" s="27"/>
      <c r="E95" s="27"/>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9" cm="1">
        <f t="array" ref="AG95">SUM(IF((Janvier[[#This Row],[1]:[31]])="P",1,0))</f>
        <v>0</v>
      </c>
      <c r="AH95" s="20" cm="1">
        <f t="array" ref="AH95">SUM(IF((Janvier[[#This Row],[1]:[31]])="P",1,0))</f>
        <v>0</v>
      </c>
      <c r="AI95" s="20" t="e" cm="1">
        <f t="array" ref="AI95">J</f>
        <v>#NAME?</v>
      </c>
    </row>
    <row r="96" spans="1:35" s="20" customFormat="1" ht="30" customHeight="1" x14ac:dyDescent="0.3">
      <c r="A96" s="31"/>
      <c r="B96" s="27"/>
      <c r="C96" s="27"/>
      <c r="D96" s="27"/>
      <c r="E96" s="27"/>
      <c r="F96" s="27"/>
      <c r="G96" s="27"/>
      <c r="H96" s="27"/>
      <c r="I96" s="27"/>
      <c r="J96" s="27"/>
      <c r="K96" s="27"/>
      <c r="L96" s="27"/>
      <c r="M96" s="27"/>
      <c r="N96" s="27"/>
      <c r="O96" s="27"/>
      <c r="P96" s="27"/>
      <c r="Q96" s="27"/>
      <c r="R96" s="27"/>
      <c r="S96" s="27"/>
      <c r="T96" s="27"/>
      <c r="U96" s="27"/>
      <c r="V96" s="27"/>
      <c r="W96" s="27"/>
      <c r="X96" s="27"/>
      <c r="Y96" s="27"/>
      <c r="Z96" s="27"/>
      <c r="AA96" s="27"/>
      <c r="AB96" s="27"/>
      <c r="AC96" s="27"/>
      <c r="AD96" s="27"/>
      <c r="AE96" s="27"/>
      <c r="AF96" s="27"/>
      <c r="AG96" s="29" cm="1">
        <f t="array" ref="AG96">SUM(IF((Janvier[[#This Row],[1]:[31]])="P",1,0))</f>
        <v>0</v>
      </c>
      <c r="AH96" s="20" cm="1">
        <f t="array" ref="AH96">SUM(IF((Janvier[[#This Row],[1]:[31]])="P",1,0))</f>
        <v>0</v>
      </c>
      <c r="AI96" s="20" t="e" cm="1">
        <f t="array" ref="AI96">J</f>
        <v>#NAME?</v>
      </c>
    </row>
    <row r="97" spans="1:35" s="20" customFormat="1" ht="30" customHeight="1" x14ac:dyDescent="0.3">
      <c r="A97" s="31"/>
      <c r="B97" s="27"/>
      <c r="C97" s="27"/>
      <c r="D97" s="27"/>
      <c r="E97" s="27"/>
      <c r="F97" s="27"/>
      <c r="G97" s="27"/>
      <c r="H97" s="27"/>
      <c r="I97" s="27"/>
      <c r="J97" s="27"/>
      <c r="K97" s="27"/>
      <c r="L97" s="27"/>
      <c r="M97" s="27"/>
      <c r="N97" s="27"/>
      <c r="O97" s="27"/>
      <c r="P97" s="27"/>
      <c r="Q97" s="27"/>
      <c r="R97" s="27"/>
      <c r="S97" s="27"/>
      <c r="T97" s="27"/>
      <c r="U97" s="27"/>
      <c r="V97" s="27"/>
      <c r="W97" s="27"/>
      <c r="X97" s="27"/>
      <c r="Y97" s="27"/>
      <c r="Z97" s="27"/>
      <c r="AA97" s="27"/>
      <c r="AB97" s="27"/>
      <c r="AC97" s="27"/>
      <c r="AD97" s="27"/>
      <c r="AE97" s="27"/>
      <c r="AF97" s="27"/>
      <c r="AG97" s="29" cm="1">
        <f t="array" ref="AG97">SUM(IF((Janvier[[#This Row],[1]:[31]])="P",1,0))</f>
        <v>0</v>
      </c>
      <c r="AH97" s="20" cm="1">
        <f t="array" ref="AH97">SUM(IF((Janvier[[#This Row],[1]:[31]])="P",1,0))</f>
        <v>0</v>
      </c>
      <c r="AI97" s="20" t="e" cm="1">
        <f t="array" ref="AI97">J</f>
        <v>#NAME?</v>
      </c>
    </row>
    <row r="98" spans="1:35" s="20" customFormat="1" ht="30" customHeight="1" x14ac:dyDescent="0.3">
      <c r="A98" s="31"/>
      <c r="B98" s="27"/>
      <c r="C98" s="27"/>
      <c r="D98" s="27"/>
      <c r="E98" s="27"/>
      <c r="F98" s="27"/>
      <c r="G98" s="27"/>
      <c r="H98" s="27"/>
      <c r="I98" s="27"/>
      <c r="J98" s="27"/>
      <c r="K98" s="27"/>
      <c r="L98" s="27"/>
      <c r="M98" s="27"/>
      <c r="N98" s="27"/>
      <c r="O98" s="27"/>
      <c r="P98" s="27"/>
      <c r="Q98" s="27"/>
      <c r="R98" s="27"/>
      <c r="S98" s="27"/>
      <c r="T98" s="27"/>
      <c r="U98" s="27"/>
      <c r="V98" s="27"/>
      <c r="W98" s="27"/>
      <c r="X98" s="27"/>
      <c r="Y98" s="27"/>
      <c r="Z98" s="27"/>
      <c r="AA98" s="27"/>
      <c r="AB98" s="27"/>
      <c r="AC98" s="27"/>
      <c r="AD98" s="27"/>
      <c r="AE98" s="27"/>
      <c r="AF98" s="27"/>
      <c r="AG98" s="29" cm="1">
        <f t="array" ref="AG98">SUM(IF((Janvier[[#This Row],[1]:[31]])="P",1,0))</f>
        <v>0</v>
      </c>
      <c r="AH98" s="20" cm="1">
        <f t="array" ref="AH98">SUM(IF((Janvier[[#This Row],[1]:[31]])="P",1,0))</f>
        <v>0</v>
      </c>
      <c r="AI98" s="20" t="e" cm="1">
        <f t="array" ref="AI98">J</f>
        <v>#NAME?</v>
      </c>
    </row>
    <row r="99" spans="1:35" s="20" customFormat="1" ht="30" customHeight="1" x14ac:dyDescent="0.3">
      <c r="A99" s="31"/>
      <c r="B99" s="27"/>
      <c r="C99" s="27"/>
      <c r="D99" s="27"/>
      <c r="E99" s="27"/>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c r="AG99" s="29" cm="1">
        <f t="array" ref="AG99">SUM(IF((Janvier[[#This Row],[1]:[31]])="P",1,0))</f>
        <v>0</v>
      </c>
      <c r="AH99" s="20" cm="1">
        <f t="array" ref="AH99">SUM(IF((Janvier[[#This Row],[1]:[31]])="P",1,0))</f>
        <v>0</v>
      </c>
      <c r="AI99" s="20" t="e" cm="1">
        <f t="array" ref="AI99">J</f>
        <v>#NAME?</v>
      </c>
    </row>
    <row r="100" spans="1:35" s="20" customFormat="1" ht="30" customHeight="1" x14ac:dyDescent="0.3">
      <c r="A100" s="31"/>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G100" s="29" cm="1">
        <f t="array" ref="AG100">SUM(IF((Janvier[[#This Row],[1]:[31]])="P",1,0))</f>
        <v>0</v>
      </c>
      <c r="AH100" s="20" cm="1">
        <f t="array" ref="AH100">SUM(IF((Janvier[[#This Row],[1]:[31]])="P",1,0))</f>
        <v>0</v>
      </c>
      <c r="AI100" s="20" t="e" cm="1">
        <f t="array" ref="AI100">J</f>
        <v>#NAME?</v>
      </c>
    </row>
    <row r="101" spans="1:35" s="20" customFormat="1" ht="30" customHeight="1" x14ac:dyDescent="0.3">
      <c r="A101" s="31"/>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9" cm="1">
        <f t="array" ref="AG101">SUM(IF((Janvier[[#This Row],[1]:[31]])="P",1,0))</f>
        <v>0</v>
      </c>
      <c r="AH101" s="20" cm="1">
        <f t="array" ref="AH101">SUM(IF((Janvier[[#This Row],[1]:[31]])="P",1,0))</f>
        <v>0</v>
      </c>
      <c r="AI101" s="20" t="e" cm="1">
        <f t="array" ref="AI101">J</f>
        <v>#NAME?</v>
      </c>
    </row>
    <row r="102" spans="1:35" s="20" customFormat="1" ht="30" customHeight="1" x14ac:dyDescent="0.3">
      <c r="A102" s="27"/>
    </row>
    <row r="103" spans="1:35" s="20" customFormat="1" ht="30" customHeight="1" x14ac:dyDescent="0.3">
      <c r="A103" s="27"/>
    </row>
    <row r="104" spans="1:35" s="20" customFormat="1" ht="30" customHeight="1" x14ac:dyDescent="0.3">
      <c r="A104" s="27"/>
    </row>
    <row r="105" spans="1:35" s="20" customFormat="1" ht="30" customHeight="1" x14ac:dyDescent="0.3">
      <c r="A105" s="27"/>
    </row>
    <row r="106" spans="1:35" s="20" customFormat="1" ht="30" customHeight="1" x14ac:dyDescent="0.3">
      <c r="A106" s="27"/>
    </row>
    <row r="107" spans="1:35" s="20" customFormat="1" ht="30" customHeight="1" x14ac:dyDescent="0.3">
      <c r="A107" s="27"/>
    </row>
    <row r="108" spans="1:35" s="20" customFormat="1" ht="30" customHeight="1" x14ac:dyDescent="0.3">
      <c r="A108" s="27"/>
    </row>
    <row r="109" spans="1:35" s="20" customFormat="1" ht="30" customHeight="1" x14ac:dyDescent="0.3">
      <c r="A109" s="27"/>
    </row>
    <row r="110" spans="1:35" s="20" customFormat="1" ht="30" customHeight="1" x14ac:dyDescent="0.3">
      <c r="A110" s="27"/>
    </row>
    <row r="111" spans="1:35" s="20" customFormat="1" ht="30" customHeight="1" x14ac:dyDescent="0.3">
      <c r="A111" s="27"/>
    </row>
    <row r="112" spans="1:35" s="20" customFormat="1" ht="30" customHeight="1" x14ac:dyDescent="0.3">
      <c r="A112" s="27"/>
    </row>
    <row r="113" spans="1:1" s="20" customFormat="1" ht="30" customHeight="1" x14ac:dyDescent="0.3">
      <c r="A113" s="27"/>
    </row>
    <row r="114" spans="1:1" s="20" customFormat="1" ht="30" customHeight="1" x14ac:dyDescent="0.3">
      <c r="A114" s="27"/>
    </row>
    <row r="115" spans="1:1" s="20" customFormat="1" ht="30" customHeight="1" x14ac:dyDescent="0.3">
      <c r="A115" s="27"/>
    </row>
    <row r="116" spans="1:1" s="20" customFormat="1" ht="30" customHeight="1" x14ac:dyDescent="0.3">
      <c r="A116" s="27"/>
    </row>
    <row r="117" spans="1:1" s="20" customFormat="1" ht="30" customHeight="1" x14ac:dyDescent="0.3">
      <c r="A117" s="27"/>
    </row>
    <row r="118" spans="1:1" s="20" customFormat="1" ht="30" customHeight="1" x14ac:dyDescent="0.3">
      <c r="A118" s="27"/>
    </row>
    <row r="119" spans="1:1" s="20" customFormat="1" ht="30" customHeight="1" x14ac:dyDescent="0.3">
      <c r="A119" s="27"/>
    </row>
    <row r="120" spans="1:1" s="20" customFormat="1" ht="30" customHeight="1" x14ac:dyDescent="0.3">
      <c r="A120" s="27"/>
    </row>
    <row r="121" spans="1:1" s="20" customFormat="1" ht="30" customHeight="1" x14ac:dyDescent="0.3">
      <c r="A121" s="27"/>
    </row>
    <row r="122" spans="1:1" s="20" customFormat="1" ht="30" customHeight="1" x14ac:dyDescent="0.3">
      <c r="A122" s="27"/>
    </row>
    <row r="123" spans="1:1" s="20" customFormat="1" ht="30" customHeight="1" x14ac:dyDescent="0.3">
      <c r="A123" s="27"/>
    </row>
    <row r="124" spans="1:1" s="20" customFormat="1" ht="30" customHeight="1" x14ac:dyDescent="0.3">
      <c r="A124" s="27"/>
    </row>
    <row r="125" spans="1:1" s="20" customFormat="1" ht="30" customHeight="1" x14ac:dyDescent="0.3">
      <c r="A125" s="27"/>
    </row>
    <row r="126" spans="1:1" s="20" customFormat="1" ht="30" customHeight="1" x14ac:dyDescent="0.3">
      <c r="A126" s="27"/>
    </row>
    <row r="127" spans="1:1" s="20" customFormat="1" ht="30" customHeight="1" x14ac:dyDescent="0.3">
      <c r="A127" s="27"/>
    </row>
    <row r="128" spans="1:1" s="20" customFormat="1" ht="30" customHeight="1" x14ac:dyDescent="0.3">
      <c r="A128" s="27"/>
    </row>
    <row r="129" spans="1:1" s="20" customFormat="1" ht="30" customHeight="1" x14ac:dyDescent="0.3">
      <c r="A129" s="27"/>
    </row>
    <row r="130" spans="1:1" s="20" customFormat="1" ht="30" customHeight="1" x14ac:dyDescent="0.3">
      <c r="A130" s="27"/>
    </row>
    <row r="131" spans="1:1" s="20" customFormat="1" ht="30" customHeight="1" x14ac:dyDescent="0.3">
      <c r="A131" s="27"/>
    </row>
    <row r="132" spans="1:1" s="20" customFormat="1" ht="30" customHeight="1" x14ac:dyDescent="0.3">
      <c r="A132" s="27"/>
    </row>
    <row r="133" spans="1:1" s="20" customFormat="1" ht="30" customHeight="1" x14ac:dyDescent="0.3">
      <c r="A133" s="27"/>
    </row>
    <row r="134" spans="1:1" s="20" customFormat="1" ht="30" customHeight="1" x14ac:dyDescent="0.3">
      <c r="A134" s="27"/>
    </row>
    <row r="135" spans="1:1" s="20" customFormat="1" ht="30" customHeight="1" x14ac:dyDescent="0.3">
      <c r="A135" s="27"/>
    </row>
    <row r="136" spans="1:1" s="20" customFormat="1" ht="30" customHeight="1" x14ac:dyDescent="0.3">
      <c r="A136" s="27"/>
    </row>
    <row r="137" spans="1:1" s="20" customFormat="1" ht="30" customHeight="1" x14ac:dyDescent="0.3">
      <c r="A137" s="27"/>
    </row>
    <row r="138" spans="1:1" s="20" customFormat="1" ht="30" customHeight="1" x14ac:dyDescent="0.3">
      <c r="A138" s="27"/>
    </row>
    <row r="139" spans="1:1" s="20" customFormat="1" ht="30" customHeight="1" x14ac:dyDescent="0.3">
      <c r="A139" s="27"/>
    </row>
    <row r="140" spans="1:1" s="20" customFormat="1" ht="30" customHeight="1" x14ac:dyDescent="0.3">
      <c r="A140" s="27"/>
    </row>
    <row r="141" spans="1:1" s="20" customFormat="1" ht="30" customHeight="1" x14ac:dyDescent="0.3">
      <c r="A141" s="27"/>
    </row>
    <row r="142" spans="1:1" s="20" customFormat="1" ht="30" customHeight="1" x14ac:dyDescent="0.3">
      <c r="A142" s="27"/>
    </row>
    <row r="143" spans="1:1" s="20" customFormat="1" ht="30" customHeight="1" x14ac:dyDescent="0.3">
      <c r="A143" s="27"/>
    </row>
    <row r="144" spans="1:1" s="20" customFormat="1" ht="30" customHeight="1" x14ac:dyDescent="0.3">
      <c r="A144" s="27"/>
    </row>
    <row r="145" spans="1:1" s="20" customFormat="1" ht="30" customHeight="1" x14ac:dyDescent="0.3">
      <c r="A145" s="27"/>
    </row>
    <row r="146" spans="1:1" s="20" customFormat="1" ht="30" customHeight="1" x14ac:dyDescent="0.3">
      <c r="A146" s="27"/>
    </row>
    <row r="147" spans="1:1" s="20" customFormat="1" ht="30" customHeight="1" x14ac:dyDescent="0.3">
      <c r="A147" s="27"/>
    </row>
    <row r="148" spans="1:1" s="20" customFormat="1" ht="30" customHeight="1" x14ac:dyDescent="0.3">
      <c r="A148" s="27"/>
    </row>
    <row r="149" spans="1:1" s="20" customFormat="1" ht="30" customHeight="1" x14ac:dyDescent="0.3">
      <c r="A149" s="27"/>
    </row>
    <row r="150" spans="1:1" s="20" customFormat="1" ht="30" customHeight="1" x14ac:dyDescent="0.3">
      <c r="A150" s="27"/>
    </row>
    <row r="151" spans="1:1" s="20" customFormat="1" ht="30" customHeight="1" x14ac:dyDescent="0.3">
      <c r="A151" s="27"/>
    </row>
    <row r="152" spans="1:1" s="20" customFormat="1" ht="30" customHeight="1" x14ac:dyDescent="0.3">
      <c r="A152" s="27"/>
    </row>
    <row r="153" spans="1:1" s="20" customFormat="1" ht="30" customHeight="1" x14ac:dyDescent="0.3">
      <c r="A153" s="27"/>
    </row>
    <row r="154" spans="1:1" s="20" customFormat="1" ht="30" customHeight="1" x14ac:dyDescent="0.3">
      <c r="A154" s="27"/>
    </row>
    <row r="155" spans="1:1" s="20" customFormat="1" ht="30" customHeight="1" x14ac:dyDescent="0.3">
      <c r="A155" s="27"/>
    </row>
    <row r="156" spans="1:1" s="20" customFormat="1" ht="30" customHeight="1" x14ac:dyDescent="0.3">
      <c r="A156" s="27"/>
    </row>
    <row r="157" spans="1:1" s="20" customFormat="1" ht="30" customHeight="1" x14ac:dyDescent="0.3">
      <c r="A157" s="27"/>
    </row>
    <row r="158" spans="1:1" s="20" customFormat="1" ht="30" customHeight="1" x14ac:dyDescent="0.3">
      <c r="A158" s="27"/>
    </row>
    <row r="159" spans="1:1" s="20" customFormat="1" ht="30" customHeight="1" x14ac:dyDescent="0.3">
      <c r="A159" s="27"/>
    </row>
    <row r="160" spans="1:1" s="20" customFormat="1" ht="30" customHeight="1" x14ac:dyDescent="0.3">
      <c r="A160" s="27"/>
    </row>
    <row r="161" spans="1:1" s="20" customFormat="1" ht="30" customHeight="1" x14ac:dyDescent="0.3">
      <c r="A161" s="27"/>
    </row>
    <row r="162" spans="1:1" s="20" customFormat="1" ht="30" customHeight="1" x14ac:dyDescent="0.3">
      <c r="A162" s="27"/>
    </row>
    <row r="163" spans="1:1" s="20" customFormat="1" ht="30" customHeight="1" x14ac:dyDescent="0.3">
      <c r="A163" s="27"/>
    </row>
    <row r="164" spans="1:1" s="20" customFormat="1" ht="30" customHeight="1" x14ac:dyDescent="0.3">
      <c r="A164" s="27"/>
    </row>
    <row r="165" spans="1:1" s="20" customFormat="1" ht="30" customHeight="1" x14ac:dyDescent="0.3">
      <c r="A165" s="27"/>
    </row>
    <row r="166" spans="1:1" s="20" customFormat="1" ht="30" customHeight="1" x14ac:dyDescent="0.3">
      <c r="A166" s="27"/>
    </row>
    <row r="167" spans="1:1" s="20" customFormat="1" ht="30" customHeight="1" x14ac:dyDescent="0.3">
      <c r="A167" s="27"/>
    </row>
    <row r="168" spans="1:1" s="20" customFormat="1" ht="30" customHeight="1" x14ac:dyDescent="0.3">
      <c r="A168" s="27"/>
    </row>
    <row r="169" spans="1:1" s="20" customFormat="1" ht="30" customHeight="1" x14ac:dyDescent="0.3">
      <c r="A169" s="27"/>
    </row>
    <row r="170" spans="1:1" s="20" customFormat="1" ht="30" customHeight="1" x14ac:dyDescent="0.3">
      <c r="A170" s="27"/>
    </row>
    <row r="171" spans="1:1" s="20" customFormat="1" ht="30" customHeight="1" x14ac:dyDescent="0.3">
      <c r="A171" s="27"/>
    </row>
    <row r="172" spans="1:1" s="20" customFormat="1" ht="30" customHeight="1" x14ac:dyDescent="0.3">
      <c r="A172" s="27"/>
    </row>
    <row r="173" spans="1:1" s="20" customFormat="1" ht="30" customHeight="1" x14ac:dyDescent="0.3">
      <c r="A173" s="27"/>
    </row>
    <row r="174" spans="1:1" s="20" customFormat="1" ht="30" customHeight="1" x14ac:dyDescent="0.3">
      <c r="A174" s="27"/>
    </row>
    <row r="175" spans="1:1" s="20" customFormat="1" ht="30" customHeight="1" x14ac:dyDescent="0.3">
      <c r="A175" s="27"/>
    </row>
    <row r="176" spans="1:1" s="20" customFormat="1" ht="30" customHeight="1" x14ac:dyDescent="0.3">
      <c r="A176" s="27"/>
    </row>
    <row r="177" spans="1:1" s="20" customFormat="1" ht="30" customHeight="1" x14ac:dyDescent="0.3">
      <c r="A177" s="27"/>
    </row>
    <row r="178" spans="1:1" s="20" customFormat="1" ht="30" customHeight="1" x14ac:dyDescent="0.3">
      <c r="A178" s="27"/>
    </row>
    <row r="179" spans="1:1" s="20" customFormat="1" ht="30" customHeight="1" x14ac:dyDescent="0.3">
      <c r="A179" s="27"/>
    </row>
    <row r="180" spans="1:1" s="20" customFormat="1" ht="30" customHeight="1" x14ac:dyDescent="0.3">
      <c r="A180" s="27"/>
    </row>
    <row r="181" spans="1:1" s="20" customFormat="1" ht="30" customHeight="1" x14ac:dyDescent="0.3">
      <c r="A181" s="27"/>
    </row>
    <row r="182" spans="1:1" s="20" customFormat="1" ht="30" customHeight="1" x14ac:dyDescent="0.3">
      <c r="A182" s="27"/>
    </row>
    <row r="183" spans="1:1" s="20" customFormat="1" ht="30" customHeight="1" x14ac:dyDescent="0.3">
      <c r="A183" s="27"/>
    </row>
    <row r="184" spans="1:1" s="20" customFormat="1" ht="30" customHeight="1" x14ac:dyDescent="0.3">
      <c r="A184" s="27"/>
    </row>
    <row r="185" spans="1:1" s="20" customFormat="1" ht="30" customHeight="1" x14ac:dyDescent="0.3">
      <c r="A185" s="27"/>
    </row>
    <row r="186" spans="1:1" s="20" customFormat="1" ht="30" customHeight="1" x14ac:dyDescent="0.3">
      <c r="A186" s="27"/>
    </row>
    <row r="187" spans="1:1" s="20" customFormat="1" ht="30" customHeight="1" x14ac:dyDescent="0.3">
      <c r="A187" s="27"/>
    </row>
    <row r="188" spans="1:1" s="20" customFormat="1" ht="30" customHeight="1" x14ac:dyDescent="0.3">
      <c r="A188" s="27"/>
    </row>
    <row r="189" spans="1:1" s="20" customFormat="1" ht="30" customHeight="1" x14ac:dyDescent="0.3">
      <c r="A189" s="27"/>
    </row>
    <row r="190" spans="1:1" s="20" customFormat="1" ht="30" customHeight="1" x14ac:dyDescent="0.3">
      <c r="A190" s="27"/>
    </row>
    <row r="191" spans="1:1" s="20" customFormat="1" ht="30" customHeight="1" x14ac:dyDescent="0.3">
      <c r="A191" s="27"/>
    </row>
    <row r="192" spans="1:1" s="20" customFormat="1" ht="30" customHeight="1" x14ac:dyDescent="0.3">
      <c r="A192" s="27"/>
    </row>
    <row r="193" spans="1:1" s="20" customFormat="1" ht="30" customHeight="1" x14ac:dyDescent="0.3">
      <c r="A193" s="27"/>
    </row>
    <row r="194" spans="1:1" s="20" customFormat="1" ht="30" customHeight="1" x14ac:dyDescent="0.3">
      <c r="A194" s="27"/>
    </row>
    <row r="195" spans="1:1" s="20" customFormat="1" ht="30" customHeight="1" x14ac:dyDescent="0.3">
      <c r="A195" s="27"/>
    </row>
    <row r="196" spans="1:1" s="20" customFormat="1" ht="30" customHeight="1" x14ac:dyDescent="0.3">
      <c r="A196" s="27"/>
    </row>
    <row r="197" spans="1:1" s="20" customFormat="1" ht="30" customHeight="1" x14ac:dyDescent="0.3">
      <c r="A197" s="27"/>
    </row>
    <row r="198" spans="1:1" s="20" customFormat="1" ht="30" customHeight="1" x14ac:dyDescent="0.3">
      <c r="A198" s="27"/>
    </row>
    <row r="199" spans="1:1" s="20" customFormat="1" ht="30" customHeight="1" x14ac:dyDescent="0.3">
      <c r="A199" s="27"/>
    </row>
    <row r="200" spans="1:1" s="20" customFormat="1" ht="30" customHeight="1" x14ac:dyDescent="0.3">
      <c r="A200" s="27"/>
    </row>
    <row r="201" spans="1:1" s="20" customFormat="1" ht="30" customHeight="1" x14ac:dyDescent="0.3">
      <c r="A201" s="27"/>
    </row>
    <row r="202" spans="1:1" s="20" customFormat="1" ht="30" customHeight="1" x14ac:dyDescent="0.3">
      <c r="A202" s="27"/>
    </row>
    <row r="203" spans="1:1" s="20" customFormat="1" ht="30" customHeight="1" x14ac:dyDescent="0.3">
      <c r="A203" s="27"/>
    </row>
    <row r="204" spans="1:1" s="20" customFormat="1" ht="30" customHeight="1" x14ac:dyDescent="0.3">
      <c r="A204" s="27"/>
    </row>
    <row r="205" spans="1:1" s="20" customFormat="1" ht="30" customHeight="1" x14ac:dyDescent="0.3">
      <c r="A205" s="27"/>
    </row>
    <row r="206" spans="1:1" s="20" customFormat="1" ht="30" customHeight="1" x14ac:dyDescent="0.3">
      <c r="A206" s="27"/>
    </row>
    <row r="207" spans="1:1" s="20" customFormat="1" ht="30" customHeight="1" x14ac:dyDescent="0.3">
      <c r="A207" s="27"/>
    </row>
    <row r="208" spans="1:1" s="20" customFormat="1" ht="30" customHeight="1" x14ac:dyDescent="0.3">
      <c r="A208" s="27"/>
    </row>
    <row r="209" spans="1:1" s="20" customFormat="1" ht="30" customHeight="1" x14ac:dyDescent="0.3">
      <c r="A209" s="27"/>
    </row>
    <row r="210" spans="1:1" s="20" customFormat="1" ht="30" customHeight="1" x14ac:dyDescent="0.3">
      <c r="A210" s="27"/>
    </row>
    <row r="211" spans="1:1" s="20" customFormat="1" ht="30" customHeight="1" x14ac:dyDescent="0.3">
      <c r="A211" s="27"/>
    </row>
    <row r="212" spans="1:1" s="20" customFormat="1" ht="30" customHeight="1" x14ac:dyDescent="0.3">
      <c r="A212" s="27"/>
    </row>
    <row r="213" spans="1:1" s="20" customFormat="1" ht="30" customHeight="1" x14ac:dyDescent="0.3">
      <c r="A213" s="27"/>
    </row>
    <row r="214" spans="1:1" s="20" customFormat="1" ht="30" customHeight="1" x14ac:dyDescent="0.3">
      <c r="A214" s="27"/>
    </row>
    <row r="215" spans="1:1" s="20" customFormat="1" ht="30" customHeight="1" x14ac:dyDescent="0.3">
      <c r="A215" s="27"/>
    </row>
    <row r="216" spans="1:1" s="20" customFormat="1" ht="30" customHeight="1" x14ac:dyDescent="0.3">
      <c r="A216" s="27"/>
    </row>
    <row r="217" spans="1:1" s="20" customFormat="1" ht="30" customHeight="1" x14ac:dyDescent="0.3">
      <c r="A217" s="27"/>
    </row>
    <row r="218" spans="1:1" s="20" customFormat="1" ht="30" customHeight="1" x14ac:dyDescent="0.3">
      <c r="A218" s="27"/>
    </row>
    <row r="219" spans="1:1" s="20" customFormat="1" ht="30" customHeight="1" x14ac:dyDescent="0.3">
      <c r="A219" s="27"/>
    </row>
    <row r="220" spans="1:1" s="20" customFormat="1" ht="30" customHeight="1" x14ac:dyDescent="0.3">
      <c r="A220" s="27"/>
    </row>
    <row r="221" spans="1:1" s="20" customFormat="1" ht="30" customHeight="1" x14ac:dyDescent="0.3">
      <c r="A221" s="27"/>
    </row>
    <row r="222" spans="1:1" s="20" customFormat="1" ht="30" customHeight="1" x14ac:dyDescent="0.3">
      <c r="A222" s="27"/>
    </row>
    <row r="223" spans="1:1" s="20" customFormat="1" ht="30" customHeight="1" x14ac:dyDescent="0.3">
      <c r="A223" s="27"/>
    </row>
    <row r="224" spans="1:1" s="20" customFormat="1" ht="30" customHeight="1" x14ac:dyDescent="0.3">
      <c r="A224" s="27"/>
    </row>
    <row r="225" spans="1:1" s="20" customFormat="1" ht="30" customHeight="1" x14ac:dyDescent="0.3">
      <c r="A225" s="27"/>
    </row>
    <row r="226" spans="1:1" s="20" customFormat="1" ht="30" customHeight="1" x14ac:dyDescent="0.3">
      <c r="A226" s="27"/>
    </row>
    <row r="227" spans="1:1" s="20" customFormat="1" ht="30" customHeight="1" x14ac:dyDescent="0.3">
      <c r="A227" s="27"/>
    </row>
    <row r="228" spans="1:1" s="20" customFormat="1" ht="30" customHeight="1" x14ac:dyDescent="0.3">
      <c r="A228" s="27"/>
    </row>
    <row r="229" spans="1:1" s="20" customFormat="1" ht="30" customHeight="1" x14ac:dyDescent="0.3">
      <c r="A229" s="27"/>
    </row>
    <row r="230" spans="1:1" s="20" customFormat="1" ht="30" customHeight="1" x14ac:dyDescent="0.3">
      <c r="A230" s="27"/>
    </row>
    <row r="231" spans="1:1" s="20" customFormat="1" ht="30" customHeight="1" x14ac:dyDescent="0.3">
      <c r="A231" s="27"/>
    </row>
    <row r="232" spans="1:1" s="20" customFormat="1" ht="30" customHeight="1" x14ac:dyDescent="0.3">
      <c r="A232" s="27"/>
    </row>
    <row r="233" spans="1:1" s="20" customFormat="1" ht="30" customHeight="1" x14ac:dyDescent="0.3">
      <c r="A233" s="27"/>
    </row>
    <row r="234" spans="1:1" s="20" customFormat="1" ht="30" customHeight="1" x14ac:dyDescent="0.3">
      <c r="A234" s="27"/>
    </row>
    <row r="235" spans="1:1" s="20" customFormat="1" ht="30" customHeight="1" x14ac:dyDescent="0.3">
      <c r="A235" s="27"/>
    </row>
    <row r="236" spans="1:1" s="20" customFormat="1" ht="30" customHeight="1" x14ac:dyDescent="0.3">
      <c r="A236" s="27"/>
    </row>
    <row r="237" spans="1:1" s="20" customFormat="1" ht="30" customHeight="1" x14ac:dyDescent="0.3">
      <c r="A237" s="27"/>
    </row>
    <row r="238" spans="1:1" s="20" customFormat="1" ht="30" customHeight="1" x14ac:dyDescent="0.3">
      <c r="A238" s="27"/>
    </row>
    <row r="239" spans="1:1" s="20" customFormat="1" ht="30" customHeight="1" x14ac:dyDescent="0.3">
      <c r="A239" s="27"/>
    </row>
    <row r="240" spans="1:1" s="20" customFormat="1" ht="30" customHeight="1" x14ac:dyDescent="0.3">
      <c r="A240" s="27"/>
    </row>
    <row r="241" spans="1:1" s="20" customFormat="1" ht="30" customHeight="1" x14ac:dyDescent="0.3">
      <c r="A241" s="27"/>
    </row>
    <row r="242" spans="1:1" s="20" customFormat="1" ht="30" customHeight="1" x14ac:dyDescent="0.3">
      <c r="A242" s="27"/>
    </row>
    <row r="243" spans="1:1" s="20" customFormat="1" ht="30" customHeight="1" x14ac:dyDescent="0.3">
      <c r="A243" s="27"/>
    </row>
    <row r="244" spans="1:1" s="20" customFormat="1" ht="30" customHeight="1" x14ac:dyDescent="0.3">
      <c r="A244" s="27"/>
    </row>
    <row r="245" spans="1:1" s="20" customFormat="1" ht="30" customHeight="1" x14ac:dyDescent="0.3">
      <c r="A245" s="27"/>
    </row>
    <row r="246" spans="1:1" s="20" customFormat="1" ht="30" customHeight="1" x14ac:dyDescent="0.3">
      <c r="A246" s="27"/>
    </row>
    <row r="247" spans="1:1" s="20" customFormat="1" ht="30" customHeight="1" x14ac:dyDescent="0.3">
      <c r="A247" s="27"/>
    </row>
    <row r="248" spans="1:1" s="20" customFormat="1" ht="30" customHeight="1" x14ac:dyDescent="0.3">
      <c r="A248" s="27"/>
    </row>
    <row r="249" spans="1:1" s="20" customFormat="1" ht="30" customHeight="1" x14ac:dyDescent="0.3">
      <c r="A249" s="27"/>
    </row>
    <row r="250" spans="1:1" s="20" customFormat="1" ht="30" customHeight="1" x14ac:dyDescent="0.3">
      <c r="A250" s="27"/>
    </row>
    <row r="251" spans="1:1" s="20" customFormat="1" ht="30" customHeight="1" x14ac:dyDescent="0.3">
      <c r="A251" s="27"/>
    </row>
    <row r="252" spans="1:1" s="20" customFormat="1" ht="30" customHeight="1" x14ac:dyDescent="0.3">
      <c r="A252" s="27"/>
    </row>
    <row r="253" spans="1:1" s="20" customFormat="1" ht="30" customHeight="1" x14ac:dyDescent="0.3">
      <c r="A253" s="27"/>
    </row>
    <row r="254" spans="1:1" s="20" customFormat="1" ht="30" customHeight="1" x14ac:dyDescent="0.3">
      <c r="A254" s="27"/>
    </row>
    <row r="255" spans="1:1" s="20" customFormat="1" ht="30" customHeight="1" x14ac:dyDescent="0.3">
      <c r="A255" s="27"/>
    </row>
    <row r="256" spans="1:1" s="20" customFormat="1" ht="30" customHeight="1" x14ac:dyDescent="0.3">
      <c r="A256" s="27"/>
    </row>
    <row r="257" spans="1:35" s="20" customFormat="1" ht="30" customHeight="1" x14ac:dyDescent="0.3">
      <c r="A257" s="27"/>
    </row>
    <row r="258" spans="1:35" s="20" customFormat="1" ht="30" customHeight="1" x14ac:dyDescent="0.3">
      <c r="A258" s="27"/>
    </row>
    <row r="259" spans="1:35" s="20" customFormat="1" ht="30" customHeight="1" x14ac:dyDescent="0.3">
      <c r="A259" s="27"/>
    </row>
    <row r="260" spans="1:35" ht="30" customHeight="1" x14ac:dyDescent="0.3">
      <c r="A260" s="27"/>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row>
    <row r="261" spans="1:35" ht="30" customHeight="1" x14ac:dyDescent="0.3">
      <c r="A261" s="27"/>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row>
    <row r="262" spans="1:35" ht="30" customHeight="1" x14ac:dyDescent="0.3">
      <c r="A262" s="27"/>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row>
    <row r="263" spans="1:35" ht="30" customHeight="1" x14ac:dyDescent="0.3">
      <c r="A263" s="27"/>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row>
    <row r="264" spans="1:35" ht="30" customHeight="1" x14ac:dyDescent="0.3">
      <c r="A264" s="27"/>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row>
    <row r="265" spans="1:35" ht="30" customHeight="1" x14ac:dyDescent="0.3">
      <c r="A265" s="27"/>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row>
    <row r="266" spans="1:35" ht="30" customHeight="1" x14ac:dyDescent="0.3">
      <c r="A266" s="27"/>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row>
    <row r="267" spans="1:35" ht="30" customHeight="1" x14ac:dyDescent="0.3">
      <c r="A267" s="27"/>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row>
    <row r="268" spans="1:35" ht="30" customHeight="1" x14ac:dyDescent="0.3">
      <c r="A268" s="27"/>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row>
    <row r="269" spans="1:35" ht="30" customHeight="1" x14ac:dyDescent="0.3">
      <c r="A269" s="27"/>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row>
    <row r="270" spans="1:35" ht="30" customHeight="1" x14ac:dyDescent="0.3">
      <c r="A270" s="27"/>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row>
    <row r="271" spans="1:35" ht="30" customHeight="1" x14ac:dyDescent="0.3">
      <c r="A271" s="27"/>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row>
    <row r="272" spans="1:35" ht="30" customHeight="1" x14ac:dyDescent="0.3">
      <c r="A272" s="27"/>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row>
    <row r="273" spans="1:35" ht="30" customHeight="1" x14ac:dyDescent="0.3">
      <c r="A273" s="27"/>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row>
    <row r="274" spans="1:35" ht="30" customHeight="1" x14ac:dyDescent="0.3">
      <c r="A274" s="27"/>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row>
    <row r="275" spans="1:35" ht="30" customHeight="1" x14ac:dyDescent="0.3">
      <c r="A275" s="27"/>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row>
    <row r="276" spans="1:35" ht="30" customHeight="1" x14ac:dyDescent="0.3">
      <c r="A276" s="27"/>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row>
    <row r="277" spans="1:35" ht="30" customHeight="1" x14ac:dyDescent="0.3">
      <c r="A277" s="27"/>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row>
    <row r="278" spans="1:35" ht="30" customHeight="1" x14ac:dyDescent="0.3">
      <c r="A278" s="27"/>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row>
    <row r="279" spans="1:35" ht="30" customHeight="1" x14ac:dyDescent="0.3">
      <c r="A279" s="27"/>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row>
    <row r="280" spans="1:35" ht="30" customHeight="1" x14ac:dyDescent="0.3">
      <c r="A280" s="27"/>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row>
    <row r="281" spans="1:35" ht="30" customHeight="1" x14ac:dyDescent="0.3">
      <c r="A281" s="27"/>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row>
    <row r="282" spans="1:35" ht="30" customHeight="1" x14ac:dyDescent="0.3">
      <c r="A282" s="27"/>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row>
    <row r="283" spans="1:35" ht="30" customHeight="1" x14ac:dyDescent="0.3">
      <c r="A283" s="27"/>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row>
    <row r="284" spans="1:35" ht="30" customHeight="1" x14ac:dyDescent="0.3">
      <c r="A284" s="27"/>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row>
    <row r="285" spans="1:35" ht="30" customHeight="1" x14ac:dyDescent="0.3">
      <c r="A285" s="27"/>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row>
    <row r="286" spans="1:35" ht="30" customHeight="1" x14ac:dyDescent="0.3">
      <c r="A286" s="27"/>
      <c r="B286" s="20"/>
      <c r="C286" s="20"/>
      <c r="D286" s="20"/>
      <c r="E286" s="20"/>
      <c r="F286" s="20"/>
      <c r="G286" s="20"/>
      <c r="H286" s="20"/>
      <c r="I286" s="20"/>
      <c r="J286" s="20"/>
      <c r="K286" s="20"/>
      <c r="L286" s="20"/>
      <c r="M286" s="20"/>
      <c r="N286" s="20"/>
      <c r="O286" s="20"/>
      <c r="P286" s="20"/>
      <c r="Q286" s="20"/>
      <c r="R286" s="20"/>
      <c r="S286" s="20"/>
      <c r="T286" s="20"/>
      <c r="U286" s="20"/>
      <c r="V286" s="20"/>
      <c r="W286" s="20"/>
      <c r="X286" s="20"/>
      <c r="Y286" s="20"/>
      <c r="Z286" s="20"/>
      <c r="AA286" s="20"/>
      <c r="AB286" s="20"/>
      <c r="AC286" s="20"/>
      <c r="AD286" s="20"/>
      <c r="AE286" s="20"/>
      <c r="AF286" s="20"/>
      <c r="AG286" s="20"/>
      <c r="AH286" s="20"/>
      <c r="AI286" s="20"/>
    </row>
    <row r="287" spans="1:35" ht="30" customHeight="1" x14ac:dyDescent="0.3">
      <c r="A287" s="27"/>
      <c r="B287" s="20"/>
      <c r="C287" s="20"/>
      <c r="D287" s="20"/>
      <c r="E287" s="20"/>
      <c r="F287" s="20"/>
      <c r="G287" s="20"/>
      <c r="H287" s="20"/>
      <c r="I287" s="20"/>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20"/>
      <c r="AG287" s="20"/>
      <c r="AH287" s="20"/>
      <c r="AI287" s="20"/>
    </row>
    <row r="288" spans="1:35" ht="30" customHeight="1" x14ac:dyDescent="0.3">
      <c r="A288" s="27"/>
      <c r="B288" s="20"/>
      <c r="C288" s="20"/>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20"/>
      <c r="AG288" s="20"/>
      <c r="AH288" s="20"/>
      <c r="AI288" s="20"/>
    </row>
    <row r="289" spans="1:35" ht="30" customHeight="1" x14ac:dyDescent="0.3">
      <c r="A289" s="27"/>
      <c r="B289" s="20"/>
      <c r="C289" s="20"/>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20"/>
      <c r="AG289" s="20"/>
      <c r="AH289" s="20"/>
      <c r="AI289" s="20"/>
    </row>
    <row r="290" spans="1:35" ht="30" customHeight="1" x14ac:dyDescent="0.3">
      <c r="A290" s="27"/>
      <c r="B290" s="20"/>
      <c r="C290" s="20"/>
      <c r="D290" s="20"/>
      <c r="E290" s="20"/>
      <c r="F290" s="20"/>
      <c r="G290" s="20"/>
      <c r="H290" s="20"/>
      <c r="I290" s="20"/>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20"/>
      <c r="AG290" s="20"/>
      <c r="AH290" s="20"/>
      <c r="AI290" s="20"/>
    </row>
    <row r="291" spans="1:35" ht="30" customHeight="1" x14ac:dyDescent="0.3">
      <c r="A291" s="27"/>
      <c r="B291" s="20"/>
      <c r="C291" s="20"/>
      <c r="D291" s="20"/>
      <c r="E291" s="20"/>
      <c r="F291" s="20"/>
      <c r="G291" s="20"/>
      <c r="H291" s="20"/>
      <c r="I291" s="20"/>
      <c r="J291" s="20"/>
      <c r="K291" s="20"/>
      <c r="L291" s="20"/>
      <c r="M291" s="20"/>
      <c r="N291" s="20"/>
      <c r="O291" s="20"/>
      <c r="P291" s="20"/>
      <c r="Q291" s="20"/>
      <c r="R291" s="20"/>
      <c r="S291" s="20"/>
      <c r="T291" s="20"/>
      <c r="U291" s="20"/>
      <c r="V291" s="20"/>
      <c r="W291" s="20"/>
      <c r="X291" s="20"/>
      <c r="Y291" s="20"/>
      <c r="Z291" s="20"/>
      <c r="AA291" s="20"/>
      <c r="AB291" s="20"/>
      <c r="AC291" s="20"/>
      <c r="AD291" s="20"/>
      <c r="AE291" s="20"/>
      <c r="AF291" s="20"/>
      <c r="AG291" s="20"/>
      <c r="AH291" s="20"/>
      <c r="AI291" s="20"/>
    </row>
    <row r="292" spans="1:35" ht="30" customHeight="1" x14ac:dyDescent="0.3">
      <c r="A292" s="27"/>
      <c r="B292" s="20"/>
      <c r="C292" s="20"/>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20"/>
      <c r="AG292" s="20"/>
      <c r="AH292" s="20"/>
      <c r="AI292" s="20"/>
    </row>
    <row r="293" spans="1:35" ht="30" customHeight="1" x14ac:dyDescent="0.3">
      <c r="A293" s="27"/>
      <c r="B293" s="20"/>
      <c r="C293" s="20"/>
      <c r="D293" s="20"/>
      <c r="E293" s="20"/>
      <c r="F293" s="20"/>
      <c r="G293" s="20"/>
      <c r="H293" s="20"/>
      <c r="I293" s="20"/>
      <c r="J293" s="20"/>
      <c r="K293" s="20"/>
      <c r="L293" s="20"/>
      <c r="M293" s="20"/>
      <c r="N293" s="20"/>
      <c r="O293" s="20"/>
      <c r="P293" s="20"/>
      <c r="Q293" s="20"/>
      <c r="R293" s="20"/>
      <c r="S293" s="20"/>
      <c r="T293" s="20"/>
      <c r="U293" s="20"/>
      <c r="V293" s="20"/>
      <c r="W293" s="20"/>
      <c r="X293" s="20"/>
      <c r="Y293" s="20"/>
      <c r="Z293" s="20"/>
      <c r="AA293" s="20"/>
      <c r="AB293" s="20"/>
      <c r="AC293" s="20"/>
      <c r="AD293" s="20"/>
      <c r="AE293" s="20"/>
      <c r="AF293" s="20"/>
      <c r="AG293" s="20"/>
      <c r="AH293" s="20"/>
      <c r="AI293" s="20"/>
    </row>
    <row r="294" spans="1:35" ht="30" customHeight="1" x14ac:dyDescent="0.3">
      <c r="A294" s="27"/>
      <c r="B294" s="20"/>
      <c r="C294" s="20"/>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20"/>
      <c r="AG294" s="20"/>
      <c r="AH294" s="20"/>
      <c r="AI294" s="20"/>
    </row>
    <row r="295" spans="1:35" ht="30" customHeight="1" x14ac:dyDescent="0.3">
      <c r="A295" s="27"/>
      <c r="B295" s="20"/>
      <c r="C295" s="20"/>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20"/>
      <c r="AG295" s="20"/>
      <c r="AH295" s="20"/>
      <c r="AI295" s="20"/>
    </row>
    <row r="296" spans="1:35" ht="30" customHeight="1" x14ac:dyDescent="0.3">
      <c r="A296" s="27"/>
      <c r="B296" s="20"/>
      <c r="C296" s="20"/>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20"/>
      <c r="AG296" s="20"/>
      <c r="AH296" s="20"/>
      <c r="AI296" s="20"/>
    </row>
    <row r="297" spans="1:35" ht="30" customHeight="1" x14ac:dyDescent="0.3">
      <c r="A297" s="27"/>
      <c r="B297" s="20"/>
      <c r="C297" s="20"/>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20"/>
      <c r="AG297" s="20"/>
      <c r="AH297" s="20"/>
      <c r="AI297" s="20"/>
    </row>
    <row r="298" spans="1:35" ht="30" customHeight="1" x14ac:dyDescent="0.3">
      <c r="A298" s="27"/>
      <c r="B298" s="20"/>
      <c r="C298" s="20"/>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20"/>
      <c r="AG298" s="20"/>
      <c r="AH298" s="20"/>
      <c r="AI298" s="20"/>
    </row>
    <row r="299" spans="1:35" ht="30" customHeight="1" x14ac:dyDescent="0.3">
      <c r="A299" s="27"/>
      <c r="B299" s="20"/>
      <c r="C299" s="20"/>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20"/>
      <c r="AG299" s="20"/>
      <c r="AH299" s="20"/>
      <c r="AI299" s="20"/>
    </row>
    <row r="300" spans="1:35" ht="30" customHeight="1" x14ac:dyDescent="0.3">
      <c r="A300" s="27"/>
      <c r="B300" s="20"/>
      <c r="C300" s="20"/>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20"/>
      <c r="AG300" s="20"/>
      <c r="AH300" s="20"/>
      <c r="AI300" s="20"/>
    </row>
    <row r="301" spans="1:35" ht="30" customHeight="1" x14ac:dyDescent="0.3">
      <c r="A301" s="27"/>
      <c r="B301" s="20"/>
      <c r="C301" s="20"/>
      <c r="D301" s="20"/>
      <c r="E301" s="20"/>
      <c r="F301" s="20"/>
      <c r="G301" s="20"/>
      <c r="H301" s="20"/>
      <c r="I301" s="20"/>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20"/>
      <c r="AG301" s="20"/>
      <c r="AH301" s="20"/>
      <c r="AI301" s="20"/>
    </row>
    <row r="302" spans="1:35" ht="30" customHeight="1" x14ac:dyDescent="0.3">
      <c r="A302" s="27"/>
      <c r="B302" s="20"/>
      <c r="C302" s="20"/>
      <c r="D302" s="20"/>
      <c r="E302" s="20"/>
      <c r="F302" s="20"/>
      <c r="G302" s="20"/>
      <c r="H302" s="20"/>
      <c r="I302" s="20"/>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20"/>
      <c r="AG302" s="20"/>
      <c r="AH302" s="20"/>
      <c r="AI302" s="20"/>
    </row>
    <row r="303" spans="1:35" ht="30" customHeight="1" x14ac:dyDescent="0.3">
      <c r="A303" s="27"/>
      <c r="B303" s="20"/>
      <c r="C303" s="20"/>
      <c r="D303" s="20"/>
      <c r="E303" s="20"/>
      <c r="F303" s="20"/>
      <c r="G303" s="20"/>
      <c r="H303" s="20"/>
      <c r="I303" s="20"/>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20"/>
      <c r="AG303" s="20"/>
      <c r="AH303" s="20"/>
      <c r="AI303" s="20"/>
    </row>
    <row r="304" spans="1:35" ht="30" customHeight="1" x14ac:dyDescent="0.3">
      <c r="A304" s="27"/>
      <c r="B304" s="20"/>
      <c r="C304" s="20"/>
      <c r="D304" s="20"/>
      <c r="E304" s="20"/>
      <c r="F304" s="20"/>
      <c r="G304" s="20"/>
      <c r="H304" s="20"/>
      <c r="I304" s="20"/>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20"/>
      <c r="AG304" s="20"/>
      <c r="AH304" s="20"/>
      <c r="AI304" s="20"/>
    </row>
    <row r="305" spans="1:35" ht="30" customHeight="1" x14ac:dyDescent="0.3">
      <c r="A305" s="27"/>
      <c r="B305" s="20"/>
      <c r="C305" s="20"/>
      <c r="D305" s="20"/>
      <c r="E305" s="20"/>
      <c r="F305" s="20"/>
      <c r="G305" s="20"/>
      <c r="H305" s="20"/>
      <c r="I305" s="20"/>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20"/>
      <c r="AG305" s="20"/>
      <c r="AH305" s="20"/>
      <c r="AI305" s="20"/>
    </row>
    <row r="306" spans="1:35" ht="30" customHeight="1" x14ac:dyDescent="0.3">
      <c r="A306" s="27"/>
      <c r="B306" s="20"/>
      <c r="C306" s="20"/>
      <c r="D306" s="20"/>
      <c r="E306" s="20"/>
      <c r="F306" s="20"/>
      <c r="G306" s="20"/>
      <c r="H306" s="20"/>
      <c r="I306" s="20"/>
      <c r="J306" s="20"/>
      <c r="K306" s="20"/>
      <c r="L306" s="20"/>
      <c r="M306" s="20"/>
      <c r="N306" s="20"/>
      <c r="O306" s="20"/>
      <c r="P306" s="20"/>
      <c r="Q306" s="20"/>
      <c r="R306" s="20"/>
      <c r="S306" s="20"/>
      <c r="T306" s="20"/>
      <c r="U306" s="20"/>
      <c r="V306" s="20"/>
      <c r="W306" s="20"/>
      <c r="X306" s="20"/>
      <c r="Y306" s="20"/>
      <c r="Z306" s="20"/>
      <c r="AA306" s="20"/>
      <c r="AB306" s="20"/>
      <c r="AC306" s="20"/>
      <c r="AD306" s="20"/>
      <c r="AE306" s="20"/>
      <c r="AF306" s="20"/>
      <c r="AG306" s="20"/>
      <c r="AH306" s="20"/>
      <c r="AI306" s="20"/>
    </row>
    <row r="307" spans="1:35" ht="30" customHeight="1" x14ac:dyDescent="0.3">
      <c r="A307" s="27"/>
      <c r="B307" s="20"/>
      <c r="C307" s="20"/>
      <c r="D307" s="20"/>
      <c r="E307" s="20"/>
      <c r="F307" s="20"/>
      <c r="G307" s="20"/>
      <c r="H307" s="20"/>
      <c r="I307" s="20"/>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20"/>
      <c r="AG307" s="20"/>
      <c r="AH307" s="20"/>
      <c r="AI307" s="20"/>
    </row>
    <row r="308" spans="1:35" ht="30" customHeight="1" x14ac:dyDescent="0.3">
      <c r="A308" s="27"/>
      <c r="B308" s="20"/>
      <c r="C308" s="20"/>
      <c r="D308" s="20"/>
      <c r="E308" s="20"/>
      <c r="F308" s="20"/>
      <c r="G308" s="20"/>
      <c r="H308" s="20"/>
      <c r="I308" s="20"/>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20"/>
      <c r="AG308" s="20"/>
      <c r="AH308" s="20"/>
      <c r="AI308" s="20"/>
    </row>
    <row r="309" spans="1:35" ht="30" customHeight="1" x14ac:dyDescent="0.3">
      <c r="A309" s="27"/>
      <c r="B309" s="20"/>
      <c r="C309" s="20"/>
      <c r="D309" s="20"/>
      <c r="E309" s="20"/>
      <c r="F309" s="20"/>
      <c r="G309" s="20"/>
      <c r="H309" s="20"/>
      <c r="I309" s="20"/>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20"/>
      <c r="AG309" s="20"/>
      <c r="AH309" s="20"/>
      <c r="AI309" s="20"/>
    </row>
    <row r="310" spans="1:35" ht="30" customHeight="1" x14ac:dyDescent="0.3">
      <c r="A310" s="27"/>
      <c r="B310" s="20"/>
      <c r="C310" s="20"/>
      <c r="D310" s="20"/>
      <c r="E310" s="20"/>
      <c r="F310" s="20"/>
      <c r="G310" s="20"/>
      <c r="H310" s="20"/>
      <c r="I310" s="20"/>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20"/>
      <c r="AG310" s="20"/>
      <c r="AH310" s="20"/>
      <c r="AI310" s="20"/>
    </row>
    <row r="311" spans="1:35" ht="30" customHeight="1" x14ac:dyDescent="0.3">
      <c r="A311" s="27"/>
      <c r="B311" s="20"/>
      <c r="C311" s="20"/>
      <c r="D311" s="20"/>
      <c r="E311" s="20"/>
      <c r="F311" s="20"/>
      <c r="G311" s="20"/>
      <c r="H311" s="20"/>
      <c r="I311" s="20"/>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20"/>
      <c r="AG311" s="20"/>
      <c r="AH311" s="20"/>
      <c r="AI311" s="20"/>
    </row>
    <row r="312" spans="1:35" ht="30" customHeight="1" x14ac:dyDescent="0.3">
      <c r="A312" s="27"/>
      <c r="B312" s="20"/>
      <c r="C312" s="20"/>
      <c r="D312" s="20"/>
      <c r="E312" s="20"/>
      <c r="F312" s="20"/>
      <c r="G312" s="20"/>
      <c r="H312" s="20"/>
      <c r="I312" s="20"/>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20"/>
      <c r="AG312" s="20"/>
      <c r="AH312" s="20"/>
      <c r="AI312" s="20"/>
    </row>
    <row r="313" spans="1:35" ht="30" customHeight="1" x14ac:dyDescent="0.3">
      <c r="A313" s="27"/>
      <c r="B313" s="2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c r="AA313" s="20"/>
      <c r="AB313" s="20"/>
      <c r="AC313" s="20"/>
      <c r="AD313" s="20"/>
      <c r="AE313" s="20"/>
      <c r="AF313" s="20"/>
      <c r="AG313" s="20"/>
      <c r="AH313" s="20"/>
      <c r="AI313" s="20"/>
    </row>
    <row r="314" spans="1:35" ht="30" customHeight="1" x14ac:dyDescent="0.3">
      <c r="A314" s="27"/>
      <c r="B314" s="20"/>
      <c r="C314" s="20"/>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20"/>
      <c r="AG314" s="20"/>
      <c r="AH314" s="20"/>
      <c r="AI314" s="20"/>
    </row>
    <row r="315" spans="1:35" ht="30" customHeight="1" x14ac:dyDescent="0.3">
      <c r="A315" s="27"/>
      <c r="B315" s="20"/>
      <c r="C315" s="20"/>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20"/>
      <c r="AG315" s="20"/>
      <c r="AH315" s="20"/>
      <c r="AI315" s="20"/>
    </row>
    <row r="316" spans="1:35" ht="30" customHeight="1" x14ac:dyDescent="0.3">
      <c r="A316" s="27"/>
      <c r="B316" s="20"/>
      <c r="C316" s="20"/>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20"/>
      <c r="AG316" s="20"/>
      <c r="AH316" s="20"/>
      <c r="AI316" s="20"/>
    </row>
    <row r="317" spans="1:35" ht="30" customHeight="1" x14ac:dyDescent="0.3">
      <c r="A317" s="27"/>
      <c r="B317" s="20"/>
      <c r="C317" s="20"/>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20"/>
      <c r="AG317" s="20"/>
      <c r="AH317" s="20"/>
      <c r="AI317" s="20"/>
    </row>
    <row r="318" spans="1:35" ht="30" customHeight="1" x14ac:dyDescent="0.3">
      <c r="A318" s="27"/>
      <c r="B318" s="20"/>
      <c r="C318" s="20"/>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20"/>
      <c r="AB318" s="20"/>
      <c r="AC318" s="20"/>
      <c r="AD318" s="20"/>
      <c r="AE318" s="20"/>
      <c r="AF318" s="20"/>
      <c r="AG318" s="20"/>
      <c r="AH318" s="20"/>
      <c r="AI318" s="20"/>
    </row>
    <row r="319" spans="1:35" ht="30" customHeight="1" x14ac:dyDescent="0.3">
      <c r="A319" s="27"/>
      <c r="B319" s="20"/>
      <c r="C319" s="20"/>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20"/>
      <c r="AB319" s="20"/>
      <c r="AC319" s="20"/>
      <c r="AD319" s="20"/>
      <c r="AE319" s="20"/>
      <c r="AF319" s="20"/>
      <c r="AG319" s="20"/>
      <c r="AH319" s="20"/>
      <c r="AI319" s="20"/>
    </row>
    <row r="320" spans="1:35" ht="30" customHeight="1" x14ac:dyDescent="0.3">
      <c r="A320" s="27"/>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20"/>
      <c r="AB320" s="20"/>
      <c r="AC320" s="20"/>
      <c r="AD320" s="20"/>
      <c r="AE320" s="20"/>
      <c r="AF320" s="20"/>
      <c r="AG320" s="20"/>
      <c r="AH320" s="20"/>
      <c r="AI320" s="20"/>
    </row>
    <row r="321" spans="1:35" ht="30" customHeight="1" x14ac:dyDescent="0.3">
      <c r="A321" s="27"/>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20"/>
      <c r="AB321" s="20"/>
      <c r="AC321" s="20"/>
      <c r="AD321" s="20"/>
      <c r="AE321" s="20"/>
      <c r="AF321" s="20"/>
      <c r="AG321" s="20"/>
      <c r="AH321" s="20"/>
      <c r="AI321" s="20"/>
    </row>
    <row r="322" spans="1:35" ht="30" customHeight="1" x14ac:dyDescent="0.3">
      <c r="A322" s="27"/>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20"/>
      <c r="AB322" s="20"/>
      <c r="AC322" s="20"/>
      <c r="AD322" s="20"/>
      <c r="AE322" s="20"/>
      <c r="AF322" s="20"/>
      <c r="AG322" s="20"/>
      <c r="AH322" s="20"/>
      <c r="AI322" s="20"/>
    </row>
    <row r="323" spans="1:35" ht="30" customHeight="1" x14ac:dyDescent="0.3">
      <c r="A323" s="27"/>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row>
    <row r="324" spans="1:35" ht="30" customHeight="1" x14ac:dyDescent="0.3">
      <c r="A324" s="27"/>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row>
    <row r="325" spans="1:35" ht="30" customHeight="1" x14ac:dyDescent="0.3">
      <c r="A325" s="27"/>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row>
    <row r="326" spans="1:35" ht="30" customHeight="1" x14ac:dyDescent="0.3">
      <c r="A326" s="27"/>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row>
    <row r="327" spans="1:35" ht="30" customHeight="1" x14ac:dyDescent="0.3">
      <c r="A327" s="27"/>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row>
    <row r="328" spans="1:35" ht="30" customHeight="1" x14ac:dyDescent="0.3">
      <c r="A328" s="27"/>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row>
    <row r="329" spans="1:35" ht="30" customHeight="1" x14ac:dyDescent="0.3">
      <c r="A329" s="27"/>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row>
    <row r="330" spans="1:35" ht="30" customHeight="1" x14ac:dyDescent="0.3">
      <c r="A330" s="27"/>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row>
    <row r="331" spans="1:35" ht="30" customHeight="1" x14ac:dyDescent="0.3">
      <c r="A331" s="27"/>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20"/>
      <c r="AB331" s="20"/>
      <c r="AC331" s="20"/>
      <c r="AD331" s="20"/>
      <c r="AE331" s="20"/>
      <c r="AF331" s="20"/>
      <c r="AG331" s="20"/>
      <c r="AH331" s="20"/>
      <c r="AI331" s="20"/>
    </row>
    <row r="332" spans="1:35" ht="30" customHeight="1" x14ac:dyDescent="0.3">
      <c r="A332" s="27"/>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20"/>
      <c r="AB332" s="20"/>
      <c r="AC332" s="20"/>
      <c r="AD332" s="20"/>
      <c r="AE332" s="20"/>
      <c r="AF332" s="20"/>
      <c r="AG332" s="20"/>
      <c r="AH332" s="20"/>
      <c r="AI332" s="20"/>
    </row>
    <row r="333" spans="1:35" ht="30" customHeight="1" x14ac:dyDescent="0.3">
      <c r="A333" s="27"/>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20"/>
      <c r="AB333" s="20"/>
      <c r="AC333" s="20"/>
      <c r="AD333" s="20"/>
      <c r="AE333" s="20"/>
      <c r="AF333" s="20"/>
      <c r="AG333" s="20"/>
      <c r="AH333" s="20"/>
      <c r="AI333" s="20"/>
    </row>
    <row r="334" spans="1:35" ht="30" customHeight="1" x14ac:dyDescent="0.3">
      <c r="A334" s="27"/>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row>
    <row r="335" spans="1:35" ht="30" customHeight="1" x14ac:dyDescent="0.3">
      <c r="A335" s="27"/>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c r="AG335" s="20"/>
      <c r="AH335" s="20"/>
      <c r="AI335" s="20"/>
    </row>
    <row r="336" spans="1:35" ht="30" customHeight="1" x14ac:dyDescent="0.3">
      <c r="A336" s="27"/>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20"/>
      <c r="AB336" s="20"/>
      <c r="AC336" s="20"/>
      <c r="AD336" s="20"/>
      <c r="AE336" s="20"/>
      <c r="AF336" s="20"/>
      <c r="AG336" s="20"/>
      <c r="AH336" s="20"/>
      <c r="AI336" s="20"/>
    </row>
    <row r="337" spans="1:35" ht="30" customHeight="1" x14ac:dyDescent="0.3">
      <c r="A337" s="27"/>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20"/>
      <c r="AB337" s="20"/>
      <c r="AC337" s="20"/>
      <c r="AD337" s="20"/>
      <c r="AE337" s="20"/>
      <c r="AF337" s="20"/>
      <c r="AG337" s="20"/>
      <c r="AH337" s="20"/>
      <c r="AI337" s="20"/>
    </row>
    <row r="338" spans="1:35" ht="30" customHeight="1" x14ac:dyDescent="0.3">
      <c r="A338" s="27"/>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20"/>
      <c r="AB338" s="20"/>
      <c r="AC338" s="20"/>
      <c r="AD338" s="20"/>
      <c r="AE338" s="20"/>
      <c r="AF338" s="20"/>
      <c r="AG338" s="20"/>
      <c r="AH338" s="20"/>
      <c r="AI338" s="20"/>
    </row>
    <row r="339" spans="1:35" ht="30" customHeight="1" x14ac:dyDescent="0.3">
      <c r="A339" s="27"/>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20"/>
      <c r="AB339" s="20"/>
      <c r="AC339" s="20"/>
      <c r="AD339" s="20"/>
      <c r="AE339" s="20"/>
      <c r="AF339" s="20"/>
      <c r="AG339" s="20"/>
      <c r="AH339" s="20"/>
      <c r="AI339" s="20"/>
    </row>
    <row r="340" spans="1:35" ht="30" customHeight="1" x14ac:dyDescent="0.3">
      <c r="A340" s="27"/>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20"/>
      <c r="AB340" s="20"/>
      <c r="AC340" s="20"/>
      <c r="AD340" s="20"/>
      <c r="AE340" s="20"/>
      <c r="AF340" s="20"/>
      <c r="AG340" s="20"/>
      <c r="AH340" s="20"/>
      <c r="AI340" s="20"/>
    </row>
    <row r="341" spans="1:35" ht="30" customHeight="1" x14ac:dyDescent="0.3">
      <c r="A341" s="27"/>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c r="AA341" s="20"/>
      <c r="AB341" s="20"/>
      <c r="AC341" s="20"/>
      <c r="AD341" s="20"/>
      <c r="AE341" s="20"/>
      <c r="AF341" s="20"/>
      <c r="AG341" s="20"/>
      <c r="AH341" s="20"/>
      <c r="AI341" s="20"/>
    </row>
    <row r="342" spans="1:35" ht="30" customHeight="1" x14ac:dyDescent="0.3">
      <c r="A342" s="27"/>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20"/>
      <c r="AB342" s="20"/>
      <c r="AC342" s="20"/>
      <c r="AD342" s="20"/>
      <c r="AE342" s="20"/>
      <c r="AF342" s="20"/>
      <c r="AG342" s="20"/>
      <c r="AH342" s="20"/>
      <c r="AI342" s="20"/>
    </row>
    <row r="343" spans="1:35" ht="30" customHeight="1" x14ac:dyDescent="0.3">
      <c r="A343" s="27"/>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20"/>
      <c r="AB343" s="20"/>
      <c r="AC343" s="20"/>
      <c r="AD343" s="20"/>
      <c r="AE343" s="20"/>
      <c r="AF343" s="20"/>
      <c r="AG343" s="20"/>
      <c r="AH343" s="20"/>
      <c r="AI343" s="20"/>
    </row>
    <row r="344" spans="1:35" ht="30" customHeight="1" x14ac:dyDescent="0.3">
      <c r="A344" s="27"/>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20"/>
      <c r="AB344" s="20"/>
      <c r="AC344" s="20"/>
      <c r="AD344" s="20"/>
      <c r="AE344" s="20"/>
      <c r="AF344" s="20"/>
      <c r="AG344" s="20"/>
      <c r="AH344" s="20"/>
      <c r="AI344" s="20"/>
    </row>
    <row r="345" spans="1:35" ht="30" customHeight="1" x14ac:dyDescent="0.3">
      <c r="A345" s="27"/>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20"/>
      <c r="AB345" s="20"/>
      <c r="AC345" s="20"/>
      <c r="AD345" s="20"/>
      <c r="AE345" s="20"/>
      <c r="AF345" s="20"/>
      <c r="AG345" s="20"/>
      <c r="AH345" s="20"/>
      <c r="AI345" s="20"/>
    </row>
    <row r="346" spans="1:35" ht="30" customHeight="1" x14ac:dyDescent="0.3">
      <c r="A346" s="27"/>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20"/>
      <c r="AB346" s="20"/>
      <c r="AC346" s="20"/>
      <c r="AD346" s="20"/>
      <c r="AE346" s="20"/>
      <c r="AF346" s="20"/>
      <c r="AG346" s="20"/>
      <c r="AH346" s="20"/>
      <c r="AI346" s="20"/>
    </row>
    <row r="347" spans="1:35" ht="30" customHeight="1" x14ac:dyDescent="0.3">
      <c r="A347" s="27"/>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20"/>
      <c r="AG347" s="20"/>
      <c r="AH347" s="20"/>
      <c r="AI347" s="20"/>
    </row>
    <row r="348" spans="1:35" ht="30" customHeight="1" x14ac:dyDescent="0.3">
      <c r="A348" s="27"/>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20"/>
      <c r="AB348" s="20"/>
      <c r="AC348" s="20"/>
      <c r="AD348" s="20"/>
      <c r="AE348" s="20"/>
      <c r="AF348" s="20"/>
      <c r="AG348" s="20"/>
      <c r="AH348" s="20"/>
      <c r="AI348" s="20"/>
    </row>
    <row r="349" spans="1:35" ht="30" customHeight="1" x14ac:dyDescent="0.3">
      <c r="A349" s="27"/>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20"/>
      <c r="AB349" s="20"/>
      <c r="AC349" s="20"/>
      <c r="AD349" s="20"/>
      <c r="AE349" s="20"/>
      <c r="AF349" s="20"/>
      <c r="AG349" s="20"/>
      <c r="AH349" s="20"/>
      <c r="AI349" s="20"/>
    </row>
  </sheetData>
  <mergeCells count="7">
    <mergeCell ref="V2:Y2"/>
    <mergeCell ref="A4:AF4"/>
    <mergeCell ref="Q2:T2"/>
    <mergeCell ref="K2:O2"/>
    <mergeCell ref="AA2:AH2"/>
    <mergeCell ref="F2:I2"/>
    <mergeCell ref="C2:D2"/>
  </mergeCells>
  <phoneticPr fontId="22" type="noConversion"/>
  <conditionalFormatting sqref="B7:AF101">
    <cfRule type="expression" priority="7" stopIfTrue="1">
      <formula>B7=""</formula>
    </cfRule>
    <cfRule type="expression" dxfId="897" priority="12" stopIfTrue="1">
      <formula>B7=CléPersonnalisée2</formula>
    </cfRule>
    <cfRule type="expression" dxfId="896" priority="13" stopIfTrue="1">
      <formula>B7=CléPersonnalisée1</formula>
    </cfRule>
    <cfRule type="expression" dxfId="895" priority="14" stopIfTrue="1">
      <formula>B7=CléMaladie</formula>
    </cfRule>
    <cfRule type="expression" dxfId="894" priority="15" stopIfTrue="1">
      <formula>B7=CléPersonnel</formula>
    </cfRule>
    <cfRule type="expression" dxfId="893" priority="16" stopIfTrue="1">
      <formula>B7=CléCongé</formula>
    </cfRule>
  </conditionalFormatting>
  <conditionalFormatting sqref="AG7:AG101">
    <cfRule type="dataBar" priority="174">
      <dataBar>
        <cfvo type="num" val="0"/>
        <cfvo type="num" val="31"/>
        <color theme="2" tint="-0.249977111117893"/>
      </dataBar>
      <extLst>
        <ext xmlns:x14="http://schemas.microsoft.com/office/spreadsheetml/2009/9/main" uri="{B025F937-C7B1-47D3-B67F-A62EFF666E3E}">
          <x14:id>{ECCE2C3C-1B01-4700-B60E-DAAAB19A9C1A}</x14:id>
        </ext>
      </extLst>
    </cfRule>
  </conditionalFormatting>
  <conditionalFormatting sqref="A1:XFD1 A2 BJ2:XFD2 E2:F2 J2:AH2 A3:XFD1048576">
    <cfRule type="cellIs" dxfId="892" priority="2" operator="between">
      <formula>"J2"</formula>
      <formula>"J2"</formula>
    </cfRule>
    <cfRule type="cellIs" dxfId="891" priority="3" operator="between">
      <formula>"R2"</formula>
      <formula>"R2"</formula>
    </cfRule>
    <cfRule type="cellIs" dxfId="890" priority="4" operator="between">
      <formula>"R1"</formula>
      <formula>"R1"</formula>
    </cfRule>
    <cfRule type="cellIs" dxfId="889" priority="5" operator="between">
      <formula>"D"</formula>
      <formula>"D"</formula>
    </cfRule>
    <cfRule type="cellIs" dxfId="888" priority="6" operator="between">
      <formula>"J"</formula>
      <formula>"J"</formula>
    </cfRule>
  </conditionalFormatting>
  <conditionalFormatting sqref="A1:XFD1048576">
    <cfRule type="cellIs" dxfId="887" priority="1" operator="between">
      <formula>"P"</formula>
      <formula>"P"</formula>
    </cfRule>
  </conditionalFormatting>
  <dataValidations xWindow="1651" yWindow="547" count="14">
    <dataValidation allowBlank="1" showInputMessage="1" showErrorMessage="1" prompt="Entrez l’année dans cette cellule." sqref="AG4" xr:uid="{00000000-0002-0000-00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xr:uid="{00000000-0002-0000-00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B5" xr:uid="{00000000-0002-0000-0000-000003000000}"/>
    <dataValidation allowBlank="1" showInputMessage="1" showErrorMessage="1" prompt="Calcule automatiquement le nombre total de jours d’absence d’un employé durant ce mois" sqref="AG6" xr:uid="{00000000-0002-0000-00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A1" xr:uid="{00000000-0002-0000-00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A4" xr:uid="{00000000-0002-0000-0000-000006000000}"/>
    <dataValidation allowBlank="1" showInputMessage="1" showErrorMessage="1" prompt="Cette ligne définit les clés utilisées dans le tableau : Congé en C2, Personnel en F2 et Congé maladie en J2. Les cellules M2 et R2 sont personnalisables" sqref="A2" xr:uid="{00000000-0002-0000-0000-000007000000}"/>
    <dataValidation allowBlank="1" showInputMessage="1" showErrorMessage="1" prompt="La lettre « C » indique une absence pour cause de congé" sqref="E2" xr:uid="{00000000-0002-0000-0000-000008000000}"/>
    <dataValidation allowBlank="1" showInputMessage="1" showErrorMessage="1" prompt="La lettre « P » indique une absence pour motifs personnels" sqref="J2" xr:uid="{00000000-0002-0000-0000-000009000000}"/>
    <dataValidation allowBlank="1" showInputMessage="1" showErrorMessage="1" prompt="La lettre « M » indique une absence pour cause de maladie" sqref="P2" xr:uid="{00000000-0002-0000-0000-00000A000000}"/>
    <dataValidation allowBlank="1" showInputMessage="1" showErrorMessage="1" prompt="Entrez une lettre et personnalisez l’étiquette à droite pour ajouter un élément de clé" sqref="U2 Z2" xr:uid="{00000000-0002-0000-0000-00000B000000}"/>
    <dataValidation allowBlank="1" showInputMessage="1" showErrorMessage="1" prompt="Entrez une étiquette pour décrire la clé personnalisée à gauche" sqref="V2 AA2" xr:uid="{00000000-0002-0000-0000-00000C000000}"/>
    <dataValidation allowBlank="1" showInputMessage="1" showErrorMessage="1" prompt="Entrez l’année dans la cellule ci-dessous" sqref="AG3" xr:uid="{00000000-0002-0000-0000-00000E000000}"/>
  </dataValidations>
  <pageMargins left="0.7" right="0.7" top="0.75" bottom="0.75" header="0.3" footer="0.3"/>
  <pageSetup paperSize="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AG7:AG101</xm:sqref>
        </x14:conditionalFormatting>
      </x14:conditionalFormattings>
    </ext>
    <ext xmlns:x14="http://schemas.microsoft.com/office/spreadsheetml/2009/9/main" uri="{CCE6A557-97BC-4b89-ADB6-D9C93CAAB3DF}">
      <x14:dataValidations xmlns:xm="http://schemas.microsoft.com/office/excel/2006/main" xWindow="1651" yWindow="547" count="1">
        <x14:dataValidation type="list" allowBlank="1" showInputMessage="1" showErrorMessage="1" xr:uid="{00000000-0002-0000-0000-00000F000000}">
          <x14:formula1>
            <xm:f>'Noms des employés'!$B$4:$B$8</xm:f>
          </x14:formula1>
          <xm:sqref>A7:A101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B1:AH12"/>
  <sheetViews>
    <sheetView showGridLines="0" zoomScaleNormal="100" workbookViewId="0">
      <selection activeCell="B8" sqref="B8"/>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row r="4" spans="2:34" ht="30" customHeight="1" x14ac:dyDescent="0.3">
      <c r="B4" s="35" t="s">
        <v>49</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TEXT(WEEKDAY(DATE(AnnéeCalendrier,2,1),1),"jjj")</f>
        <v>mer</v>
      </c>
      <c r="D5" s="2" t="str">
        <f>TEXT(WEEKDAY(DATE(AnnéeCalendrier,2,2),1),"jjj")</f>
        <v>jeu</v>
      </c>
      <c r="E5" s="2" t="str">
        <f>TEXT(WEEKDAY(DATE(AnnéeCalendrier,2,3),1),"jjj")</f>
        <v>ven</v>
      </c>
      <c r="F5" s="2" t="str">
        <f>TEXT(WEEKDAY(DATE(AnnéeCalendrier,2,4),1),"jjj")</f>
        <v>sam</v>
      </c>
      <c r="G5" s="2" t="str">
        <f>TEXT(WEEKDAY(DATE(AnnéeCalendrier,2,5),1),"jjj")</f>
        <v>dim</v>
      </c>
      <c r="H5" s="2" t="str">
        <f>TEXT(WEEKDAY(DATE(AnnéeCalendrier,2,6),1),"jjj")</f>
        <v>lun</v>
      </c>
      <c r="I5" s="2" t="str">
        <f>TEXT(WEEKDAY(DATE(AnnéeCalendrier,2,7),1),"jjj")</f>
        <v>mar</v>
      </c>
      <c r="J5" s="2" t="str">
        <f>TEXT(WEEKDAY(DATE(AnnéeCalendrier,2,8),1),"jjj")</f>
        <v>mer</v>
      </c>
      <c r="K5" s="2" t="str">
        <f>TEXT(WEEKDAY(DATE(AnnéeCalendrier,2,9),1),"jjj")</f>
        <v>jeu</v>
      </c>
      <c r="L5" s="2" t="str">
        <f>TEXT(WEEKDAY(DATE(AnnéeCalendrier,2,10),1),"jjj")</f>
        <v>ven</v>
      </c>
      <c r="M5" s="2" t="str">
        <f>TEXT(WEEKDAY(DATE(AnnéeCalendrier,2,11),1),"jjj")</f>
        <v>sam</v>
      </c>
      <c r="N5" s="2" t="str">
        <f>TEXT(WEEKDAY(DATE(AnnéeCalendrier,2,12),1),"jjj")</f>
        <v>dim</v>
      </c>
      <c r="O5" s="2" t="str">
        <f>TEXT(WEEKDAY(DATE(AnnéeCalendrier,2,13),1),"jjj")</f>
        <v>lun</v>
      </c>
      <c r="P5" s="2" t="str">
        <f>TEXT(WEEKDAY(DATE(AnnéeCalendrier,2,14),1),"jjj")</f>
        <v>mar</v>
      </c>
      <c r="Q5" s="2" t="str">
        <f>TEXT(WEEKDAY(DATE(AnnéeCalendrier,2,15),1),"jjj")</f>
        <v>mer</v>
      </c>
      <c r="R5" s="2" t="str">
        <f>TEXT(WEEKDAY(DATE(AnnéeCalendrier,2,16),1),"jjj")</f>
        <v>jeu</v>
      </c>
      <c r="S5" s="2" t="str">
        <f>TEXT(WEEKDAY(DATE(AnnéeCalendrier,2,17),1),"jjj")</f>
        <v>ven</v>
      </c>
      <c r="T5" s="2" t="str">
        <f>TEXT(WEEKDAY(DATE(AnnéeCalendrier,2,18),1),"jjj")</f>
        <v>sam</v>
      </c>
      <c r="U5" s="2" t="str">
        <f>TEXT(WEEKDAY(DATE(AnnéeCalendrier,2,19),1),"jjj")</f>
        <v>dim</v>
      </c>
      <c r="V5" s="2" t="str">
        <f>TEXT(WEEKDAY(DATE(AnnéeCalendrier,2,20),1),"jjj")</f>
        <v>lun</v>
      </c>
      <c r="W5" s="2" t="str">
        <f>TEXT(WEEKDAY(DATE(AnnéeCalendrier,2,21),1),"jjj")</f>
        <v>mar</v>
      </c>
      <c r="X5" s="2" t="str">
        <f>TEXT(WEEKDAY(DATE(AnnéeCalendrier,2,22),1),"jjj")</f>
        <v>mer</v>
      </c>
      <c r="Y5" s="2" t="str">
        <f>TEXT(WEEKDAY(DATE(AnnéeCalendrier,2,23),1),"jjj")</f>
        <v>jeu</v>
      </c>
      <c r="Z5" s="2" t="str">
        <f>TEXT(WEEKDAY(DATE(AnnéeCalendrier,2,24),1),"jjj")</f>
        <v>ven</v>
      </c>
      <c r="AA5" s="2" t="str">
        <f>TEXT(WEEKDAY(DATE(AnnéeCalendrier,2,25),1),"jjj")</f>
        <v>sam</v>
      </c>
      <c r="AB5" s="2" t="str">
        <f>TEXT(WEEKDAY(DATE(AnnéeCalendrier,2,26),1),"jjj")</f>
        <v>dim</v>
      </c>
      <c r="AC5" s="2" t="str">
        <f>TEXT(WEEKDAY(DATE(AnnéeCalendrier,2,27),1),"jjj")</f>
        <v>lun</v>
      </c>
      <c r="AD5" s="2" t="str">
        <f>TEXT(WEEKDAY(DATE(AnnéeCalendrier,2,28),1),"jjj")</f>
        <v>mar</v>
      </c>
      <c r="AE5" s="2" t="str">
        <f>TEXT(WEEKDAY(DATE(AnnéeCalendrier,2,29),1),"jjj")</f>
        <v>mer</v>
      </c>
      <c r="AF5" s="2"/>
      <c r="AG5" s="2"/>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50</v>
      </c>
      <c r="AG6" s="2" t="s">
        <v>51</v>
      </c>
      <c r="AH6" s="14" t="s">
        <v>48</v>
      </c>
    </row>
    <row r="7" spans="2:34" ht="30" customHeight="1" x14ac:dyDescent="0.3">
      <c r="B7" s="8" t="s">
        <v>65</v>
      </c>
      <c r="C7" s="2"/>
      <c r="D7" s="2"/>
      <c r="E7" s="2" t="s">
        <v>8</v>
      </c>
      <c r="F7" s="2" t="s">
        <v>8</v>
      </c>
      <c r="G7" s="2" t="s">
        <v>8</v>
      </c>
      <c r="H7" s="2" t="s">
        <v>8</v>
      </c>
      <c r="I7" s="2"/>
      <c r="J7" s="2"/>
      <c r="K7" s="2"/>
      <c r="L7" s="2"/>
      <c r="M7" s="2"/>
      <c r="N7" s="2"/>
      <c r="O7" s="2" t="s">
        <v>8</v>
      </c>
      <c r="P7" s="2"/>
      <c r="Q7" s="2"/>
      <c r="R7" s="2"/>
      <c r="S7" s="2"/>
      <c r="T7" s="2"/>
      <c r="U7" s="2"/>
      <c r="V7" s="2"/>
      <c r="W7" s="2"/>
      <c r="X7" s="2"/>
      <c r="Y7" s="2"/>
      <c r="Z7" s="2"/>
      <c r="AA7" s="2"/>
      <c r="AB7" s="2"/>
      <c r="AC7" s="2"/>
      <c r="AD7" s="2"/>
      <c r="AE7" s="2"/>
      <c r="AF7" s="2"/>
      <c r="AG7" s="2"/>
      <c r="AH7" s="9">
        <f>COUNTA(Février[[#This Row],[1]:[29]])</f>
        <v>5</v>
      </c>
    </row>
    <row r="8" spans="2:34" ht="30" customHeight="1" x14ac:dyDescent="0.3">
      <c r="B8" s="8" t="s">
        <v>4</v>
      </c>
      <c r="C8" s="2"/>
      <c r="D8" s="2"/>
      <c r="E8" s="2"/>
      <c r="F8" s="2"/>
      <c r="G8" s="2" t="s">
        <v>15</v>
      </c>
      <c r="H8" s="2" t="s">
        <v>15</v>
      </c>
      <c r="I8" s="2"/>
      <c r="J8" s="2"/>
      <c r="K8" s="2"/>
      <c r="L8" s="2"/>
      <c r="M8" s="2" t="s">
        <v>13</v>
      </c>
      <c r="N8" s="2"/>
      <c r="O8" s="2"/>
      <c r="P8" s="2"/>
      <c r="Q8" s="2"/>
      <c r="R8" s="2"/>
      <c r="S8" s="2"/>
      <c r="T8" s="2"/>
      <c r="U8" s="2"/>
      <c r="V8" s="2" t="s">
        <v>15</v>
      </c>
      <c r="W8" s="2"/>
      <c r="X8" s="2"/>
      <c r="Y8" s="2"/>
      <c r="Z8" s="2"/>
      <c r="AA8" s="2" t="s">
        <v>8</v>
      </c>
      <c r="AB8" s="2" t="s">
        <v>8</v>
      </c>
      <c r="AC8" s="2" t="s">
        <v>8</v>
      </c>
      <c r="AD8" s="2"/>
      <c r="AE8" s="2"/>
      <c r="AF8" s="2"/>
      <c r="AG8" s="2"/>
      <c r="AH8" s="9">
        <f>COUNTA(Février[[#This Row],[1]:[29]])</f>
        <v>7</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COUNTA(Février[[#This Row],[1]:[29]])</f>
        <v>0</v>
      </c>
    </row>
    <row r="10" spans="2:34" ht="30" customHeight="1" x14ac:dyDescent="0.3">
      <c r="B10" s="8" t="s">
        <v>6</v>
      </c>
      <c r="C10" s="2"/>
      <c r="D10" s="2"/>
      <c r="E10" s="2" t="s">
        <v>15</v>
      </c>
      <c r="F10" s="2"/>
      <c r="G10" s="2"/>
      <c r="H10" s="2"/>
      <c r="I10" s="2"/>
      <c r="J10" s="2"/>
      <c r="K10" s="2"/>
      <c r="L10" s="2"/>
      <c r="M10" s="2"/>
      <c r="N10" s="2"/>
      <c r="O10" s="2"/>
      <c r="P10" s="2" t="s">
        <v>15</v>
      </c>
      <c r="Q10" s="2"/>
      <c r="R10" s="2"/>
      <c r="S10" s="2"/>
      <c r="T10" s="2" t="s">
        <v>13</v>
      </c>
      <c r="U10" s="2"/>
      <c r="V10" s="2"/>
      <c r="W10" s="2"/>
      <c r="X10" s="2"/>
      <c r="Y10" s="2"/>
      <c r="Z10" s="2"/>
      <c r="AA10" s="2"/>
      <c r="AB10" s="2"/>
      <c r="AC10" s="2"/>
      <c r="AD10" s="2" t="s">
        <v>15</v>
      </c>
      <c r="AE10" s="2"/>
      <c r="AF10" s="2"/>
      <c r="AG10" s="2"/>
      <c r="AH10" s="9">
        <f>COUNTA(Février[[#This Row],[1]:[29]])</f>
        <v>4</v>
      </c>
    </row>
    <row r="11" spans="2:34" ht="30" customHeight="1" x14ac:dyDescent="0.3">
      <c r="B11" s="8" t="s">
        <v>7</v>
      </c>
      <c r="C11" s="2"/>
      <c r="D11" s="2"/>
      <c r="E11" s="2"/>
      <c r="F11" s="2"/>
      <c r="G11" s="2"/>
      <c r="H11" s="2"/>
      <c r="I11" s="2"/>
      <c r="J11" s="2" t="s">
        <v>8</v>
      </c>
      <c r="K11" s="2" t="s">
        <v>8</v>
      </c>
      <c r="L11" s="2" t="s">
        <v>8</v>
      </c>
      <c r="M11" s="2" t="s">
        <v>8</v>
      </c>
      <c r="N11" s="2"/>
      <c r="O11" s="2"/>
      <c r="P11" s="2"/>
      <c r="Q11" s="2"/>
      <c r="R11" s="2"/>
      <c r="S11" s="2"/>
      <c r="T11" s="2"/>
      <c r="U11" s="2"/>
      <c r="V11" s="2"/>
      <c r="W11" s="2"/>
      <c r="X11" s="2"/>
      <c r="Y11" s="2"/>
      <c r="Z11" s="2" t="s">
        <v>15</v>
      </c>
      <c r="AA11" s="2"/>
      <c r="AB11" s="2"/>
      <c r="AC11" s="2"/>
      <c r="AD11" s="2"/>
      <c r="AE11" s="2"/>
      <c r="AF11" s="2"/>
      <c r="AG11" s="2"/>
      <c r="AH11" s="9">
        <f>COUNTA(Février[[#This Row],[1]:[29]])</f>
        <v>5</v>
      </c>
    </row>
    <row r="12" spans="2:34" ht="30" customHeight="1" x14ac:dyDescent="0.3">
      <c r="B12" s="17" t="str">
        <f>NomMois&amp;" Total"</f>
        <v>Février Total</v>
      </c>
      <c r="C12" s="11">
        <f>SUBTOTAL(103,Février[1])</f>
        <v>0</v>
      </c>
      <c r="D12" s="11">
        <f>SUBTOTAL(103,Février[2])</f>
        <v>0</v>
      </c>
      <c r="E12" s="11">
        <f>SUBTOTAL(103,Février[3])</f>
        <v>2</v>
      </c>
      <c r="F12" s="11">
        <f>SUBTOTAL(103,Février[4])</f>
        <v>1</v>
      </c>
      <c r="G12" s="11">
        <f>SUBTOTAL(103,Février[5])</f>
        <v>2</v>
      </c>
      <c r="H12" s="11">
        <f>SUBTOTAL(103,Février[6])</f>
        <v>2</v>
      </c>
      <c r="I12" s="11">
        <f>SUBTOTAL(103,Février[7])</f>
        <v>0</v>
      </c>
      <c r="J12" s="11">
        <f>SUBTOTAL(103,Février[8])</f>
        <v>1</v>
      </c>
      <c r="K12" s="11">
        <f>SUBTOTAL(103,Février[9])</f>
        <v>1</v>
      </c>
      <c r="L12" s="11">
        <f>SUBTOTAL(103,Février[10])</f>
        <v>1</v>
      </c>
      <c r="M12" s="11">
        <f>SUBTOTAL(103,Février[11])</f>
        <v>2</v>
      </c>
      <c r="N12" s="11">
        <f>SUBTOTAL(103,Février[12])</f>
        <v>0</v>
      </c>
      <c r="O12" s="11">
        <f>SUBTOTAL(103,Février[13])</f>
        <v>1</v>
      </c>
      <c r="P12" s="11">
        <f>SUBTOTAL(103,Février[14])</f>
        <v>1</v>
      </c>
      <c r="Q12" s="11">
        <f>SUBTOTAL(103,Février[15])</f>
        <v>0</v>
      </c>
      <c r="R12" s="11">
        <f>SUBTOTAL(103,Février[16])</f>
        <v>0</v>
      </c>
      <c r="S12" s="11">
        <f>SUBTOTAL(103,Février[17])</f>
        <v>0</v>
      </c>
      <c r="T12" s="11">
        <f>SUBTOTAL(103,Février[18])</f>
        <v>1</v>
      </c>
      <c r="U12" s="11">
        <f>SUBTOTAL(103,Février[19])</f>
        <v>0</v>
      </c>
      <c r="V12" s="11">
        <f>SUBTOTAL(103,Février[20])</f>
        <v>1</v>
      </c>
      <c r="W12" s="11">
        <f>SUBTOTAL(103,Février[21])</f>
        <v>0</v>
      </c>
      <c r="X12" s="11">
        <f>SUBTOTAL(103,Février[22])</f>
        <v>0</v>
      </c>
      <c r="Y12" s="11">
        <f>SUBTOTAL(103,Février[23])</f>
        <v>0</v>
      </c>
      <c r="Z12" s="11">
        <f>SUBTOTAL(103,Février[24])</f>
        <v>1</v>
      </c>
      <c r="AA12" s="11">
        <f>SUBTOTAL(103,Février[25])</f>
        <v>1</v>
      </c>
      <c r="AB12" s="11">
        <f>SUBTOTAL(103,Février[26])</f>
        <v>1</v>
      </c>
      <c r="AC12" s="11">
        <f>SUBTOTAL(103,Février[27])</f>
        <v>1</v>
      </c>
      <c r="AD12" s="11">
        <f>SUBTOTAL(103,Février[28])</f>
        <v>1</v>
      </c>
      <c r="AE12" s="11">
        <f>SUBTOTAL(103,Février[29])</f>
        <v>0</v>
      </c>
      <c r="AF12" s="11"/>
      <c r="AG12" s="11"/>
      <c r="AH12" s="11">
        <f>SUBTOTAL(109,Février[Total des jours])</f>
        <v>21</v>
      </c>
    </row>
  </sheetData>
  <mergeCells count="6">
    <mergeCell ref="B4:AG4"/>
    <mergeCell ref="D2:E2"/>
    <mergeCell ref="G2:I2"/>
    <mergeCell ref="K2:L2"/>
    <mergeCell ref="N2:Q2"/>
    <mergeCell ref="S2:V2"/>
  </mergeCells>
  <conditionalFormatting sqref="AE6">
    <cfRule type="expression" dxfId="816" priority="16">
      <formula>MONTH(DATE(AnnéeCalendrier,2,29))&lt;&gt;2</formula>
    </cfRule>
  </conditionalFormatting>
  <conditionalFormatting sqref="AE5">
    <cfRule type="expression" dxfId="815" priority="15">
      <formula>MONTH(DATE(AnnéeCalendrier,2,29))&lt;&gt;2</formula>
    </cfRule>
  </conditionalFormatting>
  <conditionalFormatting sqref="C7:AG11">
    <cfRule type="expression" dxfId="814" priority="5" stopIfTrue="1">
      <formula>C7=CléPersonnalisée1</formula>
    </cfRule>
    <cfRule type="expression" dxfId="813" priority="6" stopIfTrue="1">
      <formula>C7=CléMaladie</formula>
    </cfRule>
    <cfRule type="expression" dxfId="812" priority="7" stopIfTrue="1">
      <formula>C7=CléPersonnel</formula>
    </cfRule>
    <cfRule type="expression" dxfId="811" priority="8" stopIfTrue="1">
      <formula>C7=CléCongé</formula>
    </cfRule>
  </conditionalFormatting>
  <conditionalFormatting sqref="AH7:AH11">
    <cfRule type="dataBar" priority="153">
      <dataBar>
        <cfvo type="min"/>
        <cfvo type="formula" val="DATEDIF(DATE(AnnéeCalendrier,2,1),DATE(AnnéeCalendrier,3,1),&quot;d&quot;)"/>
        <color theme="2" tint="-0.249977111117893"/>
      </dataBar>
      <extLst>
        <ext xmlns:x14="http://schemas.microsoft.com/office/spreadsheetml/2009/9/main" uri="{B025F937-C7B1-47D3-B67F-A62EFF666E3E}">
          <x14:id>{94738C71-AB78-40C3-A818-D083AE35CC38}</x14:id>
        </ext>
      </extLst>
    </cfRule>
  </conditionalFormatting>
  <dataValidations xWindow="232" yWindow="365" count="14">
    <dataValidation allowBlank="1" showInputMessage="1" showErrorMessage="1" prompt="Année mise à jour automatiquement en fonction de l’année entrée dans la feuille de calcul Janvier" sqref="AH4" xr:uid="{00000000-0002-0000-0100-000000000000}"/>
    <dataValidation allowBlank="1" showInputMessage="1" showErrorMessage="1" prompt="Suivez les absences du mois de février dans cette feuille de calcul" sqref="A1" xr:uid="{00000000-0002-0000-0100-000001000000}"/>
    <dataValidation allowBlank="1" showInputMessage="1" showErrorMessage="1" prompt="Calcule automatiquement le nombre total de jours d’absence d’un employé durant ce mois dans cette colonne" sqref="AH6" xr:uid="{00000000-0002-0000-0100-000002000000}"/>
    <dataValidation allowBlank="1" showInputMessage="1" showErrorMessage="1" prompt="Le titre mis à jour automatiquement figure dans cette cellule. Pour modifier le titre, mettez à jour la cellule B1 de la feuille de calcul Janvier" sqref="B1" xr:uid="{00000000-0002-0000-0100-000003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100-000004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100-000005000000}"/>
    <dataValidation allowBlank="1" showInputMessage="1" showErrorMessage="1" prompt="Cette ligne définit les clés utilisées dans le tableau : Congé en C2, Personnel en F2 et Congé maladie en J2. Les cellules M2 et R2 sont personnalisables" sqref="B2" xr:uid="{00000000-0002-0000-0100-000006000000}"/>
    <dataValidation allowBlank="1" showInputMessage="1" showErrorMessage="1" prompt="Entrez une étiquette pour décrire la clé personnalisée à gauche" sqref="N2 S2" xr:uid="{00000000-0002-0000-0100-000007000000}"/>
    <dataValidation allowBlank="1" showInputMessage="1" showErrorMessage="1" prompt="Entrez une lettre et personnalisez l’étiquette à droite pour ajouter un élément de clé" sqref="M2 R2" xr:uid="{00000000-0002-0000-0100-000008000000}"/>
    <dataValidation allowBlank="1" showInputMessage="1" showErrorMessage="1" prompt="La lettre « M » indique une absence pour cause de maladie" sqref="J2" xr:uid="{00000000-0002-0000-0100-000009000000}"/>
    <dataValidation allowBlank="1" showInputMessage="1" showErrorMessage="1" prompt="La lettre « P » indique une absence pour motifs personnels" sqref="F2" xr:uid="{00000000-0002-0000-0100-00000A000000}"/>
    <dataValidation allowBlank="1" showInputMessage="1" showErrorMessage="1" prompt="La lettre « C » indique une absence pour cause de congé" sqref="C2" xr:uid="{00000000-0002-0000-0100-00000B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1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1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94738C71-AB78-40C3-A818-D083AE35CC38}">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xWindow="232" yWindow="365" count="1">
        <x14:dataValidation type="list" allowBlank="1" showInputMessage="1" showErrorMessage="1" xr:uid="{00000000-0002-0000-0100-00000E000000}">
          <x14:formula1>
            <xm:f>'Noms des employés'!$B$4:$B$8</xm:f>
          </x14:formula1>
          <xm:sqref>B7:B11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B1:AH12"/>
  <sheetViews>
    <sheetView showGridLines="0" zoomScaleNormal="100" workbookViewId="0">
      <selection activeCell="B4" sqref="B4:AG4"/>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c r="B3" s="12"/>
    </row>
    <row r="4" spans="2:34" ht="30" customHeight="1" x14ac:dyDescent="0.3">
      <c r="B4" s="35" t="s">
        <v>52</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TEXT(WEEKDAY(DATE(AnnéeCalendrier,3,1),1),"jjj")</f>
        <v>mer</v>
      </c>
      <c r="D5" s="2" t="str">
        <f>TEXT(WEEKDAY(DATE(AnnéeCalendrier,3,2),1),"jjj")</f>
        <v>jeu</v>
      </c>
      <c r="E5" s="2" t="str">
        <f>TEXT(WEEKDAY(DATE(AnnéeCalendrier,3,3),1),"jjj")</f>
        <v>ven</v>
      </c>
      <c r="F5" s="2" t="str">
        <f>TEXT(WEEKDAY(DATE(AnnéeCalendrier,3,4),1),"jjj")</f>
        <v>sam</v>
      </c>
      <c r="G5" s="2" t="str">
        <f>TEXT(WEEKDAY(DATE(AnnéeCalendrier,3,5),1),"jjj")</f>
        <v>dim</v>
      </c>
      <c r="H5" s="2" t="str">
        <f>TEXT(WEEKDAY(DATE(AnnéeCalendrier,3,6),1),"jjj")</f>
        <v>lun</v>
      </c>
      <c r="I5" s="2" t="str">
        <f>TEXT(WEEKDAY(DATE(AnnéeCalendrier,3,7),1),"jjj")</f>
        <v>mar</v>
      </c>
      <c r="J5" s="2" t="str">
        <f>TEXT(WEEKDAY(DATE(AnnéeCalendrier,3,8),1),"jjj")</f>
        <v>mer</v>
      </c>
      <c r="K5" s="2" t="str">
        <f>TEXT(WEEKDAY(DATE(AnnéeCalendrier,3,9),1),"jjj")</f>
        <v>jeu</v>
      </c>
      <c r="L5" s="2" t="str">
        <f>TEXT(WEEKDAY(DATE(AnnéeCalendrier,3,10),1),"jjj")</f>
        <v>ven</v>
      </c>
      <c r="M5" s="2" t="str">
        <f>TEXT(WEEKDAY(DATE(AnnéeCalendrier,3,11),1),"jjj")</f>
        <v>sam</v>
      </c>
      <c r="N5" s="2" t="str">
        <f>TEXT(WEEKDAY(DATE(AnnéeCalendrier,3,12),1),"jjj")</f>
        <v>dim</v>
      </c>
      <c r="O5" s="2" t="str">
        <f>TEXT(WEEKDAY(DATE(AnnéeCalendrier,3,13),1),"jjj")</f>
        <v>lun</v>
      </c>
      <c r="P5" s="2" t="str">
        <f>TEXT(WEEKDAY(DATE(AnnéeCalendrier,3,14),1),"jjj")</f>
        <v>mar</v>
      </c>
      <c r="Q5" s="2" t="str">
        <f>TEXT(WEEKDAY(DATE(AnnéeCalendrier,3,15),1),"jjj")</f>
        <v>mer</v>
      </c>
      <c r="R5" s="2" t="str">
        <f>TEXT(WEEKDAY(DATE(AnnéeCalendrier,3,16),1),"jjj")</f>
        <v>jeu</v>
      </c>
      <c r="S5" s="2" t="str">
        <f>TEXT(WEEKDAY(DATE(AnnéeCalendrier,3,17),1),"jjj")</f>
        <v>ven</v>
      </c>
      <c r="T5" s="2" t="str">
        <f>TEXT(WEEKDAY(DATE(AnnéeCalendrier,3,18),1),"jjj")</f>
        <v>sam</v>
      </c>
      <c r="U5" s="2" t="str">
        <f>TEXT(WEEKDAY(DATE(AnnéeCalendrier,3,19),1),"jjj")</f>
        <v>dim</v>
      </c>
      <c r="V5" s="2" t="str">
        <f>TEXT(WEEKDAY(DATE(AnnéeCalendrier,3,20),1),"jjj")</f>
        <v>lun</v>
      </c>
      <c r="W5" s="2" t="str">
        <f>TEXT(WEEKDAY(DATE(AnnéeCalendrier,3,21),1),"jjj")</f>
        <v>mar</v>
      </c>
      <c r="X5" s="2" t="str">
        <f>TEXT(WEEKDAY(DATE(AnnéeCalendrier,3,22),1),"jjj")</f>
        <v>mer</v>
      </c>
      <c r="Y5" s="2" t="str">
        <f>TEXT(WEEKDAY(DATE(AnnéeCalendrier,3,23),1),"jjj")</f>
        <v>jeu</v>
      </c>
      <c r="Z5" s="2" t="str">
        <f>TEXT(WEEKDAY(DATE(AnnéeCalendrier,3,24),1),"jjj")</f>
        <v>ven</v>
      </c>
      <c r="AA5" s="2" t="str">
        <f>TEXT(WEEKDAY(DATE(AnnéeCalendrier,3,25),1),"jjj")</f>
        <v>sam</v>
      </c>
      <c r="AB5" s="2" t="str">
        <f>TEXT(WEEKDAY(DATE(AnnéeCalendrier,3,26),1),"jjj")</f>
        <v>dim</v>
      </c>
      <c r="AC5" s="2" t="str">
        <f>TEXT(WEEKDAY(DATE(AnnéeCalendrier,3,27),1),"jjj")</f>
        <v>lun</v>
      </c>
      <c r="AD5" s="2" t="str">
        <f>TEXT(WEEKDAY(DATE(AnnéeCalendrier,3,28),1),"jjj")</f>
        <v>mar</v>
      </c>
      <c r="AE5" s="2" t="str">
        <f>TEXT(WEEKDAY(DATE(AnnéeCalendrier,3,29),1),"jjj")</f>
        <v>mer</v>
      </c>
      <c r="AF5" s="2" t="str">
        <f>TEXT(WEEKDAY(DATE(AnnéeCalendrier,3,30),1),"jjj")</f>
        <v>jeu</v>
      </c>
      <c r="AG5" s="2" t="str">
        <f>TEXT(WEEKDAY(DATE(AnnéeCalendrier,3,31),1),"jjj")</f>
        <v>ven</v>
      </c>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45</v>
      </c>
      <c r="AG6" s="2" t="s">
        <v>46</v>
      </c>
      <c r="AH6" s="14" t="s">
        <v>48</v>
      </c>
    </row>
    <row r="7" spans="2:34" ht="30" customHeight="1" x14ac:dyDescent="0.3">
      <c r="B7" s="8" t="s">
        <v>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COUNTA(Mars[[#This Row],[1]:[31]])</f>
        <v>0</v>
      </c>
    </row>
    <row r="8" spans="2:34" ht="30" customHeight="1" x14ac:dyDescent="0.3">
      <c r="B8" s="8" t="s">
        <v>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COUNTA(Mars[[#This Row],[1]:[31]])</f>
        <v>0</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COUNTA(Mars[[#This Row],[1]:[31]])</f>
        <v>0</v>
      </c>
    </row>
    <row r="10" spans="2:34" ht="30" customHeight="1" x14ac:dyDescent="0.3">
      <c r="B10" s="8" t="s">
        <v>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COUNTA(Mars[[#This Row],[1]:[31]])</f>
        <v>0</v>
      </c>
    </row>
    <row r="11" spans="2:34" ht="30" customHeight="1" x14ac:dyDescent="0.3">
      <c r="B11" s="8" t="s">
        <v>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COUNTA(Mars[[#This Row],[1]:[31]])</f>
        <v>0</v>
      </c>
    </row>
    <row r="12" spans="2:34" ht="30" customHeight="1" x14ac:dyDescent="0.3">
      <c r="B12" s="17" t="str">
        <f>NomMois&amp;" Total"</f>
        <v>Mars Total</v>
      </c>
      <c r="C12" s="11">
        <f>SUBTOTAL(103,Mars[1])</f>
        <v>0</v>
      </c>
      <c r="D12" s="11">
        <f>SUBTOTAL(103,Mars[2])</f>
        <v>0</v>
      </c>
      <c r="E12" s="11">
        <f>SUBTOTAL(103,Mars[3])</f>
        <v>0</v>
      </c>
      <c r="F12" s="11">
        <f>SUBTOTAL(103,Mars[4])</f>
        <v>0</v>
      </c>
      <c r="G12" s="11">
        <f>SUBTOTAL(103,Mars[5])</f>
        <v>0</v>
      </c>
      <c r="H12" s="11">
        <f>SUBTOTAL(103,Mars[6])</f>
        <v>0</v>
      </c>
      <c r="I12" s="11">
        <f>SUBTOTAL(103,Mars[7])</f>
        <v>0</v>
      </c>
      <c r="J12" s="11">
        <f>SUBTOTAL(103,Mars[8])</f>
        <v>0</v>
      </c>
      <c r="K12" s="11">
        <f>SUBTOTAL(103,Mars[9])</f>
        <v>0</v>
      </c>
      <c r="L12" s="11">
        <f>SUBTOTAL(103,Mars[10])</f>
        <v>0</v>
      </c>
      <c r="M12" s="11">
        <f>SUBTOTAL(103,Mars[11])</f>
        <v>0</v>
      </c>
      <c r="N12" s="11">
        <f>SUBTOTAL(103,Mars[12])</f>
        <v>0</v>
      </c>
      <c r="O12" s="11">
        <f>SUBTOTAL(103,Mars[13])</f>
        <v>0</v>
      </c>
      <c r="P12" s="11">
        <f>SUBTOTAL(103,Mars[14])</f>
        <v>0</v>
      </c>
      <c r="Q12" s="11">
        <f>SUBTOTAL(103,Mars[15])</f>
        <v>0</v>
      </c>
      <c r="R12" s="11">
        <f>SUBTOTAL(103,Mars[16])</f>
        <v>0</v>
      </c>
      <c r="S12" s="11">
        <f>SUBTOTAL(103,Mars[17])</f>
        <v>0</v>
      </c>
      <c r="T12" s="11">
        <f>SUBTOTAL(103,Mars[18])</f>
        <v>0</v>
      </c>
      <c r="U12" s="11">
        <f>SUBTOTAL(103,Mars[19])</f>
        <v>0</v>
      </c>
      <c r="V12" s="11">
        <f>SUBTOTAL(103,Mars[20])</f>
        <v>0</v>
      </c>
      <c r="W12" s="11">
        <f>SUBTOTAL(103,Mars[21])</f>
        <v>0</v>
      </c>
      <c r="X12" s="11">
        <f>SUBTOTAL(103,Mars[22])</f>
        <v>0</v>
      </c>
      <c r="Y12" s="11">
        <f>SUBTOTAL(103,Mars[23])</f>
        <v>0</v>
      </c>
      <c r="Z12" s="11">
        <f>SUBTOTAL(103,Mars[24])</f>
        <v>0</v>
      </c>
      <c r="AA12" s="11">
        <f>SUBTOTAL(103,Mars[25])</f>
        <v>0</v>
      </c>
      <c r="AB12" s="11">
        <f>SUBTOTAL(103,Mars[26])</f>
        <v>0</v>
      </c>
      <c r="AC12" s="11">
        <f>SUBTOTAL(103,Mars[27])</f>
        <v>0</v>
      </c>
      <c r="AD12" s="11">
        <f>SUBTOTAL(103,Mars[28])</f>
        <v>0</v>
      </c>
      <c r="AE12" s="11">
        <f>SUBTOTAL(103,Mars[29])</f>
        <v>0</v>
      </c>
      <c r="AF12" s="11">
        <f>SUBTOTAL(103,Mars[30])</f>
        <v>0</v>
      </c>
      <c r="AG12" s="11">
        <f>SUBTOTAL(103,Mars[31])</f>
        <v>0</v>
      </c>
      <c r="AH12" s="11">
        <f>SUBTOTAL(109,Mars[Total des jours])</f>
        <v>0</v>
      </c>
    </row>
  </sheetData>
  <mergeCells count="6">
    <mergeCell ref="B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741" priority="2" stopIfTrue="1">
      <formula>C7=CléPersonnalisée2</formula>
    </cfRule>
    <cfRule type="expression" dxfId="740" priority="3" stopIfTrue="1">
      <formula>C7=CléPersonnalisée1</formula>
    </cfRule>
    <cfRule type="expression" dxfId="739" priority="4" stopIfTrue="1">
      <formula>C7=CléMaladie</formula>
    </cfRule>
    <cfRule type="expression" dxfId="738" priority="5" stopIfTrue="1">
      <formula>C7=CléPersonnel</formula>
    </cfRule>
    <cfRule type="expression" dxfId="737"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{7C2B6C3E-666E-4369-8C57-FD32A7D03A3C}</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200-000000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200-000001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200-000002000000}"/>
    <dataValidation allowBlank="1" showInputMessage="1" showErrorMessage="1" prompt="Cette ligne définit les clés utilisées dans le tableau : Congé en C2, Personnel en F2 et Congé maladie en J2. Les cellules M2 et R2 sont personnalisables" sqref="B2" xr:uid="{00000000-0002-0000-0200-000003000000}"/>
    <dataValidation allowBlank="1" showInputMessage="1" showErrorMessage="1" prompt="Entrez une étiquette pour décrire la clé personnalisée à gauche" sqref="N2 S2" xr:uid="{00000000-0002-0000-0200-000004000000}"/>
    <dataValidation allowBlank="1" showInputMessage="1" showErrorMessage="1" prompt="Entrez une lettre et personnalisez l’étiquette à droite pour ajouter un élément de clé" sqref="M2 R2" xr:uid="{00000000-0002-0000-0200-000005000000}"/>
    <dataValidation allowBlank="1" showInputMessage="1" showErrorMessage="1" prompt="La lettre « M » indique une absence pour cause de maladie" sqref="J2" xr:uid="{00000000-0002-0000-0200-000006000000}"/>
    <dataValidation allowBlank="1" showInputMessage="1" showErrorMessage="1" prompt="La lettre « P » indique une absence pour motifs personnels" sqref="F2" xr:uid="{00000000-0002-0000-0200-000007000000}"/>
    <dataValidation allowBlank="1" showInputMessage="1" showErrorMessage="1" prompt="La lettre « C » indique une absence pour cause de congé" sqref="C2" xr:uid="{00000000-0002-0000-0200-000008000000}"/>
    <dataValidation allowBlank="1" showInputMessage="1" showErrorMessage="1" prompt="Le titre mis à jour automatiquement figure dans cette cellule. Pour modifier le titre, mettez à jour la cellule B1 de la feuille de calcul Janvier" sqref="B1" xr:uid="{00000000-0002-0000-0200-000009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200-00000A000000}"/>
    <dataValidation allowBlank="1" showInputMessage="1" showErrorMessage="1" prompt="Suivez les absences du mois de mars dans cette feuille de calcul" sqref="A1" xr:uid="{00000000-0002-0000-0200-00000B000000}"/>
    <dataValidation allowBlank="1" showInputMessage="1" showErrorMessage="1" prompt="Calcule automatiquement le nombre total de jours d’absence d’un employé durant ce mois dans cette colonne" sqref="AH6" xr:uid="{00000000-0002-0000-0200-00000C000000}"/>
    <dataValidation allowBlank="1" showInputMessage="1" showErrorMessage="1" prompt="Année mise à jour automatiquement en fonction de l’année entrée dans la feuille de calcul Janvier" sqref="AH4" xr:uid="{00000000-0002-0000-02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C2B6C3E-666E-4369-8C57-FD32A7D03A3C}">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E000000}">
          <x14:formula1>
            <xm:f>'Noms des employés'!$B$4:$B$8</xm:f>
          </x14:formula1>
          <xm:sqref>B7:B11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B1:AH12"/>
  <sheetViews>
    <sheetView showGridLines="0" zoomScaleNormal="100" workbookViewId="0">
      <selection activeCell="B4" sqref="B4:AG4"/>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c r="B3" s="12"/>
    </row>
    <row r="4" spans="2:34" ht="30" customHeight="1" x14ac:dyDescent="0.3">
      <c r="B4" s="35" t="s">
        <v>53</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TEXT(WEEKDAY(DATE(AnnéeCalendrier,4,1),1),"jjj")</f>
        <v>sam</v>
      </c>
      <c r="D5" s="2" t="str">
        <f>TEXT(WEEKDAY(DATE(AnnéeCalendrier,4,2),1),"jjj")</f>
        <v>dim</v>
      </c>
      <c r="E5" s="2" t="str">
        <f>TEXT(WEEKDAY(DATE(AnnéeCalendrier,4,3),1),"jjj")</f>
        <v>lun</v>
      </c>
      <c r="F5" s="2" t="str">
        <f>TEXT(WEEKDAY(DATE(AnnéeCalendrier,4,4),1),"jjj")</f>
        <v>mar</v>
      </c>
      <c r="G5" s="2" t="str">
        <f>TEXT(WEEKDAY(DATE(AnnéeCalendrier,4,5),1),"jjj")</f>
        <v>mer</v>
      </c>
      <c r="H5" s="2" t="str">
        <f>TEXT(WEEKDAY(DATE(AnnéeCalendrier,4,6),1),"jjj")</f>
        <v>jeu</v>
      </c>
      <c r="I5" s="2" t="str">
        <f>TEXT(WEEKDAY(DATE(AnnéeCalendrier,4,7),1),"jjj")</f>
        <v>ven</v>
      </c>
      <c r="J5" s="2" t="str">
        <f>TEXT(WEEKDAY(DATE(AnnéeCalendrier,4,8),1),"jjj")</f>
        <v>sam</v>
      </c>
      <c r="K5" s="2" t="str">
        <f>TEXT(WEEKDAY(DATE(AnnéeCalendrier,4,9),1),"jjj")</f>
        <v>dim</v>
      </c>
      <c r="L5" s="2" t="str">
        <f>TEXT(WEEKDAY(DATE(AnnéeCalendrier,4,10),1),"jjj")</f>
        <v>lun</v>
      </c>
      <c r="M5" s="2" t="str">
        <f>TEXT(WEEKDAY(DATE(AnnéeCalendrier,4,11),1),"jjj")</f>
        <v>mar</v>
      </c>
      <c r="N5" s="2" t="str">
        <f>TEXT(WEEKDAY(DATE(AnnéeCalendrier,4,12),1),"jjj")</f>
        <v>mer</v>
      </c>
      <c r="O5" s="2" t="str">
        <f>TEXT(WEEKDAY(DATE(AnnéeCalendrier,4,13),1),"jjj")</f>
        <v>jeu</v>
      </c>
      <c r="P5" s="2" t="str">
        <f>TEXT(WEEKDAY(DATE(AnnéeCalendrier,4,14),1),"jjj")</f>
        <v>ven</v>
      </c>
      <c r="Q5" s="2" t="str">
        <f>TEXT(WEEKDAY(DATE(AnnéeCalendrier,4,15),1),"jjj")</f>
        <v>sam</v>
      </c>
      <c r="R5" s="2" t="str">
        <f>TEXT(WEEKDAY(DATE(AnnéeCalendrier,4,16),1),"jjj")</f>
        <v>dim</v>
      </c>
      <c r="S5" s="2" t="str">
        <f>TEXT(WEEKDAY(DATE(AnnéeCalendrier,4,17),1),"jjj")</f>
        <v>lun</v>
      </c>
      <c r="T5" s="2" t="str">
        <f>TEXT(WEEKDAY(DATE(AnnéeCalendrier,4,18),1),"jjj")</f>
        <v>mar</v>
      </c>
      <c r="U5" s="2" t="str">
        <f>TEXT(WEEKDAY(DATE(AnnéeCalendrier,4,19),1),"jjj")</f>
        <v>mer</v>
      </c>
      <c r="V5" s="2" t="str">
        <f>TEXT(WEEKDAY(DATE(AnnéeCalendrier,4,20),1),"jjj")</f>
        <v>jeu</v>
      </c>
      <c r="W5" s="2" t="str">
        <f>TEXT(WEEKDAY(DATE(AnnéeCalendrier,4,21),1),"jjj")</f>
        <v>ven</v>
      </c>
      <c r="X5" s="2" t="str">
        <f>TEXT(WEEKDAY(DATE(AnnéeCalendrier,4,22),1),"jjj")</f>
        <v>sam</v>
      </c>
      <c r="Y5" s="2" t="str">
        <f>TEXT(WEEKDAY(DATE(AnnéeCalendrier,4,23),1),"jjj")</f>
        <v>dim</v>
      </c>
      <c r="Z5" s="2" t="str">
        <f>TEXT(WEEKDAY(DATE(AnnéeCalendrier,4,24),1),"jjj")</f>
        <v>lun</v>
      </c>
      <c r="AA5" s="2" t="str">
        <f>TEXT(WEEKDAY(DATE(AnnéeCalendrier,4,25),1),"jjj")</f>
        <v>mar</v>
      </c>
      <c r="AB5" s="2" t="str">
        <f>TEXT(WEEKDAY(DATE(AnnéeCalendrier,4,26),1),"jjj")</f>
        <v>mer</v>
      </c>
      <c r="AC5" s="2" t="str">
        <f>TEXT(WEEKDAY(DATE(AnnéeCalendrier,4,27),1),"jjj")</f>
        <v>jeu</v>
      </c>
      <c r="AD5" s="2" t="str">
        <f>TEXT(WEEKDAY(DATE(AnnéeCalendrier,4,28),1),"jjj")</f>
        <v>ven</v>
      </c>
      <c r="AE5" s="2" t="str">
        <f>TEXT(WEEKDAY(DATE(AnnéeCalendrier,4,29),1),"jjj")</f>
        <v>sam</v>
      </c>
      <c r="AF5" s="2" t="str">
        <f>TEXT(WEEKDAY(DATE(AnnéeCalendrier,4,30),1),"jjj")</f>
        <v>dim</v>
      </c>
      <c r="AG5" s="2"/>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45</v>
      </c>
      <c r="AG6" s="19" t="s">
        <v>50</v>
      </c>
      <c r="AH6" s="14" t="s">
        <v>48</v>
      </c>
    </row>
    <row r="7" spans="2:34" ht="30" customHeight="1" x14ac:dyDescent="0.3">
      <c r="B7" s="8" t="s">
        <v>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COUNTA(Avril[[#This Row],[1]:[30]])</f>
        <v>0</v>
      </c>
    </row>
    <row r="8" spans="2:34" ht="30" customHeight="1" x14ac:dyDescent="0.3">
      <c r="B8" s="8" t="s">
        <v>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COUNTA(Avril[[#This Row],[1]:[30]])</f>
        <v>0</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COUNTA(Avril[[#This Row],[1]:[30]])</f>
        <v>0</v>
      </c>
    </row>
    <row r="10" spans="2:34" ht="30" customHeight="1" x14ac:dyDescent="0.3">
      <c r="B10" s="8" t="s">
        <v>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COUNTA(Avril[[#This Row],[1]:[30]])</f>
        <v>0</v>
      </c>
    </row>
    <row r="11" spans="2:34" ht="30" customHeight="1" x14ac:dyDescent="0.3">
      <c r="B11" s="8" t="s">
        <v>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COUNTA(Avril[[#This Row],[1]:[30]])</f>
        <v>0</v>
      </c>
    </row>
    <row r="12" spans="2:34" ht="30" customHeight="1" x14ac:dyDescent="0.3">
      <c r="B12" s="17" t="str">
        <f>NomMois&amp;" Total"</f>
        <v>Avril Total</v>
      </c>
      <c r="C12" s="11">
        <f>SUBTOTAL(103,Avril[1])</f>
        <v>0</v>
      </c>
      <c r="D12" s="11">
        <f>SUBTOTAL(103,Avril[2])</f>
        <v>0</v>
      </c>
      <c r="E12" s="11">
        <f>SUBTOTAL(103,Avril[3])</f>
        <v>0</v>
      </c>
      <c r="F12" s="11">
        <f>SUBTOTAL(103,Avril[4])</f>
        <v>0</v>
      </c>
      <c r="G12" s="11">
        <f>SUBTOTAL(103,Avril[5])</f>
        <v>0</v>
      </c>
      <c r="H12" s="11">
        <f>SUBTOTAL(103,Avril[6])</f>
        <v>0</v>
      </c>
      <c r="I12" s="11">
        <f>SUBTOTAL(103,Avril[7])</f>
        <v>0</v>
      </c>
      <c r="J12" s="11">
        <f>SUBTOTAL(103,Avril[8])</f>
        <v>0</v>
      </c>
      <c r="K12" s="11">
        <f>SUBTOTAL(103,Avril[9])</f>
        <v>0</v>
      </c>
      <c r="L12" s="11">
        <f>SUBTOTAL(103,Avril[10])</f>
        <v>0</v>
      </c>
      <c r="M12" s="11">
        <f>SUBTOTAL(103,Avril[11])</f>
        <v>0</v>
      </c>
      <c r="N12" s="11">
        <f>SUBTOTAL(103,Avril[12])</f>
        <v>0</v>
      </c>
      <c r="O12" s="11">
        <f>SUBTOTAL(103,Avril[13])</f>
        <v>0</v>
      </c>
      <c r="P12" s="11">
        <f>SUBTOTAL(103,Avril[14])</f>
        <v>0</v>
      </c>
      <c r="Q12" s="11">
        <f>SUBTOTAL(103,Avril[15])</f>
        <v>0</v>
      </c>
      <c r="R12" s="11">
        <f>SUBTOTAL(103,Avril[16])</f>
        <v>0</v>
      </c>
      <c r="S12" s="11">
        <f>SUBTOTAL(103,Avril[17])</f>
        <v>0</v>
      </c>
      <c r="T12" s="11">
        <f>SUBTOTAL(103,Avril[18])</f>
        <v>0</v>
      </c>
      <c r="U12" s="11">
        <f>SUBTOTAL(103,Avril[19])</f>
        <v>0</v>
      </c>
      <c r="V12" s="11">
        <f>SUBTOTAL(103,Avril[20])</f>
        <v>0</v>
      </c>
      <c r="W12" s="11">
        <f>SUBTOTAL(103,Avril[21])</f>
        <v>0</v>
      </c>
      <c r="X12" s="11">
        <f>SUBTOTAL(103,Avril[22])</f>
        <v>0</v>
      </c>
      <c r="Y12" s="11">
        <f>SUBTOTAL(103,Avril[23])</f>
        <v>0</v>
      </c>
      <c r="Z12" s="11">
        <f>SUBTOTAL(103,Avril[24])</f>
        <v>0</v>
      </c>
      <c r="AA12" s="11">
        <f>SUBTOTAL(103,Avril[25])</f>
        <v>0</v>
      </c>
      <c r="AB12" s="11">
        <f>SUBTOTAL(103,Avril[26])</f>
        <v>0</v>
      </c>
      <c r="AC12" s="11">
        <f>SUBTOTAL(103,Avril[27])</f>
        <v>0</v>
      </c>
      <c r="AD12" s="11">
        <f>SUBTOTAL(103,Avril[28])</f>
        <v>0</v>
      </c>
      <c r="AE12" s="11">
        <f>SUBTOTAL(103,Avril[29])</f>
        <v>0</v>
      </c>
      <c r="AF12" s="11">
        <f>SUBTOTAL(103,Avril[30])</f>
        <v>0</v>
      </c>
      <c r="AG12" s="11">
        <f>SUBTOTAL(103,Avril[30])</f>
        <v>0</v>
      </c>
      <c r="AH12" s="11">
        <f>SUBTOTAL(109,Avril[Total des jours])</f>
        <v>0</v>
      </c>
    </row>
  </sheetData>
  <mergeCells count="6">
    <mergeCell ref="B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667" priority="2" stopIfTrue="1">
      <formula>C7=CléPersonnalisée2</formula>
    </cfRule>
    <cfRule type="expression" dxfId="666" priority="3" stopIfTrue="1">
      <formula>C7=CléPersonnalisée1</formula>
    </cfRule>
    <cfRule type="expression" dxfId="665" priority="4" stopIfTrue="1">
      <formula>C7=CléMaladie</formula>
    </cfRule>
    <cfRule type="expression" dxfId="664" priority="5" stopIfTrue="1">
      <formula>C7=CléPersonnel</formula>
    </cfRule>
    <cfRule type="expression" dxfId="663"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{0C86709F-D813-4066-A3F1-C30F11214F4B}</x14:id>
        </ext>
      </extLst>
    </cfRule>
  </conditionalFormatting>
  <dataValidations count="14">
    <dataValidation allowBlank="1" showInputMessage="1" showErrorMessage="1" prompt="Année mise à jour automatiquement en fonction de l’année entrée dans la feuille de calcul Janvier" sqref="AH4" xr:uid="{00000000-0002-0000-0300-000000000000}"/>
    <dataValidation allowBlank="1" showInputMessage="1" showErrorMessage="1" prompt="Calcule automatiquement le nombre total de jours d’absence d’un employé durant ce mois dans cette colonne" sqref="AH6" xr:uid="{00000000-0002-0000-0300-000001000000}"/>
    <dataValidation allowBlank="1" showInputMessage="1" showErrorMessage="1" prompt="Suivez les absences du mois d’avril dans cette feuille de calcul" sqref="A1" xr:uid="{00000000-0002-0000-0300-000002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300-000003000000}"/>
    <dataValidation allowBlank="1" showInputMessage="1" showErrorMessage="1" prompt="Le titre mis à jour automatiquement figure dans cette cellule. Pour modifier le titre, mettez à jour la cellule B1 de la feuille de calcul Janvier" sqref="B1" xr:uid="{00000000-0002-0000-0300-000004000000}"/>
    <dataValidation allowBlank="1" showInputMessage="1" showErrorMessage="1" prompt="La lettre « C » indique une absence pour cause de congé" sqref="C2" xr:uid="{00000000-0002-0000-0300-000005000000}"/>
    <dataValidation allowBlank="1" showInputMessage="1" showErrorMessage="1" prompt="La lettre « P » indique une absence pour motifs personnels" sqref="F2" xr:uid="{00000000-0002-0000-0300-000006000000}"/>
    <dataValidation allowBlank="1" showInputMessage="1" showErrorMessage="1" prompt="La lettre « M » indique une absence pour cause de maladie" sqref="J2" xr:uid="{00000000-0002-0000-0300-000007000000}"/>
    <dataValidation allowBlank="1" showInputMessage="1" showErrorMessage="1" prompt="Entrez une lettre et personnalisez l’étiquette à droite pour ajouter un élément de clé" sqref="M2 R2" xr:uid="{00000000-0002-0000-0300-000008000000}"/>
    <dataValidation allowBlank="1" showInputMessage="1" showErrorMessage="1" prompt="Entrez une étiquette pour décrire la clé personnalisée à gauche" sqref="N2 S2" xr:uid="{00000000-0002-0000-0300-000009000000}"/>
    <dataValidation allowBlank="1" showInputMessage="1" showErrorMessage="1" prompt="Cette ligne définit les clés utilisées dans le tableau : Congé en C2, Personnel en F2 et Congé maladie en J2. Les cellules M2 et R2 sont personnalisables" sqref="B2" xr:uid="{00000000-0002-0000-0300-00000A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300-00000B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3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3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C86709F-D813-4066-A3F1-C30F11214F4B}">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E000000}">
          <x14:formula1>
            <xm:f>'Noms des employés'!$B$4:$B$8</xm:f>
          </x14:formula1>
          <xm:sqref>B7:B11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B1:AH12"/>
  <sheetViews>
    <sheetView showGridLines="0" zoomScaleNormal="100" workbookViewId="0">
      <selection activeCell="B4" sqref="B4:AG4"/>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c r="B3" s="12"/>
    </row>
    <row r="4" spans="2:34" ht="30" customHeight="1" x14ac:dyDescent="0.3">
      <c r="B4" s="35" t="s">
        <v>54</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TEXT(WEEKDAY(DATE(AnnéeCalendrier,5,1),1),"jjj")</f>
        <v>lun</v>
      </c>
      <c r="D5" s="2" t="str">
        <f>TEXT(WEEKDAY(DATE(AnnéeCalendrier,5,2),1),"jjj")</f>
        <v>mar</v>
      </c>
      <c r="E5" s="2" t="str">
        <f>TEXT(WEEKDAY(DATE(AnnéeCalendrier,5,3),1),"jjj")</f>
        <v>mer</v>
      </c>
      <c r="F5" s="2" t="str">
        <f>TEXT(WEEKDAY(DATE(AnnéeCalendrier,5,4),1),"jjj")</f>
        <v>jeu</v>
      </c>
      <c r="G5" s="2" t="str">
        <f>TEXT(WEEKDAY(DATE(AnnéeCalendrier,5,5),1),"jjj")</f>
        <v>ven</v>
      </c>
      <c r="H5" s="2" t="str">
        <f>TEXT(WEEKDAY(DATE(AnnéeCalendrier,5,6),1),"jjj")</f>
        <v>sam</v>
      </c>
      <c r="I5" s="2" t="str">
        <f>TEXT(WEEKDAY(DATE(AnnéeCalendrier,5,7),1),"jjj")</f>
        <v>dim</v>
      </c>
      <c r="J5" s="2" t="str">
        <f>TEXT(WEEKDAY(DATE(AnnéeCalendrier,5,8),1),"jjj")</f>
        <v>lun</v>
      </c>
      <c r="K5" s="2" t="str">
        <f>TEXT(WEEKDAY(DATE(AnnéeCalendrier,5,9),1),"jjj")</f>
        <v>mar</v>
      </c>
      <c r="L5" s="2" t="str">
        <f>TEXT(WEEKDAY(DATE(AnnéeCalendrier,5,10),1),"jjj")</f>
        <v>mer</v>
      </c>
      <c r="M5" s="2" t="str">
        <f>TEXT(WEEKDAY(DATE(AnnéeCalendrier,5,11),1),"jjj")</f>
        <v>jeu</v>
      </c>
      <c r="N5" s="2" t="str">
        <f>TEXT(WEEKDAY(DATE(AnnéeCalendrier,5,12),1),"jjj")</f>
        <v>ven</v>
      </c>
      <c r="O5" s="2" t="str">
        <f>TEXT(WEEKDAY(DATE(AnnéeCalendrier,5,13),1),"jjj")</f>
        <v>sam</v>
      </c>
      <c r="P5" s="2" t="str">
        <f>TEXT(WEEKDAY(DATE(AnnéeCalendrier,5,14),1),"jjj")</f>
        <v>dim</v>
      </c>
      <c r="Q5" s="2" t="str">
        <f>TEXT(WEEKDAY(DATE(AnnéeCalendrier,5,15),1),"jjj")</f>
        <v>lun</v>
      </c>
      <c r="R5" s="2" t="str">
        <f>TEXT(WEEKDAY(DATE(AnnéeCalendrier,5,16),1),"jjj")</f>
        <v>mar</v>
      </c>
      <c r="S5" s="2" t="str">
        <f>TEXT(WEEKDAY(DATE(AnnéeCalendrier,5,17),1),"jjj")</f>
        <v>mer</v>
      </c>
      <c r="T5" s="2" t="str">
        <f>TEXT(WEEKDAY(DATE(AnnéeCalendrier,5,18),1),"jjj")</f>
        <v>jeu</v>
      </c>
      <c r="U5" s="2" t="str">
        <f>TEXT(WEEKDAY(DATE(AnnéeCalendrier,5,19),1),"jjj")</f>
        <v>ven</v>
      </c>
      <c r="V5" s="2" t="str">
        <f>TEXT(WEEKDAY(DATE(AnnéeCalendrier,5,20),1),"jjj")</f>
        <v>sam</v>
      </c>
      <c r="W5" s="2" t="str">
        <f>TEXT(WEEKDAY(DATE(AnnéeCalendrier,5,21),1),"jjj")</f>
        <v>dim</v>
      </c>
      <c r="X5" s="2" t="str">
        <f>TEXT(WEEKDAY(DATE(AnnéeCalendrier,5,22),1),"jjj")</f>
        <v>lun</v>
      </c>
      <c r="Y5" s="2" t="str">
        <f>TEXT(WEEKDAY(DATE(AnnéeCalendrier,5,23),1),"jjj")</f>
        <v>mar</v>
      </c>
      <c r="Z5" s="2" t="str">
        <f>TEXT(WEEKDAY(DATE(AnnéeCalendrier,5,24),1),"jjj")</f>
        <v>mer</v>
      </c>
      <c r="AA5" s="2" t="str">
        <f>TEXT(WEEKDAY(DATE(AnnéeCalendrier,5,25),1),"jjj")</f>
        <v>jeu</v>
      </c>
      <c r="AB5" s="2" t="str">
        <f>TEXT(WEEKDAY(DATE(AnnéeCalendrier,5,26),1),"jjj")</f>
        <v>ven</v>
      </c>
      <c r="AC5" s="2" t="str">
        <f>TEXT(WEEKDAY(DATE(AnnéeCalendrier,5,27),1),"jjj")</f>
        <v>sam</v>
      </c>
      <c r="AD5" s="2" t="str">
        <f>TEXT(WEEKDAY(DATE(AnnéeCalendrier,5,28),1),"jjj")</f>
        <v>dim</v>
      </c>
      <c r="AE5" s="2" t="str">
        <f>TEXT(WEEKDAY(DATE(AnnéeCalendrier,5,29),1),"jjj")</f>
        <v>lun</v>
      </c>
      <c r="AF5" s="2" t="str">
        <f>TEXT(WEEKDAY(DATE(AnnéeCalendrier,5,30),1),"jjj")</f>
        <v>mar</v>
      </c>
      <c r="AG5" s="2" t="str">
        <f>TEXT(WEEKDAY(DATE(AnnéeCalendrier,5,31),1),"jjj")</f>
        <v>mer</v>
      </c>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45</v>
      </c>
      <c r="AG6" s="2" t="s">
        <v>46</v>
      </c>
      <c r="AH6" s="14" t="s">
        <v>48</v>
      </c>
    </row>
    <row r="7" spans="2:34" ht="30" customHeight="1" x14ac:dyDescent="0.3">
      <c r="B7" s="8" t="s">
        <v>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COUNTA(Mai[[#This Row],[1]:[31]])</f>
        <v>0</v>
      </c>
    </row>
    <row r="8" spans="2:34" ht="30" customHeight="1" x14ac:dyDescent="0.3">
      <c r="B8" s="8" t="s">
        <v>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COUNTA(Mai[[#This Row],[1]:[31]])</f>
        <v>0</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COUNTA(Mai[[#This Row],[1]:[31]])</f>
        <v>0</v>
      </c>
    </row>
    <row r="10" spans="2:34" ht="30" customHeight="1" x14ac:dyDescent="0.3">
      <c r="B10" s="8" t="s">
        <v>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COUNTA(Mai[[#This Row],[1]:[31]])</f>
        <v>0</v>
      </c>
    </row>
    <row r="11" spans="2:34" ht="30" customHeight="1" x14ac:dyDescent="0.3">
      <c r="B11" s="8" t="s">
        <v>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COUNTA(Mai[[#This Row],[1]:[31]])</f>
        <v>0</v>
      </c>
    </row>
    <row r="12" spans="2:34" ht="30" customHeight="1" x14ac:dyDescent="0.3">
      <c r="B12" s="17" t="str">
        <f>NomMois&amp;" Total"</f>
        <v>Mai Total</v>
      </c>
      <c r="C12" s="11">
        <f>SUBTOTAL(103,Mai[1])</f>
        <v>0</v>
      </c>
      <c r="D12" s="11">
        <f>SUBTOTAL(103,Mai[2])</f>
        <v>0</v>
      </c>
      <c r="E12" s="11">
        <f>SUBTOTAL(103,Mai[3])</f>
        <v>0</v>
      </c>
      <c r="F12" s="11">
        <f>SUBTOTAL(103,Mai[4])</f>
        <v>0</v>
      </c>
      <c r="G12" s="11">
        <f>SUBTOTAL(103,Mai[5])</f>
        <v>0</v>
      </c>
      <c r="H12" s="11">
        <f>SUBTOTAL(103,Mai[6])</f>
        <v>0</v>
      </c>
      <c r="I12" s="11">
        <f>SUBTOTAL(103,Mai[7])</f>
        <v>0</v>
      </c>
      <c r="J12" s="11">
        <f>SUBTOTAL(103,Mai[8])</f>
        <v>0</v>
      </c>
      <c r="K12" s="11">
        <f>SUBTOTAL(103,Mai[9])</f>
        <v>0</v>
      </c>
      <c r="L12" s="11">
        <f>SUBTOTAL(103,Mai[10])</f>
        <v>0</v>
      </c>
      <c r="M12" s="11">
        <f>SUBTOTAL(103,Mai[11])</f>
        <v>0</v>
      </c>
      <c r="N12" s="11">
        <f>SUBTOTAL(103,Mai[12])</f>
        <v>0</v>
      </c>
      <c r="O12" s="11">
        <f>SUBTOTAL(103,Mai[13])</f>
        <v>0</v>
      </c>
      <c r="P12" s="11">
        <f>SUBTOTAL(103,Mai[14])</f>
        <v>0</v>
      </c>
      <c r="Q12" s="11">
        <f>SUBTOTAL(103,Mai[15])</f>
        <v>0</v>
      </c>
      <c r="R12" s="11">
        <f>SUBTOTAL(103,Mai[16])</f>
        <v>0</v>
      </c>
      <c r="S12" s="11">
        <f>SUBTOTAL(103,Mai[17])</f>
        <v>0</v>
      </c>
      <c r="T12" s="11">
        <f>SUBTOTAL(103,Mai[18])</f>
        <v>0</v>
      </c>
      <c r="U12" s="11">
        <f>SUBTOTAL(103,Mai[19])</f>
        <v>0</v>
      </c>
      <c r="V12" s="11">
        <f>SUBTOTAL(103,Mai[20])</f>
        <v>0</v>
      </c>
      <c r="W12" s="11">
        <f>SUBTOTAL(103,Mai[21])</f>
        <v>0</v>
      </c>
      <c r="X12" s="11">
        <f>SUBTOTAL(103,Mai[22])</f>
        <v>0</v>
      </c>
      <c r="Y12" s="11">
        <f>SUBTOTAL(103,Mai[23])</f>
        <v>0</v>
      </c>
      <c r="Z12" s="11">
        <f>SUBTOTAL(103,Mai[24])</f>
        <v>0</v>
      </c>
      <c r="AA12" s="11">
        <f>SUBTOTAL(103,Mai[25])</f>
        <v>0</v>
      </c>
      <c r="AB12" s="11">
        <f>SUBTOTAL(103,Mai[26])</f>
        <v>0</v>
      </c>
      <c r="AC12" s="11">
        <f>SUBTOTAL(103,Mai[27])</f>
        <v>0</v>
      </c>
      <c r="AD12" s="11">
        <f>SUBTOTAL(103,Mai[28])</f>
        <v>0</v>
      </c>
      <c r="AE12" s="11">
        <f>SUBTOTAL(103,Mai[29])</f>
        <v>0</v>
      </c>
      <c r="AF12" s="11">
        <f>SUBTOTAL(103,Mai[30])</f>
        <v>0</v>
      </c>
      <c r="AG12" s="11">
        <f>SUBTOTAL(103,Mai[31])</f>
        <v>0</v>
      </c>
      <c r="AH12" s="11">
        <f>SUBTOTAL(109,Mai[Total des jours])</f>
        <v>0</v>
      </c>
    </row>
  </sheetData>
  <mergeCells count="6">
    <mergeCell ref="B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593" priority="2" stopIfTrue="1">
      <formula>C7=CléPersonnalisée2</formula>
    </cfRule>
    <cfRule type="expression" dxfId="592" priority="3" stopIfTrue="1">
      <formula>C7=CléPersonnalisée1</formula>
    </cfRule>
    <cfRule type="expression" dxfId="591" priority="4" stopIfTrue="1">
      <formula>C7=CléMaladie</formula>
    </cfRule>
    <cfRule type="expression" dxfId="590" priority="5" stopIfTrue="1">
      <formula>C7=CléPersonnel</formula>
    </cfRule>
    <cfRule type="expression" dxfId="589"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{5670947F-8B3C-4A6C-A280-4F5E10811DCE}</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4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400-000001000000}"/>
    <dataValidation allowBlank="1" showInputMessage="1" showErrorMessage="1" prompt="Cette ligne définit les clés utilisées dans le tableau : Congé en C2, Personnel en F2 et Congé maladie en J2. Les cellules M2 et R2 sont personnalisables" sqref="B2" xr:uid="{00000000-0002-0000-0400-000002000000}"/>
    <dataValidation allowBlank="1" showInputMessage="1" showErrorMessage="1" prompt="Entrez une étiquette pour décrire la clé personnalisée à gauche" sqref="N2 S2" xr:uid="{00000000-0002-0000-0400-000003000000}"/>
    <dataValidation allowBlank="1" showInputMessage="1" showErrorMessage="1" prompt="Entrez une lettre et personnalisez l’étiquette à droite pour ajouter un élément de clé" sqref="M2 R2" xr:uid="{00000000-0002-0000-0400-000004000000}"/>
    <dataValidation allowBlank="1" showInputMessage="1" showErrorMessage="1" prompt="La lettre « M » indique une absence pour cause de maladie" sqref="J2" xr:uid="{00000000-0002-0000-0400-000005000000}"/>
    <dataValidation allowBlank="1" showInputMessage="1" showErrorMessage="1" prompt="La lettre « P » indique une absence pour motifs personnels" sqref="F2" xr:uid="{00000000-0002-0000-0400-000006000000}"/>
    <dataValidation allowBlank="1" showInputMessage="1" showErrorMessage="1" prompt="La lettre « C » indique une absence pour cause de congé" sqref="C2" xr:uid="{00000000-0002-0000-0400-000007000000}"/>
    <dataValidation allowBlank="1" showInputMessage="1" showErrorMessage="1" prompt="Le titre mis à jour automatiquement figure dans cette cellule. Pour modifier le titre, mettez à jour la cellule B1 de la feuille de calcul Janvier" sqref="B1" xr:uid="{00000000-0002-0000-04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400-000009000000}"/>
    <dataValidation allowBlank="1" showInputMessage="1" showErrorMessage="1" prompt="Suivez les absences du mois de mai dans cette feuille de calcul" sqref="A1" xr:uid="{00000000-0002-0000-0400-00000A000000}"/>
    <dataValidation allowBlank="1" showInputMessage="1" showErrorMessage="1" prompt="Calcule automatiquement le nombre total de jours d’absence d’un employé durant ce mois dans cette colonne" sqref="AH6" xr:uid="{00000000-0002-0000-0400-00000B000000}"/>
    <dataValidation allowBlank="1" showInputMessage="1" showErrorMessage="1" prompt="Année mise à jour automatiquement en fonction de l’année entrée dans la feuille de calcul Janvier" sqref="AH4" xr:uid="{00000000-0002-0000-04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4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670947F-8B3C-4A6C-A280-4F5E10811DCE}">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E000000}">
          <x14:formula1>
            <xm:f>'Noms des employés'!$B$4:$B$8</xm:f>
          </x14:formula1>
          <xm:sqref>B7:B11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B1:AH12"/>
  <sheetViews>
    <sheetView showGridLines="0" zoomScaleNormal="100" workbookViewId="0">
      <selection activeCell="B4" sqref="B4:AG4"/>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c r="B3" s="12"/>
    </row>
    <row r="4" spans="2:34" ht="30" customHeight="1" x14ac:dyDescent="0.3">
      <c r="B4" s="35" t="s">
        <v>55</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TEXT(WEEKDAY(DATE(AnnéeCalendrier,6,1),1),"jjj")</f>
        <v>jeu</v>
      </c>
      <c r="D5" s="2" t="str">
        <f>TEXT(WEEKDAY(DATE(AnnéeCalendrier,6,2),1),"jjj")</f>
        <v>ven</v>
      </c>
      <c r="E5" s="2" t="str">
        <f>TEXT(WEEKDAY(DATE(AnnéeCalendrier,6,3),1),"jjj")</f>
        <v>sam</v>
      </c>
      <c r="F5" s="2" t="str">
        <f>TEXT(WEEKDAY(DATE(AnnéeCalendrier,6,4),1),"jjj")</f>
        <v>dim</v>
      </c>
      <c r="G5" s="2" t="str">
        <f>TEXT(WEEKDAY(DATE(AnnéeCalendrier,6,5),1),"jjj")</f>
        <v>lun</v>
      </c>
      <c r="H5" s="2" t="str">
        <f>TEXT(WEEKDAY(DATE(AnnéeCalendrier,6,6),1),"jjj")</f>
        <v>mar</v>
      </c>
      <c r="I5" s="2" t="str">
        <f>TEXT(WEEKDAY(DATE(AnnéeCalendrier,6,7),1),"jjj")</f>
        <v>mer</v>
      </c>
      <c r="J5" s="2" t="str">
        <f>TEXT(WEEKDAY(DATE(AnnéeCalendrier,6,8),1),"jjj")</f>
        <v>jeu</v>
      </c>
      <c r="K5" s="2" t="str">
        <f>TEXT(WEEKDAY(DATE(AnnéeCalendrier,6,9),1),"jjj")</f>
        <v>ven</v>
      </c>
      <c r="L5" s="2" t="str">
        <f>TEXT(WEEKDAY(DATE(AnnéeCalendrier,6,10),1),"jjj")</f>
        <v>sam</v>
      </c>
      <c r="M5" s="2" t="str">
        <f>TEXT(WEEKDAY(DATE(AnnéeCalendrier,6,11),1),"jjj")</f>
        <v>dim</v>
      </c>
      <c r="N5" s="2" t="str">
        <f>TEXT(WEEKDAY(DATE(AnnéeCalendrier,6,12),1),"jjj")</f>
        <v>lun</v>
      </c>
      <c r="O5" s="2" t="str">
        <f>TEXT(WEEKDAY(DATE(AnnéeCalendrier,6,13),1),"jjj")</f>
        <v>mar</v>
      </c>
      <c r="P5" s="2" t="str">
        <f>TEXT(WEEKDAY(DATE(AnnéeCalendrier,6,14),1),"jjj")</f>
        <v>mer</v>
      </c>
      <c r="Q5" s="2" t="str">
        <f>TEXT(WEEKDAY(DATE(AnnéeCalendrier,6,15),1),"jjj")</f>
        <v>jeu</v>
      </c>
      <c r="R5" s="2" t="str">
        <f>TEXT(WEEKDAY(DATE(AnnéeCalendrier,6,16),1),"jjj")</f>
        <v>ven</v>
      </c>
      <c r="S5" s="2" t="str">
        <f>TEXT(WEEKDAY(DATE(AnnéeCalendrier,6,17),1),"jjj")</f>
        <v>sam</v>
      </c>
      <c r="T5" s="2" t="str">
        <f>TEXT(WEEKDAY(DATE(AnnéeCalendrier,6,18),1),"jjj")</f>
        <v>dim</v>
      </c>
      <c r="U5" s="2" t="str">
        <f>TEXT(WEEKDAY(DATE(AnnéeCalendrier,6,19),1),"jjj")</f>
        <v>lun</v>
      </c>
      <c r="V5" s="2" t="str">
        <f>TEXT(WEEKDAY(DATE(AnnéeCalendrier,6,20),1),"jjj")</f>
        <v>mar</v>
      </c>
      <c r="W5" s="2" t="str">
        <f>TEXT(WEEKDAY(DATE(AnnéeCalendrier,6,21),1),"jjj")</f>
        <v>mer</v>
      </c>
      <c r="X5" s="2" t="str">
        <f>TEXT(WEEKDAY(DATE(AnnéeCalendrier,6,22),1),"jjj")</f>
        <v>jeu</v>
      </c>
      <c r="Y5" s="2" t="str">
        <f>TEXT(WEEKDAY(DATE(AnnéeCalendrier,6,23),1),"jjj")</f>
        <v>ven</v>
      </c>
      <c r="Z5" s="2" t="str">
        <f>TEXT(WEEKDAY(DATE(AnnéeCalendrier,6,24),1),"jjj")</f>
        <v>sam</v>
      </c>
      <c r="AA5" s="2" t="str">
        <f>TEXT(WEEKDAY(DATE(AnnéeCalendrier,6,25),1),"jjj")</f>
        <v>dim</v>
      </c>
      <c r="AB5" s="2" t="str">
        <f>TEXT(WEEKDAY(DATE(AnnéeCalendrier,6,26),1),"jjj")</f>
        <v>lun</v>
      </c>
      <c r="AC5" s="2" t="str">
        <f>TEXT(WEEKDAY(DATE(AnnéeCalendrier,6,27),1),"jjj")</f>
        <v>mar</v>
      </c>
      <c r="AD5" s="2" t="str">
        <f>TEXT(WEEKDAY(DATE(AnnéeCalendrier,6,28),1),"jjj")</f>
        <v>mer</v>
      </c>
      <c r="AE5" s="2" t="str">
        <f>TEXT(WEEKDAY(DATE(AnnéeCalendrier,6,29),1),"jjj")</f>
        <v>jeu</v>
      </c>
      <c r="AF5" s="2" t="str">
        <f>TEXT(WEEKDAY(DATE(AnnéeCalendrier,6,30),1),"jjj")</f>
        <v>ven</v>
      </c>
      <c r="AG5" s="2"/>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45</v>
      </c>
      <c r="AG6" s="2" t="s">
        <v>50</v>
      </c>
      <c r="AH6" s="14" t="s">
        <v>48</v>
      </c>
    </row>
    <row r="7" spans="2:34" ht="30" customHeight="1" x14ac:dyDescent="0.3">
      <c r="B7" s="8" t="s">
        <v>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COUNTA(Juin[[#This Row],[1]:[30]])</f>
        <v>0</v>
      </c>
    </row>
    <row r="8" spans="2:34" ht="30" customHeight="1" x14ac:dyDescent="0.3">
      <c r="B8" s="8" t="s">
        <v>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COUNTA(Juin[[#This Row],[1]:[30]])</f>
        <v>0</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COUNTA(Juin[[#This Row],[1]:[30]])</f>
        <v>0</v>
      </c>
    </row>
    <row r="10" spans="2:34" ht="30" customHeight="1" x14ac:dyDescent="0.3">
      <c r="B10" s="8" t="s">
        <v>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COUNTA(Juin[[#This Row],[1]:[30]])</f>
        <v>0</v>
      </c>
    </row>
    <row r="11" spans="2:34" ht="30" customHeight="1" x14ac:dyDescent="0.3">
      <c r="B11" s="8" t="s">
        <v>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COUNTA(Juin[[#This Row],[1]:[30]])</f>
        <v>0</v>
      </c>
    </row>
    <row r="12" spans="2:34" ht="30" customHeight="1" x14ac:dyDescent="0.3">
      <c r="B12" s="17" t="str">
        <f>NomMois&amp;" Total"</f>
        <v>Juin Total</v>
      </c>
      <c r="C12" s="11">
        <f>SUBTOTAL(103,Juin[1])</f>
        <v>0</v>
      </c>
      <c r="D12" s="11">
        <f>SUBTOTAL(103,Juin[2])</f>
        <v>0</v>
      </c>
      <c r="E12" s="11">
        <f>SUBTOTAL(103,Juin[3])</f>
        <v>0</v>
      </c>
      <c r="F12" s="11">
        <f>SUBTOTAL(103,Juin[4])</f>
        <v>0</v>
      </c>
      <c r="G12" s="11">
        <f>SUBTOTAL(103,Juin[5])</f>
        <v>0</v>
      </c>
      <c r="H12" s="11">
        <f>SUBTOTAL(103,Juin[6])</f>
        <v>0</v>
      </c>
      <c r="I12" s="11">
        <f>SUBTOTAL(103,Juin[7])</f>
        <v>0</v>
      </c>
      <c r="J12" s="11">
        <f>SUBTOTAL(103,Juin[8])</f>
        <v>0</v>
      </c>
      <c r="K12" s="11">
        <f>SUBTOTAL(103,Juin[9])</f>
        <v>0</v>
      </c>
      <c r="L12" s="11">
        <f>SUBTOTAL(103,Juin[10])</f>
        <v>0</v>
      </c>
      <c r="M12" s="11">
        <f>SUBTOTAL(103,Juin[11])</f>
        <v>0</v>
      </c>
      <c r="N12" s="11">
        <f>SUBTOTAL(103,Juin[12])</f>
        <v>0</v>
      </c>
      <c r="O12" s="11">
        <f>SUBTOTAL(103,Juin[13])</f>
        <v>0</v>
      </c>
      <c r="P12" s="11">
        <f>SUBTOTAL(103,Juin[14])</f>
        <v>0</v>
      </c>
      <c r="Q12" s="11">
        <f>SUBTOTAL(103,Juin[15])</f>
        <v>0</v>
      </c>
      <c r="R12" s="11">
        <f>SUBTOTAL(103,Juin[16])</f>
        <v>0</v>
      </c>
      <c r="S12" s="11">
        <f>SUBTOTAL(103,Juin[17])</f>
        <v>0</v>
      </c>
      <c r="T12" s="11">
        <f>SUBTOTAL(103,Juin[18])</f>
        <v>0</v>
      </c>
      <c r="U12" s="11">
        <f>SUBTOTAL(103,Juin[19])</f>
        <v>0</v>
      </c>
      <c r="V12" s="11">
        <f>SUBTOTAL(103,Juin[20])</f>
        <v>0</v>
      </c>
      <c r="W12" s="11">
        <f>SUBTOTAL(103,Juin[21])</f>
        <v>0</v>
      </c>
      <c r="X12" s="11">
        <f>SUBTOTAL(103,Juin[22])</f>
        <v>0</v>
      </c>
      <c r="Y12" s="11">
        <f>SUBTOTAL(103,Juin[23])</f>
        <v>0</v>
      </c>
      <c r="Z12" s="11">
        <f>SUBTOTAL(103,Juin[24])</f>
        <v>0</v>
      </c>
      <c r="AA12" s="11">
        <f>SUBTOTAL(103,Juin[25])</f>
        <v>0</v>
      </c>
      <c r="AB12" s="11">
        <f>SUBTOTAL(103,Juin[26])</f>
        <v>0</v>
      </c>
      <c r="AC12" s="11">
        <f>SUBTOTAL(103,Juin[27])</f>
        <v>0</v>
      </c>
      <c r="AD12" s="11">
        <f>SUBTOTAL(103,Juin[28])</f>
        <v>0</v>
      </c>
      <c r="AE12" s="11">
        <f>SUBTOTAL(103,Juin[29])</f>
        <v>0</v>
      </c>
      <c r="AF12" s="11">
        <f>SUBTOTAL(103,Juin[30])</f>
        <v>0</v>
      </c>
      <c r="AG12" s="11">
        <f>SUBTOTAL(103,Juin[[ ]])</f>
        <v>0</v>
      </c>
      <c r="AH12" s="11">
        <f>SUBTOTAL(109,Juin[Total des jours])</f>
        <v>0</v>
      </c>
    </row>
  </sheetData>
  <mergeCells count="6">
    <mergeCell ref="B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519" priority="2" stopIfTrue="1">
      <formula>C7=CléPersonnalisée2</formula>
    </cfRule>
    <cfRule type="expression" dxfId="518" priority="3" stopIfTrue="1">
      <formula>C7=CléPersonnalisée1</formula>
    </cfRule>
    <cfRule type="expression" dxfId="517" priority="4" stopIfTrue="1">
      <formula>C7=CléMaladie</formula>
    </cfRule>
    <cfRule type="expression" dxfId="516" priority="5" stopIfTrue="1">
      <formula>C7=CléPersonnel</formula>
    </cfRule>
    <cfRule type="expression" dxfId="515"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{5E94D469-7B22-408B-924D-8DC8A136AD3B}</x14:id>
        </ext>
      </extLst>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500-000000000000}"/>
    <dataValidation allowBlank="1" showInputMessage="1" showErrorMessage="1" prompt="Année mise à jour automatiquement en fonction de l’année entrée dans la feuille de calcul Janvier" sqref="AH4" xr:uid="{00000000-0002-0000-0500-000001000000}"/>
    <dataValidation allowBlank="1" showInputMessage="1" showErrorMessage="1" prompt="Calcule automatiquement le nombre total de jours d’absence d’un employé durant ce mois dans cette colonne" sqref="AH6" xr:uid="{00000000-0002-0000-0500-000002000000}"/>
    <dataValidation allowBlank="1" showInputMessage="1" showErrorMessage="1" prompt="Suivez les absences du mois de juin dans cette feuille de calcul" sqref="A1" xr:uid="{00000000-0002-0000-05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500-000004000000}"/>
    <dataValidation allowBlank="1" showInputMessage="1" showErrorMessage="1" prompt="Le titre mis à jour automatiquement figure dans cette cellule. Pour modifier le titre, mettez à jour la cellule B1 de la feuille de calcul Janvier" sqref="B1" xr:uid="{00000000-0002-0000-0500-000005000000}"/>
    <dataValidation allowBlank="1" showInputMessage="1" showErrorMessage="1" prompt="La lettre « C » indique une absence pour cause de congé" sqref="C2" xr:uid="{00000000-0002-0000-0500-000006000000}"/>
    <dataValidation allowBlank="1" showInputMessage="1" showErrorMessage="1" prompt="La lettre « P » indique une absence pour motifs personnels" sqref="F2" xr:uid="{00000000-0002-0000-0500-000007000000}"/>
    <dataValidation allowBlank="1" showInputMessage="1" showErrorMessage="1" prompt="La lettre « M » indique une absence pour cause de maladie" sqref="J2" xr:uid="{00000000-0002-0000-0500-000008000000}"/>
    <dataValidation allowBlank="1" showInputMessage="1" showErrorMessage="1" prompt="Entrez une lettre et personnalisez l’étiquette à droite pour ajouter un élément de clé" sqref="M2 R2" xr:uid="{00000000-0002-0000-0500-000009000000}"/>
    <dataValidation allowBlank="1" showInputMessage="1" showErrorMessage="1" prompt="Entrez une étiquette pour décrire la clé personnalisée à gauche" sqref="N2 S2" xr:uid="{00000000-0002-0000-0500-00000A000000}"/>
    <dataValidation allowBlank="1" showInputMessage="1" showErrorMessage="1" prompt="Cette ligne définit les clés utilisées dans le tableau : Congé en C2, Personnel en F2 et Congé maladie en J2. Les cellules M2 et R2 sont personnalisables" sqref="B2" xr:uid="{00000000-0002-0000-05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5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5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E94D469-7B22-408B-924D-8DC8A136AD3B}">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E000000}">
          <x14:formula1>
            <xm:f>'Noms des employés'!$B$4:$B$8</xm:f>
          </x14:formula1>
          <xm:sqref>B7:B11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B1:AH12"/>
  <sheetViews>
    <sheetView showGridLines="0" zoomScaleNormal="100" workbookViewId="0">
      <selection activeCell="T13" sqref="T13"/>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c r="B3" s="12"/>
    </row>
    <row r="4" spans="2:34" ht="30" customHeight="1" x14ac:dyDescent="0.3">
      <c r="B4" s="35" t="s">
        <v>56</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TEXT(WEEKDAY(DATE(AnnéeCalendrier,7,1),1),"jjj")</f>
        <v>sam</v>
      </c>
      <c r="D5" s="2" t="str">
        <f>TEXT(WEEKDAY(DATE(AnnéeCalendrier,7,2),1),"jjj")</f>
        <v>dim</v>
      </c>
      <c r="E5" s="2" t="str">
        <f>TEXT(WEEKDAY(DATE(AnnéeCalendrier,7,3),1),"jjj")</f>
        <v>lun</v>
      </c>
      <c r="F5" s="2" t="str">
        <f>TEXT(WEEKDAY(DATE(AnnéeCalendrier,7,4),1),"jjj")</f>
        <v>mar</v>
      </c>
      <c r="G5" s="2" t="str">
        <f>TEXT(WEEKDAY(DATE(AnnéeCalendrier,7,5),1),"jjj")</f>
        <v>mer</v>
      </c>
      <c r="H5" s="2" t="str">
        <f>TEXT(WEEKDAY(DATE(AnnéeCalendrier,7,6),1),"jjj")</f>
        <v>jeu</v>
      </c>
      <c r="I5" s="2" t="str">
        <f>TEXT(WEEKDAY(DATE(AnnéeCalendrier,7,7),1),"jjj")</f>
        <v>ven</v>
      </c>
      <c r="J5" s="2" t="str">
        <f>TEXT(WEEKDAY(DATE(AnnéeCalendrier,7,8),1),"jjj")</f>
        <v>sam</v>
      </c>
      <c r="K5" s="2" t="str">
        <f>TEXT(WEEKDAY(DATE(AnnéeCalendrier,7,9),1),"jjj")</f>
        <v>dim</v>
      </c>
      <c r="L5" s="2" t="str">
        <f>TEXT(WEEKDAY(DATE(AnnéeCalendrier,7,10),1),"jjj")</f>
        <v>lun</v>
      </c>
      <c r="M5" s="2" t="str">
        <f>TEXT(WEEKDAY(DATE(AnnéeCalendrier,7,11),1),"jjj")</f>
        <v>mar</v>
      </c>
      <c r="N5" s="2" t="str">
        <f>TEXT(WEEKDAY(DATE(AnnéeCalendrier,7,12),1),"jjj")</f>
        <v>mer</v>
      </c>
      <c r="O5" s="2" t="str">
        <f>TEXT(WEEKDAY(DATE(AnnéeCalendrier,7,13),1),"jjj")</f>
        <v>jeu</v>
      </c>
      <c r="P5" s="2" t="str">
        <f>TEXT(WEEKDAY(DATE(AnnéeCalendrier,7,14),1),"jjj")</f>
        <v>ven</v>
      </c>
      <c r="Q5" s="2" t="str">
        <f>TEXT(WEEKDAY(DATE(AnnéeCalendrier,7,15),1),"jjj")</f>
        <v>sam</v>
      </c>
      <c r="R5" s="2" t="str">
        <f>TEXT(WEEKDAY(DATE(AnnéeCalendrier,7,16),1),"jjj")</f>
        <v>dim</v>
      </c>
      <c r="S5" s="2" t="str">
        <f>TEXT(WEEKDAY(DATE(AnnéeCalendrier,7,17),1),"jjj")</f>
        <v>lun</v>
      </c>
      <c r="T5" s="2" t="str">
        <f>TEXT(WEEKDAY(DATE(AnnéeCalendrier,7,18),1),"jjj")</f>
        <v>mar</v>
      </c>
      <c r="U5" s="2" t="str">
        <f>TEXT(WEEKDAY(DATE(AnnéeCalendrier,7,19),1),"jjj")</f>
        <v>mer</v>
      </c>
      <c r="V5" s="2" t="str">
        <f>TEXT(WEEKDAY(DATE(AnnéeCalendrier,7,20),1),"jjj")</f>
        <v>jeu</v>
      </c>
      <c r="W5" s="2" t="str">
        <f>TEXT(WEEKDAY(DATE(AnnéeCalendrier,7,21),1),"jjj")</f>
        <v>ven</v>
      </c>
      <c r="X5" s="2" t="str">
        <f>TEXT(WEEKDAY(DATE(AnnéeCalendrier,7,22),1),"jjj")</f>
        <v>sam</v>
      </c>
      <c r="Y5" s="2" t="str">
        <f>TEXT(WEEKDAY(DATE(AnnéeCalendrier,7,23),1),"jjj")</f>
        <v>dim</v>
      </c>
      <c r="Z5" s="2" t="str">
        <f>TEXT(WEEKDAY(DATE(AnnéeCalendrier,7,24),1),"jjj")</f>
        <v>lun</v>
      </c>
      <c r="AA5" s="2" t="str">
        <f>TEXT(WEEKDAY(DATE(AnnéeCalendrier,7,25),1),"jjj")</f>
        <v>mar</v>
      </c>
      <c r="AB5" s="2" t="str">
        <f>TEXT(WEEKDAY(DATE(AnnéeCalendrier,7,26),1),"jjj")</f>
        <v>mer</v>
      </c>
      <c r="AC5" s="2" t="str">
        <f>TEXT(WEEKDAY(DATE(AnnéeCalendrier,7,27),1),"jjj")</f>
        <v>jeu</v>
      </c>
      <c r="AD5" s="2" t="str">
        <f>TEXT(WEEKDAY(DATE(AnnéeCalendrier,7,28),1),"jjj")</f>
        <v>ven</v>
      </c>
      <c r="AE5" s="2" t="str">
        <f>TEXT(WEEKDAY(DATE(AnnéeCalendrier,7,29),1),"jjj")</f>
        <v>sam</v>
      </c>
      <c r="AF5" s="2" t="str">
        <f>TEXT(WEEKDAY(DATE(AnnéeCalendrier,7,30),1),"jjj")</f>
        <v>dim</v>
      </c>
      <c r="AG5" s="2" t="str">
        <f>TEXT(WEEKDAY(DATE(AnnéeCalendrier,7,31),1),"jjj")</f>
        <v>lun</v>
      </c>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45</v>
      </c>
      <c r="AG6" s="2" t="s">
        <v>46</v>
      </c>
      <c r="AH6" s="14" t="s">
        <v>48</v>
      </c>
    </row>
    <row r="7" spans="2:34" ht="30" customHeight="1" x14ac:dyDescent="0.3">
      <c r="B7" s="8" t="s">
        <v>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COUNTA(Juillet[[#This Row],[1]:[31]])</f>
        <v>0</v>
      </c>
    </row>
    <row r="8" spans="2:34" ht="30" customHeight="1" x14ac:dyDescent="0.3">
      <c r="B8" s="8" t="s">
        <v>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COUNTA(Juillet[[#This Row],[1]:[31]])</f>
        <v>0</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COUNTA(Juillet[[#This Row],[1]:[31]])</f>
        <v>0</v>
      </c>
    </row>
    <row r="10" spans="2:34" ht="30" customHeight="1" x14ac:dyDescent="0.3">
      <c r="B10" s="8" t="s">
        <v>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COUNTA(Juillet[[#This Row],[1]:[31]])</f>
        <v>0</v>
      </c>
    </row>
    <row r="11" spans="2:34" ht="30" customHeight="1" x14ac:dyDescent="0.3">
      <c r="B11" s="8" t="s">
        <v>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COUNTA(Juillet[[#This Row],[1]:[31]])</f>
        <v>0</v>
      </c>
    </row>
    <row r="12" spans="2:34" ht="30" customHeight="1" x14ac:dyDescent="0.3">
      <c r="B12" s="17" t="str">
        <f>NomMois&amp;" Total"</f>
        <v>Juillet Total</v>
      </c>
      <c r="C12" s="11">
        <f>SUBTOTAL(103,Juillet[1])</f>
        <v>0</v>
      </c>
      <c r="D12" s="11">
        <f>SUBTOTAL(103,Juillet[2])</f>
        <v>0</v>
      </c>
      <c r="E12" s="11">
        <f>SUBTOTAL(103,Juillet[3])</f>
        <v>0</v>
      </c>
      <c r="F12" s="11">
        <f>SUBTOTAL(103,Juillet[4])</f>
        <v>0</v>
      </c>
      <c r="G12" s="11">
        <f>SUBTOTAL(103,Juillet[5])</f>
        <v>0</v>
      </c>
      <c r="H12" s="11">
        <f>SUBTOTAL(103,Juillet[6])</f>
        <v>0</v>
      </c>
      <c r="I12" s="11">
        <f>SUBTOTAL(103,Juillet[7])</f>
        <v>0</v>
      </c>
      <c r="J12" s="11">
        <f>SUBTOTAL(103,Juillet[8])</f>
        <v>0</v>
      </c>
      <c r="K12" s="11">
        <f>SUBTOTAL(103,Juillet[9])</f>
        <v>0</v>
      </c>
      <c r="L12" s="11">
        <f>SUBTOTAL(103,Juillet[10])</f>
        <v>0</v>
      </c>
      <c r="M12" s="11">
        <f>SUBTOTAL(103,Juillet[11])</f>
        <v>0</v>
      </c>
      <c r="N12" s="11">
        <f>SUBTOTAL(103,Juillet[12])</f>
        <v>0</v>
      </c>
      <c r="O12" s="11">
        <f>SUBTOTAL(103,Juillet[13])</f>
        <v>0</v>
      </c>
      <c r="P12" s="11">
        <f>SUBTOTAL(103,Juillet[14])</f>
        <v>0</v>
      </c>
      <c r="Q12" s="11">
        <f>SUBTOTAL(103,Juillet[15])</f>
        <v>0</v>
      </c>
      <c r="R12" s="11">
        <f>SUBTOTAL(103,Juillet[16])</f>
        <v>0</v>
      </c>
      <c r="S12" s="11">
        <f>SUBTOTAL(103,Juillet[17])</f>
        <v>0</v>
      </c>
      <c r="T12" s="11">
        <f>SUBTOTAL(103,Juillet[18])</f>
        <v>0</v>
      </c>
      <c r="U12" s="11">
        <f>SUBTOTAL(103,Juillet[19])</f>
        <v>0</v>
      </c>
      <c r="V12" s="11">
        <f>SUBTOTAL(103,Juillet[20])</f>
        <v>0</v>
      </c>
      <c r="W12" s="11">
        <f>SUBTOTAL(103,Juillet[21])</f>
        <v>0</v>
      </c>
      <c r="X12" s="11">
        <f>SUBTOTAL(103,Juillet[22])</f>
        <v>0</v>
      </c>
      <c r="Y12" s="11">
        <f>SUBTOTAL(103,Juillet[23])</f>
        <v>0</v>
      </c>
      <c r="Z12" s="11">
        <f>SUBTOTAL(103,Juillet[24])</f>
        <v>0</v>
      </c>
      <c r="AA12" s="11">
        <f>SUBTOTAL(103,Juillet[25])</f>
        <v>0</v>
      </c>
      <c r="AB12" s="11">
        <f>SUBTOTAL(103,Juillet[26])</f>
        <v>0</v>
      </c>
      <c r="AC12" s="11">
        <f>SUBTOTAL(103,Juillet[27])</f>
        <v>0</v>
      </c>
      <c r="AD12" s="11">
        <f>SUBTOTAL(103,Juillet[28])</f>
        <v>0</v>
      </c>
      <c r="AE12" s="11">
        <f>SUBTOTAL(103,Juillet[29])</f>
        <v>0</v>
      </c>
      <c r="AF12" s="11">
        <f>SUBTOTAL(103,Juillet[30])</f>
        <v>0</v>
      </c>
      <c r="AG12" s="11">
        <f>SUBTOTAL(103,Juillet[31])</f>
        <v>0</v>
      </c>
      <c r="AH12" s="11">
        <f>SUBTOTAL(109,Juillet[Total des jours])</f>
        <v>0</v>
      </c>
    </row>
  </sheetData>
  <mergeCells count="6">
    <mergeCell ref="B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445" priority="2" stopIfTrue="1">
      <formula>C7=CléPersonnalisée2</formula>
    </cfRule>
    <cfRule type="expression" dxfId="444" priority="3" stopIfTrue="1">
      <formula>C7=CléPersonnalisée1</formula>
    </cfRule>
    <cfRule type="expression" dxfId="443" priority="4" stopIfTrue="1">
      <formula>C7=CléMaladie</formula>
    </cfRule>
    <cfRule type="expression" dxfId="442" priority="5" stopIfTrue="1">
      <formula>C7=CléPersonnel</formula>
    </cfRule>
    <cfRule type="expression" dxfId="441"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{E0DCF129-9B2A-4CEB-9E56-27607F4BED20}</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6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600-000001000000}"/>
    <dataValidation allowBlank="1" showInputMessage="1" showErrorMessage="1" prompt="Cette ligne définit les clés utilisées dans le tableau : Congé en C2, Personnel en F2 et Congé maladie en J2. Les cellules M2 et R2 sont personnalisables" sqref="B2" xr:uid="{00000000-0002-0000-0600-000002000000}"/>
    <dataValidation allowBlank="1" showInputMessage="1" showErrorMessage="1" prompt="Entrez une étiquette pour décrire la clé personnalisée à gauche" sqref="N2 S2" xr:uid="{00000000-0002-0000-0600-000003000000}"/>
    <dataValidation allowBlank="1" showInputMessage="1" showErrorMessage="1" prompt="Entrez une lettre et personnalisez l’étiquette à droite pour ajouter un élément de clé" sqref="M2 R2" xr:uid="{00000000-0002-0000-0600-000004000000}"/>
    <dataValidation allowBlank="1" showInputMessage="1" showErrorMessage="1" prompt="La lettre « M » indique une absence pour cause de maladie" sqref="J2" xr:uid="{00000000-0002-0000-0600-000005000000}"/>
    <dataValidation allowBlank="1" showInputMessage="1" showErrorMessage="1" prompt="La lettre « P » indique une absence pour motifs personnels" sqref="F2" xr:uid="{00000000-0002-0000-0600-000006000000}"/>
    <dataValidation allowBlank="1" showInputMessage="1" showErrorMessage="1" prompt="La lettre « C » indique une absence pour cause de congé" sqref="C2" xr:uid="{00000000-0002-0000-0600-000007000000}"/>
    <dataValidation allowBlank="1" showInputMessage="1" showErrorMessage="1" prompt="Le titre mis à jour automatiquement figure dans cette cellule. Pour modifier le titre, mettez à jour la cellule B1 de la feuille de calcul Janvier" sqref="B1" xr:uid="{00000000-0002-0000-06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600-000009000000}"/>
    <dataValidation allowBlank="1" showInputMessage="1" showErrorMessage="1" prompt="Suivez les absences du mois de juillet dans cette feuille de calcul" sqref="A1" xr:uid="{00000000-0002-0000-0600-00000A000000}"/>
    <dataValidation allowBlank="1" showInputMessage="1" showErrorMessage="1" prompt="Calcule automatiquement le nombre total de jours d’absence d’un employé durant ce mois dans cette colonne" sqref="AH6" xr:uid="{00000000-0002-0000-0600-00000B000000}"/>
    <dataValidation allowBlank="1" showInputMessage="1" showErrorMessage="1" prompt="Année mise à jour automatiquement en fonction de l’année entrée dans la feuille de calcul Janvier" sqref="AH4" xr:uid="{00000000-0002-0000-06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6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0DCF129-9B2A-4CEB-9E56-27607F4BED20}">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E000000}">
          <x14:formula1>
            <xm:f>'Noms des employés'!$B$4:$B$8</xm:f>
          </x14:formula1>
          <xm:sqref>B7:B11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B1:AH12"/>
  <sheetViews>
    <sheetView showGridLines="0" zoomScaleNormal="100" workbookViewId="0">
      <selection activeCell="B4" sqref="B4:AG4"/>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c r="B3" s="12"/>
    </row>
    <row r="4" spans="2:34" ht="30" customHeight="1" x14ac:dyDescent="0.3">
      <c r="B4" s="35" t="s">
        <v>57</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TEXT(WEEKDAY(DATE(AnnéeCalendrier,8,1),1),"jjj")</f>
        <v>mar</v>
      </c>
      <c r="D5" s="2" t="str">
        <f>TEXT(WEEKDAY(DATE(AnnéeCalendrier,8,2),1),"jjj")</f>
        <v>mer</v>
      </c>
      <c r="E5" s="2" t="str">
        <f>TEXT(WEEKDAY(DATE(AnnéeCalendrier,8,3),1),"jjj")</f>
        <v>jeu</v>
      </c>
      <c r="F5" s="2" t="str">
        <f>TEXT(WEEKDAY(DATE(AnnéeCalendrier,8,4),1),"jjj")</f>
        <v>ven</v>
      </c>
      <c r="G5" s="2" t="str">
        <f>TEXT(WEEKDAY(DATE(AnnéeCalendrier,8,5),1),"jjj")</f>
        <v>sam</v>
      </c>
      <c r="H5" s="2" t="str">
        <f>TEXT(WEEKDAY(DATE(AnnéeCalendrier,8,6),1),"jjj")</f>
        <v>dim</v>
      </c>
      <c r="I5" s="2" t="str">
        <f>TEXT(WEEKDAY(DATE(AnnéeCalendrier,8,7),1),"jjj")</f>
        <v>lun</v>
      </c>
      <c r="J5" s="2" t="str">
        <f>TEXT(WEEKDAY(DATE(AnnéeCalendrier,8,8),1),"jjj")</f>
        <v>mar</v>
      </c>
      <c r="K5" s="2" t="str">
        <f>TEXT(WEEKDAY(DATE(AnnéeCalendrier,8,9),1),"jjj")</f>
        <v>mer</v>
      </c>
      <c r="L5" s="2" t="str">
        <f>TEXT(WEEKDAY(DATE(AnnéeCalendrier,8,10),1),"jjj")</f>
        <v>jeu</v>
      </c>
      <c r="M5" s="2" t="str">
        <f>TEXT(WEEKDAY(DATE(AnnéeCalendrier,8,11),1),"jjj")</f>
        <v>ven</v>
      </c>
      <c r="N5" s="2" t="str">
        <f>TEXT(WEEKDAY(DATE(AnnéeCalendrier,8,12),1),"jjj")</f>
        <v>sam</v>
      </c>
      <c r="O5" s="2" t="str">
        <f>TEXT(WEEKDAY(DATE(AnnéeCalendrier,8,13),1),"jjj")</f>
        <v>dim</v>
      </c>
      <c r="P5" s="2" t="str">
        <f>TEXT(WEEKDAY(DATE(AnnéeCalendrier,8,14),1),"jjj")</f>
        <v>lun</v>
      </c>
      <c r="Q5" s="2" t="str">
        <f>TEXT(WEEKDAY(DATE(AnnéeCalendrier,8,15),1),"jjj")</f>
        <v>mar</v>
      </c>
      <c r="R5" s="2" t="str">
        <f>TEXT(WEEKDAY(DATE(AnnéeCalendrier,8,16),1),"jjj")</f>
        <v>mer</v>
      </c>
      <c r="S5" s="2" t="str">
        <f>TEXT(WEEKDAY(DATE(AnnéeCalendrier,8,17),1),"jjj")</f>
        <v>jeu</v>
      </c>
      <c r="T5" s="2" t="str">
        <f>TEXT(WEEKDAY(DATE(AnnéeCalendrier,8,18),1),"jjj")</f>
        <v>ven</v>
      </c>
      <c r="U5" s="2" t="str">
        <f>TEXT(WEEKDAY(DATE(AnnéeCalendrier,8,19),1),"jjj")</f>
        <v>sam</v>
      </c>
      <c r="V5" s="2" t="str">
        <f>TEXT(WEEKDAY(DATE(AnnéeCalendrier,8,20),1),"jjj")</f>
        <v>dim</v>
      </c>
      <c r="W5" s="2" t="str">
        <f>TEXT(WEEKDAY(DATE(AnnéeCalendrier,8,21),1),"jjj")</f>
        <v>lun</v>
      </c>
      <c r="X5" s="2" t="str">
        <f>TEXT(WEEKDAY(DATE(AnnéeCalendrier,8,22),1),"jjj")</f>
        <v>mar</v>
      </c>
      <c r="Y5" s="2" t="str">
        <f>TEXT(WEEKDAY(DATE(AnnéeCalendrier,8,23),1),"jjj")</f>
        <v>mer</v>
      </c>
      <c r="Z5" s="2" t="str">
        <f>TEXT(WEEKDAY(DATE(AnnéeCalendrier,8,24),1),"jjj")</f>
        <v>jeu</v>
      </c>
      <c r="AA5" s="2" t="str">
        <f>TEXT(WEEKDAY(DATE(AnnéeCalendrier,8,25),1),"jjj")</f>
        <v>ven</v>
      </c>
      <c r="AB5" s="2" t="str">
        <f>TEXT(WEEKDAY(DATE(AnnéeCalendrier,8,26),1),"jjj")</f>
        <v>sam</v>
      </c>
      <c r="AC5" s="2" t="str">
        <f>TEXT(WEEKDAY(DATE(AnnéeCalendrier,8,27),1),"jjj")</f>
        <v>dim</v>
      </c>
      <c r="AD5" s="2" t="str">
        <f>TEXT(WEEKDAY(DATE(AnnéeCalendrier,8,28),1),"jjj")</f>
        <v>lun</v>
      </c>
      <c r="AE5" s="2" t="str">
        <f>TEXT(WEEKDAY(DATE(AnnéeCalendrier,8,29),1),"jjj")</f>
        <v>mar</v>
      </c>
      <c r="AF5" s="2" t="str">
        <f>TEXT(WEEKDAY(DATE(AnnéeCalendrier,8,30),1),"jjj")</f>
        <v>mer</v>
      </c>
      <c r="AG5" s="2" t="str">
        <f>TEXT(WEEKDAY(DATE(AnnéeCalendrier,8,31),1),"jjj")</f>
        <v>jeu</v>
      </c>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45</v>
      </c>
      <c r="AG6" s="2" t="s">
        <v>46</v>
      </c>
      <c r="AH6" s="14" t="s">
        <v>48</v>
      </c>
    </row>
    <row r="7" spans="2:34" ht="30" customHeight="1" x14ac:dyDescent="0.3">
      <c r="B7" s="8" t="s">
        <v>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COUNTA(Août[[#This Row],[1]:[31]])</f>
        <v>0</v>
      </c>
    </row>
    <row r="8" spans="2:34" ht="30" customHeight="1" x14ac:dyDescent="0.3">
      <c r="B8" s="8" t="s">
        <v>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COUNTA(Août[[#This Row],[1]:[31]])</f>
        <v>0</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COUNTA(Août[[#This Row],[1]:[31]])</f>
        <v>0</v>
      </c>
    </row>
    <row r="10" spans="2:34" ht="30" customHeight="1" x14ac:dyDescent="0.3">
      <c r="B10" s="8" t="s">
        <v>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COUNTA(Août[[#This Row],[1]:[31]])</f>
        <v>0</v>
      </c>
    </row>
    <row r="11" spans="2:34" ht="30" customHeight="1" x14ac:dyDescent="0.3">
      <c r="B11" s="8" t="s">
        <v>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COUNTA(Août[[#This Row],[1]:[31]])</f>
        <v>0</v>
      </c>
    </row>
    <row r="12" spans="2:34" ht="30" customHeight="1" x14ac:dyDescent="0.3">
      <c r="B12" s="17" t="str">
        <f>NomMois&amp;" Total"</f>
        <v>Août Total</v>
      </c>
      <c r="C12" s="11">
        <f>SUBTOTAL(103,Août[1])</f>
        <v>0</v>
      </c>
      <c r="D12" s="11">
        <f>SUBTOTAL(103,Août[2])</f>
        <v>0</v>
      </c>
      <c r="E12" s="11">
        <f>SUBTOTAL(103,Août[3])</f>
        <v>0</v>
      </c>
      <c r="F12" s="11">
        <f>SUBTOTAL(103,Août[4])</f>
        <v>0</v>
      </c>
      <c r="G12" s="11">
        <f>SUBTOTAL(103,Août[5])</f>
        <v>0</v>
      </c>
      <c r="H12" s="11">
        <f>SUBTOTAL(103,Août[6])</f>
        <v>0</v>
      </c>
      <c r="I12" s="11">
        <f>SUBTOTAL(103,Août[7])</f>
        <v>0</v>
      </c>
      <c r="J12" s="11">
        <f>SUBTOTAL(103,Août[8])</f>
        <v>0</v>
      </c>
      <c r="K12" s="11">
        <f>SUBTOTAL(103,Août[9])</f>
        <v>0</v>
      </c>
      <c r="L12" s="11">
        <f>SUBTOTAL(103,Août[10])</f>
        <v>0</v>
      </c>
      <c r="M12" s="11">
        <f>SUBTOTAL(103,Août[11])</f>
        <v>0</v>
      </c>
      <c r="N12" s="11">
        <f>SUBTOTAL(103,Août[12])</f>
        <v>0</v>
      </c>
      <c r="O12" s="11">
        <f>SUBTOTAL(103,Août[13])</f>
        <v>0</v>
      </c>
      <c r="P12" s="11">
        <f>SUBTOTAL(103,Août[14])</f>
        <v>0</v>
      </c>
      <c r="Q12" s="11">
        <f>SUBTOTAL(103,Août[15])</f>
        <v>0</v>
      </c>
      <c r="R12" s="11">
        <f>SUBTOTAL(103,Août[16])</f>
        <v>0</v>
      </c>
      <c r="S12" s="11">
        <f>SUBTOTAL(103,Août[17])</f>
        <v>0</v>
      </c>
      <c r="T12" s="11">
        <f>SUBTOTAL(103,Août[18])</f>
        <v>0</v>
      </c>
      <c r="U12" s="11">
        <f>SUBTOTAL(103,Août[19])</f>
        <v>0</v>
      </c>
      <c r="V12" s="11">
        <f>SUBTOTAL(103,Août[20])</f>
        <v>0</v>
      </c>
      <c r="W12" s="11">
        <f>SUBTOTAL(103,Août[21])</f>
        <v>0</v>
      </c>
      <c r="X12" s="11">
        <f>SUBTOTAL(103,Août[22])</f>
        <v>0</v>
      </c>
      <c r="Y12" s="11">
        <f>SUBTOTAL(103,Août[23])</f>
        <v>0</v>
      </c>
      <c r="Z12" s="11">
        <f>SUBTOTAL(103,Août[24])</f>
        <v>0</v>
      </c>
      <c r="AA12" s="11">
        <f>SUBTOTAL(103,Août[25])</f>
        <v>0</v>
      </c>
      <c r="AB12" s="11">
        <f>SUBTOTAL(103,Août[26])</f>
        <v>0</v>
      </c>
      <c r="AC12" s="11">
        <f>SUBTOTAL(103,Août[27])</f>
        <v>0</v>
      </c>
      <c r="AD12" s="11">
        <f>SUBTOTAL(103,Août[28])</f>
        <v>0</v>
      </c>
      <c r="AE12" s="11">
        <f>SUBTOTAL(103,Août[29])</f>
        <v>0</v>
      </c>
      <c r="AF12" s="11">
        <f>SUBTOTAL(103,Août[30])</f>
        <v>0</v>
      </c>
      <c r="AG12" s="11">
        <f>SUBTOTAL(103,Août[31])</f>
        <v>0</v>
      </c>
      <c r="AH12" s="11">
        <f>SUBTOTAL(109,Août[Total des jours])</f>
        <v>0</v>
      </c>
    </row>
  </sheetData>
  <mergeCells count="6">
    <mergeCell ref="B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371" priority="2" stopIfTrue="1">
      <formula>C7=CléPersonnalisée2</formula>
    </cfRule>
    <cfRule type="expression" dxfId="370" priority="3" stopIfTrue="1">
      <formula>C7=CléPersonnalisée1</formula>
    </cfRule>
    <cfRule type="expression" dxfId="369" priority="4" stopIfTrue="1">
      <formula>C7=CléMaladie</formula>
    </cfRule>
    <cfRule type="expression" dxfId="368" priority="5" stopIfTrue="1">
      <formula>C7=CléPersonnel</formula>
    </cfRule>
    <cfRule type="expression" dxfId="367"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{09900229-9536-43AB-AAE0-FC121BDECD61}</x14:id>
        </ext>
      </extLst>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700-000000000000}"/>
    <dataValidation allowBlank="1" showInputMessage="1" showErrorMessage="1" prompt="Année mise à jour automatiquement en fonction de l’année entrée dans la feuille de calcul Janvier" sqref="AH4" xr:uid="{00000000-0002-0000-0700-000001000000}"/>
    <dataValidation allowBlank="1" showInputMessage="1" showErrorMessage="1" prompt="Calcule automatiquement le nombre total de jours d’absence d’un employé durant ce mois dans cette colonne" sqref="AH6" xr:uid="{00000000-0002-0000-0700-000002000000}"/>
    <dataValidation allowBlank="1" showInputMessage="1" showErrorMessage="1" prompt="Suivez les absences du mois d’août dans cette feuille de calcul" sqref="A1" xr:uid="{00000000-0002-0000-07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700-000004000000}"/>
    <dataValidation allowBlank="1" showInputMessage="1" showErrorMessage="1" prompt="Le titre mis à jour automatiquement figure dans cette cellule. Pour modifier le titre, mettez à jour la cellule B1 de la feuille de calcul Janvier" sqref="B1" xr:uid="{00000000-0002-0000-0700-000005000000}"/>
    <dataValidation allowBlank="1" showInputMessage="1" showErrorMessage="1" prompt="La lettre « C » indique une absence pour cause de congé" sqref="C2" xr:uid="{00000000-0002-0000-0700-000006000000}"/>
    <dataValidation allowBlank="1" showInputMessage="1" showErrorMessage="1" prompt="La lettre « P » indique une absence pour motifs personnels" sqref="F2" xr:uid="{00000000-0002-0000-0700-000007000000}"/>
    <dataValidation allowBlank="1" showInputMessage="1" showErrorMessage="1" prompt="La lettre « M » indique une absence pour cause de maladie" sqref="J2" xr:uid="{00000000-0002-0000-0700-000008000000}"/>
    <dataValidation allowBlank="1" showInputMessage="1" showErrorMessage="1" prompt="Entrez une lettre et personnalisez l’étiquette à droite pour ajouter un élément de clé" sqref="M2 R2" xr:uid="{00000000-0002-0000-0700-000009000000}"/>
    <dataValidation allowBlank="1" showInputMessage="1" showErrorMessage="1" prompt="Entrez une étiquette pour décrire la clé personnalisée à gauche" sqref="N2 S2" xr:uid="{00000000-0002-0000-0700-00000A000000}"/>
    <dataValidation allowBlank="1" showInputMessage="1" showErrorMessage="1" prompt="Cette ligne définit les clés utilisées dans le tableau : Congé en C2, Personnel en F2 et Congé maladie en J2. Les cellules M2 et R2 sont personnalisables" sqref="B2" xr:uid="{00000000-0002-0000-07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7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7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9900229-9536-43AB-AAE0-FC121BDECD61}">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E000000}">
          <x14:formula1>
            <xm:f>'Noms des employés'!$B$4:$B$8</xm:f>
          </x14:formula1>
          <xm:sqref>B7:B11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B1:AH12"/>
  <sheetViews>
    <sheetView showGridLines="0" zoomScaleNormal="100" workbookViewId="0">
      <selection activeCell="B4" sqref="B4:AG4"/>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c r="B3" s="12"/>
    </row>
    <row r="4" spans="2:34" ht="30" customHeight="1" x14ac:dyDescent="0.3">
      <c r="B4" s="35" t="s">
        <v>58</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TEXT(WEEKDAY(DATE(AnnéeCalendrier,9,1),1),"jjj")</f>
        <v>ven</v>
      </c>
      <c r="D5" s="2" t="str">
        <f>TEXT(WEEKDAY(DATE(AnnéeCalendrier,9,2),1),"jjj")</f>
        <v>sam</v>
      </c>
      <c r="E5" s="2" t="str">
        <f>TEXT(WEEKDAY(DATE(AnnéeCalendrier,9,3),1),"jjj")</f>
        <v>dim</v>
      </c>
      <c r="F5" s="2" t="str">
        <f>TEXT(WEEKDAY(DATE(AnnéeCalendrier,9,4),1),"jjj")</f>
        <v>lun</v>
      </c>
      <c r="G5" s="2" t="str">
        <f>TEXT(WEEKDAY(DATE(AnnéeCalendrier,9,5),1),"jjj")</f>
        <v>mar</v>
      </c>
      <c r="H5" s="2" t="str">
        <f>TEXT(WEEKDAY(DATE(AnnéeCalendrier,9,6),1),"jjj")</f>
        <v>mer</v>
      </c>
      <c r="I5" s="2" t="str">
        <f>TEXT(WEEKDAY(DATE(AnnéeCalendrier,9,7),1),"jjj")</f>
        <v>jeu</v>
      </c>
      <c r="J5" s="2" t="str">
        <f>TEXT(WEEKDAY(DATE(AnnéeCalendrier,9,8),1),"jjj")</f>
        <v>ven</v>
      </c>
      <c r="K5" s="2" t="str">
        <f>TEXT(WEEKDAY(DATE(AnnéeCalendrier,9,9),1),"jjj")</f>
        <v>sam</v>
      </c>
      <c r="L5" s="2" t="str">
        <f>TEXT(WEEKDAY(DATE(AnnéeCalendrier,9,10),1),"jjj")</f>
        <v>dim</v>
      </c>
      <c r="M5" s="2" t="str">
        <f>TEXT(WEEKDAY(DATE(AnnéeCalendrier,9,11),1),"jjj")</f>
        <v>lun</v>
      </c>
      <c r="N5" s="2" t="str">
        <f>TEXT(WEEKDAY(DATE(AnnéeCalendrier,9,12),1),"jjj")</f>
        <v>mar</v>
      </c>
      <c r="O5" s="2" t="str">
        <f>TEXT(WEEKDAY(DATE(AnnéeCalendrier,9,13),1),"jjj")</f>
        <v>mer</v>
      </c>
      <c r="P5" s="2" t="str">
        <f>TEXT(WEEKDAY(DATE(AnnéeCalendrier,9,14),1),"jjj")</f>
        <v>jeu</v>
      </c>
      <c r="Q5" s="2" t="str">
        <f>TEXT(WEEKDAY(DATE(AnnéeCalendrier,9,15),1),"jjj")</f>
        <v>ven</v>
      </c>
      <c r="R5" s="2" t="str">
        <f>TEXT(WEEKDAY(DATE(AnnéeCalendrier,9,16),1),"jjj")</f>
        <v>sam</v>
      </c>
      <c r="S5" s="2" t="str">
        <f>TEXT(WEEKDAY(DATE(AnnéeCalendrier,9,17),1),"jjj")</f>
        <v>dim</v>
      </c>
      <c r="T5" s="2" t="str">
        <f>TEXT(WEEKDAY(DATE(AnnéeCalendrier,9,18),1),"jjj")</f>
        <v>lun</v>
      </c>
      <c r="U5" s="2" t="str">
        <f>TEXT(WEEKDAY(DATE(AnnéeCalendrier,9,19),1),"jjj")</f>
        <v>mar</v>
      </c>
      <c r="V5" s="2" t="str">
        <f>TEXT(WEEKDAY(DATE(AnnéeCalendrier,9,20),1),"jjj")</f>
        <v>mer</v>
      </c>
      <c r="W5" s="2" t="str">
        <f>TEXT(WEEKDAY(DATE(AnnéeCalendrier,9,21),1),"jjj")</f>
        <v>jeu</v>
      </c>
      <c r="X5" s="2" t="str">
        <f>TEXT(WEEKDAY(DATE(AnnéeCalendrier,9,22),1),"jjj")</f>
        <v>ven</v>
      </c>
      <c r="Y5" s="2" t="str">
        <f>TEXT(WEEKDAY(DATE(AnnéeCalendrier,9,23),1),"jjj")</f>
        <v>sam</v>
      </c>
      <c r="Z5" s="2" t="str">
        <f>TEXT(WEEKDAY(DATE(AnnéeCalendrier,9,24),1),"jjj")</f>
        <v>dim</v>
      </c>
      <c r="AA5" s="2" t="str">
        <f>TEXT(WEEKDAY(DATE(AnnéeCalendrier,9,25),1),"jjj")</f>
        <v>lun</v>
      </c>
      <c r="AB5" s="2" t="str">
        <f>TEXT(WEEKDAY(DATE(AnnéeCalendrier,9,26),1),"jjj")</f>
        <v>mar</v>
      </c>
      <c r="AC5" s="2" t="str">
        <f>TEXT(WEEKDAY(DATE(AnnéeCalendrier,9,27),1),"jjj")</f>
        <v>mer</v>
      </c>
      <c r="AD5" s="2" t="str">
        <f>TEXT(WEEKDAY(DATE(AnnéeCalendrier,9,28),1),"jjj")</f>
        <v>jeu</v>
      </c>
      <c r="AE5" s="2" t="str">
        <f>TEXT(WEEKDAY(DATE(AnnéeCalendrier,9,29),1),"jjj")</f>
        <v>ven</v>
      </c>
      <c r="AF5" s="2" t="str">
        <f>TEXT(WEEKDAY(DATE(AnnéeCalendrier,9,30),1),"jjj")</f>
        <v>sam</v>
      </c>
      <c r="AG5" s="2"/>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45</v>
      </c>
      <c r="AG6" s="2" t="s">
        <v>50</v>
      </c>
      <c r="AH6" s="14" t="s">
        <v>48</v>
      </c>
    </row>
    <row r="7" spans="2:34" ht="30" customHeight="1" x14ac:dyDescent="0.3">
      <c r="B7" s="8" t="s">
        <v>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COUNTA(Septembre[[#This Row],[1]:[30]])</f>
        <v>0</v>
      </c>
    </row>
    <row r="8" spans="2:34" ht="30" customHeight="1" x14ac:dyDescent="0.3">
      <c r="B8" s="8" t="s">
        <v>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COUNTA(Septembre[[#This Row],[1]:[30]])</f>
        <v>0</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COUNTA(Septembre[[#This Row],[1]:[30]])</f>
        <v>0</v>
      </c>
    </row>
    <row r="10" spans="2:34" ht="30" customHeight="1" x14ac:dyDescent="0.3">
      <c r="B10" s="8" t="s">
        <v>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COUNTA(Septembre[[#This Row],[1]:[30]])</f>
        <v>0</v>
      </c>
    </row>
    <row r="11" spans="2:34" ht="30" customHeight="1" x14ac:dyDescent="0.3">
      <c r="B11" s="8" t="s">
        <v>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COUNTA(Septembre[[#This Row],[1]:[30]])</f>
        <v>0</v>
      </c>
    </row>
    <row r="12" spans="2:34" ht="30" customHeight="1" x14ac:dyDescent="0.3">
      <c r="B12" s="17" t="str">
        <f>NomMois&amp;" Total"</f>
        <v>Septembre Total</v>
      </c>
      <c r="C12" s="11">
        <f>SUBTOTAL(103,Septembre[1])</f>
        <v>0</v>
      </c>
      <c r="D12" s="11">
        <f>SUBTOTAL(103,Septembre[2])</f>
        <v>0</v>
      </c>
      <c r="E12" s="11">
        <f>SUBTOTAL(103,Septembre[3])</f>
        <v>0</v>
      </c>
      <c r="F12" s="11">
        <f>SUBTOTAL(103,Septembre[4])</f>
        <v>0</v>
      </c>
      <c r="G12" s="11">
        <f>SUBTOTAL(103,Septembre[5])</f>
        <v>0</v>
      </c>
      <c r="H12" s="11">
        <f>SUBTOTAL(103,Septembre[6])</f>
        <v>0</v>
      </c>
      <c r="I12" s="11">
        <f>SUBTOTAL(103,Septembre[7])</f>
        <v>0</v>
      </c>
      <c r="J12" s="11">
        <f>SUBTOTAL(103,Septembre[8])</f>
        <v>0</v>
      </c>
      <c r="K12" s="11">
        <f>SUBTOTAL(103,Septembre[9])</f>
        <v>0</v>
      </c>
      <c r="L12" s="11">
        <f>SUBTOTAL(103,Septembre[10])</f>
        <v>0</v>
      </c>
      <c r="M12" s="11">
        <f>SUBTOTAL(103,Septembre[11])</f>
        <v>0</v>
      </c>
      <c r="N12" s="11">
        <f>SUBTOTAL(103,Septembre[12])</f>
        <v>0</v>
      </c>
      <c r="O12" s="11">
        <f>SUBTOTAL(103,Septembre[13])</f>
        <v>0</v>
      </c>
      <c r="P12" s="11">
        <f>SUBTOTAL(103,Septembre[14])</f>
        <v>0</v>
      </c>
      <c r="Q12" s="11">
        <f>SUBTOTAL(103,Septembre[15])</f>
        <v>0</v>
      </c>
      <c r="R12" s="11">
        <f>SUBTOTAL(103,Septembre[16])</f>
        <v>0</v>
      </c>
      <c r="S12" s="11">
        <f>SUBTOTAL(103,Septembre[17])</f>
        <v>0</v>
      </c>
      <c r="T12" s="11">
        <f>SUBTOTAL(103,Septembre[18])</f>
        <v>0</v>
      </c>
      <c r="U12" s="11">
        <f>SUBTOTAL(103,Septembre[19])</f>
        <v>0</v>
      </c>
      <c r="V12" s="11">
        <f>SUBTOTAL(103,Septembre[20])</f>
        <v>0</v>
      </c>
      <c r="W12" s="11">
        <f>SUBTOTAL(103,Septembre[21])</f>
        <v>0</v>
      </c>
      <c r="X12" s="11">
        <f>SUBTOTAL(103,Septembre[22])</f>
        <v>0</v>
      </c>
      <c r="Y12" s="11">
        <f>SUBTOTAL(103,Septembre[23])</f>
        <v>0</v>
      </c>
      <c r="Z12" s="11">
        <f>SUBTOTAL(103,Septembre[24])</f>
        <v>0</v>
      </c>
      <c r="AA12" s="11">
        <f>SUBTOTAL(103,Septembre[25])</f>
        <v>0</v>
      </c>
      <c r="AB12" s="11">
        <f>SUBTOTAL(103,Septembre[26])</f>
        <v>0</v>
      </c>
      <c r="AC12" s="11">
        <f>SUBTOTAL(103,Septembre[27])</f>
        <v>0</v>
      </c>
      <c r="AD12" s="11">
        <f>SUBTOTAL(103,Septembre[28])</f>
        <v>0</v>
      </c>
      <c r="AE12" s="11">
        <f>SUBTOTAL(103,Septembre[29])</f>
        <v>0</v>
      </c>
      <c r="AF12" s="11">
        <f>SUBTOTAL(103,Septembre[30])</f>
        <v>0</v>
      </c>
      <c r="AG12" s="11">
        <f>SUBTOTAL(103,Septembre[[ ]])</f>
        <v>0</v>
      </c>
      <c r="AH12" s="11">
        <f>SUBTOTAL(109,Septembre[Total des jours])</f>
        <v>0</v>
      </c>
    </row>
  </sheetData>
  <mergeCells count="6">
    <mergeCell ref="B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297" priority="2" stopIfTrue="1">
      <formula>C7=CléPersonnalisée2</formula>
    </cfRule>
    <cfRule type="expression" dxfId="296" priority="3" stopIfTrue="1">
      <formula>C7=CléPersonnalisée1</formula>
    </cfRule>
    <cfRule type="expression" dxfId="295" priority="4" stopIfTrue="1">
      <formula>C7=CléMaladie</formula>
    </cfRule>
    <cfRule type="expression" dxfId="294" priority="5" stopIfTrue="1">
      <formula>C7=CléPersonnel</formula>
    </cfRule>
    <cfRule type="expression" dxfId="293"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{1A021984-06A1-41D9-90D2-8C16E885020B}</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8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800-000001000000}"/>
    <dataValidation allowBlank="1" showInputMessage="1" showErrorMessage="1" prompt="Cette ligne définit les clés utilisées dans le tableau : Congé en C2, Personnel en F2 et Congé maladie en J2. Les cellules M2 et R2 sont personnalisables" sqref="B2" xr:uid="{00000000-0002-0000-0800-000002000000}"/>
    <dataValidation allowBlank="1" showInputMessage="1" showErrorMessage="1" prompt="Entrez une étiquette pour décrire la clé personnalisée à gauche" sqref="N2 S2" xr:uid="{00000000-0002-0000-0800-000003000000}"/>
    <dataValidation allowBlank="1" showInputMessage="1" showErrorMessage="1" prompt="Entrez une lettre et personnalisez l’étiquette à droite pour ajouter un élément de clé" sqref="M2 R2" xr:uid="{00000000-0002-0000-0800-000004000000}"/>
    <dataValidation allowBlank="1" showInputMessage="1" showErrorMessage="1" prompt="La lettre « M » indique une absence pour cause de maladie" sqref="J2" xr:uid="{00000000-0002-0000-0800-000005000000}"/>
    <dataValidation allowBlank="1" showInputMessage="1" showErrorMessage="1" prompt="La lettre « P » indique une absence pour motifs personnels" sqref="F2" xr:uid="{00000000-0002-0000-0800-000006000000}"/>
    <dataValidation allowBlank="1" showInputMessage="1" showErrorMessage="1" prompt="La lettre « C » indique une absence pour cause de congé" sqref="C2" xr:uid="{00000000-0002-0000-0800-000007000000}"/>
    <dataValidation allowBlank="1" showInputMessage="1" showErrorMessage="1" prompt="Le titre mis à jour automatiquement figure dans cette cellule. Pour modifier le titre, mettez à jour la cellule B1 de la feuille de calcul Janvier" sqref="B1" xr:uid="{00000000-0002-0000-08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800-000009000000}"/>
    <dataValidation allowBlank="1" showInputMessage="1" showErrorMessage="1" prompt="Suivez les absences du mois de septembre dans cette feuille de calcul" sqref="A1" xr:uid="{00000000-0002-0000-0800-00000A000000}"/>
    <dataValidation allowBlank="1" showInputMessage="1" showErrorMessage="1" prompt="Calcule automatiquement le nombre total de jours d’absence d’un employé durant ce mois dans cette colonne" sqref="AH6" xr:uid="{00000000-0002-0000-0800-00000B000000}"/>
    <dataValidation allowBlank="1" showInputMessage="1" showErrorMessage="1" prompt="Année mise à jour automatiquement en fonction de l’année entrée dans la feuille de calcul Janvier" sqref="AH4" xr:uid="{00000000-0002-0000-08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8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A021984-06A1-41D9-90D2-8C16E885020B}">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E000000}">
          <x14:formula1>
            <xm:f>'Noms des employés'!$B$4:$B$8</xm:f>
          </x14:formula1>
          <xm:sqref>B7:B11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B1:AH12"/>
  <sheetViews>
    <sheetView showGridLines="0" zoomScaleNormal="100" workbookViewId="0">
      <selection activeCell="B4" sqref="B4:AG4"/>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c r="B3" s="12"/>
    </row>
    <row r="4" spans="2:34" ht="30" customHeight="1" x14ac:dyDescent="0.3">
      <c r="B4" s="35" t="s">
        <v>59</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TEXT(WEEKDAY(DATE(AnnéeCalendrier,10,1),1),"jjj")</f>
        <v>dim</v>
      </c>
      <c r="D5" s="2" t="str">
        <f>TEXT(WEEKDAY(DATE(AnnéeCalendrier,10,2),1),"jjj")</f>
        <v>lun</v>
      </c>
      <c r="E5" s="2" t="str">
        <f>TEXT(WEEKDAY(DATE(AnnéeCalendrier,10,3),1),"jjj")</f>
        <v>mar</v>
      </c>
      <c r="F5" s="2" t="str">
        <f>TEXT(WEEKDAY(DATE(AnnéeCalendrier,10,4),1),"jjj")</f>
        <v>mer</v>
      </c>
      <c r="G5" s="2" t="str">
        <f>TEXT(WEEKDAY(DATE(AnnéeCalendrier,10,5),1),"jjj")</f>
        <v>jeu</v>
      </c>
      <c r="H5" s="2" t="str">
        <f>TEXT(WEEKDAY(DATE(AnnéeCalendrier,10,6),1),"jjj")</f>
        <v>ven</v>
      </c>
      <c r="I5" s="2" t="str">
        <f>TEXT(WEEKDAY(DATE(AnnéeCalendrier,10,7),1),"jjj")</f>
        <v>sam</v>
      </c>
      <c r="J5" s="2" t="str">
        <f>TEXT(WEEKDAY(DATE(AnnéeCalendrier,10,8),1),"jjj")</f>
        <v>dim</v>
      </c>
      <c r="K5" s="2" t="str">
        <f>TEXT(WEEKDAY(DATE(AnnéeCalendrier,10,9),1),"jjj")</f>
        <v>lun</v>
      </c>
      <c r="L5" s="2" t="str">
        <f>TEXT(WEEKDAY(DATE(AnnéeCalendrier,10,10),1),"jjj")</f>
        <v>mar</v>
      </c>
      <c r="M5" s="2" t="str">
        <f>TEXT(WEEKDAY(DATE(AnnéeCalendrier,10,11),1),"jjj")</f>
        <v>mer</v>
      </c>
      <c r="N5" s="2" t="str">
        <f>TEXT(WEEKDAY(DATE(AnnéeCalendrier,10,12),1),"jjj")</f>
        <v>jeu</v>
      </c>
      <c r="O5" s="2" t="str">
        <f>TEXT(WEEKDAY(DATE(AnnéeCalendrier,10,13),1),"jjj")</f>
        <v>ven</v>
      </c>
      <c r="P5" s="2" t="str">
        <f>TEXT(WEEKDAY(DATE(AnnéeCalendrier,10,14),1),"jjj")</f>
        <v>sam</v>
      </c>
      <c r="Q5" s="2" t="str">
        <f>TEXT(WEEKDAY(DATE(AnnéeCalendrier,10,15),1),"jjj")</f>
        <v>dim</v>
      </c>
      <c r="R5" s="2" t="str">
        <f>TEXT(WEEKDAY(DATE(AnnéeCalendrier,10,16),1),"jjj")</f>
        <v>lun</v>
      </c>
      <c r="S5" s="2" t="str">
        <f>TEXT(WEEKDAY(DATE(AnnéeCalendrier,10,17),1),"jjj")</f>
        <v>mar</v>
      </c>
      <c r="T5" s="2" t="str">
        <f>TEXT(WEEKDAY(DATE(AnnéeCalendrier,10,18),1),"jjj")</f>
        <v>mer</v>
      </c>
      <c r="U5" s="2" t="str">
        <f>TEXT(WEEKDAY(DATE(AnnéeCalendrier,10,19),1),"jjj")</f>
        <v>jeu</v>
      </c>
      <c r="V5" s="2" t="str">
        <f>TEXT(WEEKDAY(DATE(AnnéeCalendrier,10,20),1),"jjj")</f>
        <v>ven</v>
      </c>
      <c r="W5" s="2" t="str">
        <f>TEXT(WEEKDAY(DATE(AnnéeCalendrier,10,21),1),"jjj")</f>
        <v>sam</v>
      </c>
      <c r="X5" s="2" t="str">
        <f>TEXT(WEEKDAY(DATE(AnnéeCalendrier,10,22),1),"jjj")</f>
        <v>dim</v>
      </c>
      <c r="Y5" s="2" t="str">
        <f>TEXT(WEEKDAY(DATE(AnnéeCalendrier,10,23),1),"jjj")</f>
        <v>lun</v>
      </c>
      <c r="Z5" s="2" t="str">
        <f>TEXT(WEEKDAY(DATE(AnnéeCalendrier,10,24),1),"jjj")</f>
        <v>mar</v>
      </c>
      <c r="AA5" s="2" t="str">
        <f>TEXT(WEEKDAY(DATE(AnnéeCalendrier,10,25),1),"jjj")</f>
        <v>mer</v>
      </c>
      <c r="AB5" s="2" t="str">
        <f>TEXT(WEEKDAY(DATE(AnnéeCalendrier,10,26),1),"jjj")</f>
        <v>jeu</v>
      </c>
      <c r="AC5" s="2" t="str">
        <f>TEXT(WEEKDAY(DATE(AnnéeCalendrier,10,27),1),"jjj")</f>
        <v>ven</v>
      </c>
      <c r="AD5" s="2" t="str">
        <f>TEXT(WEEKDAY(DATE(AnnéeCalendrier,10,28),1),"jjj")</f>
        <v>sam</v>
      </c>
      <c r="AE5" s="2" t="str">
        <f>TEXT(WEEKDAY(DATE(AnnéeCalendrier,10,29),1),"jjj")</f>
        <v>dim</v>
      </c>
      <c r="AF5" s="2" t="str">
        <f>TEXT(WEEKDAY(DATE(AnnéeCalendrier,10,30),1),"jjj")</f>
        <v>lun</v>
      </c>
      <c r="AG5" s="2" t="str">
        <f>TEXT(WEEKDAY(DATE(AnnéeCalendrier,10,31),1),"jjj")</f>
        <v>mar</v>
      </c>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45</v>
      </c>
      <c r="AG6" s="2" t="s">
        <v>46</v>
      </c>
      <c r="AH6" s="14" t="s">
        <v>48</v>
      </c>
    </row>
    <row r="7" spans="2:34" ht="30" customHeight="1" x14ac:dyDescent="0.3">
      <c r="B7" s="8" t="s">
        <v>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COUNTA(Octobre[[#This Row],[1]:[31]])</f>
        <v>0</v>
      </c>
    </row>
    <row r="8" spans="2:34" ht="30" customHeight="1" x14ac:dyDescent="0.3">
      <c r="B8" s="8" t="s">
        <v>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COUNTA(Octobre[[#This Row],[1]:[31]])</f>
        <v>0</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COUNTA(Octobre[[#This Row],[1]:[31]])</f>
        <v>0</v>
      </c>
    </row>
    <row r="10" spans="2:34" ht="30" customHeight="1" x14ac:dyDescent="0.3">
      <c r="B10" s="8" t="s">
        <v>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COUNTA(Octobre[[#This Row],[1]:[31]])</f>
        <v>0</v>
      </c>
    </row>
    <row r="11" spans="2:34" ht="30" customHeight="1" x14ac:dyDescent="0.3">
      <c r="B11" s="8" t="s">
        <v>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COUNTA(Octobre[[#This Row],[1]:[31]])</f>
        <v>0</v>
      </c>
    </row>
    <row r="12" spans="2:34" ht="30" customHeight="1" x14ac:dyDescent="0.3">
      <c r="B12" s="17" t="str">
        <f>NomMois&amp;" Total"</f>
        <v>Octobre Total</v>
      </c>
      <c r="C12" s="11">
        <f>SUBTOTAL(103,Octobre[1])</f>
        <v>0</v>
      </c>
      <c r="D12" s="11">
        <f>SUBTOTAL(103,Octobre[2])</f>
        <v>0</v>
      </c>
      <c r="E12" s="11">
        <f>SUBTOTAL(103,Octobre[3])</f>
        <v>0</v>
      </c>
      <c r="F12" s="11">
        <f>SUBTOTAL(103,Octobre[4])</f>
        <v>0</v>
      </c>
      <c r="G12" s="11">
        <f>SUBTOTAL(103,Octobre[5])</f>
        <v>0</v>
      </c>
      <c r="H12" s="11">
        <f>SUBTOTAL(103,Octobre[6])</f>
        <v>0</v>
      </c>
      <c r="I12" s="11">
        <f>SUBTOTAL(103,Octobre[7])</f>
        <v>0</v>
      </c>
      <c r="J12" s="11">
        <f>SUBTOTAL(103,Octobre[8])</f>
        <v>0</v>
      </c>
      <c r="K12" s="11">
        <f>SUBTOTAL(103,Octobre[9])</f>
        <v>0</v>
      </c>
      <c r="L12" s="11">
        <f>SUBTOTAL(103,Octobre[10])</f>
        <v>0</v>
      </c>
      <c r="M12" s="11">
        <f>SUBTOTAL(103,Octobre[11])</f>
        <v>0</v>
      </c>
      <c r="N12" s="11">
        <f>SUBTOTAL(103,Octobre[12])</f>
        <v>0</v>
      </c>
      <c r="O12" s="11">
        <f>SUBTOTAL(103,Octobre[13])</f>
        <v>0</v>
      </c>
      <c r="P12" s="11">
        <f>SUBTOTAL(103,Octobre[14])</f>
        <v>0</v>
      </c>
      <c r="Q12" s="11">
        <f>SUBTOTAL(103,Octobre[15])</f>
        <v>0</v>
      </c>
      <c r="R12" s="11">
        <f>SUBTOTAL(103,Octobre[16])</f>
        <v>0</v>
      </c>
      <c r="S12" s="11">
        <f>SUBTOTAL(103,Octobre[17])</f>
        <v>0</v>
      </c>
      <c r="T12" s="11">
        <f>SUBTOTAL(103,Octobre[18])</f>
        <v>0</v>
      </c>
      <c r="U12" s="11">
        <f>SUBTOTAL(103,Octobre[19])</f>
        <v>0</v>
      </c>
      <c r="V12" s="11">
        <f>SUBTOTAL(103,Octobre[20])</f>
        <v>0</v>
      </c>
      <c r="W12" s="11">
        <f>SUBTOTAL(103,Octobre[21])</f>
        <v>0</v>
      </c>
      <c r="X12" s="11">
        <f>SUBTOTAL(103,Octobre[22])</f>
        <v>0</v>
      </c>
      <c r="Y12" s="11">
        <f>SUBTOTAL(103,Octobre[23])</f>
        <v>0</v>
      </c>
      <c r="Z12" s="11">
        <f>SUBTOTAL(103,Octobre[24])</f>
        <v>0</v>
      </c>
      <c r="AA12" s="11">
        <f>SUBTOTAL(103,Octobre[25])</f>
        <v>0</v>
      </c>
      <c r="AB12" s="11">
        <f>SUBTOTAL(103,Octobre[26])</f>
        <v>0</v>
      </c>
      <c r="AC12" s="11">
        <f>SUBTOTAL(103,Octobre[27])</f>
        <v>0</v>
      </c>
      <c r="AD12" s="11">
        <f>SUBTOTAL(103,Octobre[28])</f>
        <v>0</v>
      </c>
      <c r="AE12" s="11">
        <f>SUBTOTAL(103,Octobre[29])</f>
        <v>0</v>
      </c>
      <c r="AF12" s="11">
        <f>SUBTOTAL(103,Octobre[30])</f>
        <v>0</v>
      </c>
      <c r="AG12" s="11">
        <f>SUBTOTAL(103,Octobre[31])</f>
        <v>0</v>
      </c>
      <c r="AH12" s="11">
        <f>SUBTOTAL(109,Octobre[Total des jours])</f>
        <v>0</v>
      </c>
    </row>
  </sheetData>
  <mergeCells count="6">
    <mergeCell ref="B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223" priority="2" stopIfTrue="1">
      <formula>C7=CléPersonnalisée2</formula>
    </cfRule>
    <cfRule type="expression" dxfId="222" priority="3" stopIfTrue="1">
      <formula>C7=CléPersonnalisée1</formula>
    </cfRule>
    <cfRule type="expression" dxfId="221" priority="4" stopIfTrue="1">
      <formula>C7=CléMaladie</formula>
    </cfRule>
    <cfRule type="expression" dxfId="220" priority="5" stopIfTrue="1">
      <formula>C7=CléPersonnel</formula>
    </cfRule>
    <cfRule type="expression" dxfId="219"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{F32A08EA-50E8-4B5F-AB1F-5A7739FBC16C}</x14:id>
        </ext>
      </extLst>
    </cfRule>
  </conditionalFormatting>
  <dataValidations count="1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900-000000000000}"/>
    <dataValidation allowBlank="1" showInputMessage="1" showErrorMessage="1" prompt="Année mise à jour automatiquement en fonction de l’année entrée dans la feuille de calcul Janvier" sqref="AH4" xr:uid="{00000000-0002-0000-0900-000001000000}"/>
    <dataValidation allowBlank="1" showInputMessage="1" showErrorMessage="1" prompt="Calcule automatiquement le nombre total de jours d’absence d’un employé durant ce mois dans cette colonne" sqref="AH6" xr:uid="{00000000-0002-0000-0900-000002000000}"/>
    <dataValidation allowBlank="1" showInputMessage="1" showErrorMessage="1" prompt="Suivez les absences du mois d’octobre dans cette feuille de calcul" sqref="A1" xr:uid="{00000000-0002-0000-09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900-000004000000}"/>
    <dataValidation allowBlank="1" showInputMessage="1" showErrorMessage="1" prompt="Le titre mis à jour automatiquement figure dans cette cellule. Pour modifier le titre, mettez à jour la cellule B1 de la feuille de calcul Janvier" sqref="B1" xr:uid="{00000000-0002-0000-0900-000005000000}"/>
    <dataValidation allowBlank="1" showInputMessage="1" showErrorMessage="1" prompt="La lettre « C » indique une absence pour cause de congé" sqref="C2" xr:uid="{00000000-0002-0000-0900-000006000000}"/>
    <dataValidation allowBlank="1" showInputMessage="1" showErrorMessage="1" prompt="La lettre « P » indique une absence pour motifs personnels" sqref="F2" xr:uid="{00000000-0002-0000-0900-000007000000}"/>
    <dataValidation allowBlank="1" showInputMessage="1" showErrorMessage="1" prompt="La lettre « M » indique une absence pour cause de maladie" sqref="J2" xr:uid="{00000000-0002-0000-0900-000008000000}"/>
    <dataValidation allowBlank="1" showInputMessage="1" showErrorMessage="1" prompt="Entrez une lettre et personnalisez l’étiquette à droite pour ajouter un élément de clé" sqref="M2 R2" xr:uid="{00000000-0002-0000-0900-000009000000}"/>
    <dataValidation allowBlank="1" showInputMessage="1" showErrorMessage="1" prompt="Entrez une étiquette pour décrire la clé personnalisée à gauche" sqref="N2 S2" xr:uid="{00000000-0002-0000-0900-00000A000000}"/>
    <dataValidation allowBlank="1" showInputMessage="1" showErrorMessage="1" prompt="Cette ligne définit les clés utilisées dans le tableau : Congé en C2, Personnel en F2 et Congé maladie en J2. Les cellules M2 et R2 sont personnalisables" sqref="B2" xr:uid="{00000000-0002-0000-09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9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9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F32A08EA-50E8-4B5F-AB1F-5A7739FBC16C}">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'Noms des employés'!$B$4:$B$8</xm:f>
          </x14:formula1>
          <xm:sqref>B7:B11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B1:AH12"/>
  <sheetViews>
    <sheetView showGridLines="0" zoomScaleNormal="100" workbookViewId="0">
      <selection activeCell="B4" sqref="B4:AG4"/>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c r="B3" s="12"/>
    </row>
    <row r="4" spans="2:34" ht="30" customHeight="1" x14ac:dyDescent="0.3">
      <c r="B4" s="35" t="s">
        <v>60</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TEXT(WEEKDAY(DATE(AnnéeCalendrier,11,1),1),"jjj")</f>
        <v>mer</v>
      </c>
      <c r="D5" s="2" t="str">
        <f>TEXT(WEEKDAY(DATE(AnnéeCalendrier,11,2),1),"jjj")</f>
        <v>jeu</v>
      </c>
      <c r="E5" s="2" t="str">
        <f>TEXT(WEEKDAY(DATE(AnnéeCalendrier,11,3),1),"jjj")</f>
        <v>ven</v>
      </c>
      <c r="F5" s="2" t="str">
        <f>TEXT(WEEKDAY(DATE(AnnéeCalendrier,11,4),1),"jjj")</f>
        <v>sam</v>
      </c>
      <c r="G5" s="2" t="str">
        <f>TEXT(WEEKDAY(DATE(AnnéeCalendrier,11,5),1),"jjj")</f>
        <v>dim</v>
      </c>
      <c r="H5" s="2" t="str">
        <f>TEXT(WEEKDAY(DATE(AnnéeCalendrier,11,6),1),"jjj")</f>
        <v>lun</v>
      </c>
      <c r="I5" s="2" t="str">
        <f>TEXT(WEEKDAY(DATE(AnnéeCalendrier,11,7),1),"jjj")</f>
        <v>mar</v>
      </c>
      <c r="J5" s="2" t="str">
        <f>TEXT(WEEKDAY(DATE(AnnéeCalendrier,11,8),1),"jjj")</f>
        <v>mer</v>
      </c>
      <c r="K5" s="2" t="str">
        <f>TEXT(WEEKDAY(DATE(AnnéeCalendrier,11,9),1),"jjj")</f>
        <v>jeu</v>
      </c>
      <c r="L5" s="2" t="str">
        <f>TEXT(WEEKDAY(DATE(AnnéeCalendrier,11,10),1),"jjj")</f>
        <v>ven</v>
      </c>
      <c r="M5" s="2" t="str">
        <f>TEXT(WEEKDAY(DATE(AnnéeCalendrier,11,11),1),"jjj")</f>
        <v>sam</v>
      </c>
      <c r="N5" s="2" t="str">
        <f>TEXT(WEEKDAY(DATE(AnnéeCalendrier,11,12),1),"jjj")</f>
        <v>dim</v>
      </c>
      <c r="O5" s="2" t="str">
        <f>TEXT(WEEKDAY(DATE(AnnéeCalendrier,11,13),1),"jjj")</f>
        <v>lun</v>
      </c>
      <c r="P5" s="2" t="str">
        <f>TEXT(WEEKDAY(DATE(AnnéeCalendrier,11,14),1),"jjj")</f>
        <v>mar</v>
      </c>
      <c r="Q5" s="2" t="str">
        <f>TEXT(WEEKDAY(DATE(AnnéeCalendrier,11,15),1),"jjj")</f>
        <v>mer</v>
      </c>
      <c r="R5" s="2" t="str">
        <f>TEXT(WEEKDAY(DATE(AnnéeCalendrier,11,16),1),"jjj")</f>
        <v>jeu</v>
      </c>
      <c r="S5" s="2" t="str">
        <f>TEXT(WEEKDAY(DATE(AnnéeCalendrier,11,17),1),"jjj")</f>
        <v>ven</v>
      </c>
      <c r="T5" s="2" t="str">
        <f>TEXT(WEEKDAY(DATE(AnnéeCalendrier,11,18),1),"jjj")</f>
        <v>sam</v>
      </c>
      <c r="U5" s="2" t="str">
        <f>TEXT(WEEKDAY(DATE(AnnéeCalendrier,11,19),1),"jjj")</f>
        <v>dim</v>
      </c>
      <c r="V5" s="2" t="str">
        <f>TEXT(WEEKDAY(DATE(AnnéeCalendrier,11,20),1),"jjj")</f>
        <v>lun</v>
      </c>
      <c r="W5" s="2" t="str">
        <f>TEXT(WEEKDAY(DATE(AnnéeCalendrier,11,21),1),"jjj")</f>
        <v>mar</v>
      </c>
      <c r="X5" s="2" t="str">
        <f>TEXT(WEEKDAY(DATE(AnnéeCalendrier,11,22),1),"jjj")</f>
        <v>mer</v>
      </c>
      <c r="Y5" s="2" t="str">
        <f>TEXT(WEEKDAY(DATE(AnnéeCalendrier,11,23),1),"jjj")</f>
        <v>jeu</v>
      </c>
      <c r="Z5" s="2" t="str">
        <f>TEXT(WEEKDAY(DATE(AnnéeCalendrier,11,24),1),"jjj")</f>
        <v>ven</v>
      </c>
      <c r="AA5" s="2" t="str">
        <f>TEXT(WEEKDAY(DATE(AnnéeCalendrier,11,25),1),"jjj")</f>
        <v>sam</v>
      </c>
      <c r="AB5" s="2" t="str">
        <f>TEXT(WEEKDAY(DATE(AnnéeCalendrier,11,26),1),"jjj")</f>
        <v>dim</v>
      </c>
      <c r="AC5" s="2" t="str">
        <f>TEXT(WEEKDAY(DATE(AnnéeCalendrier,11,27),1),"jjj")</f>
        <v>lun</v>
      </c>
      <c r="AD5" s="2" t="str">
        <f>TEXT(WEEKDAY(DATE(AnnéeCalendrier,11,28),1),"jjj")</f>
        <v>mar</v>
      </c>
      <c r="AE5" s="2" t="str">
        <f>TEXT(WEEKDAY(DATE(AnnéeCalendrier,11,29),1),"jjj")</f>
        <v>mer</v>
      </c>
      <c r="AF5" s="2" t="str">
        <f>TEXT(WEEKDAY(DATE(AnnéeCalendrier,11,30),1),"jjj")</f>
        <v>jeu</v>
      </c>
      <c r="AG5" s="2"/>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45</v>
      </c>
      <c r="AG6" s="2" t="s">
        <v>50</v>
      </c>
      <c r="AH6" s="14" t="s">
        <v>48</v>
      </c>
    </row>
    <row r="7" spans="2:34" ht="30" customHeight="1" x14ac:dyDescent="0.3">
      <c r="B7" s="8" t="s">
        <v>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COUNTA(Novembre[[#This Row],[1]:[30]])</f>
        <v>0</v>
      </c>
    </row>
    <row r="8" spans="2:34" ht="30" customHeight="1" x14ac:dyDescent="0.3">
      <c r="B8" s="8" t="s">
        <v>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COUNTA(Novembre[[#This Row],[1]:[30]])</f>
        <v>0</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COUNTA(Novembre[[#This Row],[1]:[30]])</f>
        <v>0</v>
      </c>
    </row>
    <row r="10" spans="2:34" ht="30" customHeight="1" x14ac:dyDescent="0.3">
      <c r="B10" s="8" t="s">
        <v>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COUNTA(Novembre[[#This Row],[1]:[30]])</f>
        <v>0</v>
      </c>
    </row>
    <row r="11" spans="2:34" ht="30" customHeight="1" x14ac:dyDescent="0.3">
      <c r="B11" s="8" t="s">
        <v>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COUNTA(Novembre[[#This Row],[1]:[30]])</f>
        <v>0</v>
      </c>
    </row>
    <row r="12" spans="2:34" ht="30" customHeight="1" x14ac:dyDescent="0.3">
      <c r="B12" s="17" t="str">
        <f>NomMois&amp;" Total"</f>
        <v>Novembre Total</v>
      </c>
      <c r="C12" s="11">
        <f>SUBTOTAL(103,Novembre[1])</f>
        <v>0</v>
      </c>
      <c r="D12" s="11">
        <f>SUBTOTAL(103,Novembre[2])</f>
        <v>0</v>
      </c>
      <c r="E12" s="11">
        <f>SUBTOTAL(103,Novembre[3])</f>
        <v>0</v>
      </c>
      <c r="F12" s="11">
        <f>SUBTOTAL(103,Novembre[4])</f>
        <v>0</v>
      </c>
      <c r="G12" s="11">
        <f>SUBTOTAL(103,Novembre[5])</f>
        <v>0</v>
      </c>
      <c r="H12" s="11">
        <f>SUBTOTAL(103,Novembre[6])</f>
        <v>0</v>
      </c>
      <c r="I12" s="11">
        <f>SUBTOTAL(103,Novembre[7])</f>
        <v>0</v>
      </c>
      <c r="J12" s="11">
        <f>SUBTOTAL(103,Novembre[8])</f>
        <v>0</v>
      </c>
      <c r="K12" s="11">
        <f>SUBTOTAL(103,Novembre[9])</f>
        <v>0</v>
      </c>
      <c r="L12" s="11">
        <f>SUBTOTAL(103,Novembre[10])</f>
        <v>0</v>
      </c>
      <c r="M12" s="11">
        <f>SUBTOTAL(103,Novembre[11])</f>
        <v>0</v>
      </c>
      <c r="N12" s="11">
        <f>SUBTOTAL(103,Novembre[12])</f>
        <v>0</v>
      </c>
      <c r="O12" s="11">
        <f>SUBTOTAL(103,Novembre[13])</f>
        <v>0</v>
      </c>
      <c r="P12" s="11">
        <f>SUBTOTAL(103,Novembre[14])</f>
        <v>0</v>
      </c>
      <c r="Q12" s="11">
        <f>SUBTOTAL(103,Novembre[15])</f>
        <v>0</v>
      </c>
      <c r="R12" s="11">
        <f>SUBTOTAL(103,Novembre[16])</f>
        <v>0</v>
      </c>
      <c r="S12" s="11">
        <f>SUBTOTAL(103,Novembre[17])</f>
        <v>0</v>
      </c>
      <c r="T12" s="11">
        <f>SUBTOTAL(103,Novembre[18])</f>
        <v>0</v>
      </c>
      <c r="U12" s="11">
        <f>SUBTOTAL(103,Novembre[19])</f>
        <v>0</v>
      </c>
      <c r="V12" s="11">
        <f>SUBTOTAL(103,Novembre[20])</f>
        <v>0</v>
      </c>
      <c r="W12" s="11">
        <f>SUBTOTAL(103,Novembre[21])</f>
        <v>0</v>
      </c>
      <c r="X12" s="11">
        <f>SUBTOTAL(103,Novembre[22])</f>
        <v>0</v>
      </c>
      <c r="Y12" s="11">
        <f>SUBTOTAL(103,Novembre[23])</f>
        <v>0</v>
      </c>
      <c r="Z12" s="11">
        <f>SUBTOTAL(103,Novembre[24])</f>
        <v>0</v>
      </c>
      <c r="AA12" s="11">
        <f>SUBTOTAL(103,Novembre[25])</f>
        <v>0</v>
      </c>
      <c r="AB12" s="11">
        <f>SUBTOTAL(103,Novembre[26])</f>
        <v>0</v>
      </c>
      <c r="AC12" s="11">
        <f>SUBTOTAL(103,Novembre[27])</f>
        <v>0</v>
      </c>
      <c r="AD12" s="11">
        <f>SUBTOTAL(103,Novembre[28])</f>
        <v>0</v>
      </c>
      <c r="AE12" s="11">
        <f>SUBTOTAL(103,Novembre[29])</f>
        <v>0</v>
      </c>
      <c r="AF12" s="11">
        <f>SUBTOTAL(103,Novembre[30])</f>
        <v>0</v>
      </c>
      <c r="AG12" s="11">
        <f>SUBTOTAL(103,Novembre[[ ]])</f>
        <v>0</v>
      </c>
      <c r="AH12" s="11">
        <f>SUBTOTAL(109,Novembre[Total des jours])</f>
        <v>0</v>
      </c>
    </row>
  </sheetData>
  <mergeCells count="6">
    <mergeCell ref="B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49" priority="2" stopIfTrue="1">
      <formula>C7=CléPersonnalisée2</formula>
    </cfRule>
    <cfRule type="expression" dxfId="148" priority="3" stopIfTrue="1">
      <formula>C7=CléPersonnalisée1</formula>
    </cfRule>
    <cfRule type="expression" dxfId="147" priority="4" stopIfTrue="1">
      <formula>C7=CléMaladie</formula>
    </cfRule>
    <cfRule type="expression" dxfId="146" priority="5" stopIfTrue="1">
      <formula>C7=CléPersonnel</formula>
    </cfRule>
    <cfRule type="expression" dxfId="145"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{27D92E49-5CF1-46DF-AD7A-3A5E92F274F3}</x14:id>
        </ext>
      </extLst>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A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A00-000001000000}"/>
    <dataValidation allowBlank="1" showInputMessage="1" showErrorMessage="1" prompt="Cette ligne définit les clés utilisées dans le tableau : Congé en C2, Personnel en F2 et Congé maladie en J2. Les cellules M2 et R2 sont personnalisables" sqref="B2" xr:uid="{00000000-0002-0000-0A00-000002000000}"/>
    <dataValidation allowBlank="1" showInputMessage="1" showErrorMessage="1" prompt="Entrez une étiquette pour décrire la clé personnalisée à gauche" sqref="N2 S2" xr:uid="{00000000-0002-0000-0A00-000003000000}"/>
    <dataValidation allowBlank="1" showInputMessage="1" showErrorMessage="1" prompt="Entrez une lettre et personnalisez l’étiquette à droite pour ajouter un élément de clé" sqref="M2 R2" xr:uid="{00000000-0002-0000-0A00-000004000000}"/>
    <dataValidation allowBlank="1" showInputMessage="1" showErrorMessage="1" prompt="La lettre « M » indique une absence pour cause de maladie" sqref="J2" xr:uid="{00000000-0002-0000-0A00-000005000000}"/>
    <dataValidation allowBlank="1" showInputMessage="1" showErrorMessage="1" prompt="La lettre « P » indique une absence pour motifs personnels" sqref="F2" xr:uid="{00000000-0002-0000-0A00-000006000000}"/>
    <dataValidation allowBlank="1" showInputMessage="1" showErrorMessage="1" prompt="La lettre « C » indique une absence pour cause de congé" sqref="C2" xr:uid="{00000000-0002-0000-0A00-000007000000}"/>
    <dataValidation allowBlank="1" showInputMessage="1" showErrorMessage="1" prompt="Le titre mis à jour automatiquement figure dans cette cellule. Pour modifier le titre, mettez à jour la cellule B1 de la feuille de calcul Janvier" sqref="B1" xr:uid="{00000000-0002-0000-0A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A00-000009000000}"/>
    <dataValidation allowBlank="1" showInputMessage="1" showErrorMessage="1" prompt="Suivez les absences du mois de novembre dans cette feuille de calcul" sqref="A1" xr:uid="{00000000-0002-0000-0A00-00000A000000}"/>
    <dataValidation allowBlank="1" showInputMessage="1" showErrorMessage="1" prompt="Calcule automatiquement le nombre total de jours d’absence d’un employé durant ce mois dans cette colonne" sqref="AH6" xr:uid="{00000000-0002-0000-0A00-00000B000000}"/>
    <dataValidation allowBlank="1" showInputMessage="1" showErrorMessage="1" prompt="Année mise à jour automatiquement en fonction de l’année entrée dans la feuille de calcul Janvier" sqref="AH4" xr:uid="{00000000-0002-0000-0A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A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27D92E49-5CF1-46DF-AD7A-3A5E92F274F3}">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E000000}">
          <x14:formula1>
            <xm:f>'Noms des employés'!$B$4:$B$8</xm:f>
          </x14:formula1>
          <xm:sqref>B7:B11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B1:AH12"/>
  <sheetViews>
    <sheetView showGridLines="0" zoomScaleNormal="100" workbookViewId="0">
      <selection activeCell="V15" sqref="V15"/>
    </sheetView>
  </sheetViews>
  <sheetFormatPr baseColWidth="10" defaultColWidth="9.109375" defaultRowHeight="30" customHeight="1" x14ac:dyDescent="0.3"/>
  <cols>
    <col min="1" max="1" width="2.6640625" customWidth="1"/>
    <col min="2" max="2" width="25.6640625" customWidth="1"/>
    <col min="3" max="33" width="4.6640625" customWidth="1"/>
    <col min="34" max="34" width="13.5546875" customWidth="1"/>
    <col min="35" max="35" width="2.6640625" customWidth="1"/>
  </cols>
  <sheetData>
    <row r="1" spans="2:34" ht="50.1" customHeight="1" x14ac:dyDescent="0.3">
      <c r="B1" s="12" t="str">
        <f>Titre_Absence_Employé</f>
        <v>Présences des animateurs de l'accueil de loisirs des mercredis / vacances scolaires</v>
      </c>
    </row>
    <row r="2" spans="2:34" ht="15" customHeight="1" x14ac:dyDescent="0.3">
      <c r="B2" s="15" t="s">
        <v>0</v>
      </c>
      <c r="C2" s="3" t="s">
        <v>8</v>
      </c>
      <c r="D2" s="37" t="s">
        <v>10</v>
      </c>
      <c r="E2" s="37"/>
      <c r="F2" s="4" t="s">
        <v>13</v>
      </c>
      <c r="G2" s="37" t="s">
        <v>17</v>
      </c>
      <c r="H2" s="37"/>
      <c r="I2" s="37"/>
      <c r="J2" s="5" t="s">
        <v>15</v>
      </c>
      <c r="K2" s="37" t="s">
        <v>22</v>
      </c>
      <c r="L2" s="37"/>
      <c r="M2" s="6"/>
      <c r="N2" s="37" t="s">
        <v>26</v>
      </c>
      <c r="O2" s="37"/>
      <c r="P2" s="37"/>
      <c r="Q2" s="37"/>
      <c r="R2" s="7"/>
      <c r="S2" s="37" t="s">
        <v>31</v>
      </c>
      <c r="T2" s="37"/>
      <c r="U2" s="37"/>
      <c r="V2" s="37"/>
    </row>
    <row r="3" spans="2:34" ht="15" customHeight="1" x14ac:dyDescent="0.3">
      <c r="B3" s="12"/>
    </row>
    <row r="4" spans="2:34" ht="30" customHeight="1" x14ac:dyDescent="0.3">
      <c r="B4" s="35" t="s">
        <v>61</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10">
        <f>AnnéeCalendrier</f>
        <v>2023</v>
      </c>
    </row>
    <row r="5" spans="2:34" ht="15" customHeight="1" x14ac:dyDescent="0.3">
      <c r="B5" s="10"/>
      <c r="C5" s="2" t="str">
        <f>TEXT(WEEKDAY(DATE(AnnéeCalendrier,12,1),1),"jjj")</f>
        <v>ven</v>
      </c>
      <c r="D5" s="2" t="str">
        <f>TEXT(WEEKDAY(DATE(AnnéeCalendrier,12,2),1),"jjj")</f>
        <v>sam</v>
      </c>
      <c r="E5" s="2" t="str">
        <f>TEXT(WEEKDAY(DATE(AnnéeCalendrier,12,3),1),"jjj")</f>
        <v>dim</v>
      </c>
      <c r="F5" s="2" t="str">
        <f>TEXT(WEEKDAY(DATE(AnnéeCalendrier,12,4),1),"jjj")</f>
        <v>lun</v>
      </c>
      <c r="G5" s="2" t="str">
        <f>TEXT(WEEKDAY(DATE(AnnéeCalendrier,12,5),1),"jjj")</f>
        <v>mar</v>
      </c>
      <c r="H5" s="2" t="str">
        <f>TEXT(WEEKDAY(DATE(AnnéeCalendrier,12,6),1),"jjj")</f>
        <v>mer</v>
      </c>
      <c r="I5" s="2" t="str">
        <f>TEXT(WEEKDAY(DATE(AnnéeCalendrier,12,7),1),"jjj")</f>
        <v>jeu</v>
      </c>
      <c r="J5" s="2" t="str">
        <f>TEXT(WEEKDAY(DATE(AnnéeCalendrier,12,8),1),"jjj")</f>
        <v>ven</v>
      </c>
      <c r="K5" s="2" t="str">
        <f>TEXT(WEEKDAY(DATE(AnnéeCalendrier,12,9),1),"jjj")</f>
        <v>sam</v>
      </c>
      <c r="L5" s="2" t="str">
        <f>TEXT(WEEKDAY(DATE(AnnéeCalendrier,12,10),1),"jjj")</f>
        <v>dim</v>
      </c>
      <c r="M5" s="2" t="str">
        <f>TEXT(WEEKDAY(DATE(AnnéeCalendrier,12,11),1),"jjj")</f>
        <v>lun</v>
      </c>
      <c r="N5" s="2" t="str">
        <f>TEXT(WEEKDAY(DATE(AnnéeCalendrier,12,12),1),"jjj")</f>
        <v>mar</v>
      </c>
      <c r="O5" s="2" t="str">
        <f>TEXT(WEEKDAY(DATE(AnnéeCalendrier,12,13),1),"jjj")</f>
        <v>mer</v>
      </c>
      <c r="P5" s="2" t="str">
        <f>TEXT(WEEKDAY(DATE(AnnéeCalendrier,12,14),1),"jjj")</f>
        <v>jeu</v>
      </c>
      <c r="Q5" s="2" t="str">
        <f>TEXT(WEEKDAY(DATE(AnnéeCalendrier,12,15),1),"jjj")</f>
        <v>ven</v>
      </c>
      <c r="R5" s="2" t="str">
        <f>TEXT(WEEKDAY(DATE(AnnéeCalendrier,12,16),1),"jjj")</f>
        <v>sam</v>
      </c>
      <c r="S5" s="2" t="str">
        <f>TEXT(WEEKDAY(DATE(AnnéeCalendrier,12,17),1),"jjj")</f>
        <v>dim</v>
      </c>
      <c r="T5" s="2" t="str">
        <f>TEXT(WEEKDAY(DATE(AnnéeCalendrier,12,18),1),"jjj")</f>
        <v>lun</v>
      </c>
      <c r="U5" s="2" t="str">
        <f>TEXT(WEEKDAY(DATE(AnnéeCalendrier,12,19),1),"jjj")</f>
        <v>mar</v>
      </c>
      <c r="V5" s="2" t="str">
        <f>TEXT(WEEKDAY(DATE(AnnéeCalendrier,12,20),1),"jjj")</f>
        <v>mer</v>
      </c>
      <c r="W5" s="2" t="str">
        <f>TEXT(WEEKDAY(DATE(AnnéeCalendrier,12,21),1),"jjj")</f>
        <v>jeu</v>
      </c>
      <c r="X5" s="2" t="str">
        <f>TEXT(WEEKDAY(DATE(AnnéeCalendrier,12,22),1),"jjj")</f>
        <v>ven</v>
      </c>
      <c r="Y5" s="2" t="str">
        <f>TEXT(WEEKDAY(DATE(AnnéeCalendrier,12,23),1),"jjj")</f>
        <v>sam</v>
      </c>
      <c r="Z5" s="2" t="str">
        <f>TEXT(WEEKDAY(DATE(AnnéeCalendrier,12,24),1),"jjj")</f>
        <v>dim</v>
      </c>
      <c r="AA5" s="2" t="str">
        <f>TEXT(WEEKDAY(DATE(AnnéeCalendrier,12,25),1),"jjj")</f>
        <v>lun</v>
      </c>
      <c r="AB5" s="2" t="str">
        <f>TEXT(WEEKDAY(DATE(AnnéeCalendrier,12,26),1),"jjj")</f>
        <v>mar</v>
      </c>
      <c r="AC5" s="2" t="str">
        <f>TEXT(WEEKDAY(DATE(AnnéeCalendrier,12,27),1),"jjj")</f>
        <v>mer</v>
      </c>
      <c r="AD5" s="2" t="str">
        <f>TEXT(WEEKDAY(DATE(AnnéeCalendrier,12,28),1),"jjj")</f>
        <v>jeu</v>
      </c>
      <c r="AE5" s="2" t="str">
        <f>TEXT(WEEKDAY(DATE(AnnéeCalendrier,12,29),1),"jjj")</f>
        <v>ven</v>
      </c>
      <c r="AF5" s="2" t="str">
        <f>TEXT(WEEKDAY(DATE(AnnéeCalendrier,12,30),1),"jjj")</f>
        <v>sam</v>
      </c>
      <c r="AG5" s="2" t="str">
        <f>TEXT(WEEKDAY(DATE(AnnéeCalendrier,12,31),1),"jjj")</f>
        <v>dim</v>
      </c>
      <c r="AH5" s="10"/>
    </row>
    <row r="6" spans="2:34" ht="15" customHeight="1" x14ac:dyDescent="0.3">
      <c r="B6" s="13" t="s">
        <v>2</v>
      </c>
      <c r="C6" s="2" t="s">
        <v>9</v>
      </c>
      <c r="D6" s="2" t="s">
        <v>11</v>
      </c>
      <c r="E6" s="2" t="s">
        <v>12</v>
      </c>
      <c r="F6" s="2" t="s">
        <v>14</v>
      </c>
      <c r="G6" s="2" t="s">
        <v>16</v>
      </c>
      <c r="H6" s="2" t="s">
        <v>18</v>
      </c>
      <c r="I6" s="2" t="s">
        <v>19</v>
      </c>
      <c r="J6" s="2" t="s">
        <v>20</v>
      </c>
      <c r="K6" s="2" t="s">
        <v>21</v>
      </c>
      <c r="L6" s="2" t="s">
        <v>23</v>
      </c>
      <c r="M6" s="2" t="s">
        <v>24</v>
      </c>
      <c r="N6" s="2" t="s">
        <v>25</v>
      </c>
      <c r="O6" s="2" t="s">
        <v>27</v>
      </c>
      <c r="P6" s="2" t="s">
        <v>28</v>
      </c>
      <c r="Q6" s="2" t="s">
        <v>29</v>
      </c>
      <c r="R6" s="2" t="s">
        <v>30</v>
      </c>
      <c r="S6" s="2" t="s">
        <v>32</v>
      </c>
      <c r="T6" s="2" t="s">
        <v>33</v>
      </c>
      <c r="U6" s="2" t="s">
        <v>34</v>
      </c>
      <c r="V6" s="2" t="s">
        <v>35</v>
      </c>
      <c r="W6" s="2" t="s">
        <v>36</v>
      </c>
      <c r="X6" s="2" t="s">
        <v>37</v>
      </c>
      <c r="Y6" s="2" t="s">
        <v>38</v>
      </c>
      <c r="Z6" s="2" t="s">
        <v>39</v>
      </c>
      <c r="AA6" s="2" t="s">
        <v>40</v>
      </c>
      <c r="AB6" s="2" t="s">
        <v>41</v>
      </c>
      <c r="AC6" s="2" t="s">
        <v>42</v>
      </c>
      <c r="AD6" s="2" t="s">
        <v>43</v>
      </c>
      <c r="AE6" s="2" t="s">
        <v>44</v>
      </c>
      <c r="AF6" s="2" t="s">
        <v>45</v>
      </c>
      <c r="AG6" s="2" t="s">
        <v>46</v>
      </c>
      <c r="AH6" s="14" t="s">
        <v>48</v>
      </c>
    </row>
    <row r="7" spans="2:34" ht="30" customHeight="1" x14ac:dyDescent="0.3">
      <c r="B7" s="8" t="s">
        <v>3</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COUNTA(Décembre[[#This Row],[1]:[31]])</f>
        <v>0</v>
      </c>
    </row>
    <row r="8" spans="2:34" ht="30" customHeight="1" x14ac:dyDescent="0.3">
      <c r="B8" s="8" t="s">
        <v>4</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COUNTA(Décembre[[#This Row],[1]:[31]])</f>
        <v>0</v>
      </c>
    </row>
    <row r="9" spans="2:34" ht="30" customHeight="1" x14ac:dyDescent="0.3">
      <c r="B9" s="8" t="s">
        <v>5</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COUNTA(Décembre[[#This Row],[1]:[31]])</f>
        <v>0</v>
      </c>
    </row>
    <row r="10" spans="2:34" ht="30" customHeight="1" x14ac:dyDescent="0.3">
      <c r="B10" s="8" t="s">
        <v>6</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COUNTA(Décembre[[#This Row],[1]:[31]])</f>
        <v>0</v>
      </c>
    </row>
    <row r="11" spans="2:34" ht="30" customHeight="1" x14ac:dyDescent="0.3">
      <c r="B11" s="8" t="s">
        <v>7</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COUNTA(Décembre[[#This Row],[1]:[31]])</f>
        <v>0</v>
      </c>
    </row>
    <row r="12" spans="2:34" ht="30" customHeight="1" x14ac:dyDescent="0.3">
      <c r="B12" s="17" t="str">
        <f>NomMois&amp;" Total"</f>
        <v>Décembre Total</v>
      </c>
      <c r="C12" s="11">
        <f>SUBTOTAL(103,Décembre[1])</f>
        <v>0</v>
      </c>
      <c r="D12" s="11">
        <f>SUBTOTAL(103,Décembre[2])</f>
        <v>0</v>
      </c>
      <c r="E12" s="11">
        <f>SUBTOTAL(103,Décembre[3])</f>
        <v>0</v>
      </c>
      <c r="F12" s="11">
        <f>SUBTOTAL(103,Décembre[4])</f>
        <v>0</v>
      </c>
      <c r="G12" s="11">
        <f>SUBTOTAL(103,Décembre[5])</f>
        <v>0</v>
      </c>
      <c r="H12" s="11">
        <f>SUBTOTAL(103,Décembre[6])</f>
        <v>0</v>
      </c>
      <c r="I12" s="11">
        <f>SUBTOTAL(103,Décembre[7])</f>
        <v>0</v>
      </c>
      <c r="J12" s="11">
        <f>SUBTOTAL(103,Décembre[8])</f>
        <v>0</v>
      </c>
      <c r="K12" s="11">
        <f>SUBTOTAL(103,Décembre[9])</f>
        <v>0</v>
      </c>
      <c r="L12" s="11">
        <f>SUBTOTAL(103,Décembre[10])</f>
        <v>0</v>
      </c>
      <c r="M12" s="11">
        <f>SUBTOTAL(103,Décembre[11])</f>
        <v>0</v>
      </c>
      <c r="N12" s="11">
        <f>SUBTOTAL(103,Décembre[12])</f>
        <v>0</v>
      </c>
      <c r="O12" s="11">
        <f>SUBTOTAL(103,Décembre[13])</f>
        <v>0</v>
      </c>
      <c r="P12" s="11">
        <f>SUBTOTAL(103,Décembre[14])</f>
        <v>0</v>
      </c>
      <c r="Q12" s="11">
        <f>SUBTOTAL(103,Décembre[15])</f>
        <v>0</v>
      </c>
      <c r="R12" s="11">
        <f>SUBTOTAL(103,Décembre[16])</f>
        <v>0</v>
      </c>
      <c r="S12" s="11">
        <f>SUBTOTAL(103,Décembre[17])</f>
        <v>0</v>
      </c>
      <c r="T12" s="11">
        <f>SUBTOTAL(103,Décembre[18])</f>
        <v>0</v>
      </c>
      <c r="U12" s="11">
        <f>SUBTOTAL(103,Décembre[19])</f>
        <v>0</v>
      </c>
      <c r="V12" s="11">
        <f>SUBTOTAL(103,Décembre[20])</f>
        <v>0</v>
      </c>
      <c r="W12" s="11">
        <f>SUBTOTAL(103,Décembre[21])</f>
        <v>0</v>
      </c>
      <c r="X12" s="11">
        <f>SUBTOTAL(103,Décembre[22])</f>
        <v>0</v>
      </c>
      <c r="Y12" s="11">
        <f>SUBTOTAL(103,Décembre[23])</f>
        <v>0</v>
      </c>
      <c r="Z12" s="11">
        <f>SUBTOTAL(103,Décembre[24])</f>
        <v>0</v>
      </c>
      <c r="AA12" s="11">
        <f>SUBTOTAL(103,Décembre[25])</f>
        <v>0</v>
      </c>
      <c r="AB12" s="11">
        <f>SUBTOTAL(103,Décembre[26])</f>
        <v>0</v>
      </c>
      <c r="AC12" s="11">
        <f>SUBTOTAL(103,Décembre[27])</f>
        <v>0</v>
      </c>
      <c r="AD12" s="11">
        <f>SUBTOTAL(103,Décembre[28])</f>
        <v>0</v>
      </c>
      <c r="AE12" s="11">
        <f>SUBTOTAL(103,Décembre[29])</f>
        <v>0</v>
      </c>
      <c r="AF12" s="11">
        <f>SUBTOTAL(103,Décembre[30])</f>
        <v>0</v>
      </c>
      <c r="AG12" s="11">
        <f>SUBTOTAL(103,Décembre[31])</f>
        <v>0</v>
      </c>
      <c r="AH12" s="11">
        <f>SUBTOTAL(109,Décembre[Total des jours])</f>
        <v>0</v>
      </c>
    </row>
  </sheetData>
  <mergeCells count="6">
    <mergeCell ref="B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75" priority="2" stopIfTrue="1">
      <formula>C7=CléPersonnalisée2</formula>
    </cfRule>
    <cfRule type="expression" dxfId="74" priority="3" stopIfTrue="1">
      <formula>C7=CléPersonnalisée1</formula>
    </cfRule>
    <cfRule type="expression" dxfId="73" priority="4" stopIfTrue="1">
      <formula>C7=CléMaladie</formula>
    </cfRule>
    <cfRule type="expression" dxfId="72" priority="5" stopIfTrue="1">
      <formula>C7=CléPersonnel</formula>
    </cfRule>
    <cfRule type="expression" dxfId="71" priority="6" stopIfTrue="1">
      <formula>C7=CléCongé</formula>
    </cfRule>
  </conditionalFormatting>
  <conditionalFormatting sqref="AH7:AH11">
    <cfRule type="dataBar" priority="30">
      <dataBar>
        <cfvo type="min"/>
        <cfvo type="formula" val="DATEDIF(DATE(AnnéeCalendrier,2,1),DATE(AnnéeCalendrier,3,1),&quot;d&quot;)"/>
        <color theme="2" tint="-0.249977111117893"/>
      </dataBar>
      <extLst>
        <ext xmlns:x14="http://schemas.microsoft.com/office/spreadsheetml/2009/9/main" uri="{B025F937-C7B1-47D3-B67F-A62EFF666E3E}">
          <x14:id>{17586780-365B-4F4C-BBB4-F5991705D361}</x14:id>
        </ext>
      </extLst>
    </cfRule>
  </conditionalFormatting>
  <dataValidations count="14">
    <dataValidation allowBlank="1" showInputMessage="1" showErrorMessage="1" prompt="Année mise à jour automatiquement en fonction de l’année entrée dans la feuille de calcul Janvier" sqref="AH4" xr:uid="{00000000-0002-0000-0B00-000000000000}"/>
    <dataValidation allowBlank="1" showInputMessage="1" showErrorMessage="1" prompt="Calcule automatiquement le nombre total de jours d’absence d’un employé durant ce mois dans cette colonne" sqref="AH6" xr:uid="{00000000-0002-0000-0B00-000001000000}"/>
    <dataValidation allowBlank="1" showInputMessage="1" showErrorMessage="1" prompt="Suivez les absences du mois de décembre dans cette feuille de calcul" sqref="A1" xr:uid="{00000000-0002-0000-0B00-000002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B00-000003000000}"/>
    <dataValidation allowBlank="1" showInputMessage="1" showErrorMessage="1" prompt="Le titre mis à jour automatiquement figure dans cette cellule. Pour modifier le titre, mettez à jour la cellule B1 de la feuille de calcul Janvier" sqref="B1" xr:uid="{00000000-0002-0000-0B00-000004000000}"/>
    <dataValidation allowBlank="1" showInputMessage="1" showErrorMessage="1" prompt="La lettre « C » indique une absence pour cause de congé" sqref="C2" xr:uid="{00000000-0002-0000-0B00-000005000000}"/>
    <dataValidation allowBlank="1" showInputMessage="1" showErrorMessage="1" prompt="La lettre « P » indique une absence pour motifs personnels" sqref="F2" xr:uid="{00000000-0002-0000-0B00-000006000000}"/>
    <dataValidation allowBlank="1" showInputMessage="1" showErrorMessage="1" prompt="La lettre « M » indique une absence pour cause de maladie" sqref="J2" xr:uid="{00000000-0002-0000-0B00-000007000000}"/>
    <dataValidation allowBlank="1" showInputMessage="1" showErrorMessage="1" prompt="Entrez une lettre et personnalisez l’étiquette à droite pour ajouter un élément de clé" sqref="M2 R2" xr:uid="{00000000-0002-0000-0B00-000008000000}"/>
    <dataValidation allowBlank="1" showInputMessage="1" showErrorMessage="1" prompt="Entrez une étiquette pour décrire la clé personnalisée à gauche" sqref="N2 S2" xr:uid="{00000000-0002-0000-0B00-000009000000}"/>
    <dataValidation allowBlank="1" showInputMessage="1" showErrorMessage="1" prompt="Cette ligne définit les clés utilisées dans le tableau : Congé en C2, Personnel en F2 et Congé maladie en J2. Les cellules M2 et R2 sont personnalisables" sqref="B2" xr:uid="{00000000-0002-0000-0B00-00000A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B00-00000B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B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B00-00000D0000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7586780-365B-4F4C-BBB4-F5991705D361}">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E000000}">
          <x14:formula1>
            <xm:f>'Noms des employés'!$B$4:$B$8</xm:f>
          </x14:formula1>
          <xm:sqref>B7:B11</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1"/>
  </sheetPr>
  <dimension ref="B1:B121"/>
  <sheetViews>
    <sheetView showGridLines="0" workbookViewId="0">
      <selection activeCell="F12" sqref="F12"/>
    </sheetView>
  </sheetViews>
  <sheetFormatPr baseColWidth="10" defaultColWidth="9.109375" defaultRowHeight="30" customHeight="1" x14ac:dyDescent="0.3"/>
  <cols>
    <col min="1" max="1" width="2.6640625" customWidth="1"/>
    <col min="2" max="2" width="30.6640625" customWidth="1"/>
    <col min="3" max="3" width="2.6640625" customWidth="1"/>
  </cols>
  <sheetData>
    <row r="1" spans="2:2" ht="50.1" customHeight="1" x14ac:dyDescent="0.3">
      <c r="B1" s="18" t="s">
        <v>62</v>
      </c>
    </row>
    <row r="2" spans="2:2" ht="15" customHeight="1" x14ac:dyDescent="0.3"/>
    <row r="3" spans="2:2" ht="30" customHeight="1" x14ac:dyDescent="0.3">
      <c r="B3" t="s">
        <v>62</v>
      </c>
    </row>
    <row r="4" spans="2:2" ht="30" customHeight="1" x14ac:dyDescent="0.3">
      <c r="B4" s="1" t="s">
        <v>81</v>
      </c>
    </row>
    <row r="5" spans="2:2" ht="30" customHeight="1" x14ac:dyDescent="0.3">
      <c r="B5" s="1" t="s">
        <v>4</v>
      </c>
    </row>
    <row r="6" spans="2:2" ht="30" customHeight="1" x14ac:dyDescent="0.3">
      <c r="B6" s="1" t="s">
        <v>5</v>
      </c>
    </row>
    <row r="7" spans="2:2" ht="30" customHeight="1" x14ac:dyDescent="0.3">
      <c r="B7" s="1" t="s">
        <v>6</v>
      </c>
    </row>
    <row r="8" spans="2:2" ht="30" customHeight="1" x14ac:dyDescent="0.3">
      <c r="B8" s="1" t="s">
        <v>7</v>
      </c>
    </row>
    <row r="9" spans="2:2" ht="30" customHeight="1" x14ac:dyDescent="0.3">
      <c r="B9" s="1"/>
    </row>
    <row r="10" spans="2:2" ht="30" customHeight="1" x14ac:dyDescent="0.3">
      <c r="B10" s="1" t="s">
        <v>64</v>
      </c>
    </row>
    <row r="11" spans="2:2" ht="30" customHeight="1" x14ac:dyDescent="0.3">
      <c r="B11" s="1"/>
    </row>
    <row r="12" spans="2:2" ht="30" customHeight="1" x14ac:dyDescent="0.3">
      <c r="B12" s="1"/>
    </row>
    <row r="13" spans="2:2" ht="30" customHeight="1" x14ac:dyDescent="0.3">
      <c r="B13" s="1"/>
    </row>
    <row r="14" spans="2:2" ht="30" customHeight="1" x14ac:dyDescent="0.3">
      <c r="B14" s="1"/>
    </row>
    <row r="15" spans="2:2" ht="30" customHeight="1" x14ac:dyDescent="0.3">
      <c r="B15" s="1"/>
    </row>
    <row r="16" spans="2:2" ht="30" customHeight="1" x14ac:dyDescent="0.3">
      <c r="B16" s="1"/>
    </row>
    <row r="17" spans="2:2" ht="30" customHeight="1" x14ac:dyDescent="0.3">
      <c r="B17" s="1"/>
    </row>
    <row r="18" spans="2:2" ht="30" customHeight="1" x14ac:dyDescent="0.3">
      <c r="B18" s="1"/>
    </row>
    <row r="19" spans="2:2" ht="30" customHeight="1" x14ac:dyDescent="0.3">
      <c r="B19" s="1"/>
    </row>
    <row r="20" spans="2:2" ht="30" customHeight="1" x14ac:dyDescent="0.3">
      <c r="B20" s="1"/>
    </row>
    <row r="21" spans="2:2" ht="30" customHeight="1" x14ac:dyDescent="0.3">
      <c r="B21" s="1"/>
    </row>
    <row r="22" spans="2:2" ht="30" customHeight="1" x14ac:dyDescent="0.3">
      <c r="B22" s="1"/>
    </row>
    <row r="23" spans="2:2" ht="30" customHeight="1" x14ac:dyDescent="0.3">
      <c r="B23" s="1"/>
    </row>
    <row r="24" spans="2:2" ht="30" customHeight="1" x14ac:dyDescent="0.3">
      <c r="B24" s="1"/>
    </row>
    <row r="25" spans="2:2" ht="30" customHeight="1" x14ac:dyDescent="0.3">
      <c r="B25" s="1"/>
    </row>
    <row r="26" spans="2:2" ht="30" customHeight="1" x14ac:dyDescent="0.3">
      <c r="B26" s="1"/>
    </row>
    <row r="27" spans="2:2" ht="30" customHeight="1" x14ac:dyDescent="0.3">
      <c r="B27" s="1"/>
    </row>
    <row r="28" spans="2:2" ht="30" customHeight="1" x14ac:dyDescent="0.3">
      <c r="B28" s="1"/>
    </row>
    <row r="29" spans="2:2" ht="30" customHeight="1" x14ac:dyDescent="0.3">
      <c r="B29" s="1"/>
    </row>
    <row r="30" spans="2:2" ht="30" customHeight="1" x14ac:dyDescent="0.3">
      <c r="B30" s="1"/>
    </row>
    <row r="31" spans="2:2" ht="30" customHeight="1" x14ac:dyDescent="0.3">
      <c r="B31" s="1"/>
    </row>
    <row r="32" spans="2:2" ht="30" customHeight="1" x14ac:dyDescent="0.3">
      <c r="B32" s="1"/>
    </row>
    <row r="33" spans="2:2" ht="30" customHeight="1" x14ac:dyDescent="0.3">
      <c r="B33" s="1"/>
    </row>
    <row r="34" spans="2:2" ht="30" customHeight="1" x14ac:dyDescent="0.3">
      <c r="B34" s="1"/>
    </row>
    <row r="35" spans="2:2" ht="30" customHeight="1" x14ac:dyDescent="0.3">
      <c r="B35" s="1"/>
    </row>
    <row r="36" spans="2:2" ht="30" customHeight="1" x14ac:dyDescent="0.3">
      <c r="B36" s="1"/>
    </row>
    <row r="37" spans="2:2" ht="30" customHeight="1" x14ac:dyDescent="0.3">
      <c r="B37" s="1"/>
    </row>
    <row r="38" spans="2:2" ht="30" customHeight="1" x14ac:dyDescent="0.3">
      <c r="B38" s="1"/>
    </row>
    <row r="39" spans="2:2" ht="30" customHeight="1" x14ac:dyDescent="0.3">
      <c r="B39" s="1"/>
    </row>
    <row r="40" spans="2:2" ht="30" customHeight="1" x14ac:dyDescent="0.3">
      <c r="B40" s="1"/>
    </row>
    <row r="41" spans="2:2" ht="30" customHeight="1" x14ac:dyDescent="0.3">
      <c r="B41" s="1"/>
    </row>
    <row r="42" spans="2:2" ht="30" customHeight="1" x14ac:dyDescent="0.3">
      <c r="B42" s="1"/>
    </row>
    <row r="43" spans="2:2" ht="30" customHeight="1" x14ac:dyDescent="0.3">
      <c r="B43" s="1"/>
    </row>
    <row r="44" spans="2:2" ht="30" customHeight="1" x14ac:dyDescent="0.3">
      <c r="B44" s="1"/>
    </row>
    <row r="45" spans="2:2" ht="30" customHeight="1" x14ac:dyDescent="0.3">
      <c r="B45" s="1"/>
    </row>
    <row r="46" spans="2:2" ht="30" customHeight="1" x14ac:dyDescent="0.3">
      <c r="B46" s="1"/>
    </row>
    <row r="47" spans="2:2" ht="30" customHeight="1" x14ac:dyDescent="0.3">
      <c r="B47" s="1"/>
    </row>
    <row r="48" spans="2:2" ht="30" customHeight="1" x14ac:dyDescent="0.3">
      <c r="B48" s="1"/>
    </row>
    <row r="49" spans="2:2" ht="30" customHeight="1" x14ac:dyDescent="0.3">
      <c r="B49" s="1"/>
    </row>
    <row r="50" spans="2:2" ht="30" customHeight="1" x14ac:dyDescent="0.3">
      <c r="B50" s="1"/>
    </row>
    <row r="51" spans="2:2" ht="30" customHeight="1" x14ac:dyDescent="0.3">
      <c r="B51" s="1"/>
    </row>
    <row r="52" spans="2:2" ht="30" customHeight="1" x14ac:dyDescent="0.3">
      <c r="B52" s="1"/>
    </row>
    <row r="53" spans="2:2" ht="30" customHeight="1" x14ac:dyDescent="0.3">
      <c r="B53" s="1"/>
    </row>
    <row r="54" spans="2:2" ht="30" customHeight="1" x14ac:dyDescent="0.3">
      <c r="B54" s="1"/>
    </row>
    <row r="55" spans="2:2" ht="30" customHeight="1" x14ac:dyDescent="0.3">
      <c r="B55" s="1"/>
    </row>
    <row r="56" spans="2:2" ht="30" customHeight="1" x14ac:dyDescent="0.3">
      <c r="B56" s="1"/>
    </row>
    <row r="57" spans="2:2" ht="30" customHeight="1" x14ac:dyDescent="0.3">
      <c r="B57" s="1"/>
    </row>
    <row r="58" spans="2:2" ht="30" customHeight="1" x14ac:dyDescent="0.3">
      <c r="B58" s="1"/>
    </row>
    <row r="59" spans="2:2" ht="30" customHeight="1" x14ac:dyDescent="0.3">
      <c r="B59" s="1"/>
    </row>
    <row r="60" spans="2:2" ht="30" customHeight="1" x14ac:dyDescent="0.3">
      <c r="B60" s="1"/>
    </row>
    <row r="61" spans="2:2" ht="30" customHeight="1" x14ac:dyDescent="0.3">
      <c r="B61" s="1"/>
    </row>
    <row r="62" spans="2:2" ht="30" customHeight="1" x14ac:dyDescent="0.3">
      <c r="B62" s="1"/>
    </row>
    <row r="63" spans="2:2" ht="30" customHeight="1" x14ac:dyDescent="0.3">
      <c r="B63" s="1"/>
    </row>
    <row r="64" spans="2:2" ht="30" customHeight="1" x14ac:dyDescent="0.3">
      <c r="B64" s="1"/>
    </row>
    <row r="65" spans="2:2" ht="30" customHeight="1" x14ac:dyDescent="0.3">
      <c r="B65" s="1"/>
    </row>
    <row r="66" spans="2:2" ht="30" customHeight="1" x14ac:dyDescent="0.3">
      <c r="B66" s="1"/>
    </row>
    <row r="67" spans="2:2" ht="30" customHeight="1" x14ac:dyDescent="0.3">
      <c r="B67" s="1"/>
    </row>
    <row r="68" spans="2:2" ht="30" customHeight="1" x14ac:dyDescent="0.3">
      <c r="B68" s="1"/>
    </row>
    <row r="69" spans="2:2" ht="30" customHeight="1" x14ac:dyDescent="0.3">
      <c r="B69" s="1"/>
    </row>
    <row r="70" spans="2:2" ht="30" customHeight="1" x14ac:dyDescent="0.3">
      <c r="B70" s="1"/>
    </row>
    <row r="71" spans="2:2" ht="30" customHeight="1" x14ac:dyDescent="0.3">
      <c r="B71" s="1"/>
    </row>
    <row r="72" spans="2:2" ht="30" customHeight="1" x14ac:dyDescent="0.3">
      <c r="B72" s="1"/>
    </row>
    <row r="73" spans="2:2" ht="30" customHeight="1" x14ac:dyDescent="0.3">
      <c r="B73" s="1"/>
    </row>
    <row r="74" spans="2:2" ht="30" customHeight="1" x14ac:dyDescent="0.3">
      <c r="B74" s="1"/>
    </row>
    <row r="75" spans="2:2" ht="30" customHeight="1" x14ac:dyDescent="0.3">
      <c r="B75" s="1"/>
    </row>
    <row r="76" spans="2:2" ht="30" customHeight="1" x14ac:dyDescent="0.3">
      <c r="B76" s="1"/>
    </row>
    <row r="77" spans="2:2" ht="30" customHeight="1" x14ac:dyDescent="0.3">
      <c r="B77" s="1"/>
    </row>
    <row r="78" spans="2:2" ht="30" customHeight="1" x14ac:dyDescent="0.3">
      <c r="B78" s="1"/>
    </row>
    <row r="79" spans="2:2" ht="30" customHeight="1" x14ac:dyDescent="0.3">
      <c r="B79" s="1"/>
    </row>
    <row r="80" spans="2:2" ht="30" customHeight="1" x14ac:dyDescent="0.3">
      <c r="B80" s="1"/>
    </row>
    <row r="81" spans="2:2" ht="30" customHeight="1" x14ac:dyDescent="0.3">
      <c r="B81" s="1"/>
    </row>
    <row r="82" spans="2:2" ht="30" customHeight="1" x14ac:dyDescent="0.3">
      <c r="B82" s="1"/>
    </row>
    <row r="83" spans="2:2" ht="30" customHeight="1" x14ac:dyDescent="0.3">
      <c r="B83" s="1"/>
    </row>
    <row r="84" spans="2:2" ht="30" customHeight="1" x14ac:dyDescent="0.3">
      <c r="B84" s="1"/>
    </row>
    <row r="85" spans="2:2" ht="30" customHeight="1" x14ac:dyDescent="0.3">
      <c r="B85" s="1"/>
    </row>
    <row r="86" spans="2:2" ht="30" customHeight="1" x14ac:dyDescent="0.3">
      <c r="B86" s="1"/>
    </row>
    <row r="87" spans="2:2" ht="30" customHeight="1" x14ac:dyDescent="0.3">
      <c r="B87" s="1"/>
    </row>
    <row r="88" spans="2:2" ht="30" customHeight="1" x14ac:dyDescent="0.3">
      <c r="B88" s="1"/>
    </row>
    <row r="89" spans="2:2" ht="30" customHeight="1" x14ac:dyDescent="0.3">
      <c r="B89" s="1"/>
    </row>
    <row r="90" spans="2:2" ht="30" customHeight="1" x14ac:dyDescent="0.3">
      <c r="B90" s="1"/>
    </row>
    <row r="91" spans="2:2" ht="30" customHeight="1" x14ac:dyDescent="0.3">
      <c r="B91" s="1"/>
    </row>
    <row r="92" spans="2:2" ht="30" customHeight="1" x14ac:dyDescent="0.3">
      <c r="B92" s="1"/>
    </row>
    <row r="93" spans="2:2" ht="30" customHeight="1" x14ac:dyDescent="0.3">
      <c r="B93" s="1"/>
    </row>
    <row r="94" spans="2:2" ht="30" customHeight="1" x14ac:dyDescent="0.3">
      <c r="B94" s="1"/>
    </row>
    <row r="95" spans="2:2" ht="30" customHeight="1" x14ac:dyDescent="0.3">
      <c r="B95" s="1"/>
    </row>
    <row r="96" spans="2:2" ht="30" customHeight="1" x14ac:dyDescent="0.3">
      <c r="B96" s="1"/>
    </row>
    <row r="97" spans="2:2" ht="30" customHeight="1" x14ac:dyDescent="0.3">
      <c r="B97" s="1"/>
    </row>
    <row r="98" spans="2:2" ht="30" customHeight="1" x14ac:dyDescent="0.3">
      <c r="B98" s="1"/>
    </row>
    <row r="99" spans="2:2" ht="30" customHeight="1" x14ac:dyDescent="0.3">
      <c r="B99" s="1"/>
    </row>
    <row r="100" spans="2:2" ht="30" customHeight="1" x14ac:dyDescent="0.3">
      <c r="B100" s="1"/>
    </row>
    <row r="101" spans="2:2" ht="30" customHeight="1" x14ac:dyDescent="0.3">
      <c r="B101" s="1"/>
    </row>
    <row r="102" spans="2:2" ht="30" customHeight="1" x14ac:dyDescent="0.3">
      <c r="B102" s="1"/>
    </row>
    <row r="103" spans="2:2" ht="30" customHeight="1" x14ac:dyDescent="0.3">
      <c r="B103" s="1"/>
    </row>
    <row r="104" spans="2:2" ht="30" customHeight="1" x14ac:dyDescent="0.3">
      <c r="B104" s="1"/>
    </row>
    <row r="105" spans="2:2" ht="30" customHeight="1" x14ac:dyDescent="0.3">
      <c r="B105" s="1"/>
    </row>
    <row r="106" spans="2:2" ht="30" customHeight="1" x14ac:dyDescent="0.3">
      <c r="B106" s="1"/>
    </row>
    <row r="107" spans="2:2" ht="30" customHeight="1" x14ac:dyDescent="0.3">
      <c r="B107" s="1"/>
    </row>
    <row r="108" spans="2:2" ht="30" customHeight="1" x14ac:dyDescent="0.3">
      <c r="B108" s="1"/>
    </row>
    <row r="109" spans="2:2" ht="30" customHeight="1" x14ac:dyDescent="0.3">
      <c r="B109" s="1"/>
    </row>
    <row r="110" spans="2:2" ht="30" customHeight="1" x14ac:dyDescent="0.3">
      <c r="B110" s="1"/>
    </row>
    <row r="111" spans="2:2" ht="30" customHeight="1" x14ac:dyDescent="0.3">
      <c r="B111" s="1"/>
    </row>
    <row r="112" spans="2:2" ht="30" customHeight="1" x14ac:dyDescent="0.3">
      <c r="B112" s="1"/>
    </row>
    <row r="113" spans="2:2" ht="30" customHeight="1" x14ac:dyDescent="0.3">
      <c r="B113" s="1"/>
    </row>
    <row r="114" spans="2:2" ht="30" customHeight="1" x14ac:dyDescent="0.3">
      <c r="B114" s="1"/>
    </row>
    <row r="115" spans="2:2" ht="30" customHeight="1" x14ac:dyDescent="0.3">
      <c r="B115" s="1"/>
    </row>
    <row r="116" spans="2:2" ht="30" customHeight="1" x14ac:dyDescent="0.3">
      <c r="B116" s="1"/>
    </row>
    <row r="117" spans="2:2" ht="30" customHeight="1" x14ac:dyDescent="0.3">
      <c r="B117" s="1"/>
    </row>
    <row r="118" spans="2:2" ht="30" customHeight="1" x14ac:dyDescent="0.3">
      <c r="B118" s="1"/>
    </row>
    <row r="119" spans="2:2" ht="30" customHeight="1" x14ac:dyDescent="0.3">
      <c r="B119" s="1"/>
    </row>
    <row r="120" spans="2:2" ht="30" customHeight="1" x14ac:dyDescent="0.3">
      <c r="B120" s="1"/>
    </row>
    <row r="121" spans="2:2" ht="30" customHeight="1" x14ac:dyDescent="0.3">
      <c r="B121" s="1"/>
    </row>
  </sheetData>
  <dataValidations count="3">
    <dataValidation allowBlank="1" showInputMessage="1" showErrorMessage="1" prompt="Titre Noms des employés" sqref="B1" xr:uid="{00000000-0002-0000-0C00-000000000000}"/>
    <dataValidation allowBlank="1" showInputMessage="1" showErrorMessage="1" prompt="Entrez les noms des employés dans le tableau Noms des employés dans cette feuille de calcul. Ces noms sont utilisés en tant qu’options dans la colonne B du tableau des absences de chaque mois." sqref="A1" xr:uid="{00000000-0002-0000-0C00-000001000000}"/>
    <dataValidation allowBlank="1" showInputMessage="1" showErrorMessage="1" prompt="Entrez les noms des employés dans cette colonne" sqref="B3" xr:uid="{00000000-0002-0000-0C00-000002000000}"/>
  </dataValidations>
  <pageMargins left="0.7" right="0.7" top="0.75" bottom="0.75" header="0.3" footer="0.3"/>
  <pageSetup paperSize="9" orientation="portrait" horizontalDpi="200" verticalDpi="200" r:id="rId1"/>
  <tableParts count="1">
    <tablePart r:id="rId2"/>
  </tableParts>
</worksheet>
</file>

<file path=docProps/app.xml><?xml version="1.0" encoding="utf-8"?>
<Properties xmlns="http://schemas.openxmlformats.org/officeDocument/2006/extended-properties" xmlns:vt="http://schemas.openxmlformats.org/officeDocument/2006/docPropsVTypes">
  <Template>TM03987167</Template>
  <Application>Microsoft Excel</Application>
  <DocSecurity>0</DocSecurity>
  <ScaleCrop>false</ScaleCrop>
  <HeadingPairs>
    <vt:vector size="4" baseType="variant">
      <vt:variant>
        <vt:lpstr>Feuilles de calcul</vt:lpstr>
      </vt:variant>
      <vt:variant>
        <vt:i4>13</vt:i4>
      </vt:variant>
      <vt:variant>
        <vt:lpstr>Plages nommées</vt:lpstr>
      </vt:variant>
      <vt:variant>
        <vt:i4>50</vt:i4>
      </vt:variant>
    </vt:vector>
  </HeadingPairs>
  <TitlesOfParts>
    <vt:vector size="63" baseType="lpstr">
      <vt:lpstr>Janvier</vt:lpstr>
      <vt:lpstr>Février</vt:lpstr>
      <vt:lpstr>Mars</vt:lpstr>
      <vt:lpstr>Avril</vt:lpstr>
      <vt:lpstr>Mai</vt:lpstr>
      <vt:lpstr>Juin</vt:lpstr>
      <vt:lpstr>Juillet</vt:lpstr>
      <vt:lpstr>Août</vt:lpstr>
      <vt:lpstr>Septembre</vt:lpstr>
      <vt:lpstr>Octobre</vt:lpstr>
      <vt:lpstr>Novembre</vt:lpstr>
      <vt:lpstr>Décembre</vt:lpstr>
      <vt:lpstr>Noms des employés</vt:lpstr>
      <vt:lpstr>AnnéeCalendrier</vt:lpstr>
      <vt:lpstr>CléCongé</vt:lpstr>
      <vt:lpstr>CléMaladie</vt:lpstr>
      <vt:lpstr>CléPersonnalisée1</vt:lpstr>
      <vt:lpstr>CléPersonnalisée2</vt:lpstr>
      <vt:lpstr>CléPersonnel</vt:lpstr>
      <vt:lpstr>ÉtiquetteCléCongé</vt:lpstr>
      <vt:lpstr>ÉtiquetteCléMaladie</vt:lpstr>
      <vt:lpstr>ÉtiquetteCléPersonnalisée1</vt:lpstr>
      <vt:lpstr>ÉtiquetteCléPersonnalisée2</vt:lpstr>
      <vt:lpstr>ÉtiquetteCléPersonnel</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Titre_Absence_Employé</vt:lpstr>
      <vt:lpstr>Titre1</vt:lpstr>
      <vt:lpstr>Titre10</vt:lpstr>
      <vt:lpstr>Titre11</vt:lpstr>
      <vt:lpstr>Titre12</vt:lpstr>
      <vt:lpstr>Titre2</vt:lpstr>
      <vt:lpstr>Titre3</vt:lpstr>
      <vt:lpstr>Titre4</vt:lpstr>
      <vt:lpstr>Titre5</vt:lpstr>
      <vt:lpstr>Titre6</vt:lpstr>
      <vt:lpstr>Titre7</vt:lpstr>
      <vt:lpstr>Titre8</vt:lpstr>
      <vt:lpstr>Titre9</vt:lpstr>
      <vt:lpstr>TitreColonne13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Kevin CONNAN</dc:creator>
  <cp:lastModifiedBy>Kevin CONNAN</cp:lastModifiedBy>
  <dcterms:created xsi:type="dcterms:W3CDTF">2016-12-06T04:52:27Z</dcterms:created>
  <dcterms:modified xsi:type="dcterms:W3CDTF">2023-02-24T15:53:14Z</dcterms:modified>
</cp:coreProperties>
</file>