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drawings/drawing1.xml" ContentType="application/vnd.openxmlformats-officedocument.drawing+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tephanie\Desktop\"/>
    </mc:Choice>
  </mc:AlternateContent>
  <bookViews>
    <workbookView xWindow="0" yWindow="0" windowWidth="21600" windowHeight="9510" tabRatio="686" activeTab="12"/>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Janvier!$AH$5</definedName>
    <definedName name="CléCongé">Janvier!$C$3</definedName>
    <definedName name="CléMaladie">Janvier!$J$3</definedName>
    <definedName name="CléPersonnalisée1">Janvier!$M$3</definedName>
    <definedName name="CléPersonnalisée2">Janvier!$R$3</definedName>
    <definedName name="CléPersonnel">Janvier!$F$3</definedName>
    <definedName name="ÉtiquetteCléCongé">Janvier!$D$3</definedName>
    <definedName name="ÉtiquetteCléMaladie">Janvier!$K$3</definedName>
    <definedName name="ÉtiquetteCléPersonnalisée1">Janvier!$N$3</definedName>
    <definedName name="ÉtiquetteCléPersonnalisée2">Janvier!$S$3</definedName>
    <definedName name="ÉtiquetteCléPersonnel">Janvier!$G$3</definedName>
    <definedName name="_xlnm.Print_Titles" localSheetId="7">Août!$5:$7</definedName>
    <definedName name="_xlnm.Print_Titles" localSheetId="3">Avril!$5:$7</definedName>
    <definedName name="_xlnm.Print_Titles" localSheetId="11">Décembre!$6:$8</definedName>
    <definedName name="_xlnm.Print_Titles" localSheetId="1">Février!$5:$7</definedName>
    <definedName name="_xlnm.Print_Titles" localSheetId="0">Janvier!$5:$7</definedName>
    <definedName name="_xlnm.Print_Titles" localSheetId="6">Juillet!$5:$7</definedName>
    <definedName name="_xlnm.Print_Titles" localSheetId="5">Juin!$5:$7</definedName>
    <definedName name="_xlnm.Print_Titles" localSheetId="4">Mai!$5:$7</definedName>
    <definedName name="_xlnm.Print_Titles" localSheetId="2">Mars!$5:$7</definedName>
    <definedName name="_xlnm.Print_Titles" localSheetId="10">Novembre!$6:$8</definedName>
    <definedName name="_xlnm.Print_Titles" localSheetId="9">Octobre!$6:$8</definedName>
    <definedName name="_xlnm.Print_Titles" localSheetId="8">Septembre!$6:$8</definedName>
    <definedName name="Nom_clé">Janvier!$B$3</definedName>
    <definedName name="NomMois" localSheetId="7">Août!$B$5</definedName>
    <definedName name="NomMois" localSheetId="3">Avril!$B$5</definedName>
    <definedName name="NomMois" localSheetId="11">Décembre!$B$6</definedName>
    <definedName name="NomMois" localSheetId="1">Février!$B$5</definedName>
    <definedName name="NomMois" localSheetId="0">Janvier!$B$5</definedName>
    <definedName name="NomMois" localSheetId="6">Juillet!$B$5</definedName>
    <definedName name="NomMois" localSheetId="5">Juin!$B$5</definedName>
    <definedName name="NomMois" localSheetId="4">Mai!$B$5</definedName>
    <definedName name="NomMois" localSheetId="2">Mars!$B$5</definedName>
    <definedName name="NomMois" localSheetId="10">Novembre!$B$6</definedName>
    <definedName name="NomMois" localSheetId="9">Octobre!$B$6</definedName>
    <definedName name="NomMois" localSheetId="8">Septembre!$B$6</definedName>
    <definedName name="Titre_Absence_Employé">Janvier!$B$2</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52511"/>
</workbook>
</file>

<file path=xl/calcChain.xml><?xml version="1.0" encoding="utf-8"?>
<calcChain xmlns="http://schemas.openxmlformats.org/spreadsheetml/2006/main">
  <c r="AH8" i="21" l="1"/>
  <c r="AH6" i="15" l="1"/>
  <c r="F14" i="23" l="1"/>
  <c r="G14" i="23"/>
  <c r="H14" i="23"/>
  <c r="I14" i="23"/>
  <c r="J14" i="23"/>
  <c r="K14" i="23"/>
  <c r="L14" i="23"/>
  <c r="M14" i="23"/>
  <c r="N14" i="23"/>
  <c r="O14" i="23"/>
  <c r="P14" i="23"/>
  <c r="Q14" i="23"/>
  <c r="R14" i="23"/>
  <c r="S14" i="23"/>
  <c r="T14" i="23"/>
  <c r="U14" i="23"/>
  <c r="V14" i="23"/>
  <c r="W14" i="23"/>
  <c r="X14" i="23"/>
  <c r="Y14" i="23"/>
  <c r="Z14" i="23"/>
  <c r="AA14" i="23"/>
  <c r="AB14" i="23"/>
  <c r="AC14" i="23"/>
  <c r="AD14" i="23"/>
  <c r="AE14" i="23"/>
  <c r="AF14" i="23"/>
  <c r="C14" i="23"/>
  <c r="F14" i="24"/>
  <c r="G14" i="24"/>
  <c r="H14" i="24"/>
  <c r="I14" i="24"/>
  <c r="J14" i="24"/>
  <c r="K14" i="24"/>
  <c r="L14" i="24"/>
  <c r="M14" i="24"/>
  <c r="N14" i="24"/>
  <c r="O14" i="24"/>
  <c r="P14" i="24"/>
  <c r="Q14" i="24"/>
  <c r="R14" i="24"/>
  <c r="S14" i="24"/>
  <c r="T14" i="24"/>
  <c r="U14" i="24"/>
  <c r="V14" i="24"/>
  <c r="W14" i="24"/>
  <c r="X14" i="24"/>
  <c r="Y14" i="24"/>
  <c r="Z14" i="24"/>
  <c r="AA14" i="24"/>
  <c r="AB14" i="24"/>
  <c r="AC14" i="24"/>
  <c r="AD14" i="24"/>
  <c r="AF13" i="19"/>
  <c r="AG13" i="19"/>
  <c r="AF13" i="18" l="1"/>
  <c r="AH8" i="4" l="1"/>
  <c r="AH9" i="4"/>
  <c r="AH10" i="4"/>
  <c r="AH11" i="4"/>
  <c r="AH12" i="4"/>
  <c r="AH9" i="22" l="1"/>
  <c r="AH10" i="22"/>
  <c r="AH8" i="22"/>
  <c r="AH11" i="22"/>
  <c r="AH12" i="22"/>
  <c r="B10" i="15" l="1"/>
  <c r="B11" i="15"/>
  <c r="B12" i="15"/>
  <c r="B13" i="15"/>
  <c r="B9" i="15"/>
  <c r="B10" i="25"/>
  <c r="B11" i="25"/>
  <c r="B12" i="25"/>
  <c r="B13" i="25"/>
  <c r="B9" i="25"/>
  <c r="B10" i="24"/>
  <c r="B11" i="24"/>
  <c r="B12" i="24"/>
  <c r="B13" i="24"/>
  <c r="B9" i="24"/>
  <c r="B10" i="23"/>
  <c r="B11" i="23"/>
  <c r="B12" i="23"/>
  <c r="B13" i="23"/>
  <c r="B9" i="23"/>
  <c r="B9" i="22"/>
  <c r="B10" i="22"/>
  <c r="B11" i="22"/>
  <c r="B12" i="22"/>
  <c r="B8" i="22"/>
  <c r="B9" i="21"/>
  <c r="B10" i="21"/>
  <c r="B11" i="21"/>
  <c r="B12" i="21"/>
  <c r="B8" i="21"/>
  <c r="B9" i="20"/>
  <c r="B10" i="20"/>
  <c r="B11" i="20"/>
  <c r="B12" i="20"/>
  <c r="B8" i="20"/>
  <c r="B9" i="19"/>
  <c r="B10" i="19"/>
  <c r="B11" i="19"/>
  <c r="B12" i="19"/>
  <c r="B8" i="19"/>
  <c r="B9" i="18"/>
  <c r="B10" i="18"/>
  <c r="B11" i="18"/>
  <c r="B12" i="18"/>
  <c r="B8" i="18"/>
  <c r="B9" i="17"/>
  <c r="B10" i="17"/>
  <c r="B11" i="17"/>
  <c r="B12" i="17"/>
  <c r="B8" i="17"/>
  <c r="B9" i="5"/>
  <c r="B10" i="5"/>
  <c r="B11" i="5"/>
  <c r="B12" i="5"/>
  <c r="B8" i="5"/>
  <c r="B9" i="4"/>
  <c r="B10" i="4"/>
  <c r="B11" i="4"/>
  <c r="B12" i="4"/>
  <c r="B8" i="4"/>
  <c r="B14" i="15" l="1"/>
  <c r="B14" i="25"/>
  <c r="B14" i="24"/>
  <c r="B14" i="23"/>
  <c r="B13" i="22"/>
  <c r="B13" i="21"/>
  <c r="B13" i="20"/>
  <c r="B13" i="19"/>
  <c r="B13" i="18"/>
  <c r="B13" i="17"/>
  <c r="B13" i="5"/>
  <c r="B13" i="4"/>
  <c r="B2" i="17"/>
  <c r="B2" i="18"/>
  <c r="B2" i="19"/>
  <c r="B2" i="20"/>
  <c r="B2" i="21"/>
  <c r="B2" i="22"/>
  <c r="B3" i="23"/>
  <c r="B3" i="24"/>
  <c r="B3" i="25"/>
  <c r="B3" i="15"/>
  <c r="B2" i="5"/>
  <c r="AG13" i="4"/>
  <c r="AF13" i="4"/>
  <c r="AE13" i="4"/>
  <c r="AD13" i="4"/>
  <c r="AC13" i="4"/>
  <c r="AB13" i="4"/>
  <c r="AA13" i="4"/>
  <c r="Z13" i="4"/>
  <c r="Y13" i="4"/>
  <c r="X13" i="4"/>
  <c r="W13" i="4"/>
  <c r="V13" i="4"/>
  <c r="U13" i="4"/>
  <c r="T13" i="4"/>
  <c r="S13" i="4"/>
  <c r="R13" i="4"/>
  <c r="Q13" i="4"/>
  <c r="P13" i="4"/>
  <c r="O13" i="4"/>
  <c r="N13" i="4"/>
  <c r="M13" i="4"/>
  <c r="L13" i="4"/>
  <c r="K13" i="4"/>
  <c r="J13" i="4"/>
  <c r="I13" i="4"/>
  <c r="H13" i="4"/>
  <c r="G13" i="4"/>
  <c r="F13" i="4"/>
  <c r="E13" i="4"/>
  <c r="D13" i="4"/>
  <c r="C13" i="4"/>
  <c r="AH10" i="15"/>
  <c r="AH11" i="15"/>
  <c r="AH12" i="15"/>
  <c r="AH13" i="15"/>
  <c r="AH9" i="15"/>
  <c r="AH10" i="25"/>
  <c r="AH11" i="25"/>
  <c r="AH12" i="25"/>
  <c r="AH13" i="25"/>
  <c r="AH9" i="25"/>
  <c r="AH10" i="24"/>
  <c r="AH11" i="24"/>
  <c r="AH12" i="24"/>
  <c r="AH13" i="24"/>
  <c r="AH9" i="24"/>
  <c r="AH10" i="23"/>
  <c r="AH11" i="23"/>
  <c r="AH12" i="23"/>
  <c r="AH13" i="23"/>
  <c r="AH9" i="23"/>
  <c r="AH9" i="21"/>
  <c r="AH10" i="21"/>
  <c r="AH11" i="21"/>
  <c r="AH12" i="21"/>
  <c r="AH9" i="20"/>
  <c r="AH10" i="20"/>
  <c r="AH11" i="20"/>
  <c r="AH12" i="20"/>
  <c r="AH8" i="20"/>
  <c r="AH9" i="19"/>
  <c r="AH10" i="19"/>
  <c r="AH11" i="19"/>
  <c r="AH12" i="19"/>
  <c r="AH8" i="19"/>
  <c r="AH9" i="18"/>
  <c r="AH10" i="18"/>
  <c r="AH11" i="18"/>
  <c r="AH12" i="18"/>
  <c r="AH8" i="18"/>
  <c r="AH9" i="17"/>
  <c r="AH10" i="17"/>
  <c r="AH11" i="17"/>
  <c r="AH12" i="17"/>
  <c r="AH8" i="17"/>
  <c r="AH9" i="5"/>
  <c r="AH10" i="5"/>
  <c r="AH11" i="5"/>
  <c r="AH12" i="5"/>
  <c r="AH8" i="5"/>
  <c r="AG6" i="17"/>
  <c r="AF6" i="17"/>
  <c r="AE6" i="17"/>
  <c r="AD6" i="17"/>
  <c r="AC6" i="17"/>
  <c r="AB6" i="17"/>
  <c r="AA6" i="17"/>
  <c r="Z6" i="17"/>
  <c r="Y6" i="17"/>
  <c r="X6" i="17"/>
  <c r="W6" i="17"/>
  <c r="V6" i="17"/>
  <c r="U6" i="17"/>
  <c r="T6" i="17"/>
  <c r="S6" i="17"/>
  <c r="R6" i="17"/>
  <c r="Q6" i="17"/>
  <c r="P6" i="17"/>
  <c r="O6" i="17"/>
  <c r="N6" i="17"/>
  <c r="M6" i="17"/>
  <c r="L6" i="17"/>
  <c r="K6" i="17"/>
  <c r="J6" i="17"/>
  <c r="I6" i="17"/>
  <c r="H6" i="17"/>
  <c r="G6" i="17"/>
  <c r="F6" i="17"/>
  <c r="E6" i="17"/>
  <c r="D6" i="17"/>
  <c r="C6" i="17"/>
  <c r="AH5" i="17"/>
  <c r="AF6" i="18"/>
  <c r="AE6" i="18"/>
  <c r="AD6" i="18"/>
  <c r="AC6" i="18"/>
  <c r="AB6" i="18"/>
  <c r="AA6" i="18"/>
  <c r="Z6" i="18"/>
  <c r="Y6" i="18"/>
  <c r="X6" i="18"/>
  <c r="W6" i="18"/>
  <c r="V6" i="18"/>
  <c r="U6" i="18"/>
  <c r="T6" i="18"/>
  <c r="S6" i="18"/>
  <c r="R6" i="18"/>
  <c r="Q6" i="18"/>
  <c r="P6" i="18"/>
  <c r="O6" i="18"/>
  <c r="N6" i="18"/>
  <c r="M6" i="18"/>
  <c r="L6" i="18"/>
  <c r="K6" i="18"/>
  <c r="J6" i="18"/>
  <c r="I6" i="18"/>
  <c r="H6" i="18"/>
  <c r="G6" i="18"/>
  <c r="F6" i="18"/>
  <c r="E6" i="18"/>
  <c r="D6" i="18"/>
  <c r="C6" i="18"/>
  <c r="AH5" i="18"/>
  <c r="AG6" i="19"/>
  <c r="AF6" i="19"/>
  <c r="AE6" i="19"/>
  <c r="AD6" i="19"/>
  <c r="AC6" i="19"/>
  <c r="AB6" i="19"/>
  <c r="AA6" i="19"/>
  <c r="Z6" i="19"/>
  <c r="Y6" i="19"/>
  <c r="X6" i="19"/>
  <c r="W6" i="19"/>
  <c r="V6" i="19"/>
  <c r="U6" i="19"/>
  <c r="T6" i="19"/>
  <c r="S6" i="19"/>
  <c r="R6" i="19"/>
  <c r="Q6" i="19"/>
  <c r="P6" i="19"/>
  <c r="O6" i="19"/>
  <c r="N6" i="19"/>
  <c r="M6" i="19"/>
  <c r="L6" i="19"/>
  <c r="K6" i="19"/>
  <c r="J6" i="19"/>
  <c r="I6" i="19"/>
  <c r="H6" i="19"/>
  <c r="G6" i="19"/>
  <c r="F6" i="19"/>
  <c r="E6" i="19"/>
  <c r="D6" i="19"/>
  <c r="C6" i="19"/>
  <c r="AH5" i="19"/>
  <c r="AF6" i="20"/>
  <c r="AE6" i="20"/>
  <c r="AD6" i="20"/>
  <c r="AC6" i="20"/>
  <c r="AB6" i="20"/>
  <c r="AA6" i="20"/>
  <c r="Z6" i="20"/>
  <c r="Y6" i="20"/>
  <c r="X6" i="20"/>
  <c r="W6" i="20"/>
  <c r="V6" i="20"/>
  <c r="U6" i="20"/>
  <c r="T6" i="20"/>
  <c r="S6" i="20"/>
  <c r="R6" i="20"/>
  <c r="Q6" i="20"/>
  <c r="P6" i="20"/>
  <c r="O6" i="20"/>
  <c r="N6" i="20"/>
  <c r="M6" i="20"/>
  <c r="L6" i="20"/>
  <c r="K6" i="20"/>
  <c r="J6" i="20"/>
  <c r="I6" i="20"/>
  <c r="H6" i="20"/>
  <c r="G6" i="20"/>
  <c r="F6" i="20"/>
  <c r="E6" i="20"/>
  <c r="D6" i="20"/>
  <c r="C6" i="20"/>
  <c r="AH5" i="20"/>
  <c r="AG6" i="21"/>
  <c r="AF6" i="21"/>
  <c r="AE6" i="21"/>
  <c r="AD6" i="21"/>
  <c r="AC6" i="21"/>
  <c r="AB6" i="21"/>
  <c r="AA6" i="21"/>
  <c r="Z6" i="21"/>
  <c r="Y6" i="21"/>
  <c r="X6" i="21"/>
  <c r="W6" i="21"/>
  <c r="V6" i="21"/>
  <c r="U6" i="21"/>
  <c r="T6" i="21"/>
  <c r="S6" i="21"/>
  <c r="R6" i="21"/>
  <c r="Q6" i="21"/>
  <c r="P6" i="21"/>
  <c r="O6" i="21"/>
  <c r="N6" i="21"/>
  <c r="M6" i="21"/>
  <c r="L6" i="21"/>
  <c r="K6" i="21"/>
  <c r="J6" i="21"/>
  <c r="I6" i="21"/>
  <c r="H6" i="21"/>
  <c r="G6" i="21"/>
  <c r="F6" i="21"/>
  <c r="E6" i="21"/>
  <c r="D6" i="21"/>
  <c r="C6" i="21"/>
  <c r="AH5" i="21"/>
  <c r="AG6" i="22"/>
  <c r="AF6" i="22"/>
  <c r="AE6" i="22"/>
  <c r="AD6" i="22"/>
  <c r="AC6" i="22"/>
  <c r="AB6" i="22"/>
  <c r="AA6" i="22"/>
  <c r="Z6" i="22"/>
  <c r="Y6" i="22"/>
  <c r="X6" i="22"/>
  <c r="W6" i="22"/>
  <c r="V6" i="22"/>
  <c r="U6" i="22"/>
  <c r="T6" i="22"/>
  <c r="S6" i="22"/>
  <c r="R6" i="22"/>
  <c r="Q6" i="22"/>
  <c r="P6" i="22"/>
  <c r="O6" i="22"/>
  <c r="N6" i="22"/>
  <c r="M6" i="22"/>
  <c r="L6" i="22"/>
  <c r="K6" i="22"/>
  <c r="J6" i="22"/>
  <c r="I6" i="22"/>
  <c r="H6" i="22"/>
  <c r="G6" i="22"/>
  <c r="F6" i="22"/>
  <c r="E6" i="22"/>
  <c r="D6" i="22"/>
  <c r="C6" i="22"/>
  <c r="AH5" i="22"/>
  <c r="AF7" i="23"/>
  <c r="AE7" i="23"/>
  <c r="AD7" i="23"/>
  <c r="AC7" i="23"/>
  <c r="AB7" i="23"/>
  <c r="AA7" i="23"/>
  <c r="Z7" i="23"/>
  <c r="Y7" i="23"/>
  <c r="X7" i="23"/>
  <c r="W7" i="23"/>
  <c r="V7" i="23"/>
  <c r="U7" i="23"/>
  <c r="T7" i="23"/>
  <c r="S7" i="23"/>
  <c r="R7" i="23"/>
  <c r="Q7" i="23"/>
  <c r="P7" i="23"/>
  <c r="O7" i="23"/>
  <c r="N7" i="23"/>
  <c r="M7" i="23"/>
  <c r="L7" i="23"/>
  <c r="K7" i="23"/>
  <c r="J7" i="23"/>
  <c r="I7" i="23"/>
  <c r="H7" i="23"/>
  <c r="G7" i="23"/>
  <c r="F7" i="23"/>
  <c r="E7" i="23"/>
  <c r="D7" i="23"/>
  <c r="C7" i="23"/>
  <c r="AH6" i="23"/>
  <c r="AG7" i="24"/>
  <c r="AF7" i="24"/>
  <c r="AE7" i="24"/>
  <c r="AD7" i="24"/>
  <c r="AC7" i="24"/>
  <c r="AB7" i="24"/>
  <c r="AA7" i="24"/>
  <c r="Z7" i="24"/>
  <c r="Y7" i="24"/>
  <c r="X7" i="24"/>
  <c r="W7" i="24"/>
  <c r="V7" i="24"/>
  <c r="U7" i="24"/>
  <c r="T7" i="24"/>
  <c r="S7" i="24"/>
  <c r="R7" i="24"/>
  <c r="Q7" i="24"/>
  <c r="P7" i="24"/>
  <c r="O7" i="24"/>
  <c r="N7" i="24"/>
  <c r="M7" i="24"/>
  <c r="L7" i="24"/>
  <c r="K7" i="24"/>
  <c r="J7" i="24"/>
  <c r="I7" i="24"/>
  <c r="H7" i="24"/>
  <c r="G7" i="24"/>
  <c r="F7" i="24"/>
  <c r="E7" i="24"/>
  <c r="D7" i="24"/>
  <c r="C7" i="24"/>
  <c r="AH6" i="24"/>
  <c r="AF7" i="25"/>
  <c r="AE7" i="25"/>
  <c r="AD7" i="25"/>
  <c r="AC7" i="25"/>
  <c r="AB7" i="25"/>
  <c r="AA7" i="25"/>
  <c r="Z7" i="25"/>
  <c r="Y7" i="25"/>
  <c r="X7" i="25"/>
  <c r="W7" i="25"/>
  <c r="V7" i="25"/>
  <c r="U7" i="25"/>
  <c r="T7" i="25"/>
  <c r="S7" i="25"/>
  <c r="R7" i="25"/>
  <c r="Q7" i="25"/>
  <c r="P7" i="25"/>
  <c r="O7" i="25"/>
  <c r="N7" i="25"/>
  <c r="M7" i="25"/>
  <c r="L7" i="25"/>
  <c r="K7" i="25"/>
  <c r="J7" i="25"/>
  <c r="I7" i="25"/>
  <c r="H7" i="25"/>
  <c r="G7" i="25"/>
  <c r="F7" i="25"/>
  <c r="E7" i="25"/>
  <c r="D7" i="25"/>
  <c r="C7" i="25"/>
  <c r="AH6" i="25"/>
  <c r="AG7" i="15"/>
  <c r="AF7" i="15"/>
  <c r="AE7" i="15"/>
  <c r="AD7" i="15"/>
  <c r="AC7" i="15"/>
  <c r="AB7" i="15"/>
  <c r="AA7" i="15"/>
  <c r="Z7" i="15"/>
  <c r="Y7" i="15"/>
  <c r="X7" i="15"/>
  <c r="W7" i="15"/>
  <c r="V7" i="15"/>
  <c r="U7" i="15"/>
  <c r="T7" i="15"/>
  <c r="S7" i="15"/>
  <c r="R7" i="15"/>
  <c r="Q7" i="15"/>
  <c r="P7" i="15"/>
  <c r="O7" i="15"/>
  <c r="N7" i="15"/>
  <c r="M7" i="15"/>
  <c r="L7" i="15"/>
  <c r="K7" i="15"/>
  <c r="J7" i="15"/>
  <c r="I7" i="15"/>
  <c r="H7" i="15"/>
  <c r="G7" i="15"/>
  <c r="F7" i="15"/>
  <c r="E7" i="15"/>
  <c r="D7" i="15"/>
  <c r="C7" i="15"/>
  <c r="AE6" i="5"/>
  <c r="AD6" i="5"/>
  <c r="AC6" i="5"/>
  <c r="AB6" i="5"/>
  <c r="AA6" i="5"/>
  <c r="Z6" i="5"/>
  <c r="Y6" i="5"/>
  <c r="X6" i="5"/>
  <c r="W6" i="5"/>
  <c r="V6" i="5"/>
  <c r="U6" i="5"/>
  <c r="T6" i="5"/>
  <c r="S6" i="5"/>
  <c r="R6" i="5"/>
  <c r="Q6" i="5"/>
  <c r="P6" i="5"/>
  <c r="O6" i="5"/>
  <c r="N6" i="5"/>
  <c r="M6" i="5"/>
  <c r="L6" i="5"/>
  <c r="K6" i="5"/>
  <c r="J6" i="5"/>
  <c r="I6" i="5"/>
  <c r="H6" i="5"/>
  <c r="G6" i="5"/>
  <c r="F6" i="5"/>
  <c r="E6" i="5"/>
  <c r="D6" i="5"/>
  <c r="C6" i="5"/>
  <c r="AH5" i="5"/>
  <c r="AG6" i="4"/>
  <c r="AF6" i="4"/>
  <c r="AE6" i="4"/>
  <c r="AD6" i="4"/>
  <c r="AC6" i="4"/>
  <c r="AB6" i="4"/>
  <c r="AA6" i="4"/>
  <c r="Z6" i="4"/>
  <c r="Y6" i="4"/>
  <c r="X6" i="4"/>
  <c r="W6" i="4"/>
  <c r="V6" i="4"/>
  <c r="U6" i="4"/>
  <c r="T6" i="4"/>
  <c r="S6" i="4"/>
  <c r="R6" i="4"/>
  <c r="Q6" i="4"/>
  <c r="P6" i="4"/>
  <c r="O6" i="4"/>
  <c r="N6" i="4"/>
  <c r="M6" i="4"/>
  <c r="L6" i="4"/>
  <c r="K6" i="4"/>
  <c r="J6" i="4"/>
  <c r="I6" i="4"/>
  <c r="H6" i="4"/>
  <c r="G6" i="4"/>
  <c r="F6" i="4"/>
  <c r="E6" i="4"/>
  <c r="D6" i="4"/>
  <c r="C6" i="4"/>
  <c r="AH13" i="18" l="1"/>
  <c r="AG14" i="25"/>
  <c r="AF14" i="25"/>
  <c r="AE14" i="25"/>
  <c r="AD14" i="25"/>
  <c r="AC14" i="25"/>
  <c r="AB14" i="25"/>
  <c r="AA14" i="25"/>
  <c r="Z14" i="25"/>
  <c r="Y14" i="25"/>
  <c r="X14" i="25"/>
  <c r="W14" i="25"/>
  <c r="V14" i="25"/>
  <c r="U14" i="25"/>
  <c r="T14" i="25"/>
  <c r="S14" i="25"/>
  <c r="R14" i="25"/>
  <c r="Q14" i="25"/>
  <c r="P14" i="25"/>
  <c r="O14" i="25"/>
  <c r="N14" i="25"/>
  <c r="M14" i="25"/>
  <c r="L14" i="25"/>
  <c r="K14" i="25"/>
  <c r="J14" i="25"/>
  <c r="I14" i="25"/>
  <c r="H14" i="25"/>
  <c r="G14" i="25"/>
  <c r="F14" i="25"/>
  <c r="E14" i="25"/>
  <c r="D14" i="25"/>
  <c r="C14" i="25"/>
  <c r="AG14" i="24"/>
  <c r="AF14" i="24"/>
  <c r="AE14" i="24"/>
  <c r="E14" i="24"/>
  <c r="D14" i="24"/>
  <c r="C14" i="24"/>
  <c r="AG14" i="23"/>
  <c r="E14" i="23"/>
  <c r="D14" i="23"/>
  <c r="AH14" i="23"/>
  <c r="AG13" i="22"/>
  <c r="AF13" i="22"/>
  <c r="AE13" i="22"/>
  <c r="AD13" i="22"/>
  <c r="AC13" i="22"/>
  <c r="AB13" i="22"/>
  <c r="AA13" i="22"/>
  <c r="Z13" i="22"/>
  <c r="Y13" i="22"/>
  <c r="X13" i="22"/>
  <c r="W13" i="22"/>
  <c r="V13" i="22"/>
  <c r="U13" i="22"/>
  <c r="T13" i="22"/>
  <c r="S13" i="22"/>
  <c r="R13" i="22"/>
  <c r="Q13" i="22"/>
  <c r="P13" i="22"/>
  <c r="O13" i="22"/>
  <c r="N13" i="22"/>
  <c r="M13" i="22"/>
  <c r="L13" i="22"/>
  <c r="K13" i="22"/>
  <c r="J13" i="22"/>
  <c r="I13" i="22"/>
  <c r="H13" i="22"/>
  <c r="G13" i="22"/>
  <c r="F13" i="22"/>
  <c r="E13" i="22"/>
  <c r="D13" i="22"/>
  <c r="C13" i="22"/>
  <c r="AG13" i="21"/>
  <c r="AF13" i="21"/>
  <c r="AE13" i="21"/>
  <c r="AD13" i="21"/>
  <c r="AC13" i="21"/>
  <c r="AB13" i="21"/>
  <c r="AA13" i="21"/>
  <c r="Z13" i="21"/>
  <c r="Y13" i="21"/>
  <c r="X13" i="21"/>
  <c r="W13" i="21"/>
  <c r="V13" i="21"/>
  <c r="U13" i="21"/>
  <c r="T13" i="21"/>
  <c r="S13" i="21"/>
  <c r="R13" i="21"/>
  <c r="Q13" i="21"/>
  <c r="P13" i="21"/>
  <c r="O13" i="21"/>
  <c r="N13" i="21"/>
  <c r="M13" i="21"/>
  <c r="L13" i="21"/>
  <c r="K13" i="21"/>
  <c r="J13" i="21"/>
  <c r="I13" i="21"/>
  <c r="H13" i="21"/>
  <c r="G13" i="21"/>
  <c r="F13" i="21"/>
  <c r="E13" i="21"/>
  <c r="D13" i="21"/>
  <c r="C13" i="21"/>
  <c r="AH13" i="21"/>
  <c r="AG13" i="20"/>
  <c r="AF13" i="20"/>
  <c r="AE13" i="20"/>
  <c r="AD13" i="20"/>
  <c r="AC13" i="20"/>
  <c r="AB13" i="20"/>
  <c r="AA13" i="20"/>
  <c r="Z13" i="20"/>
  <c r="Y13" i="20"/>
  <c r="X13" i="20"/>
  <c r="W13" i="20"/>
  <c r="V13" i="20"/>
  <c r="U13" i="20"/>
  <c r="T13" i="20"/>
  <c r="S13" i="20"/>
  <c r="R13" i="20"/>
  <c r="Q13" i="20"/>
  <c r="P13" i="20"/>
  <c r="O13" i="20"/>
  <c r="N13" i="20"/>
  <c r="M13" i="20"/>
  <c r="L13" i="20"/>
  <c r="K13" i="20"/>
  <c r="J13" i="20"/>
  <c r="I13" i="20"/>
  <c r="H13" i="20"/>
  <c r="G13" i="20"/>
  <c r="F13" i="20"/>
  <c r="E13" i="20"/>
  <c r="D13" i="20"/>
  <c r="C13" i="20"/>
  <c r="AE13" i="19"/>
  <c r="AD13" i="19"/>
  <c r="AC13" i="19"/>
  <c r="AB13" i="19"/>
  <c r="AA13" i="19"/>
  <c r="Z13" i="19"/>
  <c r="Y13" i="19"/>
  <c r="X13" i="19"/>
  <c r="W13" i="19"/>
  <c r="V13" i="19"/>
  <c r="U13" i="19"/>
  <c r="T13" i="19"/>
  <c r="S13" i="19"/>
  <c r="R13" i="19"/>
  <c r="Q13" i="19"/>
  <c r="P13" i="19"/>
  <c r="O13" i="19"/>
  <c r="N13" i="19"/>
  <c r="M13" i="19"/>
  <c r="L13" i="19"/>
  <c r="K13" i="19"/>
  <c r="J13" i="19"/>
  <c r="I13" i="19"/>
  <c r="H13" i="19"/>
  <c r="G13" i="19"/>
  <c r="F13" i="19"/>
  <c r="E13" i="19"/>
  <c r="D13" i="19"/>
  <c r="C13" i="19"/>
  <c r="AG13" i="18"/>
  <c r="AE13" i="18"/>
  <c r="AD13" i="18"/>
  <c r="AC13" i="18"/>
  <c r="AB13" i="18"/>
  <c r="AA13" i="18"/>
  <c r="Z13" i="18"/>
  <c r="Y13" i="18"/>
  <c r="X13" i="18"/>
  <c r="W13" i="18"/>
  <c r="V13" i="18"/>
  <c r="U13" i="18"/>
  <c r="T13" i="18"/>
  <c r="S13" i="18"/>
  <c r="R13" i="18"/>
  <c r="Q13" i="18"/>
  <c r="P13" i="18"/>
  <c r="O13" i="18"/>
  <c r="N13" i="18"/>
  <c r="M13" i="18"/>
  <c r="L13" i="18"/>
  <c r="K13" i="18"/>
  <c r="J13" i="18"/>
  <c r="I13" i="18"/>
  <c r="H13" i="18"/>
  <c r="G13" i="18"/>
  <c r="F13" i="18"/>
  <c r="E13" i="18"/>
  <c r="D13" i="18"/>
  <c r="C13" i="18"/>
  <c r="AG13" i="17"/>
  <c r="AF13" i="17"/>
  <c r="AE13" i="17"/>
  <c r="AD13" i="17"/>
  <c r="AC13" i="17"/>
  <c r="AB13" i="17"/>
  <c r="AA13" i="17"/>
  <c r="Z13" i="17"/>
  <c r="Y13" i="17"/>
  <c r="X13" i="17"/>
  <c r="W13" i="17"/>
  <c r="V13" i="17"/>
  <c r="U13" i="17"/>
  <c r="T13" i="17"/>
  <c r="S13" i="17"/>
  <c r="R13" i="17"/>
  <c r="Q13" i="17"/>
  <c r="P13" i="17"/>
  <c r="O13" i="17"/>
  <c r="N13" i="17"/>
  <c r="M13" i="17"/>
  <c r="L13" i="17"/>
  <c r="K13" i="17"/>
  <c r="J13" i="17"/>
  <c r="I13" i="17"/>
  <c r="H13" i="17"/>
  <c r="G13" i="17"/>
  <c r="F13" i="17"/>
  <c r="E13" i="17"/>
  <c r="D13" i="17"/>
  <c r="C13" i="17"/>
  <c r="AH13" i="17"/>
  <c r="AH13" i="22" l="1"/>
  <c r="AH14" i="25"/>
  <c r="AH13" i="20"/>
  <c r="AH13" i="19"/>
  <c r="AH14" i="24"/>
  <c r="AG14" i="15" l="1"/>
  <c r="AF14" i="15"/>
  <c r="AH14" i="15" l="1"/>
  <c r="C14" i="15"/>
  <c r="D14" i="15"/>
  <c r="E14" i="15"/>
  <c r="F14" i="15"/>
  <c r="G14" i="15"/>
  <c r="H14" i="15"/>
  <c r="I14" i="15"/>
  <c r="J14" i="15"/>
  <c r="K14" i="15"/>
  <c r="L14" i="15"/>
  <c r="M14" i="15"/>
  <c r="N14" i="15"/>
  <c r="O14" i="15"/>
  <c r="P14" i="15"/>
  <c r="Q14" i="15"/>
  <c r="R14" i="15"/>
  <c r="S14" i="15"/>
  <c r="T14" i="15"/>
  <c r="U14" i="15"/>
  <c r="V14" i="15"/>
  <c r="W14" i="15"/>
  <c r="X14" i="15"/>
  <c r="Y14" i="15"/>
  <c r="Z14" i="15"/>
  <c r="AA14" i="15"/>
  <c r="AB14" i="15"/>
  <c r="AC14" i="15"/>
  <c r="AD14" i="15"/>
  <c r="AE14" i="15"/>
  <c r="AE13" i="5" l="1"/>
  <c r="AD13" i="5"/>
  <c r="AC13" i="5"/>
  <c r="AB13" i="5"/>
  <c r="AA13" i="5"/>
  <c r="Z13" i="5"/>
  <c r="Y13" i="5"/>
  <c r="X13" i="5"/>
  <c r="W13" i="5"/>
  <c r="V13" i="5"/>
  <c r="U13" i="5"/>
  <c r="T13" i="5"/>
  <c r="S13" i="5"/>
  <c r="R13" i="5"/>
  <c r="Q13" i="5"/>
  <c r="P13" i="5"/>
  <c r="O13" i="5"/>
  <c r="N13" i="5"/>
  <c r="M13" i="5"/>
  <c r="L13" i="5"/>
  <c r="K13" i="5"/>
  <c r="J13" i="5"/>
  <c r="I13" i="5"/>
  <c r="H13" i="5"/>
  <c r="G13" i="5"/>
  <c r="F13" i="5"/>
  <c r="E13" i="5"/>
  <c r="D13" i="5"/>
  <c r="C13" i="5"/>
  <c r="AH13" i="5" l="1"/>
  <c r="AH13" i="4" l="1"/>
</calcChain>
</file>

<file path=xl/sharedStrings.xml><?xml version="1.0" encoding="utf-8"?>
<sst xmlns="http://schemas.openxmlformats.org/spreadsheetml/2006/main" count="700" uniqueCount="71">
  <si>
    <t>Calendrier des absences des employés</t>
  </si>
  <si>
    <t>Clé de motif d’absence</t>
  </si>
  <si>
    <t>Janvier</t>
  </si>
  <si>
    <t>Nom de l’employé</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</si>
  <si>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</si>
  <si>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</si>
  <si>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</si>
  <si>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</si>
  <si>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</si>
  <si>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</si>
  <si>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</si>
  <si>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</si>
  <si>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</si>
  <si>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</si>
  <si>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</si>
  <si>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</si>
  <si>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</si>
  <si>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</si>
  <si>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</si>
  <si>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</si>
  <si>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</si>
  <si>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</si>
  <si>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</si>
  <si>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</si>
  <si>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</si>
  <si>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</si>
  <si>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</si>
  <si>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</si>
  <si>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</si>
  <si>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</si>
  <si>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</si>
  <si>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</si>
  <si>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</si>
  <si>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</si>
  <si>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</si>
  <si>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</si>
  <si>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</si>
  <si>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</si>
  <si>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</si>
  <si>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</si>
  <si>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</si>
  <si>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</si>
  <si>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</si>
  <si>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</si>
  <si>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</si>
  <si>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</si>
  <si>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</si>
  <si>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</si>
  <si>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</si>
  <si>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</si>
  <si>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</si>
  <si>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</si>
  <si>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</si>
  <si>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</si>
  <si>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</si>
  <si>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</si>
  <si>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</si>
  <si>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</si>
  <si>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</si>
  <si>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</si>
  <si>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FERIE</t>
  </si>
  <si>
    <t>X</t>
  </si>
  <si>
    <t>CHOMAGE PARTIEL</t>
  </si>
  <si>
    <t>Arret SECU</t>
  </si>
  <si>
    <t>S</t>
  </si>
  <si>
    <t>CF</t>
  </si>
  <si>
    <t>Confin. (mag fermé)</t>
  </si>
  <si>
    <t>FERIÉ</t>
  </si>
  <si>
    <t>1 - Carole</t>
  </si>
  <si>
    <t xml:space="preserve">2 - Laïla </t>
  </si>
  <si>
    <t>3 - Jean-Claude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</si>
</sst>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3"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FF0000"/>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s>
  <fills count="26">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lightUp"/>
    </fill>
    <fill>
      <patternFill patternType="lightUp">
        <bgColor auto="1"/>
      </patternFill>
    </fill>
    <fill>
      <patternFill patternType="solid">
        <fgColor theme="1" tint="0.249977111117893"/>
        <bgColor indexed="64"/>
      </patternFill>
    </fill>
    <fill>
      <patternFill patternType="solid">
        <fgColor theme="1" tint="0.14999847407452621"/>
        <bgColor indexed="64"/>
      </patternFill>
    </fill>
    <fill>
      <patternFill patternType="lightUp">
        <bgColor theme="1" tint="0.14999847407452621"/>
      </patternFill>
    </fill>
  </fills>
  <borders count="2">
    <border>
      <left/>
      <right/>
      <top/>
      <bottom/>
      <diagonal/>
    </border>
    <border>
      <left style="thin">
        <color theme="0"/>
      </left>
      <right style="thin">
        <color theme="0"/>
      </right>
      <top/>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43">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4" fontId="2" fillId="9" borderId="0" xfId="8" applyNumberFormat="1" applyFont="1" applyAlignment="1" applyProtection="1">
      <alignment horizontal="center" vertical="center"/>
    </xf>
    <xf numFmtId="164"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6" fillId="2" borderId="0" xfId="3" applyProtection="1">
      <alignment horizontal="center" vertical="center"/>
    </xf>
    <xf numFmtId="0" fontId="7"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8" fillId="0" borderId="0" xfId="27" applyProtection="1">
      <alignment horizontal="center"/>
    </xf>
    <xf numFmtId="0" fontId="7" fillId="0" borderId="0" xfId="1">
      <alignment vertical="top"/>
    </xf>
    <xf numFmtId="0" fontId="0" fillId="0" borderId="0" xfId="26" applyFont="1" applyFill="1" applyBorder="1">
      <alignment horizontal="left" vertical="center" wrapText="1" indent="2"/>
    </xf>
    <xf numFmtId="0" fontId="0" fillId="0" borderId="0" xfId="26" applyFont="1">
      <alignment horizontal="left" vertical="center" wrapText="1" indent="2"/>
    </xf>
    <xf numFmtId="0" fontId="0" fillId="0" borderId="0" xfId="0" applyFont="1" applyFill="1" applyBorder="1" applyAlignment="1" applyProtection="1">
      <alignment horizontal="left" vertical="center" indent="1"/>
    </xf>
    <xf numFmtId="164" fontId="0" fillId="0" borderId="0" xfId="0" applyNumberFormat="1" applyFont="1" applyFill="1" applyBorder="1" applyAlignment="1" applyProtection="1">
      <alignment horizontal="center" vertical="center"/>
    </xf>
    <xf numFmtId="0" fontId="0" fillId="21" borderId="0" xfId="0" applyFont="1" applyFill="1" applyBorder="1" applyAlignment="1" applyProtection="1">
      <alignment horizontal="center" vertical="center"/>
    </xf>
    <xf numFmtId="0" fontId="0" fillId="2" borderId="0" xfId="0" applyFont="1" applyFill="1" applyBorder="1" applyAlignment="1" applyProtection="1">
      <alignment horizontal="center" vertical="center"/>
    </xf>
    <xf numFmtId="0" fontId="0" fillId="21" borderId="1" xfId="0" applyFont="1" applyFill="1" applyBorder="1" applyAlignment="1">
      <alignment horizontal="center" vertical="center"/>
    </xf>
    <xf numFmtId="164" fontId="2" fillId="22" borderId="0" xfId="24" applyNumberFormat="1" applyFont="1" applyFill="1" applyAlignment="1" applyProtection="1">
      <alignment horizontal="center" vertical="center"/>
    </xf>
    <xf numFmtId="0" fontId="9" fillId="0" borderId="0" xfId="0" applyFont="1">
      <alignment horizontal="left" vertical="center"/>
    </xf>
    <xf numFmtId="0" fontId="0" fillId="23" borderId="0" xfId="0" applyFont="1" applyFill="1" applyBorder="1" applyAlignment="1" applyProtection="1">
      <alignment horizontal="center" vertical="center"/>
    </xf>
    <xf numFmtId="164" fontId="2" fillId="22" borderId="0" xfId="8" applyNumberFormat="1" applyFont="1" applyFill="1" applyAlignment="1" applyProtection="1">
      <alignment horizontal="center" vertical="center"/>
    </xf>
    <xf numFmtId="0" fontId="10" fillId="0" borderId="0" xfId="0" applyFont="1" applyFill="1" applyBorder="1" applyAlignment="1" applyProtection="1">
      <alignment horizontal="left" vertical="center" indent="1"/>
    </xf>
    <xf numFmtId="164" fontId="10" fillId="0" borderId="0" xfId="0" applyNumberFormat="1" applyFont="1" applyFill="1" applyBorder="1" applyAlignment="1" applyProtection="1">
      <alignment horizontal="center" vertical="center"/>
    </xf>
    <xf numFmtId="0" fontId="11" fillId="0" borderId="0" xfId="0" applyFont="1" applyFill="1" applyBorder="1" applyAlignment="1" applyProtection="1">
      <alignment horizontal="left" vertical="center" indent="1"/>
    </xf>
    <xf numFmtId="164" fontId="11" fillId="0" borderId="0" xfId="0" applyNumberFormat="1" applyFont="1" applyFill="1" applyBorder="1" applyAlignment="1" applyProtection="1">
      <alignment horizontal="center" vertical="center"/>
    </xf>
    <xf numFmtId="0" fontId="12" fillId="0" borderId="0" xfId="0" applyFont="1" applyFill="1" applyBorder="1" applyAlignment="1" applyProtection="1">
      <alignment horizontal="left" vertical="center" indent="1"/>
    </xf>
    <xf numFmtId="164" fontId="12" fillId="0" borderId="0" xfId="0" applyNumberFormat="1" applyFont="1" applyFill="1" applyBorder="1" applyAlignment="1" applyProtection="1">
      <alignment horizontal="center" vertical="center"/>
    </xf>
    <xf numFmtId="0" fontId="0" fillId="24" borderId="0" xfId="0" applyFont="1" applyFill="1" applyBorder="1" applyAlignment="1" applyProtection="1">
      <alignment horizontal="center" vertical="center"/>
    </xf>
    <xf numFmtId="0" fontId="0" fillId="25" borderId="1" xfId="0" applyFont="1" applyFill="1" applyBorder="1" applyAlignment="1">
      <alignment horizontal="center" vertical="center"/>
    </xf>
    <xf numFmtId="164" fontId="2" fillId="25" borderId="0" xfId="24" applyNumberFormat="1" applyFont="1" applyFill="1" applyAlignment="1" applyProtection="1">
      <alignment horizontal="center" vertical="center"/>
    </xf>
    <xf numFmtId="0" fontId="6" fillId="2" borderId="0" xfId="3" applyProtection="1">
      <alignment horizontal="center" vertical="center"/>
    </xf>
    <xf numFmtId="0" fontId="1" fillId="2" borderId="0" xfId="21" applyAlignment="1" applyProtection="1">
      <alignment horizontal="left" vertical="center"/>
    </xf>
    <xf numFmtId="0" fontId="0" fillId="2" borderId="0" xfId="21" applyFont="1" applyAlignment="1" applyProtection="1">
      <alignment horizontal="left"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987">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fill>
        <patternFill patternType="solid">
          <fgColor indexed="64"/>
          <bgColor theme="2"/>
        </patternFill>
      </fill>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fgColor indexed="64"/>
          <bgColor theme="2"/>
        </patternFill>
      </fill>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fgColor indexed="64"/>
          <bgColor theme="2"/>
        </patternFill>
      </fill>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fgColor indexed="64"/>
          <bgColor theme="2"/>
        </patternFill>
      </fill>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986"/>
      <tableStyleElement type="headerRow" dxfId="985"/>
      <tableStyleElement type="totalRow" dxfId="984"/>
      <tableStyleElement type="firstColumn" dxfId="983"/>
      <tableStyleElement type="lastColumn" dxfId="982"/>
      <tableStyleElement type="firstRowStripe" dxfId="981"/>
      <tableStyleElement type="secondRowStripe" dxfId="980"/>
      <tableStyleElement type="firstColumnStripe" dxfId="979"/>
      <tableStyleElement type="secondColumnStripe" dxfId="978"/>
      <tableStyleElement type="firstHeaderCell" dxfId="977"/>
      <tableStyleElement type="lastHeaderCell" dxfId="976"/>
      <tableStyleElement type="firstTotalCell" dxfId="975"/>
      <tableStyleElement type="lastTotalCell" dxfId="97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1</xdr:colOff>
      <xdr:row>0</xdr:row>
      <xdr:rowOff>1</xdr:rowOff>
    </xdr:from>
    <xdr:to>
      <xdr:col>7</xdr:col>
      <xdr:colOff>0</xdr:colOff>
      <xdr:row>0</xdr:row>
      <xdr:rowOff>1038225</xdr:rowOff>
    </xdr:to>
    <xdr:pic>
      <xdr:nvPicPr>
        <xdr:cNvPr id="2" name="Image 1"/>
        <xdr:cNvPicPr>
          <a:picLocks noChangeAspect="1"/>
        </xdr:cNvPicPr>
      </xdr:nvPicPr>
      <xdr:blipFill>
        <a:blip xmlns:r="http://schemas.openxmlformats.org/officeDocument/2006/relationships" r:embed="rId1"/>
        <a:stretch>
          <a:fillRect/>
        </a:stretch>
      </xdr:blipFill>
      <xdr:spPr>
        <a:xfrm>
          <a:off x="180976" y="1"/>
          <a:ext cx="3286124" cy="1038224"/>
        </a:xfrm>
        <a:prstGeom prst="rect">
          <a:avLst/>
        </a:prstGeom>
      </xdr:spPr>
    </xdr:pic>
    <xdr:clientData/>
  </xdr:twoCellAnchor>
</xdr:wsDr>
</file>

<file path=xl/tables/table1.xml><?xml version="1.0" encoding="utf-8"?>
<table xmlns="http://schemas.openxmlformats.org/spreadsheetml/2006/main" id="3" name="Janvier" displayName="Janvier" ref="B7:AH13" totalsRowCount="1" headerRowDxfId="968" dataDxfId="967" totalsRowDxfId="966">
  <autoFilter ref="B7:AH12">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name="Nom de l’employé" totalsRowFunction="custom" dataDxfId="965" totalsRowDxfId="964">
      <calculatedColumnFormula>'Noms des employés'!B4</calculatedColumnFormula>
      <totalsRowFormula>NomMois&amp;" Total"</totalsRowFormula>
    </tableColumn>
    <tableColumn id="2" name="1" totalsRowFunction="custom" dataDxfId="963" totalsRowDxfId="962" dataCellStyle="Total">
      <totalsRowFormula>SUBTOTAL(103,Janvier!$C$8:$C$12)</totalsRowFormula>
    </tableColumn>
    <tableColumn id="3" name="2" totalsRowFunction="custom" dataDxfId="961" totalsRowDxfId="960" dataCellStyle="Total">
      <totalsRowFormula>SUBTOTAL(103,Janvier!$D$8:$D$12)</totalsRowFormula>
    </tableColumn>
    <tableColumn id="4" name="3" totalsRowFunction="custom" dataDxfId="959" totalsRowDxfId="958" dataCellStyle="Total">
      <totalsRowFormula>SUBTOTAL(103,Janvier!$E$8:$E$12)</totalsRowFormula>
    </tableColumn>
    <tableColumn id="5" name="4" totalsRowFunction="custom" dataDxfId="957" totalsRowDxfId="956" dataCellStyle="Total">
      <totalsRowFormula>SUBTOTAL(103,Janvier!$F$8:$F$12)</totalsRowFormula>
    </tableColumn>
    <tableColumn id="6" name="5" totalsRowFunction="custom" totalsRowDxfId="955" dataCellStyle="Total">
      <totalsRowFormula>SUBTOTAL(103,Janvier!$G$8:$G$12)</totalsRowFormula>
    </tableColumn>
    <tableColumn id="7" name="6" totalsRowFunction="custom" dataDxfId="954" totalsRowDxfId="953" dataCellStyle="Total">
      <totalsRowFormula>SUBTOTAL(103,Janvier!$H$8:$H$12)</totalsRowFormula>
    </tableColumn>
    <tableColumn id="8" name="7" totalsRowFunction="custom" dataDxfId="952" totalsRowDxfId="951" dataCellStyle="Total">
      <totalsRowFormula>SUBTOTAL(103,Janvier!$I$8:$I$12)</totalsRowFormula>
    </tableColumn>
    <tableColumn id="9" name="8" totalsRowFunction="custom" dataDxfId="950" totalsRowDxfId="949" dataCellStyle="Total">
      <totalsRowFormula>SUBTOTAL(103,Janvier!$J$8:$J$12)</totalsRowFormula>
    </tableColumn>
    <tableColumn id="10" name="9" totalsRowFunction="custom" dataDxfId="948" totalsRowDxfId="947" dataCellStyle="Total">
      <totalsRowFormula>SUBTOTAL(103,Janvier!$K$8:$K$12)</totalsRowFormula>
    </tableColumn>
    <tableColumn id="11" name="10" totalsRowFunction="custom" dataDxfId="946" totalsRowDxfId="945" dataCellStyle="Total">
      <totalsRowFormula>SUBTOTAL(103,Janvier!$L$8:$L$12)</totalsRowFormula>
    </tableColumn>
    <tableColumn id="12" name="11" totalsRowFunction="custom" dataDxfId="944" totalsRowDxfId="943" dataCellStyle="Total">
      <totalsRowFormula>SUBTOTAL(103,Janvier!$M$8:$M$12)</totalsRowFormula>
    </tableColumn>
    <tableColumn id="13" name="12" totalsRowFunction="custom" dataDxfId="942" totalsRowDxfId="941" dataCellStyle="Total">
      <totalsRowFormula>SUBTOTAL(103,Janvier!$N$8:$N$12)</totalsRowFormula>
    </tableColumn>
    <tableColumn id="14" name="13" totalsRowFunction="custom" dataDxfId="940" totalsRowDxfId="939" dataCellStyle="Total">
      <totalsRowFormula>SUBTOTAL(103,Janvier!$O$8:$O$12)</totalsRowFormula>
    </tableColumn>
    <tableColumn id="15" name="14" totalsRowFunction="custom" dataDxfId="938" totalsRowDxfId="937" dataCellStyle="Total">
      <totalsRowFormula>SUBTOTAL(103,Janvier!$P$8:$P$12)</totalsRowFormula>
    </tableColumn>
    <tableColumn id="16" name="15" totalsRowFunction="custom" dataDxfId="936" totalsRowDxfId="935" dataCellStyle="Total">
      <totalsRowFormula>SUBTOTAL(103,Janvier!$Q$8:$Q$12)</totalsRowFormula>
    </tableColumn>
    <tableColumn id="17" name="16" totalsRowFunction="custom" dataDxfId="934" totalsRowDxfId="933" dataCellStyle="Total">
      <totalsRowFormula>SUBTOTAL(103,Janvier!$R$8:$R$12)</totalsRowFormula>
    </tableColumn>
    <tableColumn id="18" name="17" totalsRowFunction="custom" dataDxfId="932" totalsRowDxfId="931" dataCellStyle="Total">
      <totalsRowFormula>SUBTOTAL(103,Janvier!$S$8:$S$12)</totalsRowFormula>
    </tableColumn>
    <tableColumn id="19" name="18" totalsRowFunction="custom" dataDxfId="930" totalsRowDxfId="929" dataCellStyle="Total">
      <totalsRowFormula>SUBTOTAL(103,Janvier!$T$8:$T$12)</totalsRowFormula>
    </tableColumn>
    <tableColumn id="20" name="19" totalsRowFunction="custom" dataDxfId="928" totalsRowDxfId="927" dataCellStyle="Total">
      <totalsRowFormula>SUBTOTAL(103,Janvier!$U$8:$U$12)</totalsRowFormula>
    </tableColumn>
    <tableColumn id="21" name="20" totalsRowFunction="custom" dataDxfId="926" totalsRowDxfId="925" dataCellStyle="Total">
      <totalsRowFormula>SUBTOTAL(103,Janvier!$V$8:$V$12)</totalsRowFormula>
    </tableColumn>
    <tableColumn id="22" name="21" totalsRowFunction="custom" dataDxfId="924" totalsRowDxfId="923" dataCellStyle="Total">
      <totalsRowFormula>SUBTOTAL(103,Janvier!$W$8:$W$12)</totalsRowFormula>
    </tableColumn>
    <tableColumn id="23" name="22" totalsRowFunction="custom" dataDxfId="922" totalsRowDxfId="921" dataCellStyle="Total">
      <totalsRowFormula>SUBTOTAL(103,Janvier!$X$8:$X$12)</totalsRowFormula>
    </tableColumn>
    <tableColumn id="24" name="23" totalsRowFunction="custom" dataDxfId="920" totalsRowDxfId="919" dataCellStyle="Total">
      <totalsRowFormula>SUBTOTAL(103,Janvier!$Y$8:$Y$12)</totalsRowFormula>
    </tableColumn>
    <tableColumn id="25" name="24" totalsRowFunction="custom" dataDxfId="918" totalsRowDxfId="917" dataCellStyle="Total">
      <totalsRowFormula>SUBTOTAL(103,Janvier!$Z$8:$Z$12)</totalsRowFormula>
    </tableColumn>
    <tableColumn id="26" name="25" totalsRowFunction="custom" dataDxfId="916" totalsRowDxfId="915" dataCellStyle="Total">
      <totalsRowFormula>SUBTOTAL(103,Janvier!$AA$8:$AA$12)</totalsRowFormula>
    </tableColumn>
    <tableColumn id="27" name="26" totalsRowFunction="custom" dataDxfId="914" totalsRowDxfId="913" dataCellStyle="Total">
      <totalsRowFormula>SUBTOTAL(103,Janvier!$AB$8:$AB$12)</totalsRowFormula>
    </tableColumn>
    <tableColumn id="28" name="27" totalsRowFunction="custom" dataDxfId="912" totalsRowDxfId="911" dataCellStyle="Total">
      <totalsRowFormula>SUBTOTAL(103,Janvier!$AC$8:$AC$12)</totalsRowFormula>
    </tableColumn>
    <tableColumn id="29" name="28" totalsRowFunction="custom" dataDxfId="910" totalsRowDxfId="909" dataCellStyle="Total">
      <totalsRowFormula>SUBTOTAL(103,Janvier!$AD$8:$AD$12)</totalsRowFormula>
    </tableColumn>
    <tableColumn id="30" name="29" totalsRowFunction="custom" dataDxfId="908" totalsRowDxfId="907" dataCellStyle="Total">
      <totalsRowFormula>SUBTOTAL(103,Janvier!$AE$8:$AE$12)</totalsRowFormula>
    </tableColumn>
    <tableColumn id="31" name="30" totalsRowFunction="custom" dataDxfId="906" totalsRowDxfId="905" dataCellStyle="Total">
      <totalsRowFormula>SUBTOTAL(103,Janvier!$AF$8:$AF$12)</totalsRowFormula>
    </tableColumn>
    <tableColumn id="32" name="31" totalsRowFunction="custom" dataDxfId="904" totalsRowDxfId="903" dataCellStyle="Total">
      <totalsRowFormula>SUBTOTAL(103,Janvier!$AG$8:$AG$12)</totalsRowFormula>
    </tableColumn>
    <tableColumn id="33" name="Total des jours" totalsRowFunction="sum" dataDxfId="902" totalsRowDxfId="901" dataCellStyle="Total">
      <calculatedColumnFormula>COUNTA(Janvier!$D8:$AG8)</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7:AH13" totalsRowCount="1" headerRowDxfId="893" dataDxfId="892" totalsRowDxfId="891">
  <tableColumns count="33">
    <tableColumn id="1" name="Nom de l’employé" totalsRowFunction="custom" dataDxfId="890" totalsRowDxfId="889">
      <calculatedColumnFormula>'Noms des employés'!B4</calculatedColumnFormula>
      <totalsRowFormula>NomMois&amp;" Total"</totalsRowFormula>
    </tableColumn>
    <tableColumn id="2" name="1" totalsRowFunction="count" dataDxfId="888" totalsRowDxfId="887" dataCellStyle="Total"/>
    <tableColumn id="3" name="2" totalsRowFunction="count" dataDxfId="886" totalsRowDxfId="885" dataCellStyle="Total"/>
    <tableColumn id="4" name="3" totalsRowFunction="count" dataDxfId="884" totalsRowDxfId="883" dataCellStyle="Total"/>
    <tableColumn id="5" name="4" totalsRowFunction="count" dataDxfId="882" totalsRowDxfId="881" dataCellStyle="Total"/>
    <tableColumn id="6" name="5" totalsRowFunction="count" dataDxfId="880" totalsRowDxfId="879" dataCellStyle="Total"/>
    <tableColumn id="7" name="6" totalsRowFunction="count" dataDxfId="878" totalsRowDxfId="877" dataCellStyle="Total"/>
    <tableColumn id="8" name="7" totalsRowFunction="count" dataDxfId="876" totalsRowDxfId="875" dataCellStyle="Total"/>
    <tableColumn id="9" name="8" totalsRowFunction="count" dataDxfId="874" totalsRowDxfId="873" dataCellStyle="Total"/>
    <tableColumn id="10" name="9" totalsRowFunction="count" dataDxfId="872" totalsRowDxfId="871" dataCellStyle="Total"/>
    <tableColumn id="11" name="10" totalsRowFunction="count" dataDxfId="870" totalsRowDxfId="869" dataCellStyle="Total"/>
    <tableColumn id="12" name="11" totalsRowFunction="count" dataDxfId="868" totalsRowDxfId="867" dataCellStyle="Total"/>
    <tableColumn id="13" name="12" totalsRowFunction="count" dataDxfId="866" totalsRowDxfId="865" dataCellStyle="Total"/>
    <tableColumn id="14" name="13" totalsRowFunction="count" dataDxfId="864" totalsRowDxfId="863" dataCellStyle="Total"/>
    <tableColumn id="15" name="14" totalsRowFunction="count" dataDxfId="862" totalsRowDxfId="861" dataCellStyle="Total"/>
    <tableColumn id="16" name="15" totalsRowFunction="count" dataDxfId="860" totalsRowDxfId="859" dataCellStyle="Total"/>
    <tableColumn id="17" name="16" totalsRowFunction="count" dataDxfId="858" totalsRowDxfId="857" dataCellStyle="Total"/>
    <tableColumn id="18" name="17" totalsRowFunction="count" dataDxfId="856" totalsRowDxfId="855" dataCellStyle="Total"/>
    <tableColumn id="19" name="18" totalsRowFunction="count" dataDxfId="854" totalsRowDxfId="853" dataCellStyle="Total"/>
    <tableColumn id="20" name="19" totalsRowFunction="count" dataDxfId="852" totalsRowDxfId="851" dataCellStyle="Total"/>
    <tableColumn id="21" name="20" totalsRowFunction="count" dataDxfId="850" totalsRowDxfId="849" dataCellStyle="Total"/>
    <tableColumn id="22" name="21" totalsRowFunction="count" dataDxfId="848" totalsRowDxfId="847" dataCellStyle="Total"/>
    <tableColumn id="23" name="22" totalsRowFunction="count" dataDxfId="846" totalsRowDxfId="845" dataCellStyle="Total"/>
    <tableColumn id="24" name="23" totalsRowFunction="count" dataDxfId="844" totalsRowDxfId="843" dataCellStyle="Total"/>
    <tableColumn id="25" name="24" totalsRowFunction="count" dataDxfId="842" totalsRowDxfId="841" dataCellStyle="Total"/>
    <tableColumn id="26" name="25" totalsRowFunction="count" dataDxfId="840" totalsRowDxfId="839" dataCellStyle="Total"/>
    <tableColumn id="27" name="26" totalsRowFunction="count" dataDxfId="838" totalsRowDxfId="837" dataCellStyle="Total"/>
    <tableColumn id="28" name="27" totalsRowFunction="count" dataDxfId="836" totalsRowDxfId="835" dataCellStyle="Total"/>
    <tableColumn id="29" name="28" totalsRowFunction="count" dataDxfId="834" totalsRowDxfId="833" dataCellStyle="Total"/>
    <tableColumn id="30" name="29" totalsRowFunction="count" dataDxfId="832" totalsRowDxfId="831" dataCellStyle="Total"/>
    <tableColumn id="31" name=" " dataDxfId="830" totalsRowDxfId="829" dataCellStyle="Total"/>
    <tableColumn id="32" name="  " dataDxfId="828" totalsRowDxfId="827" dataCellStyle="Total"/>
    <tableColumn id="33" name="Total des jours" totalsRowFunction="sum" dataDxfId="826" totalsRowDxfId="825" dataCellStyle="Total">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7:AH13" totalsRowCount="1" headerRowDxfId="814" dataDxfId="813" totalsRowDxfId="812">
  <tableColumns count="33">
    <tableColumn id="1" name="Nom de l’employé" totalsRowFunction="custom" dataDxfId="811" totalsRowDxfId="810">
      <calculatedColumnFormula>'Noms des employés'!B4</calculatedColumnFormula>
      <totalsRowFormula>NomMois&amp;" Total"</totalsRowFormula>
    </tableColumn>
    <tableColumn id="2" name="1" totalsRowFunction="count" dataDxfId="809" totalsRowDxfId="808"/>
    <tableColumn id="3" name="2" totalsRowFunction="count" dataDxfId="807" totalsRowDxfId="806"/>
    <tableColumn id="4" name="3" totalsRowFunction="count" dataDxfId="805" totalsRowDxfId="804"/>
    <tableColumn id="5" name="4" totalsRowFunction="count" dataDxfId="803" totalsRowDxfId="802"/>
    <tableColumn id="6" name="5" totalsRowFunction="count" dataDxfId="801" totalsRowDxfId="800"/>
    <tableColumn id="7" name="6" totalsRowFunction="count" dataDxfId="799" totalsRowDxfId="798"/>
    <tableColumn id="8" name="7" totalsRowFunction="count" dataDxfId="797" totalsRowDxfId="796"/>
    <tableColumn id="9" name="8" totalsRowFunction="count" dataDxfId="795" totalsRowDxfId="794"/>
    <tableColumn id="10" name="9" totalsRowFunction="count" dataDxfId="793" totalsRowDxfId="792"/>
    <tableColumn id="11" name="10" totalsRowFunction="count" dataDxfId="791" totalsRowDxfId="790"/>
    <tableColumn id="12" name="11" totalsRowFunction="count" dataDxfId="789" totalsRowDxfId="788"/>
    <tableColumn id="13" name="12" totalsRowFunction="count" dataDxfId="787" totalsRowDxfId="786"/>
    <tableColumn id="14" name="13" totalsRowFunction="count" dataDxfId="785" totalsRowDxfId="784"/>
    <tableColumn id="15" name="14" totalsRowFunction="count" dataDxfId="783" totalsRowDxfId="782"/>
    <tableColumn id="16" name="15" totalsRowFunction="count" dataDxfId="781" totalsRowDxfId="780"/>
    <tableColumn id="17" name="16" totalsRowFunction="count" dataDxfId="779" totalsRowDxfId="778"/>
    <tableColumn id="18" name="17" totalsRowFunction="count" dataDxfId="777" totalsRowDxfId="776"/>
    <tableColumn id="19" name="18" totalsRowFunction="count" dataDxfId="775" totalsRowDxfId="774"/>
    <tableColumn id="20" name="19" totalsRowFunction="count" dataDxfId="773" totalsRowDxfId="772"/>
    <tableColumn id="21" name="20" totalsRowFunction="count" dataDxfId="771" totalsRowDxfId="770"/>
    <tableColumn id="22" name="21" totalsRowFunction="count" dataDxfId="769" totalsRowDxfId="768"/>
    <tableColumn id="23" name="22" totalsRowFunction="count" dataDxfId="767" totalsRowDxfId="766"/>
    <tableColumn id="24" name="23" totalsRowFunction="count" dataDxfId="765" totalsRowDxfId="764"/>
    <tableColumn id="25" name="24" totalsRowFunction="count" dataDxfId="763" totalsRowDxfId="762"/>
    <tableColumn id="26" name="25" totalsRowFunction="count" dataDxfId="761" totalsRowDxfId="760"/>
    <tableColumn id="27" name="26" totalsRowFunction="count" dataDxfId="759" totalsRowDxfId="758"/>
    <tableColumn id="28" name="27" totalsRowFunction="count" dataDxfId="757" totalsRowDxfId="756"/>
    <tableColumn id="29" name="28" totalsRowFunction="count" dataDxfId="755" totalsRowDxfId="754"/>
    <tableColumn id="30" name="29" totalsRowFunction="count" dataDxfId="753" totalsRowDxfId="752"/>
    <tableColumn id="31" name="30" totalsRowFunction="sum" dataDxfId="751" totalsRowDxfId="750"/>
    <tableColumn id="32" name="31" totalsRowFunction="sum" dataDxfId="749" totalsRowDxfId="748" dataCellStyle="Total"/>
    <tableColumn id="33" name="Total des jours" totalsRowFunction="sum" dataDxfId="747" totalsRowDxfId="746" dataCellStyle="Total">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7:AH13" totalsRowCount="1" headerRowDxfId="715" dataDxfId="714" totalsRowDxfId="713">
  <tableColumns count="33">
    <tableColumn id="1" name="Nom de l’employé" totalsRowFunction="custom" dataDxfId="712" totalsRowDxfId="711">
      <calculatedColumnFormula>'Noms des employés'!B4</calculatedColumnFormula>
      <totalsRowFormula>NomMois&amp;" Total"</totalsRowFormula>
    </tableColumn>
    <tableColumn id="2" name="1" totalsRowFunction="count" dataDxfId="710" totalsRowDxfId="709"/>
    <tableColumn id="3" name="2" totalsRowFunction="count" dataDxfId="708" totalsRowDxfId="707"/>
    <tableColumn id="4" name="3" totalsRowFunction="count" dataDxfId="706" totalsRowDxfId="705"/>
    <tableColumn id="5" name="4" totalsRowFunction="count" dataDxfId="704" totalsRowDxfId="703"/>
    <tableColumn id="6" name="5" totalsRowFunction="count" dataDxfId="702" totalsRowDxfId="701"/>
    <tableColumn id="7" name="6" totalsRowFunction="count" dataDxfId="700" totalsRowDxfId="699"/>
    <tableColumn id="8" name="7" totalsRowFunction="count" dataDxfId="698" totalsRowDxfId="697"/>
    <tableColumn id="9" name="8" totalsRowFunction="count" dataDxfId="696" totalsRowDxfId="695"/>
    <tableColumn id="10" name="9" totalsRowFunction="count" dataDxfId="694" totalsRowDxfId="693"/>
    <tableColumn id="11" name="10" totalsRowFunction="count" dataDxfId="692" totalsRowDxfId="691"/>
    <tableColumn id="12" name="11" totalsRowFunction="count" dataDxfId="690" totalsRowDxfId="689"/>
    <tableColumn id="13" name="12" totalsRowFunction="count" dataDxfId="688" totalsRowDxfId="687"/>
    <tableColumn id="14" name="13" totalsRowFunction="count" dataDxfId="686" totalsRowDxfId="685"/>
    <tableColumn id="15" name="14" totalsRowFunction="count" dataDxfId="684" totalsRowDxfId="683"/>
    <tableColumn id="16" name="15" totalsRowFunction="count" dataDxfId="682" totalsRowDxfId="681"/>
    <tableColumn id="17" name="16" totalsRowFunction="count" dataDxfId="680" totalsRowDxfId="679"/>
    <tableColumn id="18" name="17" totalsRowFunction="count" dataDxfId="678" totalsRowDxfId="677"/>
    <tableColumn id="19" name="18" totalsRowFunction="count" dataDxfId="676" totalsRowDxfId="675"/>
    <tableColumn id="20" name="19" totalsRowFunction="count" dataDxfId="674" totalsRowDxfId="673"/>
    <tableColumn id="21" name="20" totalsRowFunction="count" dataDxfId="672" totalsRowDxfId="671"/>
    <tableColumn id="22" name="21" totalsRowFunction="count" dataDxfId="670" totalsRowDxfId="669"/>
    <tableColumn id="23" name="22" totalsRowFunction="count" dataDxfId="668" totalsRowDxfId="667"/>
    <tableColumn id="24" name="23" totalsRowFunction="count" dataDxfId="666" totalsRowDxfId="665"/>
    <tableColumn id="25" name="24" totalsRowFunction="count" dataDxfId="664" totalsRowDxfId="663"/>
    <tableColumn id="26" name="25" totalsRowFunction="count" dataDxfId="662" totalsRowDxfId="661"/>
    <tableColumn id="27" name="26" totalsRowFunction="count" dataDxfId="660" totalsRowDxfId="659"/>
    <tableColumn id="28" name="27" totalsRowFunction="count" dataDxfId="658" totalsRowDxfId="657"/>
    <tableColumn id="29" name="28" totalsRowFunction="count" dataDxfId="656" totalsRowDxfId="655"/>
    <tableColumn id="30" name="29" totalsRowFunction="count" dataDxfId="654" totalsRowDxfId="653"/>
    <tableColumn id="31" name="30" totalsRowFunction="count" dataDxfId="652" totalsRowDxfId="651"/>
    <tableColumn id="32" name="31" totalsRowFunction="sum" dataDxfId="650" totalsRowDxfId="649" dataCellStyle="Total"/>
    <tableColumn id="33" name="Total des jours" totalsRowFunction="sum" dataDxfId="648" totalsRowDxfId="647" dataCellStyle="Total">
      <calculatedColumnFormula>COUNTA(Avril[[#This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7:AH13" totalsRowCount="1" headerRowDxfId="611" dataDxfId="610" totalsRowDxfId="609">
  <tableColumns count="33">
    <tableColumn id="1" name="Nom de l’employé" totalsRowFunction="custom" dataDxfId="608" totalsRowDxfId="607">
      <calculatedColumnFormula>'Noms des employés'!B4</calculatedColumnFormula>
      <totalsRowFormula>NomMois&amp;" Total"</totalsRowFormula>
    </tableColumn>
    <tableColumn id="2" name="1" totalsRowFunction="count" dataDxfId="606" totalsRowDxfId="605"/>
    <tableColumn id="3" name="2" totalsRowFunction="count" dataDxfId="604" totalsRowDxfId="603"/>
    <tableColumn id="4" name="3" totalsRowFunction="count" dataDxfId="602" totalsRowDxfId="601"/>
    <tableColumn id="5" name="4" totalsRowFunction="count" dataDxfId="600" totalsRowDxfId="599"/>
    <tableColumn id="6" name="5" totalsRowFunction="count" dataDxfId="598" totalsRowDxfId="597"/>
    <tableColumn id="7" name="6" totalsRowFunction="count" dataDxfId="596" totalsRowDxfId="595"/>
    <tableColumn id="8" name="7" totalsRowFunction="count" dataDxfId="594" totalsRowDxfId="593"/>
    <tableColumn id="9" name="8" totalsRowFunction="count" dataDxfId="592" totalsRowDxfId="591"/>
    <tableColumn id="10" name="9" totalsRowFunction="count" dataDxfId="590" totalsRowDxfId="589"/>
    <tableColumn id="11" name="10" totalsRowFunction="count" dataDxfId="588" totalsRowDxfId="587"/>
    <tableColumn id="12" name="11" totalsRowFunction="count" dataDxfId="586" totalsRowDxfId="585"/>
    <tableColumn id="13" name="12" totalsRowFunction="count" dataDxfId="584" totalsRowDxfId="583"/>
    <tableColumn id="14" name="13" totalsRowFunction="count" dataDxfId="582" totalsRowDxfId="581"/>
    <tableColumn id="15" name="14" totalsRowFunction="count" dataDxfId="580" totalsRowDxfId="579"/>
    <tableColumn id="16" name="15" totalsRowFunction="count" dataDxfId="578" totalsRowDxfId="577"/>
    <tableColumn id="17" name="16" totalsRowFunction="count" dataDxfId="576" totalsRowDxfId="575"/>
    <tableColumn id="18" name="17" totalsRowFunction="count" dataDxfId="574" totalsRowDxfId="573"/>
    <tableColumn id="19" name="18" totalsRowFunction="count" dataDxfId="572" totalsRowDxfId="571"/>
    <tableColumn id="20" name="19" totalsRowFunction="count" dataDxfId="570" totalsRowDxfId="569"/>
    <tableColumn id="21" name="20" totalsRowFunction="count" dataDxfId="568" totalsRowDxfId="567"/>
    <tableColumn id="22" name="21" totalsRowFunction="count" dataDxfId="566" totalsRowDxfId="565"/>
    <tableColumn id="23" name="22" totalsRowFunction="count" dataDxfId="564" totalsRowDxfId="563"/>
    <tableColumn id="24" name="23" totalsRowFunction="count" dataDxfId="562" totalsRowDxfId="561"/>
    <tableColumn id="25" name="24" totalsRowFunction="count" dataDxfId="560" totalsRowDxfId="559"/>
    <tableColumn id="26" name="25" totalsRowFunction="count" dataDxfId="558" totalsRowDxfId="557"/>
    <tableColumn id="27" name="26" totalsRowFunction="count" dataDxfId="556" totalsRowDxfId="555"/>
    <tableColumn id="28" name="27" totalsRowFunction="count" dataDxfId="554" totalsRowDxfId="553"/>
    <tableColumn id="29" name="28" totalsRowFunction="count" dataDxfId="552" totalsRowDxfId="551"/>
    <tableColumn id="30" name="29" totalsRowFunction="count" dataDxfId="550" totalsRowDxfId="549"/>
    <tableColumn id="31" name="30" totalsRowFunction="count" dataDxfId="548" totalsRowDxfId="547"/>
    <tableColumn id="32" name="31" totalsRowFunction="count" dataDxfId="546" totalsRowDxfId="545" dataCellStyle="Total"/>
    <tableColumn id="33" name="Total des jours" totalsRowFunction="sum" dataDxfId="544" totalsRowDxfId="543" dataCellStyle="Total">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7:AH13" totalsRowCount="1" headerRowDxfId="537" dataDxfId="536" totalsRowDxfId="535">
  <tableColumns count="33">
    <tableColumn id="1" name="Nom de l’employé" totalsRowFunction="custom" dataDxfId="534" totalsRowDxfId="533">
      <calculatedColumnFormula>'Noms des employés'!B4</calculatedColumnFormula>
      <totalsRowFormula>NomMois&amp;" Total"</totalsRowFormula>
    </tableColumn>
    <tableColumn id="2" name="1" totalsRowFunction="count" dataDxfId="532" totalsRowDxfId="531"/>
    <tableColumn id="3" name="2" totalsRowFunction="count" dataDxfId="530" totalsRowDxfId="529"/>
    <tableColumn id="4" name="3" totalsRowFunction="count" dataDxfId="528" totalsRowDxfId="527"/>
    <tableColumn id="5" name="4" totalsRowFunction="count" dataDxfId="526" totalsRowDxfId="525"/>
    <tableColumn id="6" name="5" totalsRowFunction="count" dataDxfId="524" totalsRowDxfId="523"/>
    <tableColumn id="7" name="6" totalsRowFunction="count" dataDxfId="522" totalsRowDxfId="521"/>
    <tableColumn id="8" name="7" totalsRowFunction="count" dataDxfId="520" totalsRowDxfId="519"/>
    <tableColumn id="9" name="8" totalsRowFunction="count" dataDxfId="518" totalsRowDxfId="517"/>
    <tableColumn id="10" name="9" totalsRowFunction="count" dataDxfId="516" totalsRowDxfId="515"/>
    <tableColumn id="11" name="10" totalsRowFunction="count" dataDxfId="514" totalsRowDxfId="513"/>
    <tableColumn id="12" name="11" totalsRowFunction="count" dataDxfId="512" totalsRowDxfId="511"/>
    <tableColumn id="13" name="12" totalsRowFunction="count" dataDxfId="510" totalsRowDxfId="509"/>
    <tableColumn id="14" name="13" totalsRowFunction="count" dataDxfId="508" totalsRowDxfId="507"/>
    <tableColumn id="15" name="14" totalsRowFunction="count" dataDxfId="506" totalsRowDxfId="505"/>
    <tableColumn id="16" name="15" totalsRowFunction="count" dataDxfId="504" totalsRowDxfId="503"/>
    <tableColumn id="17" name="16" totalsRowFunction="count" dataDxfId="502" totalsRowDxfId="501"/>
    <tableColumn id="18" name="17" totalsRowFunction="count" dataDxfId="500" totalsRowDxfId="499"/>
    <tableColumn id="19" name="18" totalsRowFunction="count" dataDxfId="498" totalsRowDxfId="497"/>
    <tableColumn id="20" name="19" totalsRowFunction="count" dataDxfId="496" totalsRowDxfId="495"/>
    <tableColumn id="21" name="20" totalsRowFunction="count" dataDxfId="494" totalsRowDxfId="493"/>
    <tableColumn id="22" name="21" totalsRowFunction="count" dataDxfId="492" totalsRowDxfId="491"/>
    <tableColumn id="23" name="22" totalsRowFunction="count" dataDxfId="490" totalsRowDxfId="489"/>
    <tableColumn id="24" name="23" totalsRowFunction="count" dataDxfId="488" totalsRowDxfId="487"/>
    <tableColumn id="25" name="24" totalsRowFunction="count" dataDxfId="486" totalsRowDxfId="485"/>
    <tableColumn id="26" name="25" totalsRowFunction="count" dataDxfId="484" totalsRowDxfId="483"/>
    <tableColumn id="27" name="26" totalsRowFunction="count" dataDxfId="482" totalsRowDxfId="481"/>
    <tableColumn id="28" name="27" totalsRowFunction="count" dataDxfId="480" totalsRowDxfId="479"/>
    <tableColumn id="29" name="28" totalsRowFunction="count" dataDxfId="478" totalsRowDxfId="477"/>
    <tableColumn id="30" name="29" totalsRowFunction="count" dataDxfId="476" totalsRowDxfId="475"/>
    <tableColumn id="31" name="30" totalsRowFunction="sum" dataDxfId="474" totalsRowDxfId="473"/>
    <tableColumn id="32" name="31" totalsRowFunction="sum" dataDxfId="472" totalsRowDxfId="471" dataCellStyle="Total"/>
    <tableColumn id="33" name="Total des jours" totalsRowFunction="sum" dataDxfId="470" totalsRowDxfId="469" dataCellStyle="Total">
      <calculatedColumnFormula>COUNTA(Juin[[#This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7:AH13" totalsRowCount="1" headerRowDxfId="453" dataDxfId="452" totalsRowDxfId="451">
  <tableColumns count="33">
    <tableColumn id="1" name="Nom de l’employé" totalsRowFunction="custom" dataDxfId="450" totalsRowDxfId="65">
      <calculatedColumnFormula>'Noms des employés'!B4</calculatedColumnFormula>
      <totalsRowFormula>NomMois&amp;" Total"</totalsRowFormula>
    </tableColumn>
    <tableColumn id="2" name="1" totalsRowFunction="count" dataDxfId="449" totalsRowDxfId="64"/>
    <tableColumn id="3" name="2" totalsRowFunction="count" dataDxfId="448" totalsRowDxfId="63"/>
    <tableColumn id="4" name="3" totalsRowFunction="count" dataDxfId="447" totalsRowDxfId="62"/>
    <tableColumn id="5" name="4" totalsRowFunction="count" dataDxfId="446" totalsRowDxfId="61"/>
    <tableColumn id="6" name="5" totalsRowFunction="count" dataDxfId="445" totalsRowDxfId="60"/>
    <tableColumn id="7" name="6" totalsRowFunction="count" dataDxfId="444" totalsRowDxfId="59"/>
    <tableColumn id="8" name="7" totalsRowFunction="count" dataDxfId="443" totalsRowDxfId="58"/>
    <tableColumn id="9" name="8" totalsRowFunction="count" dataDxfId="442" totalsRowDxfId="57"/>
    <tableColumn id="10" name="9" totalsRowFunction="count" dataDxfId="441" totalsRowDxfId="56"/>
    <tableColumn id="11" name="10" totalsRowFunction="count" dataDxfId="440" totalsRowDxfId="55"/>
    <tableColumn id="12" name="11" totalsRowFunction="count" dataDxfId="439" totalsRowDxfId="54"/>
    <tableColumn id="13" name="12" totalsRowFunction="count" dataDxfId="438" totalsRowDxfId="53"/>
    <tableColumn id="14" name="13" totalsRowFunction="count" dataDxfId="437" totalsRowDxfId="52"/>
    <tableColumn id="15" name="14" totalsRowFunction="count" dataDxfId="436" totalsRowDxfId="51"/>
    <tableColumn id="16" name="15" totalsRowFunction="count" dataDxfId="435" totalsRowDxfId="50"/>
    <tableColumn id="17" name="16" totalsRowFunction="count" dataDxfId="434" totalsRowDxfId="49"/>
    <tableColumn id="18" name="17" totalsRowFunction="count" dataDxfId="433" totalsRowDxfId="48"/>
    <tableColumn id="19" name="18" totalsRowFunction="count" dataDxfId="432" totalsRowDxfId="47"/>
    <tableColumn id="20" name="19" totalsRowFunction="count" dataDxfId="431" totalsRowDxfId="46"/>
    <tableColumn id="21" name="20" totalsRowFunction="count" dataDxfId="430" totalsRowDxfId="45"/>
    <tableColumn id="22" name="21" totalsRowFunction="count" dataDxfId="429" totalsRowDxfId="44"/>
    <tableColumn id="23" name="22" totalsRowFunction="count" dataDxfId="428" totalsRowDxfId="43"/>
    <tableColumn id="24" name="23" totalsRowFunction="count" dataDxfId="427" totalsRowDxfId="42"/>
    <tableColumn id="25" name="24" totalsRowFunction="count" dataDxfId="426" totalsRowDxfId="41"/>
    <tableColumn id="26" name="25" totalsRowFunction="count" dataDxfId="425" totalsRowDxfId="40"/>
    <tableColumn id="27" name="26" totalsRowFunction="count" dataDxfId="424" totalsRowDxfId="39"/>
    <tableColumn id="28" name="27" totalsRowFunction="count" dataDxfId="423" totalsRowDxfId="38"/>
    <tableColumn id="29" name="28" totalsRowFunction="count" dataDxfId="422" totalsRowDxfId="37"/>
    <tableColumn id="30" name="29" totalsRowFunction="count" dataDxfId="421" totalsRowDxfId="36"/>
    <tableColumn id="31" name="30" totalsRowFunction="sum" dataDxfId="420" totalsRowDxfId="35"/>
    <tableColumn id="32" name="31" totalsRowFunction="sum" dataDxfId="419" totalsRowDxfId="34" dataCellStyle="Total"/>
    <tableColumn id="33" name="Total des jours" totalsRowFunction="sum" dataDxfId="418" totalsRowDxfId="33" dataCellStyle="Total">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7:AH13" totalsRowCount="1" headerRowDxfId="397" dataDxfId="396" totalsRowDxfId="395">
  <tableColumns count="33">
    <tableColumn id="1" name="Nom de l’employé" totalsRowFunction="custom" dataDxfId="394" totalsRowDxfId="393">
      <calculatedColumnFormula>'Noms des employés'!B4</calculatedColumnFormula>
      <totalsRowFormula>NomMois&amp;" Total"</totalsRowFormula>
    </tableColumn>
    <tableColumn id="2" name="1" totalsRowFunction="count" dataDxfId="392" totalsRowDxfId="391"/>
    <tableColumn id="3" name="2" totalsRowFunction="count" dataDxfId="390" totalsRowDxfId="389"/>
    <tableColumn id="4" name="3" totalsRowFunction="count" dataDxfId="388" totalsRowDxfId="387"/>
    <tableColumn id="5" name="4" totalsRowFunction="count" dataDxfId="386" totalsRowDxfId="385"/>
    <tableColumn id="6" name="5" totalsRowFunction="count" dataDxfId="384" totalsRowDxfId="383"/>
    <tableColumn id="7" name="6" totalsRowFunction="count" dataDxfId="382" totalsRowDxfId="381"/>
    <tableColumn id="8" name="7" totalsRowFunction="count" dataDxfId="380" totalsRowDxfId="379"/>
    <tableColumn id="9" name="8" totalsRowFunction="count" dataDxfId="378" totalsRowDxfId="377"/>
    <tableColumn id="10" name="9" totalsRowFunction="count" dataDxfId="376" totalsRowDxfId="375"/>
    <tableColumn id="11" name="10" totalsRowFunction="count" dataDxfId="374" totalsRowDxfId="373"/>
    <tableColumn id="12" name="11" totalsRowFunction="count" dataDxfId="372" totalsRowDxfId="371"/>
    <tableColumn id="13" name="12" totalsRowFunction="count" dataDxfId="370" totalsRowDxfId="369"/>
    <tableColumn id="14" name="13" totalsRowFunction="count" dataDxfId="368" totalsRowDxfId="367"/>
    <tableColumn id="15" name="14" totalsRowFunction="count" dataDxfId="366" totalsRowDxfId="365"/>
    <tableColumn id="16" name="15" totalsRowFunction="count" dataDxfId="364" totalsRowDxfId="363"/>
    <tableColumn id="17" name="16" totalsRowFunction="count" dataDxfId="362" totalsRowDxfId="361"/>
    <tableColumn id="18" name="17" totalsRowFunction="count" dataDxfId="360" totalsRowDxfId="359"/>
    <tableColumn id="19" name="18" totalsRowFunction="count" dataDxfId="358" totalsRowDxfId="357"/>
    <tableColumn id="20" name="19" totalsRowFunction="count" dataDxfId="356" totalsRowDxfId="355"/>
    <tableColumn id="21" name="20" totalsRowFunction="count" dataDxfId="354" totalsRowDxfId="353"/>
    <tableColumn id="22" name="21" totalsRowFunction="count" dataDxfId="352" totalsRowDxfId="351"/>
    <tableColumn id="23" name="22" totalsRowFunction="count" dataDxfId="350" totalsRowDxfId="349"/>
    <tableColumn id="24" name="23" totalsRowFunction="count" dataDxfId="348" totalsRowDxfId="347"/>
    <tableColumn id="25" name="24" totalsRowFunction="count" dataDxfId="346" totalsRowDxfId="345"/>
    <tableColumn id="26" name="25" totalsRowFunction="count" dataDxfId="344" totalsRowDxfId="343"/>
    <tableColumn id="27" name="26" totalsRowFunction="count" dataDxfId="342" totalsRowDxfId="341"/>
    <tableColumn id="28" name="27" totalsRowFunction="count" dataDxfId="340" totalsRowDxfId="339"/>
    <tableColumn id="29" name="28" totalsRowFunction="count" dataDxfId="338" totalsRowDxfId="337"/>
    <tableColumn id="30" name="29" totalsRowFunction="count" dataDxfId="336" totalsRowDxfId="335"/>
    <tableColumn id="31" name="30" totalsRowFunction="sum" dataDxfId="334" totalsRowDxfId="333"/>
    <tableColumn id="32" name="31" totalsRowFunction="sum" dataDxfId="332" totalsRowDxfId="331" dataCellStyle="Total"/>
    <tableColumn id="33" name="Total des jours" totalsRowFunction="sum" dataDxfId="330" totalsRowDxfId="329" dataCellStyle="Total">
      <calculatedColumnFormula>COUNTA(Août[[#This Row],[1]:[31]])-COUNTIF(Août[[#This Row],[1]:[31]],"F")</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8:AH14" totalsRowCount="1" headerRowDxfId="323" dataDxfId="322" totalsRowDxfId="321">
  <tableColumns count="33">
    <tableColumn id="1" name="Nom de l’employé" totalsRowFunction="custom" dataDxfId="320" totalsRowDxfId="319">
      <calculatedColumnFormula>'Noms des employés'!B4</calculatedColumnFormula>
      <totalsRowFormula>NomMois&amp;" Total"</totalsRowFormula>
    </tableColumn>
    <tableColumn id="2" name="1" totalsRowFunction="count" dataDxfId="318" totalsRowDxfId="317"/>
    <tableColumn id="3" name="2" totalsRowFunction="count" dataDxfId="316" totalsRowDxfId="315"/>
    <tableColumn id="4" name="3" totalsRowFunction="count" dataDxfId="314" totalsRowDxfId="313"/>
    <tableColumn id="5" name="4" totalsRowFunction="count" dataDxfId="312" totalsRowDxfId="311"/>
    <tableColumn id="6" name="5" totalsRowFunction="count" dataDxfId="310" totalsRowDxfId="309"/>
    <tableColumn id="7" name="6" totalsRowFunction="count" dataDxfId="308" totalsRowDxfId="307"/>
    <tableColumn id="8" name="7" totalsRowFunction="count" dataDxfId="306" totalsRowDxfId="305"/>
    <tableColumn id="9" name="8" totalsRowFunction="count" dataDxfId="304" totalsRowDxfId="303"/>
    <tableColumn id="10" name="9" totalsRowFunction="count" dataDxfId="302" totalsRowDxfId="301"/>
    <tableColumn id="11" name="10" totalsRowFunction="count" dataDxfId="300" totalsRowDxfId="299"/>
    <tableColumn id="12" name="11" totalsRowFunction="count" dataDxfId="298" totalsRowDxfId="297"/>
    <tableColumn id="13" name="12" totalsRowFunction="count" dataDxfId="296" totalsRowDxfId="295"/>
    <tableColumn id="14" name="13" totalsRowFunction="count" dataDxfId="294" totalsRowDxfId="293"/>
    <tableColumn id="15" name="14" totalsRowFunction="count" dataDxfId="292" totalsRowDxfId="291"/>
    <tableColumn id="16" name="15" totalsRowFunction="count" dataDxfId="290" totalsRowDxfId="289"/>
    <tableColumn id="17" name="16" totalsRowFunction="count" dataDxfId="288" totalsRowDxfId="287"/>
    <tableColumn id="18" name="17" totalsRowFunction="count" dataDxfId="286" totalsRowDxfId="285"/>
    <tableColumn id="19" name="18" totalsRowFunction="count" dataDxfId="284" totalsRowDxfId="283"/>
    <tableColumn id="20" name="19" totalsRowFunction="count" dataDxfId="282" totalsRowDxfId="281"/>
    <tableColumn id="21" name="20" totalsRowFunction="count" dataDxfId="280" totalsRowDxfId="279"/>
    <tableColumn id="22" name="21" totalsRowFunction="count" dataDxfId="278" totalsRowDxfId="277"/>
    <tableColumn id="23" name="22" totalsRowFunction="count" dataDxfId="276" totalsRowDxfId="275"/>
    <tableColumn id="24" name="23" totalsRowFunction="count" dataDxfId="274" totalsRowDxfId="273"/>
    <tableColumn id="25" name="24" totalsRowFunction="count" dataDxfId="272" totalsRowDxfId="271"/>
    <tableColumn id="26" name="25" totalsRowFunction="count" dataDxfId="270" totalsRowDxfId="269"/>
    <tableColumn id="27" name="26" totalsRowFunction="count" dataDxfId="268" totalsRowDxfId="267"/>
    <tableColumn id="28" name="27" totalsRowFunction="count" dataDxfId="266" totalsRowDxfId="265"/>
    <tableColumn id="29" name="28" totalsRowFunction="count" dataDxfId="264" totalsRowDxfId="263"/>
    <tableColumn id="30" name="29" totalsRowFunction="count" dataDxfId="262" totalsRowDxfId="261"/>
    <tableColumn id="31" name="30" totalsRowFunction="count" dataDxfId="260" totalsRowDxfId="259"/>
    <tableColumn id="32" name="31" totalsRowFunction="sum" dataDxfId="258" totalsRowDxfId="257" dataCellStyle="Total"/>
    <tableColumn id="33" name="Total des jours" totalsRowFunction="sum" dataDxfId="256" totalsRowDxfId="255" dataCellStyle="Total">
      <calculatedColumnFormula>COUNTA(Septembre[[#This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8:AH14" totalsRowCount="1" headerRowDxfId="249" dataDxfId="248" totalsRowDxfId="247">
  <tableColumns count="33">
    <tableColumn id="1" name="Nom de l’employé" totalsRowFunction="custom" dataDxfId="246" totalsRowDxfId="32">
      <calculatedColumnFormula>'Noms des employés'!B4</calculatedColumnFormula>
      <totalsRowFormula>NomMois&amp;" Total"</totalsRowFormula>
    </tableColumn>
    <tableColumn id="2" name="1" totalsRowFunction="count" dataDxfId="245" totalsRowDxfId="31"/>
    <tableColumn id="3" name="2" totalsRowFunction="count" dataDxfId="244" totalsRowDxfId="30"/>
    <tableColumn id="4" name="3" totalsRowFunction="count" dataDxfId="243" totalsRowDxfId="29"/>
    <tableColumn id="5" name="4" totalsRowFunction="count" dataDxfId="242" totalsRowDxfId="28"/>
    <tableColumn id="6" name="5" totalsRowFunction="count" dataDxfId="241" totalsRowDxfId="27"/>
    <tableColumn id="7" name="6" totalsRowFunction="count" dataDxfId="240" totalsRowDxfId="26"/>
    <tableColumn id="8" name="7" totalsRowFunction="count" dataDxfId="239" totalsRowDxfId="25"/>
    <tableColumn id="9" name="8" totalsRowFunction="count" dataDxfId="238" totalsRowDxfId="24"/>
    <tableColumn id="10" name="9" totalsRowFunction="count" dataDxfId="237" totalsRowDxfId="23"/>
    <tableColumn id="11" name="10" totalsRowFunction="count" dataDxfId="236" totalsRowDxfId="22"/>
    <tableColumn id="12" name="11" totalsRowFunction="count" dataDxfId="235" totalsRowDxfId="21"/>
    <tableColumn id="13" name="12" totalsRowFunction="count" dataDxfId="234" totalsRowDxfId="20"/>
    <tableColumn id="14" name="13" totalsRowFunction="count" dataDxfId="233" totalsRowDxfId="19"/>
    <tableColumn id="15" name="14" totalsRowFunction="count" dataDxfId="232" totalsRowDxfId="18"/>
    <tableColumn id="16" name="15" totalsRowFunction="count" dataDxfId="231" totalsRowDxfId="17"/>
    <tableColumn id="17" name="16" totalsRowFunction="count" dataDxfId="230" totalsRowDxfId="16"/>
    <tableColumn id="18" name="17" totalsRowFunction="count" dataDxfId="229" totalsRowDxfId="15"/>
    <tableColumn id="19" name="18" totalsRowFunction="count" dataDxfId="228" totalsRowDxfId="14"/>
    <tableColumn id="20" name="19" totalsRowFunction="count" dataDxfId="227" totalsRowDxfId="13"/>
    <tableColumn id="21" name="20" totalsRowFunction="count" dataDxfId="226" totalsRowDxfId="12"/>
    <tableColumn id="22" name="21" totalsRowFunction="count" dataDxfId="225" totalsRowDxfId="11"/>
    <tableColumn id="23" name="22" totalsRowFunction="count" dataDxfId="224" totalsRowDxfId="10"/>
    <tableColumn id="24" name="23" totalsRowFunction="count" dataDxfId="223" totalsRowDxfId="9"/>
    <tableColumn id="25" name="24" totalsRowFunction="count" dataDxfId="222" totalsRowDxfId="8"/>
    <tableColumn id="26" name="25" totalsRowFunction="count" dataDxfId="221" totalsRowDxfId="7"/>
    <tableColumn id="27" name="26" totalsRowFunction="count" dataDxfId="220" totalsRowDxfId="6"/>
    <tableColumn id="28" name="27" totalsRowFunction="count" dataDxfId="219" totalsRowDxfId="5"/>
    <tableColumn id="29" name="28" totalsRowFunction="count" dataDxfId="218" totalsRowDxfId="4"/>
    <tableColumn id="30" name="29" totalsRowFunction="count" dataDxfId="217" totalsRowDxfId="3"/>
    <tableColumn id="31" name="30" totalsRowFunction="sum" dataDxfId="216" totalsRowDxfId="2"/>
    <tableColumn id="32" name="31" totalsRowFunction="sum" dataDxfId="215" totalsRowDxfId="1" dataCellStyle="Total"/>
    <tableColumn id="33" name="Total des jours" totalsRowFunction="sum" dataDxfId="214" totalsRowDxfId="0" dataCellStyle="Total">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8:AH14" totalsRowCount="1" headerRowDxfId="208" dataDxfId="207" totalsRowDxfId="206">
  <tableColumns count="33">
    <tableColumn id="1" name="Nom de l’employé" totalsRowFunction="custom" dataDxfId="205" totalsRowDxfId="204">
      <calculatedColumnFormula>'Noms des employés'!B4</calculatedColumnFormula>
      <totalsRowFormula>NomMois&amp;" Total"</totalsRowFormula>
    </tableColumn>
    <tableColumn id="2" name="1" totalsRowFunction="count" dataDxfId="203" totalsRowDxfId="202"/>
    <tableColumn id="3" name="2" totalsRowFunction="count" dataDxfId="201" totalsRowDxfId="200"/>
    <tableColumn id="4" name="3" totalsRowFunction="count" dataDxfId="199" totalsRowDxfId="198"/>
    <tableColumn id="5" name="4" totalsRowFunction="count" dataDxfId="197" totalsRowDxfId="196"/>
    <tableColumn id="6" name="5" totalsRowFunction="count" dataDxfId="195" totalsRowDxfId="194"/>
    <tableColumn id="7" name="6" totalsRowFunction="count" dataDxfId="193" totalsRowDxfId="192"/>
    <tableColumn id="8" name="7" totalsRowFunction="count" dataDxfId="191" totalsRowDxfId="190"/>
    <tableColumn id="9" name="8" totalsRowFunction="count" dataDxfId="189" totalsRowDxfId="188"/>
    <tableColumn id="10" name="9" totalsRowFunction="count" dataDxfId="187" totalsRowDxfId="186"/>
    <tableColumn id="11" name="10" totalsRowFunction="count" dataDxfId="185" totalsRowDxfId="184"/>
    <tableColumn id="12" name="11" totalsRowFunction="count" dataDxfId="183" totalsRowDxfId="182"/>
    <tableColumn id="13" name="12" totalsRowFunction="count" dataDxfId="181" totalsRowDxfId="180"/>
    <tableColumn id="14" name="13" totalsRowFunction="count" dataDxfId="179" totalsRowDxfId="178"/>
    <tableColumn id="15" name="14" totalsRowFunction="count" dataDxfId="177" totalsRowDxfId="176"/>
    <tableColumn id="16" name="15" totalsRowFunction="count" dataDxfId="175" totalsRowDxfId="174"/>
    <tableColumn id="17" name="16" totalsRowFunction="count" dataDxfId="173" totalsRowDxfId="172"/>
    <tableColumn id="18" name="17" totalsRowFunction="count" dataDxfId="171" totalsRowDxfId="170"/>
    <tableColumn id="19" name="18" totalsRowFunction="count" dataDxfId="169" totalsRowDxfId="168"/>
    <tableColumn id="20" name="19" totalsRowFunction="count" dataDxfId="167" totalsRowDxfId="166"/>
    <tableColumn id="21" name="20" totalsRowFunction="count" dataDxfId="165" totalsRowDxfId="164"/>
    <tableColumn id="22" name="21" totalsRowFunction="count" dataDxfId="163" totalsRowDxfId="162"/>
    <tableColumn id="23" name="22" totalsRowFunction="count" dataDxfId="161" totalsRowDxfId="160"/>
    <tableColumn id="24" name="23" totalsRowFunction="count" dataDxfId="159" totalsRowDxfId="158"/>
    <tableColumn id="25" name="24" totalsRowFunction="count" dataDxfId="157" totalsRowDxfId="156"/>
    <tableColumn id="26" name="25" totalsRowFunction="count" dataDxfId="155" totalsRowDxfId="154"/>
    <tableColumn id="27" name="26" totalsRowFunction="count" dataDxfId="153" totalsRowDxfId="152"/>
    <tableColumn id="28" name="27" totalsRowFunction="count" dataDxfId="151" totalsRowDxfId="150"/>
    <tableColumn id="29" name="28" totalsRowFunction="count" dataDxfId="149" totalsRowDxfId="148"/>
    <tableColumn id="30" name="29" totalsRowFunction="count" dataDxfId="147" totalsRowDxfId="146"/>
    <tableColumn id="31" name="30" totalsRowFunction="sum" dataDxfId="145" totalsRowDxfId="144"/>
    <tableColumn id="32" name="31" totalsRowFunction="sum" dataDxfId="143" totalsRowDxfId="142" dataCellStyle="Total"/>
    <tableColumn id="33" name="Total des jours" totalsRowFunction="sum" dataDxfId="141" totalsRowDxfId="140" dataCellStyle="Total">
      <calculatedColumnFormula>COUNTA(Novembre[[#This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8:AH14" totalsRowCount="1" headerRowDxfId="134" dataDxfId="133" totalsRowDxfId="132">
  <tableColumns count="33">
    <tableColumn id="1" name="Nom de l’employé" totalsRowFunction="custom" dataDxfId="131" totalsRowDxfId="130">
      <calculatedColumnFormula>'Noms des employés'!B4</calculatedColumnFormula>
      <totalsRowFormula>NomMois&amp;" Total"</totalsRowFormula>
    </tableColumn>
    <tableColumn id="2" name="1" totalsRowFunction="count" dataDxfId="129" totalsRowDxfId="128"/>
    <tableColumn id="3" name="2" totalsRowFunction="count" dataDxfId="127" totalsRowDxfId="126"/>
    <tableColumn id="4" name="3" totalsRowFunction="count" dataDxfId="125" totalsRowDxfId="124"/>
    <tableColumn id="5" name="4" totalsRowFunction="count" dataDxfId="123" totalsRowDxfId="122"/>
    <tableColumn id="6" name="5" totalsRowFunction="count" dataDxfId="121" totalsRowDxfId="120"/>
    <tableColumn id="7" name="6" totalsRowFunction="count" dataDxfId="119" totalsRowDxfId="118"/>
    <tableColumn id="8" name="7" totalsRowFunction="count" dataDxfId="117" totalsRowDxfId="116"/>
    <tableColumn id="9" name="8" totalsRowFunction="count" dataDxfId="115" totalsRowDxfId="114"/>
    <tableColumn id="10" name="9" totalsRowFunction="count" dataDxfId="113" totalsRowDxfId="112"/>
    <tableColumn id="11" name="10" totalsRowFunction="count" dataDxfId="111" totalsRowDxfId="110"/>
    <tableColumn id="12" name="11" totalsRowFunction="count" dataDxfId="109" totalsRowDxfId="108"/>
    <tableColumn id="13" name="12" totalsRowFunction="count" dataDxfId="107" totalsRowDxfId="106"/>
    <tableColumn id="14" name="13" totalsRowFunction="count" dataDxfId="105" totalsRowDxfId="104"/>
    <tableColumn id="15" name="14" totalsRowFunction="count" dataDxfId="103" totalsRowDxfId="102"/>
    <tableColumn id="16" name="15" totalsRowFunction="count" dataDxfId="101" totalsRowDxfId="100"/>
    <tableColumn id="17" name="16" totalsRowFunction="count" dataDxfId="99" totalsRowDxfId="98"/>
    <tableColumn id="18" name="17" totalsRowFunction="count" dataDxfId="97" totalsRowDxfId="96"/>
    <tableColumn id="19" name="18" totalsRowFunction="count" dataDxfId="95" totalsRowDxfId="94"/>
    <tableColumn id="20" name="19" totalsRowFunction="count" dataDxfId="93" totalsRowDxfId="92"/>
    <tableColumn id="21" name="20" totalsRowFunction="count" dataDxfId="91" totalsRowDxfId="90"/>
    <tableColumn id="22" name="21" totalsRowFunction="count" dataDxfId="89" totalsRowDxfId="88"/>
    <tableColumn id="23" name="22" totalsRowFunction="count" dataDxfId="87" totalsRowDxfId="86"/>
    <tableColumn id="24" name="23" totalsRowFunction="count" dataDxfId="85" totalsRowDxfId="84"/>
    <tableColumn id="25" name="24" totalsRowFunction="count" dataDxfId="83" totalsRowDxfId="82"/>
    <tableColumn id="26" name="25" totalsRowFunction="count" dataDxfId="81" totalsRowDxfId="80"/>
    <tableColumn id="27" name="26" totalsRowFunction="count" dataDxfId="79" totalsRowDxfId="78"/>
    <tableColumn id="28" name="27" totalsRowFunction="count" dataDxfId="77" totalsRowDxfId="76"/>
    <tableColumn id="29" name="28" totalsRowFunction="count" dataDxfId="75" totalsRowDxfId="74"/>
    <tableColumn id="30" name="29" totalsRowFunction="count" dataDxfId="73" totalsRowDxfId="72"/>
    <tableColumn id="31" name="30" totalsRowFunction="sum" dataDxfId="71" totalsRowDxfId="70"/>
    <tableColumn id="32" name="31" totalsRowFunction="sum" dataDxfId="69" totalsRowDxfId="68" dataCellStyle="Total"/>
    <tableColumn id="33" name="Total des jours" totalsRowFunction="sum" dataDxfId="67" totalsRowDxfId="66" dataCellStyle="Total">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Employé" displayName="NomEmployé" ref="B3:B8" totalsRowShown="0" dataCellStyle="Employé">
  <autoFilter ref="B3:B8"/>
  <tableColumns count="1">
    <tableColumn id="1" name="Noms des employés"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Orange rouge">
      <a:dk1>
        <a:sysClr val="windowText" lastClr="000000"/>
      </a:dk1>
      <a:lt1>
        <a:sysClr val="window" lastClr="FFFFFF"/>
      </a:lt1>
      <a:dk2>
        <a:srgbClr val="696464"/>
      </a:dk2>
      <a:lt2>
        <a:srgbClr val="E9E5DC"/>
      </a:lt2>
      <a:accent1>
        <a:srgbClr val="D34817"/>
      </a:accent1>
      <a:accent2>
        <a:srgbClr val="9B2D1F"/>
      </a:accent2>
      <a:accent3>
        <a:srgbClr val="A28E6A"/>
      </a:accent3>
      <a:accent4>
        <a:srgbClr val="956251"/>
      </a:accent4>
      <a:accent5>
        <a:srgbClr val="918485"/>
      </a:accent5>
      <a:accent6>
        <a:srgbClr val="855D5D"/>
      </a:accent6>
      <a:hlink>
        <a:srgbClr val="CC9900"/>
      </a:hlink>
      <a:folHlink>
        <a:srgbClr val="96A9A9"/>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1.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pageSetUpPr fitToPage="1"/>
  </sheetPr>
  <dimension ref="A1:AH13"/>
  <sheetViews>
    <sheetView showGridLines="0" zoomScaleNormal="100" workbookViewId="0">
      <selection activeCell="S16" sqref="S16"/>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1:34" ht="86.25" customHeight="1" x14ac:dyDescent="0.25"/>
    <row r="2" spans="1:34" ht="50.1" customHeight="1" x14ac:dyDescent="0.25">
      <c r="A2" s="16"/>
      <c r="B2" s="12" t="s">
        <v>0</v>
      </c>
    </row>
    <row r="3" spans="1:34" ht="15" customHeight="1" x14ac:dyDescent="0.25">
      <c r="B3" s="17" t="s">
        <v>1</v>
      </c>
      <c r="C3" s="4" t="s">
        <v>4</v>
      </c>
      <c r="D3" s="41" t="s">
        <v>7</v>
      </c>
      <c r="E3" s="41"/>
      <c r="F3" s="5" t="s">
        <v>10</v>
      </c>
      <c r="G3" s="41" t="s">
        <v>14</v>
      </c>
      <c r="H3" s="41"/>
      <c r="I3" s="41"/>
      <c r="J3" s="6" t="s">
        <v>12</v>
      </c>
      <c r="K3" s="41" t="s">
        <v>19</v>
      </c>
      <c r="L3" s="41"/>
      <c r="M3" s="30"/>
      <c r="N3" s="42" t="s">
        <v>67</v>
      </c>
      <c r="O3" s="41"/>
      <c r="P3" s="41"/>
      <c r="Q3" s="41"/>
      <c r="R3" s="8"/>
      <c r="S3" s="42"/>
      <c r="T3" s="41"/>
      <c r="U3" s="41"/>
      <c r="V3" s="41"/>
    </row>
    <row r="4" spans="1:34" ht="15" customHeight="1" x14ac:dyDescent="0.25">
      <c r="AH4" s="18" t="s">
        <v>44</v>
      </c>
    </row>
    <row r="5" spans="1:34" ht="30" customHeight="1" x14ac:dyDescent="0.25">
      <c r="B5" s="11" t="s">
        <v>2</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v>2022</v>
      </c>
    </row>
    <row r="6" spans="1:34" ht="15" customHeight="1" x14ac:dyDescent="0.25">
      <c r="B6" s="11"/>
      <c r="C6" s="2" t="str">
        <f>TEXT(WEEKDAY(DATE(AnnéeCalendrier,1,1),1),"jjj")</f>
        <v>sam</v>
      </c>
      <c r="D6" s="2" t="str">
        <f>TEXT(WEEKDAY(DATE(AnnéeCalendrier,1,2),1),"jjj")</f>
        <v>dim</v>
      </c>
      <c r="E6" s="2" t="str">
        <f>TEXT(WEEKDAY(DATE(AnnéeCalendrier,1,3),1),"jjj")</f>
        <v>lun</v>
      </c>
      <c r="F6" s="2" t="str">
        <f>TEXT(WEEKDAY(DATE(AnnéeCalendrier,1,4),1),"jjj")</f>
        <v>mar</v>
      </c>
      <c r="G6" s="2" t="str">
        <f>TEXT(WEEKDAY(DATE(AnnéeCalendrier,1,5),1),"jjj")</f>
        <v>mer</v>
      </c>
      <c r="H6" s="2" t="str">
        <f>TEXT(WEEKDAY(DATE(AnnéeCalendrier,1,6),1),"jjj")</f>
        <v>jeu</v>
      </c>
      <c r="I6" s="2" t="str">
        <f>TEXT(WEEKDAY(DATE(AnnéeCalendrier,1,7),1),"jjj")</f>
        <v>ven</v>
      </c>
      <c r="J6" s="2" t="str">
        <f>TEXT(WEEKDAY(DATE(AnnéeCalendrier,1,8),1),"jjj")</f>
        <v>sam</v>
      </c>
      <c r="K6" s="2" t="str">
        <f>TEXT(WEEKDAY(DATE(AnnéeCalendrier,1,9),1),"jjj")</f>
        <v>dim</v>
      </c>
      <c r="L6" s="2" t="str">
        <f>TEXT(WEEKDAY(DATE(AnnéeCalendrier,1,10),1),"jjj")</f>
        <v>lun</v>
      </c>
      <c r="M6" s="2" t="str">
        <f>TEXT(WEEKDAY(DATE(AnnéeCalendrier,1,11),1),"jjj")</f>
        <v>mar</v>
      </c>
      <c r="N6" s="2" t="str">
        <f>TEXT(WEEKDAY(DATE(AnnéeCalendrier,1,12),1),"jjj")</f>
        <v>mer</v>
      </c>
      <c r="O6" s="2" t="str">
        <f>TEXT(WEEKDAY(DATE(AnnéeCalendrier,1,13),1),"jjj")</f>
        <v>jeu</v>
      </c>
      <c r="P6" s="2" t="str">
        <f>TEXT(WEEKDAY(DATE(AnnéeCalendrier,1,14),1),"jjj")</f>
        <v>ven</v>
      </c>
      <c r="Q6" s="2" t="str">
        <f>TEXT(WEEKDAY(DATE(AnnéeCalendrier,1,15),1),"jjj")</f>
        <v>sam</v>
      </c>
      <c r="R6" s="2" t="str">
        <f>TEXT(WEEKDAY(DATE(AnnéeCalendrier,1,16),1),"jjj")</f>
        <v>dim</v>
      </c>
      <c r="S6" s="2" t="str">
        <f>TEXT(WEEKDAY(DATE(AnnéeCalendrier,1,17),1),"jjj")</f>
        <v>lun</v>
      </c>
      <c r="T6" s="2" t="str">
        <f>TEXT(WEEKDAY(DATE(AnnéeCalendrier,1,18),1),"jjj")</f>
        <v>mar</v>
      </c>
      <c r="U6" s="2" t="str">
        <f>TEXT(WEEKDAY(DATE(AnnéeCalendrier,1,19),1),"jjj")</f>
        <v>mer</v>
      </c>
      <c r="V6" s="2" t="str">
        <f>TEXT(WEEKDAY(DATE(AnnéeCalendrier,1,20),1),"jjj")</f>
        <v>jeu</v>
      </c>
      <c r="W6" s="2" t="str">
        <f>TEXT(WEEKDAY(DATE(AnnéeCalendrier,1,21),1),"jjj")</f>
        <v>ven</v>
      </c>
      <c r="X6" s="2" t="str">
        <f>TEXT(WEEKDAY(DATE(AnnéeCalendrier,1,22),1),"jjj")</f>
        <v>sam</v>
      </c>
      <c r="Y6" s="2" t="str">
        <f>TEXT(WEEKDAY(DATE(AnnéeCalendrier,1,23),1),"jjj")</f>
        <v>dim</v>
      </c>
      <c r="Z6" s="2" t="str">
        <f>TEXT(WEEKDAY(DATE(AnnéeCalendrier,1,24),1),"jjj")</f>
        <v>lun</v>
      </c>
      <c r="AA6" s="2" t="str">
        <f>TEXT(WEEKDAY(DATE(AnnéeCalendrier,1,25),1),"jjj")</f>
        <v>mar</v>
      </c>
      <c r="AB6" s="2" t="str">
        <f>TEXT(WEEKDAY(DATE(AnnéeCalendrier,1,26),1),"jjj")</f>
        <v>mer</v>
      </c>
      <c r="AC6" s="2" t="str">
        <f>TEXT(WEEKDAY(DATE(AnnéeCalendrier,1,27),1),"jjj")</f>
        <v>jeu</v>
      </c>
      <c r="AD6" s="2" t="str">
        <f>TEXT(WEEKDAY(DATE(AnnéeCalendrier,1,28),1),"jjj")</f>
        <v>ven</v>
      </c>
      <c r="AE6" s="2" t="str">
        <f>TEXT(WEEKDAY(DATE(AnnéeCalendrier,1,29),1),"jjj")</f>
        <v>sam</v>
      </c>
      <c r="AF6" s="2" t="str">
        <f>TEXT(WEEKDAY(DATE(AnnéeCalendrier,1,30),1),"jjj")</f>
        <v>dim</v>
      </c>
      <c r="AG6" s="2" t="str">
        <f>TEXT(WEEKDAY(DATE(AnnéeCalendrier,1,31),1),"jjj")</f>
        <v>lun</v>
      </c>
      <c r="AH6" s="11"/>
    </row>
    <row r="7" spans="1: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1:34" ht="30" customHeight="1" x14ac:dyDescent="0.25">
      <c r="B8" s="20" t="str">
        <f>'Noms des employés'!B4</f>
        <v>1 - Carole</v>
      </c>
      <c r="C8" s="24"/>
      <c r="D8" s="29"/>
      <c r="E8" s="3"/>
      <c r="F8" s="3"/>
      <c r="G8" s="3"/>
      <c r="H8" s="3"/>
      <c r="I8" s="3"/>
      <c r="J8" s="3"/>
      <c r="K8" s="29"/>
      <c r="L8" s="3"/>
      <c r="M8" s="3"/>
      <c r="N8" s="3"/>
      <c r="O8" s="3"/>
      <c r="P8" s="3"/>
      <c r="Q8" s="3"/>
      <c r="R8" s="29"/>
      <c r="S8" s="3"/>
      <c r="T8" s="3"/>
      <c r="U8" s="3"/>
      <c r="V8" s="3"/>
      <c r="W8" s="3"/>
      <c r="X8" s="3"/>
      <c r="Y8" s="29"/>
      <c r="Z8" s="3"/>
      <c r="AA8" s="3"/>
      <c r="AB8" s="3"/>
      <c r="AC8" s="3"/>
      <c r="AD8" s="3"/>
      <c r="AE8" s="3"/>
      <c r="AF8" s="29"/>
      <c r="AG8" s="3"/>
      <c r="AH8" s="9">
        <f>COUNTA(Janvier!$D8:$AG8)</f>
        <v>0</v>
      </c>
    </row>
    <row r="9" spans="1:34" ht="30" customHeight="1" x14ac:dyDescent="0.25">
      <c r="B9" s="20" t="str">
        <f>'Noms des employés'!B5</f>
        <v xml:space="preserve">2 - Laïla </v>
      </c>
      <c r="C9" s="24"/>
      <c r="D9" s="29"/>
      <c r="E9" s="3" t="s">
        <v>4</v>
      </c>
      <c r="F9" s="3" t="s">
        <v>4</v>
      </c>
      <c r="G9" s="3"/>
      <c r="H9" s="3"/>
      <c r="I9" s="3"/>
      <c r="J9" s="3"/>
      <c r="K9" s="29"/>
      <c r="L9" s="3"/>
      <c r="M9" s="3"/>
      <c r="N9" s="3"/>
      <c r="O9" s="3"/>
      <c r="P9" s="3"/>
      <c r="Q9" s="3"/>
      <c r="R9" s="29"/>
      <c r="S9" s="3"/>
      <c r="T9" s="3"/>
      <c r="U9" s="3"/>
      <c r="V9" s="3"/>
      <c r="W9" s="3"/>
      <c r="X9" s="3"/>
      <c r="Y9" s="29"/>
      <c r="Z9" s="3"/>
      <c r="AA9" s="3"/>
      <c r="AB9" s="3"/>
      <c r="AC9" s="3"/>
      <c r="AD9" s="3"/>
      <c r="AE9" s="3"/>
      <c r="AF9" s="29"/>
      <c r="AG9" s="3"/>
      <c r="AH9" s="9">
        <f>COUNTA(Janvier!$D9:$AG9)</f>
        <v>2</v>
      </c>
    </row>
    <row r="10" spans="1:34" ht="30" customHeight="1" x14ac:dyDescent="0.25">
      <c r="B10" s="20" t="str">
        <f>'Noms des employés'!B6</f>
        <v>3 - Jean-Claude</v>
      </c>
      <c r="C10" s="24"/>
      <c r="D10" s="29"/>
      <c r="E10" s="3"/>
      <c r="F10" s="3"/>
      <c r="G10" s="3"/>
      <c r="H10" s="3"/>
      <c r="I10" s="3"/>
      <c r="J10" s="3"/>
      <c r="K10" s="29"/>
      <c r="L10" s="3"/>
      <c r="M10" s="3"/>
      <c r="N10" s="3"/>
      <c r="O10" s="3"/>
      <c r="P10" s="3"/>
      <c r="Q10" s="3"/>
      <c r="R10" s="29"/>
      <c r="S10" s="3"/>
      <c r="T10" s="3"/>
      <c r="U10" s="3"/>
      <c r="V10" s="3"/>
      <c r="W10" s="3"/>
      <c r="X10" s="3"/>
      <c r="Y10" s="29"/>
      <c r="Z10" s="3"/>
      <c r="AA10" s="3"/>
      <c r="AB10" s="3"/>
      <c r="AC10" s="3"/>
      <c r="AD10" s="3"/>
      <c r="AE10" s="3"/>
      <c r="AF10" s="29"/>
      <c r="AG10" s="3"/>
      <c r="AH10" s="9">
        <f>COUNTA(Janvier!$D10:$AG10)</f>
        <v>0</v>
      </c>
    </row>
    <row r="11" spans="1:34" ht="30" hidden="1" customHeight="1" x14ac:dyDescent="0.25">
      <c r="B11" s="20">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COUNTA(Janvier!$D11:$AG11)</f>
        <v>0</v>
      </c>
    </row>
    <row r="12" spans="1:34" ht="30" hidden="1" customHeight="1" x14ac:dyDescent="0.25">
      <c r="B12" s="20">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COUNTA(Janvier!$D12:$AG12)</f>
        <v>0</v>
      </c>
    </row>
    <row r="13" spans="1:34" ht="30" customHeight="1" x14ac:dyDescent="0.25">
      <c r="B13" s="22" t="str">
        <f>NomMois&amp;" Total"</f>
        <v>Janvier Total</v>
      </c>
      <c r="C13" s="23">
        <f>SUBTOTAL(103,Janvier!$C$8:$C$12)</f>
        <v>0</v>
      </c>
      <c r="D13" s="23">
        <f>SUBTOTAL(103,Janvier!$D$8:$D$12)</f>
        <v>0</v>
      </c>
      <c r="E13" s="23">
        <f>SUBTOTAL(103,Janvier!$E$8:$E$12)</f>
        <v>1</v>
      </c>
      <c r="F13" s="23">
        <f>SUBTOTAL(103,Janvier!$F$8:$F$12)</f>
        <v>1</v>
      </c>
      <c r="G13" s="23">
        <f>SUBTOTAL(103,Janvier!$G$8:$G$12)</f>
        <v>0</v>
      </c>
      <c r="H13" s="23">
        <f>SUBTOTAL(103,Janvier!$H$8:$H$12)</f>
        <v>0</v>
      </c>
      <c r="I13" s="23">
        <f>SUBTOTAL(103,Janvier!$I$8:$I$12)</f>
        <v>0</v>
      </c>
      <c r="J13" s="23">
        <f>SUBTOTAL(103,Janvier!$J$8:$J$12)</f>
        <v>0</v>
      </c>
      <c r="K13" s="23">
        <f>SUBTOTAL(103,Janvier!$K$8:$K$12)</f>
        <v>0</v>
      </c>
      <c r="L13" s="23">
        <f>SUBTOTAL(103,Janvier!$L$8:$L$12)</f>
        <v>0</v>
      </c>
      <c r="M13" s="23">
        <f>SUBTOTAL(103,Janvier!$M$8:$M$12)</f>
        <v>0</v>
      </c>
      <c r="N13" s="23">
        <f>SUBTOTAL(103,Janvier!$N$8:$N$12)</f>
        <v>0</v>
      </c>
      <c r="O13" s="23">
        <f>SUBTOTAL(103,Janvier!$O$8:$O$12)</f>
        <v>0</v>
      </c>
      <c r="P13" s="23">
        <f>SUBTOTAL(103,Janvier!$P$8:$P$12)</f>
        <v>0</v>
      </c>
      <c r="Q13" s="23">
        <f>SUBTOTAL(103,Janvier!$Q$8:$Q$12)</f>
        <v>0</v>
      </c>
      <c r="R13" s="23">
        <f>SUBTOTAL(103,Janvier!$R$8:$R$12)</f>
        <v>0</v>
      </c>
      <c r="S13" s="23">
        <f>SUBTOTAL(103,Janvier!$S$8:$S$12)</f>
        <v>0</v>
      </c>
      <c r="T13" s="23">
        <f>SUBTOTAL(103,Janvier!$T$8:$T$12)</f>
        <v>0</v>
      </c>
      <c r="U13" s="23">
        <f>SUBTOTAL(103,Janvier!$U$8:$U$12)</f>
        <v>0</v>
      </c>
      <c r="V13" s="23">
        <f>SUBTOTAL(103,Janvier!$V$8:$V$12)</f>
        <v>0</v>
      </c>
      <c r="W13" s="23">
        <f>SUBTOTAL(103,Janvier!$W$8:$W$12)</f>
        <v>0</v>
      </c>
      <c r="X13" s="23">
        <f>SUBTOTAL(103,Janvier!$X$8:$X$12)</f>
        <v>0</v>
      </c>
      <c r="Y13" s="23">
        <f>SUBTOTAL(103,Janvier!$Y$8:$Y$12)</f>
        <v>0</v>
      </c>
      <c r="Z13" s="23">
        <f>SUBTOTAL(103,Janvier!$Z$8:$Z$12)</f>
        <v>0</v>
      </c>
      <c r="AA13" s="23">
        <f>SUBTOTAL(103,Janvier!$AA$8:$AA$12)</f>
        <v>0</v>
      </c>
      <c r="AB13" s="23">
        <f>SUBTOTAL(103,Janvier!$AB$8:$AB$12)</f>
        <v>0</v>
      </c>
      <c r="AC13" s="23">
        <f>SUBTOTAL(103,Janvier!$AC$8:$AC$12)</f>
        <v>0</v>
      </c>
      <c r="AD13" s="23">
        <f>SUBTOTAL(103,Janvier!$AD$8:$AD$12)</f>
        <v>0</v>
      </c>
      <c r="AE13" s="23">
        <f>SUBTOTAL(103,Janvier!$AE$8:$AE$12)</f>
        <v>0</v>
      </c>
      <c r="AF13" s="23">
        <f>SUBTOTAL(103,Janvier!$AF$8:$AF$12)</f>
        <v>0</v>
      </c>
      <c r="AG13" s="23">
        <f>SUBTOTAL(103,Janvier!$AG$8:$AG$12)</f>
        <v>0</v>
      </c>
      <c r="AH13" s="23">
        <f>SUBTOTAL(109,Janvier[Total des jours])</f>
        <v>2</v>
      </c>
    </row>
  </sheetData>
  <mergeCells count="6">
    <mergeCell ref="C5:AG5"/>
    <mergeCell ref="D3:E3"/>
    <mergeCell ref="G3:I3"/>
    <mergeCell ref="K3:L3"/>
    <mergeCell ref="N3:Q3"/>
    <mergeCell ref="S3:V3"/>
  </mergeCells>
  <conditionalFormatting sqref="C8:AG12">
    <cfRule type="expression" priority="1" stopIfTrue="1">
      <formula>C8=""</formula>
    </cfRule>
    <cfRule type="expression" dxfId="973" priority="6" stopIfTrue="1">
      <formula>C8=CléPersonnalisée2</formula>
    </cfRule>
    <cfRule type="expression" dxfId="972" priority="7" stopIfTrue="1">
      <formula>C8=CléPersonnalisée1</formula>
    </cfRule>
    <cfRule type="expression" dxfId="971" priority="8" stopIfTrue="1">
      <formula>C8=CléMaladie</formula>
    </cfRule>
    <cfRule type="expression" dxfId="970" priority="9" stopIfTrue="1">
      <formula>C8=CléPersonnel</formula>
    </cfRule>
    <cfRule type="expression" dxfId="969" priority="10" stopIfTrue="1">
      <formula>C8=CléCongé</formula>
    </cfRule>
  </conditionalFormatting>
  <conditionalFormatting sqref="AH8:AH12">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6"/>
    <dataValidation allowBlank="1" showInputMessage="1" showErrorMessage="1" prompt="Calcule automatiquement le nombre total de jours d’absence d’un employé durant ce mois" sqref="AH7"/>
    <dataValidation allowBlank="1" showInputMessage="1" showErrorMessage="1" prompt="Le titre de la feuille de calcul figure dans cette cellule. Si vous mettez à jour le titre, le changement est automatiquement répercuté sur chaque feuille de calcul"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M3 R3"/>
    <dataValidation allowBlank="1" showInputMessage="1" showErrorMessage="1" prompt="Entrez une étiquette pour décrire la clé personnalisée à gauche" sqref="N3 S3"/>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2"/>
    <dataValidation allowBlank="1" showInputMessage="1" showErrorMessage="1" prompt="Entrez l’année dans la cellule ci-dessous" sqref="AH4"/>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pageSetUpPr fitToPage="1"/>
  </sheetPr>
  <dimension ref="A1:AH13"/>
  <sheetViews>
    <sheetView showGridLines="0" zoomScaleNormal="100" workbookViewId="0">
      <selection activeCell="N19" sqref="N1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41" t="s">
        <v>7</v>
      </c>
      <c r="E3" s="41"/>
      <c r="F3" s="5" t="s">
        <v>10</v>
      </c>
      <c r="G3" s="41" t="s">
        <v>14</v>
      </c>
      <c r="H3" s="41"/>
      <c r="I3" s="41"/>
      <c r="J3" s="6" t="s">
        <v>12</v>
      </c>
      <c r="K3" s="41" t="s">
        <v>19</v>
      </c>
      <c r="L3" s="41"/>
      <c r="M3" s="7"/>
      <c r="N3" s="41" t="s">
        <v>23</v>
      </c>
      <c r="O3" s="41"/>
      <c r="P3" s="41"/>
      <c r="Q3" s="41"/>
      <c r="R3" s="8"/>
      <c r="S3" s="42"/>
      <c r="T3" s="41"/>
      <c r="U3" s="41"/>
      <c r="V3" s="41"/>
    </row>
    <row r="4" spans="2:34" ht="15" customHeight="1" x14ac:dyDescent="0.25">
      <c r="B4"/>
    </row>
    <row r="5" spans="2:34" ht="30" customHeight="1" x14ac:dyDescent="0.25">
      <c r="B5" s="11" t="s">
        <v>46</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f>AnnéeCalendrier</f>
        <v>2022</v>
      </c>
    </row>
    <row r="6" spans="2:34" ht="15" customHeight="1" x14ac:dyDescent="0.25">
      <c r="B6" s="11"/>
      <c r="C6" s="2" t="str">
        <f>TEXT(WEEKDAY(DATE(AnnéeCalendrier,2,1),1),"jjj")</f>
        <v>mar</v>
      </c>
      <c r="D6" s="2" t="str">
        <f>TEXT(WEEKDAY(DATE(AnnéeCalendrier,2,2),1),"jjj")</f>
        <v>mer</v>
      </c>
      <c r="E6" s="2" t="str">
        <f>TEXT(WEEKDAY(DATE(AnnéeCalendrier,2,3),1),"jjj")</f>
        <v>jeu</v>
      </c>
      <c r="F6" s="2" t="str">
        <f>TEXT(WEEKDAY(DATE(AnnéeCalendrier,2,4),1),"jjj")</f>
        <v>ven</v>
      </c>
      <c r="G6" s="2" t="str">
        <f>TEXT(WEEKDAY(DATE(AnnéeCalendrier,2,5),1),"jjj")</f>
        <v>sam</v>
      </c>
      <c r="H6" s="2" t="str">
        <f>TEXT(WEEKDAY(DATE(AnnéeCalendrier,2,6),1),"jjj")</f>
        <v>dim</v>
      </c>
      <c r="I6" s="2" t="str">
        <f>TEXT(WEEKDAY(DATE(AnnéeCalendrier,2,7),1),"jjj")</f>
        <v>lun</v>
      </c>
      <c r="J6" s="2" t="str">
        <f>TEXT(WEEKDAY(DATE(AnnéeCalendrier,2,8),1),"jjj")</f>
        <v>mar</v>
      </c>
      <c r="K6" s="2" t="str">
        <f>TEXT(WEEKDAY(DATE(AnnéeCalendrier,2,9),1),"jjj")</f>
        <v>mer</v>
      </c>
      <c r="L6" s="2" t="str">
        <f>TEXT(WEEKDAY(DATE(AnnéeCalendrier,2,10),1),"jjj")</f>
        <v>jeu</v>
      </c>
      <c r="M6" s="2" t="str">
        <f>TEXT(WEEKDAY(DATE(AnnéeCalendrier,2,11),1),"jjj")</f>
        <v>ven</v>
      </c>
      <c r="N6" s="2" t="str">
        <f>TEXT(WEEKDAY(DATE(AnnéeCalendrier,2,12),1),"jjj")</f>
        <v>sam</v>
      </c>
      <c r="O6" s="2" t="str">
        <f>TEXT(WEEKDAY(DATE(AnnéeCalendrier,2,13),1),"jjj")</f>
        <v>dim</v>
      </c>
      <c r="P6" s="2" t="str">
        <f>TEXT(WEEKDAY(DATE(AnnéeCalendrier,2,14),1),"jjj")</f>
        <v>lun</v>
      </c>
      <c r="Q6" s="2" t="str">
        <f>TEXT(WEEKDAY(DATE(AnnéeCalendrier,2,15),1),"jjj")</f>
        <v>mar</v>
      </c>
      <c r="R6" s="2" t="str">
        <f>TEXT(WEEKDAY(DATE(AnnéeCalendrier,2,16),1),"jjj")</f>
        <v>mer</v>
      </c>
      <c r="S6" s="2" t="str">
        <f>TEXT(WEEKDAY(DATE(AnnéeCalendrier,2,17),1),"jjj")</f>
        <v>jeu</v>
      </c>
      <c r="T6" s="2" t="str">
        <f>TEXT(WEEKDAY(DATE(AnnéeCalendrier,2,18),1),"jjj")</f>
        <v>ven</v>
      </c>
      <c r="U6" s="2" t="str">
        <f>TEXT(WEEKDAY(DATE(AnnéeCalendrier,2,19),1),"jjj")</f>
        <v>sam</v>
      </c>
      <c r="V6" s="2" t="str">
        <f>TEXT(WEEKDAY(DATE(AnnéeCalendrier,2,20),1),"jjj")</f>
        <v>dim</v>
      </c>
      <c r="W6" s="2" t="str">
        <f>TEXT(WEEKDAY(DATE(AnnéeCalendrier,2,21),1),"jjj")</f>
        <v>lun</v>
      </c>
      <c r="X6" s="2" t="str">
        <f>TEXT(WEEKDAY(DATE(AnnéeCalendrier,2,22),1),"jjj")</f>
        <v>mar</v>
      </c>
      <c r="Y6" s="2" t="str">
        <f>TEXT(WEEKDAY(DATE(AnnéeCalendrier,2,23),1),"jjj")</f>
        <v>mer</v>
      </c>
      <c r="Z6" s="2" t="str">
        <f>TEXT(WEEKDAY(DATE(AnnéeCalendrier,2,24),1),"jjj")</f>
        <v>jeu</v>
      </c>
      <c r="AA6" s="2" t="str">
        <f>TEXT(WEEKDAY(DATE(AnnéeCalendrier,2,25),1),"jjj")</f>
        <v>ven</v>
      </c>
      <c r="AB6" s="2" t="str">
        <f>TEXT(WEEKDAY(DATE(AnnéeCalendrier,2,26),1),"jjj")</f>
        <v>sam</v>
      </c>
      <c r="AC6" s="2" t="str">
        <f>TEXT(WEEKDAY(DATE(AnnéeCalendrier,2,27),1),"jjj")</f>
        <v>dim</v>
      </c>
      <c r="AD6" s="2" t="str">
        <f>TEXT(WEEKDAY(DATE(AnnéeCalendrier,2,28),1),"jjj")</f>
        <v>lun</v>
      </c>
      <c r="AE6" s="2" t="str">
        <f>TEXT(WEEKDAY(DATE(AnnéeCalendrier,2,29),1),"jjj")</f>
        <v>mar</v>
      </c>
      <c r="AF6" s="2"/>
      <c r="AG6" s="2"/>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47</v>
      </c>
      <c r="AG7" s="3" t="s">
        <v>48</v>
      </c>
      <c r="AH7" s="14" t="s">
        <v>45</v>
      </c>
    </row>
    <row r="8" spans="2:34" ht="30" customHeight="1" x14ac:dyDescent="0.25">
      <c r="B8" s="15" t="str">
        <f>'Noms des employés'!B4</f>
        <v>1 - Carole</v>
      </c>
      <c r="C8" s="3"/>
      <c r="D8" s="3"/>
      <c r="E8" s="3"/>
      <c r="F8" s="3" t="s">
        <v>4</v>
      </c>
      <c r="G8" s="3" t="s">
        <v>4</v>
      </c>
      <c r="H8" s="29"/>
      <c r="I8" s="3"/>
      <c r="J8" s="3"/>
      <c r="K8" s="3"/>
      <c r="L8" s="3"/>
      <c r="M8" s="3"/>
      <c r="N8" s="3"/>
      <c r="O8" s="29"/>
      <c r="P8" s="3"/>
      <c r="Q8" s="3"/>
      <c r="R8" s="3"/>
      <c r="S8" s="3"/>
      <c r="T8" s="3"/>
      <c r="U8" s="3"/>
      <c r="V8" s="29"/>
      <c r="W8" s="3"/>
      <c r="X8" s="3"/>
      <c r="Y8" s="3"/>
      <c r="Z8" s="3"/>
      <c r="AA8" s="3"/>
      <c r="AB8" s="3"/>
      <c r="AC8" s="29"/>
      <c r="AD8" s="3"/>
      <c r="AE8" s="3"/>
      <c r="AF8" s="3"/>
      <c r="AG8" s="3"/>
      <c r="AH8" s="9">
        <f>COUNTA(Février[[#This Row],[1]:[29]])</f>
        <v>2</v>
      </c>
    </row>
    <row r="9" spans="2:34" ht="30" customHeight="1" x14ac:dyDescent="0.25">
      <c r="B9" s="15" t="str">
        <f>'Noms des employés'!B5</f>
        <v xml:space="preserve">2 - Laïla </v>
      </c>
      <c r="C9" s="3"/>
      <c r="D9" s="3"/>
      <c r="E9" s="3"/>
      <c r="F9" s="3" t="s">
        <v>12</v>
      </c>
      <c r="G9" s="3" t="s">
        <v>12</v>
      </c>
      <c r="H9" s="29"/>
      <c r="I9" s="3" t="s">
        <v>12</v>
      </c>
      <c r="J9" s="3" t="s">
        <v>12</v>
      </c>
      <c r="K9" s="3" t="s">
        <v>12</v>
      </c>
      <c r="L9" s="3" t="s">
        <v>12</v>
      </c>
      <c r="M9" s="3" t="s">
        <v>12</v>
      </c>
      <c r="N9" s="3" t="s">
        <v>12</v>
      </c>
      <c r="O9" s="29"/>
      <c r="P9" s="3" t="s">
        <v>12</v>
      </c>
      <c r="Q9" s="3" t="s">
        <v>12</v>
      </c>
      <c r="R9" s="3" t="s">
        <v>12</v>
      </c>
      <c r="S9" s="3" t="s">
        <v>12</v>
      </c>
      <c r="T9" s="3" t="s">
        <v>12</v>
      </c>
      <c r="U9" s="3" t="s">
        <v>12</v>
      </c>
      <c r="V9" s="29"/>
      <c r="W9" s="3" t="s">
        <v>12</v>
      </c>
      <c r="X9" s="3" t="s">
        <v>12</v>
      </c>
      <c r="Y9" s="3" t="s">
        <v>12</v>
      </c>
      <c r="Z9" s="3" t="s">
        <v>12</v>
      </c>
      <c r="AA9" s="3" t="s">
        <v>12</v>
      </c>
      <c r="AB9" s="3" t="s">
        <v>12</v>
      </c>
      <c r="AC9" s="29"/>
      <c r="AD9" s="3" t="s">
        <v>12</v>
      </c>
      <c r="AE9" s="3"/>
      <c r="AF9" s="3"/>
      <c r="AG9" s="3"/>
      <c r="AH9" s="9">
        <f>COUNTA(Février[[#This Row],[1]:[29]])</f>
        <v>21</v>
      </c>
    </row>
    <row r="10" spans="2:34" ht="30" customHeight="1" x14ac:dyDescent="0.25">
      <c r="B10" s="15" t="str">
        <f>'Noms des employés'!B6</f>
        <v>3 - Jean-Claude</v>
      </c>
      <c r="C10" s="3"/>
      <c r="D10" s="3"/>
      <c r="E10" s="3"/>
      <c r="F10" s="3"/>
      <c r="G10" s="3"/>
      <c r="H10" s="29"/>
      <c r="I10" s="3"/>
      <c r="J10" s="3"/>
      <c r="K10" s="3"/>
      <c r="L10" s="3"/>
      <c r="M10" s="3"/>
      <c r="N10" s="3"/>
      <c r="O10" s="29"/>
      <c r="P10" s="3"/>
      <c r="Q10" s="3"/>
      <c r="R10" s="3"/>
      <c r="S10" s="3"/>
      <c r="T10" s="3"/>
      <c r="U10" s="3"/>
      <c r="V10" s="29"/>
      <c r="W10" s="3"/>
      <c r="X10" s="3"/>
      <c r="Y10" s="3"/>
      <c r="Z10" s="3"/>
      <c r="AA10" s="3"/>
      <c r="AB10" s="3"/>
      <c r="AC10" s="29"/>
      <c r="AD10" s="3"/>
      <c r="AE10" s="3"/>
      <c r="AF10" s="3"/>
      <c r="AG10" s="3"/>
      <c r="AH10" s="9">
        <f>COUNTA(Février[[#This Row],[1]:[29]])</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COUNTA(Février[[#This Row],[1]:[29]])</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COUNTA(Février[[#This Row],[1]:[29]])</f>
        <v>0</v>
      </c>
    </row>
    <row r="13" spans="2:34" ht="30" customHeight="1" x14ac:dyDescent="0.25">
      <c r="B13" s="31" t="str">
        <f>NomMois&amp;" Total"</f>
        <v>Février Total</v>
      </c>
      <c r="C13" s="32">
        <f>SUBTOTAL(103,Février[1])</f>
        <v>0</v>
      </c>
      <c r="D13" s="32">
        <f>SUBTOTAL(103,Février[2])</f>
        <v>0</v>
      </c>
      <c r="E13" s="32">
        <f>SUBTOTAL(103,Février[3])</f>
        <v>0</v>
      </c>
      <c r="F13" s="32">
        <f>SUBTOTAL(103,Février[4])</f>
        <v>2</v>
      </c>
      <c r="G13" s="32">
        <f>SUBTOTAL(103,Février[5])</f>
        <v>2</v>
      </c>
      <c r="H13" s="32">
        <f>SUBTOTAL(103,Février[6])</f>
        <v>0</v>
      </c>
      <c r="I13" s="32">
        <f>SUBTOTAL(103,Février[7])</f>
        <v>1</v>
      </c>
      <c r="J13" s="32">
        <f>SUBTOTAL(103,Février[8])</f>
        <v>1</v>
      </c>
      <c r="K13" s="32">
        <f>SUBTOTAL(103,Février[9])</f>
        <v>1</v>
      </c>
      <c r="L13" s="32">
        <f>SUBTOTAL(103,Février[10])</f>
        <v>1</v>
      </c>
      <c r="M13" s="32">
        <f>SUBTOTAL(103,Février[11])</f>
        <v>1</v>
      </c>
      <c r="N13" s="32">
        <f>SUBTOTAL(103,Février[12])</f>
        <v>1</v>
      </c>
      <c r="O13" s="32">
        <f>SUBTOTAL(103,Février[13])</f>
        <v>0</v>
      </c>
      <c r="P13" s="32">
        <f>SUBTOTAL(103,Février[14])</f>
        <v>1</v>
      </c>
      <c r="Q13" s="32">
        <f>SUBTOTAL(103,Février[15])</f>
        <v>1</v>
      </c>
      <c r="R13" s="32">
        <f>SUBTOTAL(103,Février[16])</f>
        <v>1</v>
      </c>
      <c r="S13" s="32">
        <f>SUBTOTAL(103,Février[17])</f>
        <v>1</v>
      </c>
      <c r="T13" s="32">
        <f>SUBTOTAL(103,Février[18])</f>
        <v>1</v>
      </c>
      <c r="U13" s="32">
        <f>SUBTOTAL(103,Février[19])</f>
        <v>1</v>
      </c>
      <c r="V13" s="32">
        <f>SUBTOTAL(103,Février[20])</f>
        <v>0</v>
      </c>
      <c r="W13" s="32">
        <f>SUBTOTAL(103,Février[21])</f>
        <v>1</v>
      </c>
      <c r="X13" s="32">
        <f>SUBTOTAL(103,Février[22])</f>
        <v>1</v>
      </c>
      <c r="Y13" s="32">
        <f>SUBTOTAL(103,Février[23])</f>
        <v>1</v>
      </c>
      <c r="Z13" s="32">
        <f>SUBTOTAL(103,Février[24])</f>
        <v>1</v>
      </c>
      <c r="AA13" s="32">
        <f>SUBTOTAL(103,Février[25])</f>
        <v>1</v>
      </c>
      <c r="AB13" s="32">
        <f>SUBTOTAL(103,Février[26])</f>
        <v>1</v>
      </c>
      <c r="AC13" s="32">
        <f>SUBTOTAL(103,Février[27])</f>
        <v>0</v>
      </c>
      <c r="AD13" s="32">
        <f>SUBTOTAL(103,Février[28])</f>
        <v>1</v>
      </c>
      <c r="AE13" s="32">
        <f>SUBTOTAL(103,Février[29])</f>
        <v>0</v>
      </c>
      <c r="AF13" s="32"/>
      <c r="AG13" s="32"/>
      <c r="AH13" s="32">
        <f>SUBTOTAL(109,Février[Total des jours])</f>
        <v>23</v>
      </c>
    </row>
  </sheetData>
  <mergeCells count="6">
    <mergeCell ref="C5:AG5"/>
    <mergeCell ref="D3:E3"/>
    <mergeCell ref="G3:I3"/>
    <mergeCell ref="K3:L3"/>
    <mergeCell ref="N3:Q3"/>
    <mergeCell ref="S3:V3"/>
  </mergeCells>
  <conditionalFormatting sqref="AE7">
    <cfRule type="expression" dxfId="900" priority="16">
      <formula>MONTH(DATE(AnnéeCalendrier,2,29))&lt;&gt;2</formula>
    </cfRule>
  </conditionalFormatting>
  <conditionalFormatting sqref="AE6">
    <cfRule type="expression" dxfId="899" priority="15">
      <formula>MONTH(DATE(AnnéeCalendrier,2,29))&lt;&gt;2</formula>
    </cfRule>
  </conditionalFormatting>
  <conditionalFormatting sqref="C8:AG12">
    <cfRule type="expression" priority="2" stopIfTrue="1">
      <formula>C8=""</formula>
    </cfRule>
    <cfRule type="expression" dxfId="898" priority="3" stopIfTrue="1">
      <formula>C8=CléPersonnalisée2</formula>
    </cfRule>
  </conditionalFormatting>
  <conditionalFormatting sqref="C8:AG12">
    <cfRule type="expression" dxfId="897" priority="5" stopIfTrue="1">
      <formula>C8=CléPersonnalisée1</formula>
    </cfRule>
    <cfRule type="expression" dxfId="896" priority="6" stopIfTrue="1">
      <formula>C8=CléMaladie</formula>
    </cfRule>
    <cfRule type="expression" dxfId="895" priority="7" stopIfTrue="1">
      <formula>C8=CléPersonnel</formula>
    </cfRule>
    <cfRule type="expression" dxfId="894" priority="8" stopIfTrue="1">
      <formula>C8=CléCongé</formula>
    </cfRule>
  </conditionalFormatting>
  <conditionalFormatting sqref="AH8:AH12">
    <cfRule type="dataBar" priority="153">
      <dataBar>
        <cfvo type="min"/>
        <cfvo type="formula" val="DATEDIF(DATE(CalendarYear,2,1),DATE(CalendarYea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5"/>
    <dataValidation allowBlank="1" showInputMessage="1" showErrorMessage="1" prompt="Suivez les absences du mois de février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N3 S3"/>
    <dataValidation allowBlank="1" showInputMessage="1" showErrorMessage="1" prompt="Entrez une lettre et personnalisez l’étiquette à droite pour ajouter un élément de clé" sqref="M3 R3"/>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14:formula1>
            <xm:f>'Noms des employés'!$B$4:$B$8</xm:f>
          </x14:formula1>
          <xm:sqref>B8:B12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pageSetUpPr fitToPage="1"/>
  </sheetPr>
  <dimension ref="A1:AH13"/>
  <sheetViews>
    <sheetView showGridLines="0" zoomScaleNormal="100" workbookViewId="0">
      <selection activeCell="Z17" sqref="Z17"/>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41" t="s">
        <v>7</v>
      </c>
      <c r="E3" s="41"/>
      <c r="F3" s="5" t="s">
        <v>10</v>
      </c>
      <c r="G3" s="41" t="s">
        <v>14</v>
      </c>
      <c r="H3" s="41"/>
      <c r="I3" s="41"/>
      <c r="J3" s="6" t="s">
        <v>12</v>
      </c>
      <c r="K3" s="41" t="s">
        <v>19</v>
      </c>
      <c r="L3" s="41"/>
      <c r="M3" s="7" t="s">
        <v>61</v>
      </c>
      <c r="N3" s="42" t="s">
        <v>62</v>
      </c>
      <c r="O3" s="41"/>
      <c r="P3" s="41"/>
      <c r="Q3" s="41"/>
      <c r="R3" s="8"/>
      <c r="S3" s="41" t="s">
        <v>28</v>
      </c>
      <c r="T3" s="41"/>
      <c r="U3" s="41"/>
      <c r="V3" s="41"/>
    </row>
    <row r="4" spans="2:34" ht="15" customHeight="1" x14ac:dyDescent="0.25">
      <c r="B4" s="12"/>
    </row>
    <row r="5" spans="2:34" ht="30" customHeight="1" x14ac:dyDescent="0.25">
      <c r="B5" s="11" t="s">
        <v>49</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f>AnnéeCalendrier</f>
        <v>2022</v>
      </c>
    </row>
    <row r="6" spans="2:34" ht="15" customHeight="1" x14ac:dyDescent="0.25">
      <c r="B6" s="11"/>
      <c r="C6" s="2" t="str">
        <f>TEXT(WEEKDAY(DATE(AnnéeCalendrier,3,1),1),"jjj")</f>
        <v>mar</v>
      </c>
      <c r="D6" s="2" t="str">
        <f>TEXT(WEEKDAY(DATE(AnnéeCalendrier,3,2),1),"jjj")</f>
        <v>mer</v>
      </c>
      <c r="E6" s="2" t="str">
        <f>TEXT(WEEKDAY(DATE(AnnéeCalendrier,3,3),1),"jjj")</f>
        <v>jeu</v>
      </c>
      <c r="F6" s="2" t="str">
        <f>TEXT(WEEKDAY(DATE(AnnéeCalendrier,3,4),1),"jjj")</f>
        <v>ven</v>
      </c>
      <c r="G6" s="2" t="str">
        <f>TEXT(WEEKDAY(DATE(AnnéeCalendrier,3,5),1),"jjj")</f>
        <v>sam</v>
      </c>
      <c r="H6" s="2" t="str">
        <f>TEXT(WEEKDAY(DATE(AnnéeCalendrier,3,6),1),"jjj")</f>
        <v>dim</v>
      </c>
      <c r="I6" s="2" t="str">
        <f>TEXT(WEEKDAY(DATE(AnnéeCalendrier,3,7),1),"jjj")</f>
        <v>lun</v>
      </c>
      <c r="J6" s="2" t="str">
        <f>TEXT(WEEKDAY(DATE(AnnéeCalendrier,3,8),1),"jjj")</f>
        <v>mar</v>
      </c>
      <c r="K6" s="2" t="str">
        <f>TEXT(WEEKDAY(DATE(AnnéeCalendrier,3,9),1),"jjj")</f>
        <v>mer</v>
      </c>
      <c r="L6" s="2" t="str">
        <f>TEXT(WEEKDAY(DATE(AnnéeCalendrier,3,10),1),"jjj")</f>
        <v>jeu</v>
      </c>
      <c r="M6" s="2" t="str">
        <f>TEXT(WEEKDAY(DATE(AnnéeCalendrier,3,11),1),"jjj")</f>
        <v>ven</v>
      </c>
      <c r="N6" s="2" t="str">
        <f>TEXT(WEEKDAY(DATE(AnnéeCalendrier,3,12),1),"jjj")</f>
        <v>sam</v>
      </c>
      <c r="O6" s="2" t="str">
        <f>TEXT(WEEKDAY(DATE(AnnéeCalendrier,3,13),1),"jjj")</f>
        <v>dim</v>
      </c>
      <c r="P6" s="2" t="str">
        <f>TEXT(WEEKDAY(DATE(AnnéeCalendrier,3,14),1),"jjj")</f>
        <v>lun</v>
      </c>
      <c r="Q6" s="2" t="str">
        <f>TEXT(WEEKDAY(DATE(AnnéeCalendrier,3,15),1),"jjj")</f>
        <v>mar</v>
      </c>
      <c r="R6" s="2" t="str">
        <f>TEXT(WEEKDAY(DATE(AnnéeCalendrier,3,16),1),"jjj")</f>
        <v>mer</v>
      </c>
      <c r="S6" s="2" t="str">
        <f>TEXT(WEEKDAY(DATE(AnnéeCalendrier,3,17),1),"jjj")</f>
        <v>jeu</v>
      </c>
      <c r="T6" s="2" t="str">
        <f>TEXT(WEEKDAY(DATE(AnnéeCalendrier,3,18),1),"jjj")</f>
        <v>ven</v>
      </c>
      <c r="U6" s="2" t="str">
        <f>TEXT(WEEKDAY(DATE(AnnéeCalendrier,3,19),1),"jjj")</f>
        <v>sam</v>
      </c>
      <c r="V6" s="2" t="str">
        <f>TEXT(WEEKDAY(DATE(AnnéeCalendrier,3,20),1),"jjj")</f>
        <v>dim</v>
      </c>
      <c r="W6" s="2" t="str">
        <f>TEXT(WEEKDAY(DATE(AnnéeCalendrier,3,21),1),"jjj")</f>
        <v>lun</v>
      </c>
      <c r="X6" s="2" t="str">
        <f>TEXT(WEEKDAY(DATE(AnnéeCalendrier,3,22),1),"jjj")</f>
        <v>mar</v>
      </c>
      <c r="Y6" s="2" t="str">
        <f>TEXT(WEEKDAY(DATE(AnnéeCalendrier,3,23),1),"jjj")</f>
        <v>mer</v>
      </c>
      <c r="Z6" s="2" t="str">
        <f>TEXT(WEEKDAY(DATE(AnnéeCalendrier,3,24),1),"jjj")</f>
        <v>jeu</v>
      </c>
      <c r="AA6" s="2" t="str">
        <f>TEXT(WEEKDAY(DATE(AnnéeCalendrier,3,25),1),"jjj")</f>
        <v>ven</v>
      </c>
      <c r="AB6" s="2" t="str">
        <f>TEXT(WEEKDAY(DATE(AnnéeCalendrier,3,26),1),"jjj")</f>
        <v>sam</v>
      </c>
      <c r="AC6" s="2" t="str">
        <f>TEXT(WEEKDAY(DATE(AnnéeCalendrier,3,27),1),"jjj")</f>
        <v>dim</v>
      </c>
      <c r="AD6" s="2" t="str">
        <f>TEXT(WEEKDAY(DATE(AnnéeCalendrier,3,28),1),"jjj")</f>
        <v>lun</v>
      </c>
      <c r="AE6" s="2" t="str">
        <f>TEXT(WEEKDAY(DATE(AnnéeCalendrier,3,29),1),"jjj")</f>
        <v>mar</v>
      </c>
      <c r="AF6" s="2" t="str">
        <f>TEXT(WEEKDAY(DATE(AnnéeCalendrier,3,30),1),"jjj")</f>
        <v>mer</v>
      </c>
      <c r="AG6" s="2" t="str">
        <f>TEXT(WEEKDAY(DATE(AnnéeCalendrier,3,31),1),"jjj")</f>
        <v>jeu</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
      <c r="D8" s="3"/>
      <c r="E8" s="3"/>
      <c r="F8" s="3"/>
      <c r="G8" s="3"/>
      <c r="H8" s="29"/>
      <c r="I8" s="3"/>
      <c r="J8" s="3"/>
      <c r="K8" s="3"/>
      <c r="L8" s="3"/>
      <c r="M8" s="3"/>
      <c r="N8" s="3"/>
      <c r="O8" s="29"/>
      <c r="P8" s="3"/>
      <c r="Q8" s="3"/>
      <c r="R8" s="3"/>
      <c r="S8" s="3"/>
      <c r="T8" s="3"/>
      <c r="U8" s="3"/>
      <c r="V8" s="29"/>
      <c r="W8" s="3"/>
      <c r="X8" s="3"/>
      <c r="Y8" s="3"/>
      <c r="Z8" s="3"/>
      <c r="AA8" s="3"/>
      <c r="AB8" s="3"/>
      <c r="AC8" s="29"/>
      <c r="AD8" s="3"/>
      <c r="AE8" s="3"/>
      <c r="AF8" s="3"/>
      <c r="AG8" s="3"/>
      <c r="AH8" s="9">
        <f>COUNTA(Mars[[#This Row],[1]:[31]])</f>
        <v>0</v>
      </c>
    </row>
    <row r="9" spans="2:34" ht="30" customHeight="1" x14ac:dyDescent="0.25">
      <c r="B9" s="15" t="str">
        <f>'Noms des employés'!B5</f>
        <v xml:space="preserve">2 - Laïla </v>
      </c>
      <c r="C9" s="3" t="s">
        <v>12</v>
      </c>
      <c r="D9" s="3" t="s">
        <v>12</v>
      </c>
      <c r="E9" s="3" t="s">
        <v>12</v>
      </c>
      <c r="F9" s="3" t="s">
        <v>12</v>
      </c>
      <c r="G9" s="3" t="s">
        <v>12</v>
      </c>
      <c r="H9" s="29"/>
      <c r="I9" s="3" t="s">
        <v>12</v>
      </c>
      <c r="J9" s="3" t="s">
        <v>12</v>
      </c>
      <c r="K9" s="3" t="s">
        <v>12</v>
      </c>
      <c r="L9" s="3" t="s">
        <v>12</v>
      </c>
      <c r="M9" s="3" t="s">
        <v>12</v>
      </c>
      <c r="N9" s="3" t="s">
        <v>12</v>
      </c>
      <c r="O9" s="29"/>
      <c r="P9" s="3" t="s">
        <v>12</v>
      </c>
      <c r="Q9" s="3" t="s">
        <v>12</v>
      </c>
      <c r="R9" s="3" t="s">
        <v>12</v>
      </c>
      <c r="S9" s="3" t="s">
        <v>12</v>
      </c>
      <c r="T9" s="3" t="s">
        <v>12</v>
      </c>
      <c r="U9" s="3" t="s">
        <v>12</v>
      </c>
      <c r="V9" s="29"/>
      <c r="W9" s="3" t="s">
        <v>12</v>
      </c>
      <c r="X9" s="3" t="s">
        <v>12</v>
      </c>
      <c r="Y9" s="3" t="s">
        <v>12</v>
      </c>
      <c r="Z9" s="3" t="s">
        <v>12</v>
      </c>
      <c r="AA9" s="3" t="s">
        <v>12</v>
      </c>
      <c r="AB9" s="3" t="s">
        <v>12</v>
      </c>
      <c r="AC9" s="29"/>
      <c r="AD9" s="3" t="s">
        <v>12</v>
      </c>
      <c r="AE9" s="3" t="s">
        <v>12</v>
      </c>
      <c r="AF9" s="3" t="s">
        <v>12</v>
      </c>
      <c r="AG9" s="3" t="s">
        <v>12</v>
      </c>
      <c r="AH9" s="9">
        <f>COUNTA(Mars[[#This Row],[1]:[31]])</f>
        <v>27</v>
      </c>
    </row>
    <row r="10" spans="2:34" ht="30" customHeight="1" x14ac:dyDescent="0.25">
      <c r="B10" s="15" t="str">
        <f>'Noms des employés'!B6</f>
        <v>3 - Jean-Claude</v>
      </c>
      <c r="C10" s="3"/>
      <c r="D10" s="3"/>
      <c r="E10" s="3"/>
      <c r="F10" s="3"/>
      <c r="G10" s="3"/>
      <c r="H10" s="29"/>
      <c r="I10" s="3"/>
      <c r="J10" s="3"/>
      <c r="K10" s="3"/>
      <c r="L10" s="3"/>
      <c r="M10" s="3"/>
      <c r="N10" s="3"/>
      <c r="O10" s="29"/>
      <c r="P10" s="3"/>
      <c r="Q10" s="3"/>
      <c r="R10" s="3"/>
      <c r="S10" s="3"/>
      <c r="T10" s="3"/>
      <c r="U10" s="3"/>
      <c r="V10" s="29"/>
      <c r="W10" s="3"/>
      <c r="X10" s="3"/>
      <c r="Y10" s="3"/>
      <c r="Z10" s="3"/>
      <c r="AA10" s="3"/>
      <c r="AB10" s="3"/>
      <c r="AC10" s="29"/>
      <c r="AD10" s="3"/>
      <c r="AE10" s="3"/>
      <c r="AF10" s="3"/>
      <c r="AG10" s="3"/>
      <c r="AH10" s="9">
        <f>COUNTA(Mars[[#This Row],[1]:[31]])</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COUNTA(Mars[[#This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COUNTA(Mars[[#This Row],[1]:[31]])</f>
        <v>0</v>
      </c>
    </row>
    <row r="13" spans="2:34" ht="30" customHeight="1" x14ac:dyDescent="0.25">
      <c r="B13" s="33" t="str">
        <f>NomMois&amp;" Total"</f>
        <v>Mars Total</v>
      </c>
      <c r="C13" s="34">
        <f>SUBTOTAL(103,Mars[1])</f>
        <v>1</v>
      </c>
      <c r="D13" s="34">
        <f>SUBTOTAL(103,Mars[2])</f>
        <v>1</v>
      </c>
      <c r="E13" s="34">
        <f>SUBTOTAL(103,Mars[3])</f>
        <v>1</v>
      </c>
      <c r="F13" s="34">
        <f>SUBTOTAL(103,Mars[4])</f>
        <v>1</v>
      </c>
      <c r="G13" s="34">
        <f>SUBTOTAL(103,Mars[5])</f>
        <v>1</v>
      </c>
      <c r="H13" s="34">
        <f>SUBTOTAL(103,Mars[6])</f>
        <v>0</v>
      </c>
      <c r="I13" s="34">
        <f>SUBTOTAL(103,Mars[7])</f>
        <v>1</v>
      </c>
      <c r="J13" s="34">
        <f>SUBTOTAL(103,Mars[8])</f>
        <v>1</v>
      </c>
      <c r="K13" s="34">
        <f>SUBTOTAL(103,Mars[9])</f>
        <v>1</v>
      </c>
      <c r="L13" s="34">
        <f>SUBTOTAL(103,Mars[10])</f>
        <v>1</v>
      </c>
      <c r="M13" s="34">
        <f>SUBTOTAL(103,Mars[11])</f>
        <v>1</v>
      </c>
      <c r="N13" s="34">
        <f>SUBTOTAL(103,Mars[12])</f>
        <v>1</v>
      </c>
      <c r="O13" s="34">
        <f>SUBTOTAL(103,Mars[13])</f>
        <v>0</v>
      </c>
      <c r="P13" s="34">
        <f>SUBTOTAL(103,Mars[14])</f>
        <v>1</v>
      </c>
      <c r="Q13" s="34">
        <f>SUBTOTAL(103,Mars[15])</f>
        <v>1</v>
      </c>
      <c r="R13" s="34">
        <f>SUBTOTAL(103,Mars[16])</f>
        <v>1</v>
      </c>
      <c r="S13" s="34">
        <f>SUBTOTAL(103,Mars[17])</f>
        <v>1</v>
      </c>
      <c r="T13" s="34">
        <f>SUBTOTAL(103,Mars[18])</f>
        <v>1</v>
      </c>
      <c r="U13" s="34">
        <f>SUBTOTAL(103,Mars[19])</f>
        <v>1</v>
      </c>
      <c r="V13" s="34">
        <f>SUBTOTAL(103,Mars[20])</f>
        <v>0</v>
      </c>
      <c r="W13" s="34">
        <f>SUBTOTAL(103,Mars[21])</f>
        <v>1</v>
      </c>
      <c r="X13" s="34">
        <f>SUBTOTAL(103,Mars[22])</f>
        <v>1</v>
      </c>
      <c r="Y13" s="34">
        <f>SUBTOTAL(103,Mars[23])</f>
        <v>1</v>
      </c>
      <c r="Z13" s="34">
        <f>SUBTOTAL(103,Mars[24])</f>
        <v>1</v>
      </c>
      <c r="AA13" s="34">
        <f>SUBTOTAL(103,Mars[25])</f>
        <v>1</v>
      </c>
      <c r="AB13" s="34">
        <f>SUBTOTAL(103,Mars[26])</f>
        <v>1</v>
      </c>
      <c r="AC13" s="34">
        <f>SUBTOTAL(103,Mars[27])</f>
        <v>0</v>
      </c>
      <c r="AD13" s="34">
        <f>SUBTOTAL(103,Mars[28])</f>
        <v>1</v>
      </c>
      <c r="AE13" s="34">
        <f>SUBTOTAL(103,Mars[29])</f>
        <v>1</v>
      </c>
      <c r="AF13" s="34">
        <f>SUBTOTAL(109,Mars[30])</f>
        <v>0</v>
      </c>
      <c r="AG13" s="34">
        <f>SUBTOTAL(109,Mars[31])</f>
        <v>0</v>
      </c>
      <c r="AH13" s="34">
        <f>SUBTOTAL(109,Mars[Total des jours])</f>
        <v>27</v>
      </c>
    </row>
  </sheetData>
  <mergeCells count="6">
    <mergeCell ref="C5:AG5"/>
    <mergeCell ref="D3:E3"/>
    <mergeCell ref="G3:I3"/>
    <mergeCell ref="K3:L3"/>
    <mergeCell ref="N3:Q3"/>
    <mergeCell ref="S3:V3"/>
  </mergeCells>
  <conditionalFormatting sqref="C11:AG12 AF10:AG10 AF8:AF9 C8:AE10">
    <cfRule type="expression" priority="13" stopIfTrue="1">
      <formula>C8=""</formula>
    </cfRule>
  </conditionalFormatting>
  <conditionalFormatting sqref="C11:AG12 AF10:AG10 AF8:AF9 C8:AE10">
    <cfRule type="expression" dxfId="824" priority="14" stopIfTrue="1">
      <formula>C8=CléPersonnalisée2</formula>
    </cfRule>
    <cfRule type="expression" dxfId="823" priority="15" stopIfTrue="1">
      <formula>C8=CléPersonnalisée1</formula>
    </cfRule>
    <cfRule type="expression" dxfId="822" priority="16" stopIfTrue="1">
      <formula>C8=CléMaladie</formula>
    </cfRule>
    <cfRule type="expression" dxfId="821" priority="17" stopIfTrue="1">
      <formula>C8=CléPersonnel</formula>
    </cfRule>
    <cfRule type="expression" dxfId="820" priority="18" stopIfTrue="1">
      <formula>C8=CléCongé</formula>
    </cfRule>
  </conditionalFormatting>
  <conditionalFormatting sqref="AH8:AH12">
    <cfRule type="dataBar" priority="19">
      <dataBar>
        <cfvo type="min"/>
        <cfvo type="formula" val="DATEDIF(DATE(CalendarYear,2,1),DATE(CalendarYear,3,1),&quot;d&quot;)"/>
        <color theme="2" tint="-0.249977111117893"/>
      </dataBar>
      <extLst>
        <ext xmlns:x14="http://schemas.microsoft.com/office/spreadsheetml/2009/9/main" uri="{B025F937-C7B1-47D3-B67F-A62EFF666E3E}">
          <x14:id>{7C2B6C3E-666E-4369-8C57-FD32A7D03A3C}</x14:id>
        </ext>
      </extLst>
    </cfRule>
  </conditionalFormatting>
  <conditionalFormatting sqref="AG8:AG9">
    <cfRule type="expression" priority="1" stopIfTrue="1">
      <formula>AG8=""</formula>
    </cfRule>
  </conditionalFormatting>
  <conditionalFormatting sqref="AG8:AG9">
    <cfRule type="expression" dxfId="819" priority="2" stopIfTrue="1">
      <formula>AG8=CléPersonnalisée2</formula>
    </cfRule>
    <cfRule type="expression" dxfId="818" priority="3" stopIfTrue="1">
      <formula>AG8=CléPersonnalisée1</formula>
    </cfRule>
    <cfRule type="expression" dxfId="817" priority="4" stopIfTrue="1">
      <formula>AG8=CléMaladie</formula>
    </cfRule>
    <cfRule type="expression" dxfId="816" priority="5" stopIfTrue="1">
      <formula>AG8=CléPersonnel</formula>
    </cfRule>
    <cfRule type="expression" dxfId="815" priority="6" stopIfTrue="1">
      <formula>AG8=CléCongé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N3 S3"/>
    <dataValidation allowBlank="1" showInputMessage="1" showErrorMessage="1" prompt="Entrez une lettre et personnalisez l’étiquette à droite pour ajouter un élément de clé" sqref="M3 R3"/>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 titre mis à jour automatiquement figure dans cette cellule. Pour modifier le titre, mettez à jour la cellule B1 de la feuille de calcul Janvier" sqref="B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Suivez les absences du mois de mars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Année mise à jour automatiquement en fonction de l’année entrée dans la feuille de calcul Janvier" sqref="AH5"/>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3"/>
  <sheetViews>
    <sheetView showGridLines="0" zoomScaleNormal="100" workbookViewId="0">
      <selection activeCell="L21" sqref="L2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41" t="s">
        <v>7</v>
      </c>
      <c r="E3" s="41"/>
      <c r="F3" s="5" t="s">
        <v>10</v>
      </c>
      <c r="G3" s="41" t="s">
        <v>14</v>
      </c>
      <c r="H3" s="41"/>
      <c r="I3" s="41"/>
      <c r="J3" s="6" t="s">
        <v>12</v>
      </c>
      <c r="K3" s="41" t="s">
        <v>19</v>
      </c>
      <c r="L3" s="41"/>
      <c r="M3" s="7" t="s">
        <v>65</v>
      </c>
      <c r="N3" s="42" t="s">
        <v>66</v>
      </c>
      <c r="O3" s="41"/>
      <c r="P3" s="41"/>
      <c r="Q3" s="41"/>
      <c r="R3" s="26"/>
      <c r="S3" s="42" t="s">
        <v>60</v>
      </c>
      <c r="T3" s="41"/>
      <c r="U3" s="41"/>
      <c r="V3" s="41"/>
    </row>
    <row r="4" spans="2:34" ht="15" customHeight="1" x14ac:dyDescent="0.25">
      <c r="B4" s="12"/>
    </row>
    <row r="5" spans="2:34" ht="30" customHeight="1" x14ac:dyDescent="0.25">
      <c r="B5" s="11" t="s">
        <v>50</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f>AnnéeCalendrier</f>
        <v>2022</v>
      </c>
    </row>
    <row r="6" spans="2:34" ht="15" customHeight="1" x14ac:dyDescent="0.25">
      <c r="B6" s="11"/>
      <c r="C6" s="2" t="str">
        <f>TEXT(WEEKDAY(DATE(AnnéeCalendrier,4,1),1),"jjj")</f>
        <v>ven</v>
      </c>
      <c r="D6" s="2" t="str">
        <f>TEXT(WEEKDAY(DATE(AnnéeCalendrier,4,2),1),"jjj")</f>
        <v>sam</v>
      </c>
      <c r="E6" s="2" t="str">
        <f>TEXT(WEEKDAY(DATE(AnnéeCalendrier,4,3),1),"jjj")</f>
        <v>dim</v>
      </c>
      <c r="F6" s="2" t="str">
        <f>TEXT(WEEKDAY(DATE(AnnéeCalendrier,4,4),1),"jjj")</f>
        <v>lun</v>
      </c>
      <c r="G6" s="2" t="str">
        <f>TEXT(WEEKDAY(DATE(AnnéeCalendrier,4,5),1),"jjj")</f>
        <v>mar</v>
      </c>
      <c r="H6" s="2" t="str">
        <f>TEXT(WEEKDAY(DATE(AnnéeCalendrier,4,6),1),"jjj")</f>
        <v>mer</v>
      </c>
      <c r="I6" s="2" t="str">
        <f>TEXT(WEEKDAY(DATE(AnnéeCalendrier,4,7),1),"jjj")</f>
        <v>jeu</v>
      </c>
      <c r="J6" s="2" t="str">
        <f>TEXT(WEEKDAY(DATE(AnnéeCalendrier,4,8),1),"jjj")</f>
        <v>ven</v>
      </c>
      <c r="K6" s="2" t="str">
        <f>TEXT(WEEKDAY(DATE(AnnéeCalendrier,4,9),1),"jjj")</f>
        <v>sam</v>
      </c>
      <c r="L6" s="2" t="str">
        <f>TEXT(WEEKDAY(DATE(AnnéeCalendrier,4,10),1),"jjj")</f>
        <v>dim</v>
      </c>
      <c r="M6" s="2" t="str">
        <f>TEXT(WEEKDAY(DATE(AnnéeCalendrier,4,11),1),"jjj")</f>
        <v>lun</v>
      </c>
      <c r="N6" s="2" t="str">
        <f>TEXT(WEEKDAY(DATE(AnnéeCalendrier,4,12),1),"jjj")</f>
        <v>mar</v>
      </c>
      <c r="O6" s="2" t="str">
        <f>TEXT(WEEKDAY(DATE(AnnéeCalendrier,4,13),1),"jjj")</f>
        <v>mer</v>
      </c>
      <c r="P6" s="2" t="str">
        <f>TEXT(WEEKDAY(DATE(AnnéeCalendrier,4,14),1),"jjj")</f>
        <v>jeu</v>
      </c>
      <c r="Q6" s="2" t="str">
        <f>TEXT(WEEKDAY(DATE(AnnéeCalendrier,4,15),1),"jjj")</f>
        <v>ven</v>
      </c>
      <c r="R6" s="2" t="str">
        <f>TEXT(WEEKDAY(DATE(AnnéeCalendrier,4,16),1),"jjj")</f>
        <v>sam</v>
      </c>
      <c r="S6" s="2" t="str">
        <f>TEXT(WEEKDAY(DATE(AnnéeCalendrier,4,17),1),"jjj")</f>
        <v>dim</v>
      </c>
      <c r="T6" s="2" t="str">
        <f>TEXT(WEEKDAY(DATE(AnnéeCalendrier,4,18),1),"jjj")</f>
        <v>lun</v>
      </c>
      <c r="U6" s="2" t="str">
        <f>TEXT(WEEKDAY(DATE(AnnéeCalendrier,4,19),1),"jjj")</f>
        <v>mar</v>
      </c>
      <c r="V6" s="2" t="str">
        <f>TEXT(WEEKDAY(DATE(AnnéeCalendrier,4,20),1),"jjj")</f>
        <v>mer</v>
      </c>
      <c r="W6" s="2" t="str">
        <f>TEXT(WEEKDAY(DATE(AnnéeCalendrier,4,21),1),"jjj")</f>
        <v>jeu</v>
      </c>
      <c r="X6" s="2" t="str">
        <f>TEXT(WEEKDAY(DATE(AnnéeCalendrier,4,22),1),"jjj")</f>
        <v>ven</v>
      </c>
      <c r="Y6" s="2" t="str">
        <f>TEXT(WEEKDAY(DATE(AnnéeCalendrier,4,23),1),"jjj")</f>
        <v>sam</v>
      </c>
      <c r="Z6" s="2" t="str">
        <f>TEXT(WEEKDAY(DATE(AnnéeCalendrier,4,24),1),"jjj")</f>
        <v>dim</v>
      </c>
      <c r="AA6" s="2" t="str">
        <f>TEXT(WEEKDAY(DATE(AnnéeCalendrier,4,25),1),"jjj")</f>
        <v>lun</v>
      </c>
      <c r="AB6" s="2" t="str">
        <f>TEXT(WEEKDAY(DATE(AnnéeCalendrier,4,26),1),"jjj")</f>
        <v>mar</v>
      </c>
      <c r="AC6" s="2" t="str">
        <f>TEXT(WEEKDAY(DATE(AnnéeCalendrier,4,27),1),"jjj")</f>
        <v>mer</v>
      </c>
      <c r="AD6" s="2" t="str">
        <f>TEXT(WEEKDAY(DATE(AnnéeCalendrier,4,28),1),"jjj")</f>
        <v>jeu</v>
      </c>
      <c r="AE6" s="2" t="str">
        <f>TEXT(WEEKDAY(DATE(AnnéeCalendrier,4,29),1),"jjj")</f>
        <v>ven</v>
      </c>
      <c r="AF6" s="2" t="str">
        <f>TEXT(WEEKDAY(DATE(AnnéeCalendrier,4,30),1),"jjj")</f>
        <v>sam</v>
      </c>
      <c r="AG6" s="2"/>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
      <c r="D8" s="3"/>
      <c r="E8" s="29"/>
      <c r="F8" s="3"/>
      <c r="G8" s="3"/>
      <c r="H8" s="3"/>
      <c r="I8" s="3"/>
      <c r="J8" s="3"/>
      <c r="K8" s="3"/>
      <c r="L8" s="29"/>
      <c r="M8" s="3"/>
      <c r="N8" s="3"/>
      <c r="O8" s="3"/>
      <c r="P8" s="3"/>
      <c r="Q8" s="3"/>
      <c r="R8" s="3"/>
      <c r="S8" s="29"/>
      <c r="T8" s="26"/>
      <c r="U8" s="3"/>
      <c r="V8" s="3"/>
      <c r="W8" s="3"/>
      <c r="X8" s="3"/>
      <c r="Y8" s="3"/>
      <c r="Z8" s="29"/>
      <c r="AA8" s="3"/>
      <c r="AB8" s="3"/>
      <c r="AC8" s="3"/>
      <c r="AD8" s="3"/>
      <c r="AE8" s="3"/>
      <c r="AF8" s="3"/>
      <c r="AG8" s="3"/>
      <c r="AH8" s="9">
        <f>COUNTA(Avril[[#This Row],[1]:[31]])</f>
        <v>0</v>
      </c>
    </row>
    <row r="9" spans="2:34" ht="30" customHeight="1" x14ac:dyDescent="0.25">
      <c r="B9" s="15" t="str">
        <f>'Noms des employés'!B5</f>
        <v xml:space="preserve">2 - Laïla </v>
      </c>
      <c r="C9" s="3" t="s">
        <v>12</v>
      </c>
      <c r="D9" s="3" t="s">
        <v>12</v>
      </c>
      <c r="E9" s="29"/>
      <c r="F9" s="3" t="s">
        <v>12</v>
      </c>
      <c r="G9" s="3" t="s">
        <v>12</v>
      </c>
      <c r="H9" s="3" t="s">
        <v>12</v>
      </c>
      <c r="I9" s="3" t="s">
        <v>12</v>
      </c>
      <c r="J9" s="3" t="s">
        <v>12</v>
      </c>
      <c r="K9" s="3" t="s">
        <v>12</v>
      </c>
      <c r="L9" s="29"/>
      <c r="M9" s="3" t="s">
        <v>12</v>
      </c>
      <c r="N9" s="3" t="s">
        <v>12</v>
      </c>
      <c r="O9" s="3" t="s">
        <v>12</v>
      </c>
      <c r="P9" s="3" t="s">
        <v>12</v>
      </c>
      <c r="Q9" s="3" t="s">
        <v>12</v>
      </c>
      <c r="R9" s="3" t="s">
        <v>12</v>
      </c>
      <c r="S9" s="29"/>
      <c r="T9" s="26"/>
      <c r="U9" s="3" t="s">
        <v>12</v>
      </c>
      <c r="V9" s="3" t="s">
        <v>12</v>
      </c>
      <c r="W9" s="3" t="s">
        <v>12</v>
      </c>
      <c r="X9" s="3" t="s">
        <v>12</v>
      </c>
      <c r="Y9" s="3" t="s">
        <v>12</v>
      </c>
      <c r="Z9" s="29"/>
      <c r="AA9" s="3" t="s">
        <v>12</v>
      </c>
      <c r="AB9" s="3" t="s">
        <v>12</v>
      </c>
      <c r="AC9" s="3" t="s">
        <v>12</v>
      </c>
      <c r="AD9" s="3" t="s">
        <v>12</v>
      </c>
      <c r="AE9" s="3" t="s">
        <v>12</v>
      </c>
      <c r="AF9" s="3" t="s">
        <v>12</v>
      </c>
      <c r="AG9" s="3"/>
      <c r="AH9" s="9">
        <f>COUNTA(Avril[[#This Row],[1]:[31]])</f>
        <v>25</v>
      </c>
    </row>
    <row r="10" spans="2:34" ht="30" customHeight="1" x14ac:dyDescent="0.25">
      <c r="B10" s="15" t="str">
        <f>'Noms des employés'!B6</f>
        <v>3 - Jean-Claude</v>
      </c>
      <c r="C10" s="3"/>
      <c r="D10" s="3"/>
      <c r="E10" s="29"/>
      <c r="F10" s="3"/>
      <c r="G10" s="3"/>
      <c r="H10" s="3"/>
      <c r="I10" s="3"/>
      <c r="J10" s="3"/>
      <c r="K10" s="3"/>
      <c r="L10" s="29"/>
      <c r="M10" s="3"/>
      <c r="N10" s="3"/>
      <c r="O10" s="3"/>
      <c r="P10" s="3"/>
      <c r="Q10" s="3"/>
      <c r="R10" s="3"/>
      <c r="S10" s="29"/>
      <c r="T10" s="26"/>
      <c r="U10" s="3"/>
      <c r="V10" s="3"/>
      <c r="W10" s="3"/>
      <c r="X10" s="3"/>
      <c r="Y10" s="3"/>
      <c r="Z10" s="29"/>
      <c r="AA10" s="3"/>
      <c r="AB10" s="3"/>
      <c r="AC10" s="3"/>
      <c r="AD10" s="3"/>
      <c r="AE10" s="3"/>
      <c r="AF10" s="3"/>
      <c r="AG10" s="3"/>
      <c r="AH10" s="9">
        <f>COUNTA(Avril[[#This Row],[1]:[31]])</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COUNTA(Avril[[#This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COUNTA(Avril[[#This Row],[1]:[31]])</f>
        <v>0</v>
      </c>
    </row>
    <row r="13" spans="2:34" ht="30" customHeight="1" x14ac:dyDescent="0.25">
      <c r="B13" s="33" t="str">
        <f>NomMois&amp;" Total"</f>
        <v>Avril Total</v>
      </c>
      <c r="C13" s="34">
        <f>SUBTOTAL(103,Avril[1])</f>
        <v>1</v>
      </c>
      <c r="D13" s="34">
        <f>SUBTOTAL(103,Avril[2])</f>
        <v>1</v>
      </c>
      <c r="E13" s="34">
        <f>SUBTOTAL(103,Avril[3])</f>
        <v>0</v>
      </c>
      <c r="F13" s="34">
        <f>SUBTOTAL(103,Avril[4])</f>
        <v>1</v>
      </c>
      <c r="G13" s="34">
        <f>SUBTOTAL(103,Avril[5])</f>
        <v>1</v>
      </c>
      <c r="H13" s="34">
        <f>SUBTOTAL(103,Avril[6])</f>
        <v>1</v>
      </c>
      <c r="I13" s="34">
        <f>SUBTOTAL(103,Avril[7])</f>
        <v>1</v>
      </c>
      <c r="J13" s="34">
        <f>SUBTOTAL(103,Avril[8])</f>
        <v>1</v>
      </c>
      <c r="K13" s="34">
        <f>SUBTOTAL(103,Avril[9])</f>
        <v>1</v>
      </c>
      <c r="L13" s="34">
        <f>SUBTOTAL(103,Avril[10])</f>
        <v>0</v>
      </c>
      <c r="M13" s="34">
        <f>SUBTOTAL(103,Avril[11])</f>
        <v>1</v>
      </c>
      <c r="N13" s="34">
        <f>SUBTOTAL(103,Avril[12])</f>
        <v>1</v>
      </c>
      <c r="O13" s="34">
        <f>SUBTOTAL(103,Avril[13])</f>
        <v>1</v>
      </c>
      <c r="P13" s="34">
        <f>SUBTOTAL(103,Avril[14])</f>
        <v>1</v>
      </c>
      <c r="Q13" s="34">
        <f>SUBTOTAL(103,Avril[15])</f>
        <v>1</v>
      </c>
      <c r="R13" s="34">
        <f>SUBTOTAL(103,Avril[16])</f>
        <v>1</v>
      </c>
      <c r="S13" s="34">
        <f>SUBTOTAL(103,Avril[17])</f>
        <v>0</v>
      </c>
      <c r="T13" s="34">
        <f>SUBTOTAL(103,Avril[18])</f>
        <v>0</v>
      </c>
      <c r="U13" s="34">
        <f>SUBTOTAL(103,Avril[19])</f>
        <v>1</v>
      </c>
      <c r="V13" s="34">
        <f>SUBTOTAL(103,Avril[20])</f>
        <v>1</v>
      </c>
      <c r="W13" s="34">
        <f>SUBTOTAL(103,Avril[21])</f>
        <v>1</v>
      </c>
      <c r="X13" s="34">
        <f>SUBTOTAL(103,Avril[22])</f>
        <v>1</v>
      </c>
      <c r="Y13" s="34">
        <f>SUBTOTAL(103,Avril[23])</f>
        <v>1</v>
      </c>
      <c r="Z13" s="34">
        <f>SUBTOTAL(103,Avril[24])</f>
        <v>0</v>
      </c>
      <c r="AA13" s="34">
        <f>SUBTOTAL(103,Avril[25])</f>
        <v>1</v>
      </c>
      <c r="AB13" s="34">
        <f>SUBTOTAL(103,Avril[26])</f>
        <v>1</v>
      </c>
      <c r="AC13" s="34">
        <f>SUBTOTAL(103,Avril[27])</f>
        <v>1</v>
      </c>
      <c r="AD13" s="34">
        <f>SUBTOTAL(103,Avril[28])</f>
        <v>1</v>
      </c>
      <c r="AE13" s="34">
        <f>SUBTOTAL(103,Avril[29])</f>
        <v>1</v>
      </c>
      <c r="AF13" s="34">
        <f>SUBTOTAL(103,Avril[30])</f>
        <v>1</v>
      </c>
      <c r="AG13" s="34">
        <f>SUBTOTAL(109,Avril[31])</f>
        <v>0</v>
      </c>
      <c r="AH13" s="34">
        <f>SUBTOTAL(109,Avril[Total des jours])</f>
        <v>25</v>
      </c>
    </row>
  </sheetData>
  <mergeCells count="6">
    <mergeCell ref="C5:AG5"/>
    <mergeCell ref="D3:E3"/>
    <mergeCell ref="G3:I3"/>
    <mergeCell ref="K3:L3"/>
    <mergeCell ref="N3:Q3"/>
    <mergeCell ref="S3:V3"/>
  </mergeCells>
  <conditionalFormatting sqref="C11:AG12">
    <cfRule type="expression" priority="61" stopIfTrue="1">
      <formula>C11=""</formula>
    </cfRule>
  </conditionalFormatting>
  <conditionalFormatting sqref="C11:AG12">
    <cfRule type="expression" dxfId="745" priority="62" stopIfTrue="1">
      <formula>C11=CléPersonnalisée2</formula>
    </cfRule>
    <cfRule type="expression" dxfId="744" priority="63" stopIfTrue="1">
      <formula>C11=CléPersonnalisée1</formula>
    </cfRule>
    <cfRule type="expression" dxfId="743" priority="64" stopIfTrue="1">
      <formula>C11=CléMaladie</formula>
    </cfRule>
    <cfRule type="expression" dxfId="742" priority="65" stopIfTrue="1">
      <formula>C11=CléPersonnel</formula>
    </cfRule>
    <cfRule type="expression" dxfId="741" priority="66" stopIfTrue="1">
      <formula>C11=CléCongé</formula>
    </cfRule>
  </conditionalFormatting>
  <conditionalFormatting sqref="AH8:AH12">
    <cfRule type="dataBar" priority="67">
      <dataBar>
        <cfvo type="min"/>
        <cfvo type="formula" val="DATEDIF(DATE(CalendarYear,2,1),DATE(CalendarYear,3,1),&quot;d&quot;)"/>
        <color theme="2" tint="-0.249977111117893"/>
      </dataBar>
      <extLst>
        <ext xmlns:x14="http://schemas.microsoft.com/office/spreadsheetml/2009/9/main" uri="{B025F937-C7B1-47D3-B67F-A62EFF666E3E}">
          <x14:id>{0C86709F-D813-4066-A3F1-C30F11214F4B}</x14:id>
        </ext>
      </extLst>
    </cfRule>
  </conditionalFormatting>
  <conditionalFormatting sqref="R3">
    <cfRule type="expression" priority="49" stopIfTrue="1">
      <formula>R3=""</formula>
    </cfRule>
    <cfRule type="expression" dxfId="740" priority="50" stopIfTrue="1">
      <formula>R3=CléPersonnalisée2</formula>
    </cfRule>
    <cfRule type="expression" dxfId="739" priority="51" stopIfTrue="1">
      <formula>R3=CléPersonnalisée1</formula>
    </cfRule>
    <cfRule type="expression" dxfId="738" priority="52" stopIfTrue="1">
      <formula>R3=CléMaladie</formula>
    </cfRule>
    <cfRule type="expression" dxfId="737" priority="53" stopIfTrue="1">
      <formula>R3=CléPersonnel</formula>
    </cfRule>
    <cfRule type="expression" dxfId="736" priority="54" stopIfTrue="1">
      <formula>R3=CléCongé</formula>
    </cfRule>
  </conditionalFormatting>
  <conditionalFormatting sqref="C8:S10 U8:AB8 U10:AB10 U9:Z9">
    <cfRule type="expression" priority="31" stopIfTrue="1">
      <formula>C8=""</formula>
    </cfRule>
  </conditionalFormatting>
  <conditionalFormatting sqref="C8:S10 U8:AB8 U10:AB10 U9:Z9">
    <cfRule type="expression" dxfId="735" priority="32" stopIfTrue="1">
      <formula>C8=CléPersonnalisée2</formula>
    </cfRule>
    <cfRule type="expression" dxfId="734" priority="33" stopIfTrue="1">
      <formula>C8=CléPersonnalisée1</formula>
    </cfRule>
    <cfRule type="expression" dxfId="733" priority="34" stopIfTrue="1">
      <formula>C8=CléMaladie</formula>
    </cfRule>
    <cfRule type="expression" dxfId="732" priority="35" stopIfTrue="1">
      <formula>C8=CléPersonnel</formula>
    </cfRule>
    <cfRule type="expression" dxfId="731" priority="36" stopIfTrue="1">
      <formula>C8=CléCongé</formula>
    </cfRule>
  </conditionalFormatting>
  <conditionalFormatting sqref="AC8:AG8 AC10:AG10 AG9">
    <cfRule type="expression" priority="13" stopIfTrue="1">
      <formula>AC8=""</formula>
    </cfRule>
  </conditionalFormatting>
  <conditionalFormatting sqref="AC8:AG8 AC10:AG10 AG9">
    <cfRule type="expression" dxfId="730" priority="14" stopIfTrue="1">
      <formula>AC8=CléPersonnalisée2</formula>
    </cfRule>
    <cfRule type="expression" dxfId="729" priority="15" stopIfTrue="1">
      <formula>AC8=CléPersonnalisée1</formula>
    </cfRule>
    <cfRule type="expression" dxfId="728" priority="16" stopIfTrue="1">
      <formula>AC8=CléMaladie</formula>
    </cfRule>
    <cfRule type="expression" dxfId="727" priority="17" stopIfTrue="1">
      <formula>AC8=CléPersonnel</formula>
    </cfRule>
    <cfRule type="expression" dxfId="726" priority="18" stopIfTrue="1">
      <formula>AC8=CléCongé</formula>
    </cfRule>
  </conditionalFormatting>
  <conditionalFormatting sqref="T8:T10">
    <cfRule type="expression" priority="7" stopIfTrue="1">
      <formula>T8=""</formula>
    </cfRule>
    <cfRule type="expression" dxfId="725" priority="8" stopIfTrue="1">
      <formula>T8=CléPersonnalisée2</formula>
    </cfRule>
    <cfRule type="expression" dxfId="724" priority="9" stopIfTrue="1">
      <formula>T8=CléPersonnalisée1</formula>
    </cfRule>
    <cfRule type="expression" dxfId="723" priority="10" stopIfTrue="1">
      <formula>T8=CléMaladie</formula>
    </cfRule>
    <cfRule type="expression" dxfId="722" priority="11" stopIfTrue="1">
      <formula>T8=CléPersonnel</formula>
    </cfRule>
    <cfRule type="expression" dxfId="721" priority="12" stopIfTrue="1">
      <formula>T8=CléCongé</formula>
    </cfRule>
  </conditionalFormatting>
  <conditionalFormatting sqref="AA9:AF9">
    <cfRule type="expression" priority="1" stopIfTrue="1">
      <formula>AA9=""</formula>
    </cfRule>
  </conditionalFormatting>
  <conditionalFormatting sqref="AA9:AF9">
    <cfRule type="expression" dxfId="720" priority="2" stopIfTrue="1">
      <formula>AA9=CléPersonnalisée2</formula>
    </cfRule>
    <cfRule type="expression" dxfId="719" priority="3" stopIfTrue="1">
      <formula>AA9=CléPersonnalisée1</formula>
    </cfRule>
    <cfRule type="expression" dxfId="718" priority="4" stopIfTrue="1">
      <formula>AA9=CléMaladie</formula>
    </cfRule>
    <cfRule type="expression" dxfId="717" priority="5" stopIfTrue="1">
      <formula>AA9=CléPersonnel</formula>
    </cfRule>
    <cfRule type="expression" dxfId="716" priority="6" stopIfTrue="1">
      <formula>AA9=CléCongé</formula>
    </cfRule>
  </conditionalFormatting>
  <dataValidations xWindow="406" yWindow="564" count="14">
    <dataValidation allowBlank="1" showInputMessage="1" showErrorMessage="1" prompt="Année mise à jour automatiquement en fonction de l’année entrée dans la feuille de calcul Janvier" sqref="AH5"/>
    <dataValidation allowBlank="1" showInputMessage="1" showErrorMessage="1" prompt="Calcule automatiquement le nombre total de jours d’absence d’un employé durant ce mois dans cette colonne" sqref="AH7"/>
    <dataValidation allowBlank="1" showInputMessage="1" showErrorMessage="1" prompt="Suivez les absences du mois d’avril dans cette feuille de calcul" sqref="A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R3 M3 T8:T10"/>
    <dataValidation allowBlank="1" showInputMessage="1" showErrorMessage="1" prompt="Entrez une étiquette pour décrire la clé personnalisée à gauche" sqref="S3 N3"/>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xWindow="406" yWindow="564" count="1">
        <x14:dataValidation type="list" allowBlank="1" showInputMessage="1" showErrorMessage="1">
          <x14:formula1>
            <xm:f>'Noms des employés'!$B$4:$B$8</xm:f>
          </x14:formula1>
          <xm:sqref>B8:B12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pageSetUpPr fitToPage="1"/>
  </sheetPr>
  <dimension ref="A1:AH13"/>
  <sheetViews>
    <sheetView showGridLines="0" zoomScaleNormal="100" workbookViewId="0">
      <selection activeCell="AH16" sqref="AH16"/>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41" t="s">
        <v>7</v>
      </c>
      <c r="E3" s="41"/>
      <c r="F3" s="5" t="s">
        <v>10</v>
      </c>
      <c r="G3" s="41" t="s">
        <v>14</v>
      </c>
      <c r="H3" s="41"/>
      <c r="I3" s="41"/>
      <c r="J3" s="6" t="s">
        <v>12</v>
      </c>
      <c r="K3" s="41" t="s">
        <v>19</v>
      </c>
      <c r="L3" s="41"/>
      <c r="M3" s="7" t="s">
        <v>65</v>
      </c>
      <c r="N3" s="42" t="s">
        <v>66</v>
      </c>
      <c r="O3" s="41"/>
      <c r="P3" s="41"/>
      <c r="Q3" s="41"/>
      <c r="R3" s="26"/>
      <c r="S3" s="42" t="s">
        <v>67</v>
      </c>
      <c r="T3" s="41"/>
      <c r="U3" s="41"/>
      <c r="V3" s="41"/>
    </row>
    <row r="4" spans="2:34" ht="15" customHeight="1" x14ac:dyDescent="0.25">
      <c r="B4" s="12"/>
    </row>
    <row r="5" spans="2:34" ht="30" customHeight="1" x14ac:dyDescent="0.25">
      <c r="B5" s="11" t="s">
        <v>51</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f>AnnéeCalendrier</f>
        <v>2022</v>
      </c>
    </row>
    <row r="6" spans="2:34" ht="15" customHeight="1" x14ac:dyDescent="0.25">
      <c r="B6" s="11"/>
      <c r="C6" s="2" t="str">
        <f>TEXT(WEEKDAY(DATE(AnnéeCalendrier,5,1),1),"jjj")</f>
        <v>dim</v>
      </c>
      <c r="D6" s="2" t="str">
        <f>TEXT(WEEKDAY(DATE(AnnéeCalendrier,5,2),1),"jjj")</f>
        <v>lun</v>
      </c>
      <c r="E6" s="2" t="str">
        <f>TEXT(WEEKDAY(DATE(AnnéeCalendrier,5,3),1),"jjj")</f>
        <v>mar</v>
      </c>
      <c r="F6" s="2" t="str">
        <f>TEXT(WEEKDAY(DATE(AnnéeCalendrier,5,4),1),"jjj")</f>
        <v>mer</v>
      </c>
      <c r="G6" s="2" t="str">
        <f>TEXT(WEEKDAY(DATE(AnnéeCalendrier,5,5),1),"jjj")</f>
        <v>jeu</v>
      </c>
      <c r="H6" s="2" t="str">
        <f>TEXT(WEEKDAY(DATE(AnnéeCalendrier,5,6),1),"jjj")</f>
        <v>ven</v>
      </c>
      <c r="I6" s="2" t="str">
        <f>TEXT(WEEKDAY(DATE(AnnéeCalendrier,5,7),1),"jjj")</f>
        <v>sam</v>
      </c>
      <c r="J6" s="2" t="str">
        <f>TEXT(WEEKDAY(DATE(AnnéeCalendrier,5,8),1),"jjj")</f>
        <v>dim</v>
      </c>
      <c r="K6" s="2" t="str">
        <f>TEXT(WEEKDAY(DATE(AnnéeCalendrier,5,9),1),"jjj")</f>
        <v>lun</v>
      </c>
      <c r="L6" s="2" t="str">
        <f>TEXT(WEEKDAY(DATE(AnnéeCalendrier,5,10),1),"jjj")</f>
        <v>mar</v>
      </c>
      <c r="M6" s="2" t="str">
        <f>TEXT(WEEKDAY(DATE(AnnéeCalendrier,5,11),1),"jjj")</f>
        <v>mer</v>
      </c>
      <c r="N6" s="2" t="str">
        <f>TEXT(WEEKDAY(DATE(AnnéeCalendrier,5,12),1),"jjj")</f>
        <v>jeu</v>
      </c>
      <c r="O6" s="2" t="str">
        <f>TEXT(WEEKDAY(DATE(AnnéeCalendrier,5,13),1),"jjj")</f>
        <v>ven</v>
      </c>
      <c r="P6" s="2" t="str">
        <f>TEXT(WEEKDAY(DATE(AnnéeCalendrier,5,14),1),"jjj")</f>
        <v>sam</v>
      </c>
      <c r="Q6" s="2" t="str">
        <f>TEXT(WEEKDAY(DATE(AnnéeCalendrier,5,15),1),"jjj")</f>
        <v>dim</v>
      </c>
      <c r="R6" s="2" t="str">
        <f>TEXT(WEEKDAY(DATE(AnnéeCalendrier,5,16),1),"jjj")</f>
        <v>lun</v>
      </c>
      <c r="S6" s="2" t="str">
        <f>TEXT(WEEKDAY(DATE(AnnéeCalendrier,5,17),1),"jjj")</f>
        <v>mar</v>
      </c>
      <c r="T6" s="2" t="str">
        <f>TEXT(WEEKDAY(DATE(AnnéeCalendrier,5,18),1),"jjj")</f>
        <v>mer</v>
      </c>
      <c r="U6" s="2" t="str">
        <f>TEXT(WEEKDAY(DATE(AnnéeCalendrier,5,19),1),"jjj")</f>
        <v>jeu</v>
      </c>
      <c r="V6" s="2" t="str">
        <f>TEXT(WEEKDAY(DATE(AnnéeCalendrier,5,20),1),"jjj")</f>
        <v>ven</v>
      </c>
      <c r="W6" s="2" t="str">
        <f>TEXT(WEEKDAY(DATE(AnnéeCalendrier,5,21),1),"jjj")</f>
        <v>sam</v>
      </c>
      <c r="X6" s="2" t="str">
        <f>TEXT(WEEKDAY(DATE(AnnéeCalendrier,5,22),1),"jjj")</f>
        <v>dim</v>
      </c>
      <c r="Y6" s="2" t="str">
        <f>TEXT(WEEKDAY(DATE(AnnéeCalendrier,5,23),1),"jjj")</f>
        <v>lun</v>
      </c>
      <c r="Z6" s="2" t="str">
        <f>TEXT(WEEKDAY(DATE(AnnéeCalendrier,5,24),1),"jjj")</f>
        <v>mar</v>
      </c>
      <c r="AA6" s="2" t="str">
        <f>TEXT(WEEKDAY(DATE(AnnéeCalendrier,5,25),1),"jjj")</f>
        <v>mer</v>
      </c>
      <c r="AB6" s="2" t="str">
        <f>TEXT(WEEKDAY(DATE(AnnéeCalendrier,5,26),1),"jjj")</f>
        <v>jeu</v>
      </c>
      <c r="AC6" s="2" t="str">
        <f>TEXT(WEEKDAY(DATE(AnnéeCalendrier,5,27),1),"jjj")</f>
        <v>ven</v>
      </c>
      <c r="AD6" s="2" t="str">
        <f>TEXT(WEEKDAY(DATE(AnnéeCalendrier,5,28),1),"jjj")</f>
        <v>sam</v>
      </c>
      <c r="AE6" s="2" t="str">
        <f>TEXT(WEEKDAY(DATE(AnnéeCalendrier,5,29),1),"jjj")</f>
        <v>dim</v>
      </c>
      <c r="AF6" s="2" t="str">
        <f>TEXT(WEEKDAY(DATE(AnnéeCalendrier,5,30),1),"jjj")</f>
        <v>lun</v>
      </c>
      <c r="AG6" s="2" t="str">
        <f>TEXT(WEEKDAY(DATE(AnnéeCalendrier,5,31),1),"jjj")</f>
        <v>mar</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29"/>
      <c r="D8" s="3"/>
      <c r="E8" s="3"/>
      <c r="F8" s="3"/>
      <c r="G8" s="3"/>
      <c r="H8" s="3"/>
      <c r="I8" s="3"/>
      <c r="J8" s="29"/>
      <c r="K8" s="3"/>
      <c r="L8" s="3"/>
      <c r="M8" s="3"/>
      <c r="N8" s="3"/>
      <c r="O8" s="3"/>
      <c r="P8" s="3"/>
      <c r="Q8" s="29"/>
      <c r="R8" s="3"/>
      <c r="S8" s="3"/>
      <c r="T8" s="3"/>
      <c r="U8" s="3"/>
      <c r="V8" s="3"/>
      <c r="W8" s="3"/>
      <c r="X8" s="29"/>
      <c r="Y8" s="3"/>
      <c r="Z8" s="3"/>
      <c r="AA8" s="3"/>
      <c r="AB8" s="26"/>
      <c r="AC8" s="3" t="s">
        <v>4</v>
      </c>
      <c r="AD8" s="3" t="s">
        <v>4</v>
      </c>
      <c r="AE8" s="29"/>
      <c r="AF8" s="3"/>
      <c r="AG8" s="3"/>
      <c r="AH8" s="9">
        <f>COUNTA(Mai[[#This Row],[1]:[31]])</f>
        <v>2</v>
      </c>
    </row>
    <row r="9" spans="2:34" ht="30" customHeight="1" x14ac:dyDescent="0.25">
      <c r="B9" s="15" t="str">
        <f>'Noms des employés'!B5</f>
        <v xml:space="preserve">2 - Laïla </v>
      </c>
      <c r="C9" s="29"/>
      <c r="D9" s="3" t="s">
        <v>12</v>
      </c>
      <c r="E9" s="3" t="s">
        <v>12</v>
      </c>
      <c r="F9" s="3" t="s">
        <v>12</v>
      </c>
      <c r="G9" s="3" t="s">
        <v>12</v>
      </c>
      <c r="H9" s="3" t="s">
        <v>12</v>
      </c>
      <c r="I9" s="3" t="s">
        <v>12</v>
      </c>
      <c r="J9" s="29"/>
      <c r="K9" s="3" t="s">
        <v>12</v>
      </c>
      <c r="L9" s="3" t="s">
        <v>12</v>
      </c>
      <c r="M9" s="3" t="s">
        <v>12</v>
      </c>
      <c r="N9" s="3" t="s">
        <v>12</v>
      </c>
      <c r="O9" s="3" t="s">
        <v>12</v>
      </c>
      <c r="P9" s="3" t="s">
        <v>12</v>
      </c>
      <c r="Q9" s="29"/>
      <c r="R9" s="3" t="s">
        <v>12</v>
      </c>
      <c r="S9" s="3" t="s">
        <v>12</v>
      </c>
      <c r="T9" s="3" t="s">
        <v>12</v>
      </c>
      <c r="U9" s="3" t="s">
        <v>12</v>
      </c>
      <c r="V9" s="3" t="s">
        <v>12</v>
      </c>
      <c r="W9" s="3" t="s">
        <v>12</v>
      </c>
      <c r="X9" s="29"/>
      <c r="Y9" s="3" t="s">
        <v>12</v>
      </c>
      <c r="Z9" s="3" t="s">
        <v>12</v>
      </c>
      <c r="AA9" s="3" t="s">
        <v>12</v>
      </c>
      <c r="AB9" s="26"/>
      <c r="AC9" s="3" t="s">
        <v>12</v>
      </c>
      <c r="AD9" s="3" t="s">
        <v>12</v>
      </c>
      <c r="AE9" s="29"/>
      <c r="AF9" s="3" t="s">
        <v>12</v>
      </c>
      <c r="AG9" s="3" t="s">
        <v>12</v>
      </c>
      <c r="AH9" s="9">
        <f>COUNTA(Mai[[#This Row],[1]:[31]])</f>
        <v>25</v>
      </c>
    </row>
    <row r="10" spans="2:34" ht="30" customHeight="1" x14ac:dyDescent="0.25">
      <c r="B10" s="15" t="str">
        <f>'Noms des employés'!B6</f>
        <v>3 - Jean-Claude</v>
      </c>
      <c r="C10" s="29"/>
      <c r="D10" s="3"/>
      <c r="E10" s="3"/>
      <c r="F10" s="3"/>
      <c r="G10" s="3"/>
      <c r="H10" s="3"/>
      <c r="I10" s="3"/>
      <c r="J10" s="29"/>
      <c r="K10" s="3"/>
      <c r="L10" s="3"/>
      <c r="M10" s="3"/>
      <c r="N10" s="3"/>
      <c r="O10" s="3"/>
      <c r="P10" s="3"/>
      <c r="Q10" s="29"/>
      <c r="R10" s="3"/>
      <c r="S10" s="3"/>
      <c r="T10" s="3"/>
      <c r="U10" s="3"/>
      <c r="V10" s="3"/>
      <c r="W10" s="3"/>
      <c r="X10" s="29"/>
      <c r="Y10" s="3"/>
      <c r="Z10" s="3"/>
      <c r="AA10" s="3"/>
      <c r="AB10" s="26"/>
      <c r="AC10" s="3"/>
      <c r="AD10" s="3"/>
      <c r="AE10" s="29"/>
      <c r="AF10" s="3"/>
      <c r="AG10" s="3"/>
      <c r="AH10" s="9">
        <f>COUNTA(Mai[[#This Row],[1]:[31]])</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COUNTA(Mai[[#This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COUNTA(Mai[[#This Row],[1]:[31]])</f>
        <v>0</v>
      </c>
    </row>
    <row r="13" spans="2:34" ht="30" customHeight="1" x14ac:dyDescent="0.25">
      <c r="B13" s="35" t="str">
        <f>NomMois&amp;" Total"</f>
        <v>Mai Total</v>
      </c>
      <c r="C13" s="36">
        <f>SUBTOTAL(103,Mai[1])</f>
        <v>0</v>
      </c>
      <c r="D13" s="36">
        <f>SUBTOTAL(103,Mai[2])</f>
        <v>1</v>
      </c>
      <c r="E13" s="36">
        <f>SUBTOTAL(103,Mai[3])</f>
        <v>1</v>
      </c>
      <c r="F13" s="36">
        <f>SUBTOTAL(103,Mai[4])</f>
        <v>1</v>
      </c>
      <c r="G13" s="36">
        <f>SUBTOTAL(103,Mai[5])</f>
        <v>1</v>
      </c>
      <c r="H13" s="36">
        <f>SUBTOTAL(103,Mai[6])</f>
        <v>1</v>
      </c>
      <c r="I13" s="36">
        <f>SUBTOTAL(103,Mai[7])</f>
        <v>1</v>
      </c>
      <c r="J13" s="36">
        <f>SUBTOTAL(103,Mai[8])</f>
        <v>0</v>
      </c>
      <c r="K13" s="36">
        <f>SUBTOTAL(103,Mai[9])</f>
        <v>1</v>
      </c>
      <c r="L13" s="36">
        <f>SUBTOTAL(103,Mai[10])</f>
        <v>1</v>
      </c>
      <c r="M13" s="36">
        <f>SUBTOTAL(103,Mai[11])</f>
        <v>1</v>
      </c>
      <c r="N13" s="36">
        <f>SUBTOTAL(103,Mai[12])</f>
        <v>1</v>
      </c>
      <c r="O13" s="36">
        <f>SUBTOTAL(103,Mai[13])</f>
        <v>1</v>
      </c>
      <c r="P13" s="36">
        <f>SUBTOTAL(103,Mai[14])</f>
        <v>1</v>
      </c>
      <c r="Q13" s="36">
        <f>SUBTOTAL(103,Mai[15])</f>
        <v>0</v>
      </c>
      <c r="R13" s="36">
        <f>SUBTOTAL(103,Mai[16])</f>
        <v>1</v>
      </c>
      <c r="S13" s="36">
        <f>SUBTOTAL(103,Mai[17])</f>
        <v>1</v>
      </c>
      <c r="T13" s="36">
        <f>SUBTOTAL(103,Mai[18])</f>
        <v>1</v>
      </c>
      <c r="U13" s="36">
        <f>SUBTOTAL(103,Mai[19])</f>
        <v>1</v>
      </c>
      <c r="V13" s="36">
        <f>SUBTOTAL(103,Mai[20])</f>
        <v>1</v>
      </c>
      <c r="W13" s="36">
        <f>SUBTOTAL(103,Mai[21])</f>
        <v>1</v>
      </c>
      <c r="X13" s="36">
        <f>SUBTOTAL(103,Mai[22])</f>
        <v>0</v>
      </c>
      <c r="Y13" s="36">
        <f>SUBTOTAL(103,Mai[23])</f>
        <v>1</v>
      </c>
      <c r="Z13" s="36">
        <f>SUBTOTAL(103,Mai[24])</f>
        <v>1</v>
      </c>
      <c r="AA13" s="36">
        <f>SUBTOTAL(103,Mai[25])</f>
        <v>1</v>
      </c>
      <c r="AB13" s="36">
        <f>SUBTOTAL(103,Mai[26])</f>
        <v>0</v>
      </c>
      <c r="AC13" s="36">
        <f>SUBTOTAL(103,Mai[27])</f>
        <v>2</v>
      </c>
      <c r="AD13" s="36">
        <f>SUBTOTAL(103,Mai[28])</f>
        <v>2</v>
      </c>
      <c r="AE13" s="36">
        <f>SUBTOTAL(103,Mai[29])</f>
        <v>0</v>
      </c>
      <c r="AF13" s="36">
        <f>SUBTOTAL(103,Mai[30])</f>
        <v>1</v>
      </c>
      <c r="AG13" s="36">
        <f>SUBTOTAL(103,Mai[31])</f>
        <v>1</v>
      </c>
      <c r="AH13" s="36">
        <f>SUBTOTAL(109,Mai[Total des jours])</f>
        <v>27</v>
      </c>
    </row>
  </sheetData>
  <mergeCells count="6">
    <mergeCell ref="C5:AG5"/>
    <mergeCell ref="D3:E3"/>
    <mergeCell ref="G3:I3"/>
    <mergeCell ref="K3:L3"/>
    <mergeCell ref="N3:Q3"/>
    <mergeCell ref="S3:V3"/>
  </mergeCells>
  <conditionalFormatting sqref="C11:AG12">
    <cfRule type="expression" priority="91" stopIfTrue="1">
      <formula>C11=""</formula>
    </cfRule>
  </conditionalFormatting>
  <conditionalFormatting sqref="C11:AG12">
    <cfRule type="expression" dxfId="646" priority="92" stopIfTrue="1">
      <formula>C11=CléPersonnalisée2</formula>
    </cfRule>
    <cfRule type="expression" dxfId="645" priority="93" stopIfTrue="1">
      <formula>C11=CléPersonnalisée1</formula>
    </cfRule>
    <cfRule type="expression" dxfId="644" priority="94" stopIfTrue="1">
      <formula>C11=CléMaladie</formula>
    </cfRule>
    <cfRule type="expression" dxfId="643" priority="95" stopIfTrue="1">
      <formula>C11=CléPersonnel</formula>
    </cfRule>
    <cfRule type="expression" dxfId="642" priority="96" stopIfTrue="1">
      <formula>C11=CléCongé</formula>
    </cfRule>
  </conditionalFormatting>
  <conditionalFormatting sqref="AH8:AH12">
    <cfRule type="dataBar" priority="97">
      <dataBar>
        <cfvo type="min"/>
        <cfvo type="formula" val="DATEDIF(DATE(CalendarYear,2,1),DATE(CalendarYear,3,1),&quot;d&quot;)"/>
        <color theme="2" tint="-0.249977111117893"/>
      </dataBar>
      <extLst>
        <ext xmlns:x14="http://schemas.microsoft.com/office/spreadsheetml/2009/9/main" uri="{B025F937-C7B1-47D3-B67F-A62EFF666E3E}">
          <x14:id>{5670947F-8B3C-4A6C-A280-4F5E10811DCE}</x14:id>
        </ext>
      </extLst>
    </cfRule>
  </conditionalFormatting>
  <conditionalFormatting sqref="C8:AA8 C10:AA10 C9 J9 Q9 X9:AA9 AC8:AG10">
    <cfRule type="expression" priority="43" stopIfTrue="1">
      <formula>C8=""</formula>
    </cfRule>
  </conditionalFormatting>
  <conditionalFormatting sqref="C8:AA8 C10:AA10 C9 J9 Q9 X9:AA9 AC8:AG10">
    <cfRule type="expression" dxfId="641" priority="44" stopIfTrue="1">
      <formula>C8=CléPersonnalisée2</formula>
    </cfRule>
    <cfRule type="expression" dxfId="640" priority="45" stopIfTrue="1">
      <formula>C8=CléPersonnalisée1</formula>
    </cfRule>
    <cfRule type="expression" dxfId="639" priority="46" stopIfTrue="1">
      <formula>C8=CléMaladie</formula>
    </cfRule>
    <cfRule type="expression" dxfId="638" priority="47" stopIfTrue="1">
      <formula>C8=CléPersonnel</formula>
    </cfRule>
    <cfRule type="expression" dxfId="637" priority="48" stopIfTrue="1">
      <formula>C8=CléCongé</formula>
    </cfRule>
  </conditionalFormatting>
  <conditionalFormatting sqref="R3">
    <cfRule type="expression" priority="25" stopIfTrue="1">
      <formula>R3=""</formula>
    </cfRule>
    <cfRule type="expression" dxfId="636" priority="26" stopIfTrue="1">
      <formula>R3=CléPersonnalisée2</formula>
    </cfRule>
    <cfRule type="expression" dxfId="635" priority="27" stopIfTrue="1">
      <formula>R3=CléPersonnalisée1</formula>
    </cfRule>
    <cfRule type="expression" dxfId="634" priority="28" stopIfTrue="1">
      <formula>R3=CléMaladie</formula>
    </cfRule>
    <cfRule type="expression" dxfId="633" priority="29" stopIfTrue="1">
      <formula>R3=CléPersonnel</formula>
    </cfRule>
    <cfRule type="expression" dxfId="632" priority="30" stopIfTrue="1">
      <formula>R3=CléCongé</formula>
    </cfRule>
  </conditionalFormatting>
  <conditionalFormatting sqref="AB8:AB10">
    <cfRule type="expression" priority="19" stopIfTrue="1">
      <formula>AB8=""</formula>
    </cfRule>
    <cfRule type="expression" dxfId="631" priority="20" stopIfTrue="1">
      <formula>AB8=CléPersonnalisée2</formula>
    </cfRule>
    <cfRule type="expression" dxfId="630" priority="21" stopIfTrue="1">
      <formula>AB8=CléPersonnalisée1</formula>
    </cfRule>
    <cfRule type="expression" dxfId="629" priority="22" stopIfTrue="1">
      <formula>AB8=CléMaladie</formula>
    </cfRule>
    <cfRule type="expression" dxfId="628" priority="23" stopIfTrue="1">
      <formula>AB8=CléPersonnel</formula>
    </cfRule>
    <cfRule type="expression" dxfId="627" priority="24" stopIfTrue="1">
      <formula>AB8=CléCongé</formula>
    </cfRule>
  </conditionalFormatting>
  <conditionalFormatting sqref="D9:I9">
    <cfRule type="expression" priority="13" stopIfTrue="1">
      <formula>D9=""</formula>
    </cfRule>
  </conditionalFormatting>
  <conditionalFormatting sqref="D9:I9">
    <cfRule type="expression" dxfId="626" priority="14" stopIfTrue="1">
      <formula>D9=CléPersonnalisée2</formula>
    </cfRule>
    <cfRule type="expression" dxfId="625" priority="15" stopIfTrue="1">
      <formula>D9=CléPersonnalisée1</formula>
    </cfRule>
    <cfRule type="expression" dxfId="624" priority="16" stopIfTrue="1">
      <formula>D9=CléMaladie</formula>
    </cfRule>
    <cfRule type="expression" dxfId="623" priority="17" stopIfTrue="1">
      <formula>D9=CléPersonnel</formula>
    </cfRule>
    <cfRule type="expression" dxfId="622" priority="18" stopIfTrue="1">
      <formula>D9=CléCongé</formula>
    </cfRule>
  </conditionalFormatting>
  <conditionalFormatting sqref="K9:P9">
    <cfRule type="expression" priority="7" stopIfTrue="1">
      <formula>K9=""</formula>
    </cfRule>
  </conditionalFormatting>
  <conditionalFormatting sqref="K9:P9">
    <cfRule type="expression" dxfId="621" priority="8" stopIfTrue="1">
      <formula>K9=CléPersonnalisée2</formula>
    </cfRule>
    <cfRule type="expression" dxfId="620" priority="9" stopIfTrue="1">
      <formula>K9=CléPersonnalisée1</formula>
    </cfRule>
    <cfRule type="expression" dxfId="619" priority="10" stopIfTrue="1">
      <formula>K9=CléMaladie</formula>
    </cfRule>
    <cfRule type="expression" dxfId="618" priority="11" stopIfTrue="1">
      <formula>K9=CléPersonnel</formula>
    </cfRule>
    <cfRule type="expression" dxfId="617" priority="12" stopIfTrue="1">
      <formula>K9=CléCongé</formula>
    </cfRule>
  </conditionalFormatting>
  <conditionalFormatting sqref="R9:W9">
    <cfRule type="expression" priority="1" stopIfTrue="1">
      <formula>R9=""</formula>
    </cfRule>
  </conditionalFormatting>
  <conditionalFormatting sqref="R9:W9">
    <cfRule type="expression" dxfId="616" priority="2" stopIfTrue="1">
      <formula>R9=CléPersonnalisée2</formula>
    </cfRule>
    <cfRule type="expression" dxfId="615" priority="3" stopIfTrue="1">
      <formula>R9=CléPersonnalisée1</formula>
    </cfRule>
    <cfRule type="expression" dxfId="614" priority="4" stopIfTrue="1">
      <formula>R9=CléMaladie</formula>
    </cfRule>
    <cfRule type="expression" dxfId="613" priority="5" stopIfTrue="1">
      <formula>R9=CléPersonnel</formula>
    </cfRule>
    <cfRule type="expression" dxfId="612" priority="6" stopIfTrue="1">
      <formula>R9=CléCongé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S3 N3"/>
    <dataValidation allowBlank="1" showInputMessage="1" showErrorMessage="1" prompt="Entrez une lettre et personnalisez l’étiquette à droite pour ajouter un élément de clé" sqref="M3 R3 AB8:AB10"/>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 titre mis à jour automatiquement figure dans cette cellule. Pour modifier le titre, mettez à jour la cellule B1 de la feuille de calcul Janvier" sqref="B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Suivez les absences du mois de mai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Année mise à jour automatiquement en fonction de l’année entrée dans la feuille de calcul Janvier" sqref="AH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s>
  <printOptions horizontalCentered="1"/>
  <pageMargins left="0.25" right="0.25" top="0.42" bottom="0.75" header="0.18"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pageSetUpPr fitToPage="1"/>
  </sheetPr>
  <dimension ref="A1:AJ13"/>
  <sheetViews>
    <sheetView showGridLines="0" zoomScaleNormal="100" workbookViewId="0">
      <selection activeCell="T18" sqref="T18"/>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6" ht="86.25" customHeight="1" x14ac:dyDescent="0.25"/>
    <row r="2" spans="2:36" ht="50.1" customHeight="1" x14ac:dyDescent="0.25">
      <c r="B2" s="12" t="str">
        <f>Titre_Absence_Employé</f>
        <v>Calendrier des absences des employés</v>
      </c>
    </row>
    <row r="3" spans="2:36" ht="15" customHeight="1" x14ac:dyDescent="0.25">
      <c r="B3" s="17" t="s">
        <v>1</v>
      </c>
      <c r="C3" s="4" t="s">
        <v>4</v>
      </c>
      <c r="D3" s="41" t="s">
        <v>7</v>
      </c>
      <c r="E3" s="41"/>
      <c r="F3" s="5" t="s">
        <v>10</v>
      </c>
      <c r="G3" s="41" t="s">
        <v>14</v>
      </c>
      <c r="H3" s="41"/>
      <c r="I3" s="41"/>
      <c r="J3" s="6" t="s">
        <v>12</v>
      </c>
      <c r="K3" s="41" t="s">
        <v>19</v>
      </c>
      <c r="L3" s="41"/>
      <c r="M3" s="7" t="s">
        <v>61</v>
      </c>
      <c r="N3" s="42" t="s">
        <v>62</v>
      </c>
      <c r="O3" s="41"/>
      <c r="P3" s="41"/>
      <c r="Q3" s="41"/>
      <c r="R3" s="8"/>
      <c r="S3" s="41" t="s">
        <v>28</v>
      </c>
      <c r="T3" s="41"/>
      <c r="U3" s="41"/>
      <c r="V3" s="41"/>
    </row>
    <row r="4" spans="2:36" ht="15" customHeight="1" x14ac:dyDescent="0.25">
      <c r="B4" s="12"/>
    </row>
    <row r="5" spans="2:36" ht="30" customHeight="1" x14ac:dyDescent="0.25">
      <c r="B5" s="11" t="s">
        <v>52</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f>AnnéeCalendrier</f>
        <v>2022</v>
      </c>
    </row>
    <row r="6" spans="2:36" ht="15" customHeight="1" x14ac:dyDescent="0.25">
      <c r="B6" s="11"/>
      <c r="C6" s="2" t="str">
        <f>TEXT(WEEKDAY(DATE(AnnéeCalendrier,6,1),1),"jjj")</f>
        <v>mer</v>
      </c>
      <c r="D6" s="2" t="str">
        <f>TEXT(WEEKDAY(DATE(AnnéeCalendrier,6,2),1),"jjj")</f>
        <v>jeu</v>
      </c>
      <c r="E6" s="2" t="str">
        <f>TEXT(WEEKDAY(DATE(AnnéeCalendrier,6,3),1),"jjj")</f>
        <v>ven</v>
      </c>
      <c r="F6" s="2" t="str">
        <f>TEXT(WEEKDAY(DATE(AnnéeCalendrier,6,4),1),"jjj")</f>
        <v>sam</v>
      </c>
      <c r="G6" s="2" t="str">
        <f>TEXT(WEEKDAY(DATE(AnnéeCalendrier,6,5),1),"jjj")</f>
        <v>dim</v>
      </c>
      <c r="H6" s="2" t="str">
        <f>TEXT(WEEKDAY(DATE(AnnéeCalendrier,6,6),1),"jjj")</f>
        <v>lun</v>
      </c>
      <c r="I6" s="2" t="str">
        <f>TEXT(WEEKDAY(DATE(AnnéeCalendrier,6,7),1),"jjj")</f>
        <v>mar</v>
      </c>
      <c r="J6" s="2" t="str">
        <f>TEXT(WEEKDAY(DATE(AnnéeCalendrier,6,8),1),"jjj")</f>
        <v>mer</v>
      </c>
      <c r="K6" s="2" t="str">
        <f>TEXT(WEEKDAY(DATE(AnnéeCalendrier,6,9),1),"jjj")</f>
        <v>jeu</v>
      </c>
      <c r="L6" s="2" t="str">
        <f>TEXT(WEEKDAY(DATE(AnnéeCalendrier,6,10),1),"jjj")</f>
        <v>ven</v>
      </c>
      <c r="M6" s="2" t="str">
        <f>TEXT(WEEKDAY(DATE(AnnéeCalendrier,6,11),1),"jjj")</f>
        <v>sam</v>
      </c>
      <c r="N6" s="2" t="str">
        <f>TEXT(WEEKDAY(DATE(AnnéeCalendrier,6,12),1),"jjj")</f>
        <v>dim</v>
      </c>
      <c r="O6" s="2" t="str">
        <f>TEXT(WEEKDAY(DATE(AnnéeCalendrier,6,13),1),"jjj")</f>
        <v>lun</v>
      </c>
      <c r="P6" s="2" t="str">
        <f>TEXT(WEEKDAY(DATE(AnnéeCalendrier,6,14),1),"jjj")</f>
        <v>mar</v>
      </c>
      <c r="Q6" s="2" t="str">
        <f>TEXT(WEEKDAY(DATE(AnnéeCalendrier,6,15),1),"jjj")</f>
        <v>mer</v>
      </c>
      <c r="R6" s="2" t="str">
        <f>TEXT(WEEKDAY(DATE(AnnéeCalendrier,6,16),1),"jjj")</f>
        <v>jeu</v>
      </c>
      <c r="S6" s="2" t="str">
        <f>TEXT(WEEKDAY(DATE(AnnéeCalendrier,6,17),1),"jjj")</f>
        <v>ven</v>
      </c>
      <c r="T6" s="2" t="str">
        <f>TEXT(WEEKDAY(DATE(AnnéeCalendrier,6,18),1),"jjj")</f>
        <v>sam</v>
      </c>
      <c r="U6" s="2" t="str">
        <f>TEXT(WEEKDAY(DATE(AnnéeCalendrier,6,19),1),"jjj")</f>
        <v>dim</v>
      </c>
      <c r="V6" s="2" t="str">
        <f>TEXT(WEEKDAY(DATE(AnnéeCalendrier,6,20),1),"jjj")</f>
        <v>lun</v>
      </c>
      <c r="W6" s="2" t="str">
        <f>TEXT(WEEKDAY(DATE(AnnéeCalendrier,6,21),1),"jjj")</f>
        <v>mar</v>
      </c>
      <c r="X6" s="2" t="str">
        <f>TEXT(WEEKDAY(DATE(AnnéeCalendrier,6,22),1),"jjj")</f>
        <v>mer</v>
      </c>
      <c r="Y6" s="2" t="str">
        <f>TEXT(WEEKDAY(DATE(AnnéeCalendrier,6,23),1),"jjj")</f>
        <v>jeu</v>
      </c>
      <c r="Z6" s="2" t="str">
        <f>TEXT(WEEKDAY(DATE(AnnéeCalendrier,6,24),1),"jjj")</f>
        <v>ven</v>
      </c>
      <c r="AA6" s="2" t="str">
        <f>TEXT(WEEKDAY(DATE(AnnéeCalendrier,6,25),1),"jjj")</f>
        <v>sam</v>
      </c>
      <c r="AB6" s="2" t="str">
        <f>TEXT(WEEKDAY(DATE(AnnéeCalendrier,6,26),1),"jjj")</f>
        <v>dim</v>
      </c>
      <c r="AC6" s="2" t="str">
        <f>TEXT(WEEKDAY(DATE(AnnéeCalendrier,6,27),1),"jjj")</f>
        <v>lun</v>
      </c>
      <c r="AD6" s="2" t="str">
        <f>TEXT(WEEKDAY(DATE(AnnéeCalendrier,6,28),1),"jjj")</f>
        <v>mar</v>
      </c>
      <c r="AE6" s="2" t="str">
        <f>TEXT(WEEKDAY(DATE(AnnéeCalendrier,6,29),1),"jjj")</f>
        <v>mer</v>
      </c>
      <c r="AF6" s="2" t="str">
        <f>TEXT(WEEKDAY(DATE(AnnéeCalendrier,6,30),1),"jjj")</f>
        <v>jeu</v>
      </c>
      <c r="AG6" s="2"/>
      <c r="AH6" s="11"/>
    </row>
    <row r="7" spans="2:36"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6" ht="30" customHeight="1" x14ac:dyDescent="0.25">
      <c r="B8" s="15" t="str">
        <f>'Noms des employés'!B4</f>
        <v>1 - Carole</v>
      </c>
      <c r="C8" s="3"/>
      <c r="D8" s="3"/>
      <c r="E8" s="3"/>
      <c r="F8" s="3"/>
      <c r="G8" s="29"/>
      <c r="H8" s="3" t="s">
        <v>4</v>
      </c>
      <c r="I8" s="3"/>
      <c r="J8" s="3"/>
      <c r="K8" s="3"/>
      <c r="L8" s="3"/>
      <c r="M8" s="3"/>
      <c r="N8" s="29"/>
      <c r="O8" s="3"/>
      <c r="P8" s="3"/>
      <c r="Q8" s="3"/>
      <c r="R8" s="3"/>
      <c r="S8" s="3"/>
      <c r="T8" s="3"/>
      <c r="U8" s="29"/>
      <c r="V8" s="3"/>
      <c r="W8" s="3"/>
      <c r="X8" s="3"/>
      <c r="Y8" s="3"/>
      <c r="Z8" s="3"/>
      <c r="AA8" s="3"/>
      <c r="AB8" s="29"/>
      <c r="AC8" s="3"/>
      <c r="AD8" s="3"/>
      <c r="AE8" s="3"/>
      <c r="AF8" s="3"/>
      <c r="AG8" s="3"/>
      <c r="AH8" s="9">
        <f>COUNTA(Juin[[#This Row],[1]:[31]])</f>
        <v>1</v>
      </c>
    </row>
    <row r="9" spans="2:36" ht="30" customHeight="1" x14ac:dyDescent="0.25">
      <c r="B9" s="15" t="str">
        <f>'Noms des employés'!B5</f>
        <v xml:space="preserve">2 - Laïla </v>
      </c>
      <c r="C9" s="3" t="s">
        <v>12</v>
      </c>
      <c r="D9" s="3" t="s">
        <v>12</v>
      </c>
      <c r="E9" s="3" t="s">
        <v>12</v>
      </c>
      <c r="F9" s="3" t="s">
        <v>12</v>
      </c>
      <c r="G9" s="29"/>
      <c r="H9" s="3" t="s">
        <v>12</v>
      </c>
      <c r="I9" s="3" t="s">
        <v>12</v>
      </c>
      <c r="J9" s="3" t="s">
        <v>12</v>
      </c>
      <c r="K9" s="3" t="s">
        <v>12</v>
      </c>
      <c r="L9" s="3" t="s">
        <v>12</v>
      </c>
      <c r="M9" s="3" t="s">
        <v>12</v>
      </c>
      <c r="N9" s="29"/>
      <c r="O9" s="3" t="s">
        <v>12</v>
      </c>
      <c r="P9" s="3" t="s">
        <v>12</v>
      </c>
      <c r="Q9" s="3" t="s">
        <v>12</v>
      </c>
      <c r="R9" s="3" t="s">
        <v>12</v>
      </c>
      <c r="S9" s="3" t="s">
        <v>12</v>
      </c>
      <c r="T9" s="3" t="s">
        <v>12</v>
      </c>
      <c r="U9" s="29"/>
      <c r="V9" s="3" t="s">
        <v>12</v>
      </c>
      <c r="W9" s="3" t="s">
        <v>12</v>
      </c>
      <c r="X9" s="3" t="s">
        <v>12</v>
      </c>
      <c r="Y9" s="3" t="s">
        <v>12</v>
      </c>
      <c r="Z9" s="3" t="s">
        <v>12</v>
      </c>
      <c r="AA9" s="3" t="s">
        <v>12</v>
      </c>
      <c r="AB9" s="29"/>
      <c r="AC9" s="3" t="s">
        <v>12</v>
      </c>
      <c r="AD9" s="3" t="s">
        <v>12</v>
      </c>
      <c r="AE9" s="3" t="s">
        <v>12</v>
      </c>
      <c r="AF9" s="3" t="s">
        <v>12</v>
      </c>
      <c r="AG9" s="3"/>
      <c r="AH9" s="9">
        <f>COUNTA(Juin[[#This Row],[1]:[31]])</f>
        <v>26</v>
      </c>
      <c r="AJ9" s="28"/>
    </row>
    <row r="10" spans="2:36" ht="30" customHeight="1" x14ac:dyDescent="0.25">
      <c r="B10" s="15" t="str">
        <f>'Noms des employés'!B6</f>
        <v>3 - Jean-Claude</v>
      </c>
      <c r="C10" s="3"/>
      <c r="D10" s="3"/>
      <c r="E10" s="3"/>
      <c r="F10" s="3"/>
      <c r="G10" s="29"/>
      <c r="H10" s="3"/>
      <c r="I10" s="3"/>
      <c r="J10" s="3"/>
      <c r="K10" s="3"/>
      <c r="L10" s="3"/>
      <c r="M10" s="3"/>
      <c r="N10" s="29"/>
      <c r="O10" s="3"/>
      <c r="P10" s="3"/>
      <c r="Q10" s="3"/>
      <c r="R10" s="3"/>
      <c r="S10" s="3"/>
      <c r="T10" s="3"/>
      <c r="U10" s="29"/>
      <c r="V10" s="3"/>
      <c r="W10" s="3"/>
      <c r="X10" s="3"/>
      <c r="Y10" s="3"/>
      <c r="Z10" s="3"/>
      <c r="AA10" s="3"/>
      <c r="AB10" s="29"/>
      <c r="AC10" s="3"/>
      <c r="AD10" s="3"/>
      <c r="AE10" s="3"/>
      <c r="AF10" s="3"/>
      <c r="AG10" s="3"/>
      <c r="AH10" s="9">
        <f>COUNTA(Juin[[#This Row],[1]:[31]])</f>
        <v>0</v>
      </c>
    </row>
    <row r="11" spans="2:36"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COUNTA(Juin[[#This Row],[1]:[31]])</f>
        <v>0</v>
      </c>
    </row>
    <row r="12" spans="2:36"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COUNTA(Juin[[#This Row],[1]:[31]])</f>
        <v>0</v>
      </c>
    </row>
    <row r="13" spans="2:36" ht="30" customHeight="1" x14ac:dyDescent="0.25">
      <c r="B13" s="22" t="str">
        <f>NomMois&amp;" Total"</f>
        <v>Juin Total</v>
      </c>
      <c r="C13" s="23">
        <f>SUBTOTAL(103,Juin[1])</f>
        <v>1</v>
      </c>
      <c r="D13" s="23">
        <f>SUBTOTAL(103,Juin[2])</f>
        <v>1</v>
      </c>
      <c r="E13" s="23">
        <f>SUBTOTAL(103,Juin[3])</f>
        <v>1</v>
      </c>
      <c r="F13" s="23">
        <f>SUBTOTAL(103,Juin[4])</f>
        <v>1</v>
      </c>
      <c r="G13" s="23">
        <f>SUBTOTAL(103,Juin[5])</f>
        <v>0</v>
      </c>
      <c r="H13" s="23">
        <f>SUBTOTAL(103,Juin[6])</f>
        <v>2</v>
      </c>
      <c r="I13" s="23">
        <f>SUBTOTAL(103,Juin[7])</f>
        <v>1</v>
      </c>
      <c r="J13" s="23">
        <f>SUBTOTAL(103,Juin[8])</f>
        <v>1</v>
      </c>
      <c r="K13" s="23">
        <f>SUBTOTAL(103,Juin[9])</f>
        <v>1</v>
      </c>
      <c r="L13" s="23">
        <f>SUBTOTAL(103,Juin[10])</f>
        <v>1</v>
      </c>
      <c r="M13" s="23">
        <f>SUBTOTAL(103,Juin[11])</f>
        <v>1</v>
      </c>
      <c r="N13" s="23">
        <f>SUBTOTAL(103,Juin[12])</f>
        <v>0</v>
      </c>
      <c r="O13" s="23">
        <f>SUBTOTAL(103,Juin[13])</f>
        <v>1</v>
      </c>
      <c r="P13" s="23">
        <f>SUBTOTAL(103,Juin[14])</f>
        <v>1</v>
      </c>
      <c r="Q13" s="23">
        <f>SUBTOTAL(103,Juin[15])</f>
        <v>1</v>
      </c>
      <c r="R13" s="23">
        <f>SUBTOTAL(103,Juin[16])</f>
        <v>1</v>
      </c>
      <c r="S13" s="23">
        <f>SUBTOTAL(103,Juin[17])</f>
        <v>1</v>
      </c>
      <c r="T13" s="23">
        <f>SUBTOTAL(103,Juin[18])</f>
        <v>1</v>
      </c>
      <c r="U13" s="23">
        <f>SUBTOTAL(103,Juin[19])</f>
        <v>0</v>
      </c>
      <c r="V13" s="23">
        <f>SUBTOTAL(103,Juin[20])</f>
        <v>1</v>
      </c>
      <c r="W13" s="23">
        <f>SUBTOTAL(103,Juin[21])</f>
        <v>1</v>
      </c>
      <c r="X13" s="23">
        <f>SUBTOTAL(103,Juin[22])</f>
        <v>1</v>
      </c>
      <c r="Y13" s="23">
        <f>SUBTOTAL(103,Juin[23])</f>
        <v>1</v>
      </c>
      <c r="Z13" s="23">
        <f>SUBTOTAL(103,Juin[24])</f>
        <v>1</v>
      </c>
      <c r="AA13" s="23">
        <f>SUBTOTAL(103,Juin[25])</f>
        <v>1</v>
      </c>
      <c r="AB13" s="23">
        <f>SUBTOTAL(103,Juin[26])</f>
        <v>0</v>
      </c>
      <c r="AC13" s="23">
        <f>SUBTOTAL(103,Juin[27])</f>
        <v>1</v>
      </c>
      <c r="AD13" s="23">
        <f>SUBTOTAL(103,Juin[28])</f>
        <v>1</v>
      </c>
      <c r="AE13" s="23">
        <f>SUBTOTAL(103,Juin[29])</f>
        <v>1</v>
      </c>
      <c r="AF13" s="23">
        <f>SUBTOTAL(109,Juin[30])</f>
        <v>0</v>
      </c>
      <c r="AG13" s="23">
        <f>SUBTOTAL(109,Juin[31])</f>
        <v>0</v>
      </c>
      <c r="AH13" s="23">
        <f>SUBTOTAL(109,Juin[Total des jours])</f>
        <v>27</v>
      </c>
    </row>
  </sheetData>
  <mergeCells count="6">
    <mergeCell ref="C5:AG5"/>
    <mergeCell ref="D3:E3"/>
    <mergeCell ref="G3:I3"/>
    <mergeCell ref="K3:L3"/>
    <mergeCell ref="N3:Q3"/>
    <mergeCell ref="S3:V3"/>
  </mergeCells>
  <conditionalFormatting sqref="C8:AG12">
    <cfRule type="expression" priority="19" stopIfTrue="1">
      <formula>C8=""</formula>
    </cfRule>
  </conditionalFormatting>
  <conditionalFormatting sqref="C8:AG12">
    <cfRule type="expression" dxfId="542" priority="20" stopIfTrue="1">
      <formula>C8=CléPersonnalisée2</formula>
    </cfRule>
    <cfRule type="expression" dxfId="541" priority="21" stopIfTrue="1">
      <formula>C8=CléPersonnalisée1</formula>
    </cfRule>
    <cfRule type="expression" dxfId="540" priority="22" stopIfTrue="1">
      <formula>C8=CléMaladie</formula>
    </cfRule>
    <cfRule type="expression" dxfId="539" priority="23" stopIfTrue="1">
      <formula>C8=CléPersonnel</formula>
    </cfRule>
    <cfRule type="expression" dxfId="538" priority="24" stopIfTrue="1">
      <formula>C8=CléCongé</formula>
    </cfRule>
  </conditionalFormatting>
  <conditionalFormatting sqref="AH8:AH12">
    <cfRule type="dataBar" priority="25">
      <dataBar>
        <cfvo type="min"/>
        <cfvo type="formula" val="DATEDIF(DATE(CalendarYear,2,1),DATE(CalendarYea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Année mise à jour automatiquement en fonction de l’année entrée dans la feuille de calcul Janvier" sqref="AH5"/>
    <dataValidation allowBlank="1" showInputMessage="1" showErrorMessage="1" prompt="Calcule automatiquement le nombre total de jours d’absence d’un employé durant ce mois dans cette colonne" sqref="AH7"/>
    <dataValidation allowBlank="1" showInputMessage="1" showErrorMessage="1" prompt="Suivez les absences du mois de juin dans cette feuille de calcul" sqref="A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R3 M3"/>
    <dataValidation allowBlank="1" showInputMessage="1" showErrorMessage="1" prompt="Entrez une étiquette pour décrire la clé personnalisée à gauche" sqref="S3 N3"/>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s>
  <printOptions horizontalCentered="1"/>
  <pageMargins left="0.25" right="0.25" top="0.75" bottom="0.75" header="0.3" footer="0.3"/>
  <pageSetup paperSize="9" scale="68"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pageSetUpPr fitToPage="1"/>
  </sheetPr>
  <dimension ref="A1:AH13"/>
  <sheetViews>
    <sheetView showGridLines="0" zoomScaleNormal="100" workbookViewId="0">
      <selection activeCell="B1" sqref="B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41" t="s">
        <v>7</v>
      </c>
      <c r="E3" s="41"/>
      <c r="F3" s="5" t="s">
        <v>10</v>
      </c>
      <c r="G3" s="41" t="s">
        <v>14</v>
      </c>
      <c r="H3" s="41"/>
      <c r="I3" s="41"/>
      <c r="J3" s="6" t="s">
        <v>12</v>
      </c>
      <c r="K3" s="41" t="s">
        <v>19</v>
      </c>
      <c r="L3" s="41"/>
      <c r="M3" s="7"/>
      <c r="N3" s="41" t="s">
        <v>23</v>
      </c>
      <c r="O3" s="41"/>
      <c r="P3" s="41"/>
      <c r="Q3" s="41"/>
      <c r="R3" s="26"/>
      <c r="S3" s="42" t="s">
        <v>67</v>
      </c>
      <c r="T3" s="41"/>
      <c r="U3" s="41"/>
      <c r="V3" s="41"/>
    </row>
    <row r="4" spans="2:34" ht="15" customHeight="1" x14ac:dyDescent="0.25">
      <c r="B4" s="12"/>
    </row>
    <row r="5" spans="2:34" ht="30" customHeight="1" x14ac:dyDescent="0.25">
      <c r="B5" s="11" t="s">
        <v>53</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f>AnnéeCalendrier</f>
        <v>2022</v>
      </c>
    </row>
    <row r="6" spans="2:34" ht="15" customHeight="1" x14ac:dyDescent="0.25">
      <c r="B6" s="11"/>
      <c r="C6" s="2" t="str">
        <f>TEXT(WEEKDAY(DATE(AnnéeCalendrier,7,1),1),"jjj")</f>
        <v>ven</v>
      </c>
      <c r="D6" s="2" t="str">
        <f>TEXT(WEEKDAY(DATE(AnnéeCalendrier,7,2),1),"jjj")</f>
        <v>sam</v>
      </c>
      <c r="E6" s="2" t="str">
        <f>TEXT(WEEKDAY(DATE(AnnéeCalendrier,7,3),1),"jjj")</f>
        <v>dim</v>
      </c>
      <c r="F6" s="2" t="str">
        <f>TEXT(WEEKDAY(DATE(AnnéeCalendrier,7,4),1),"jjj")</f>
        <v>lun</v>
      </c>
      <c r="G6" s="2" t="str">
        <f>TEXT(WEEKDAY(DATE(AnnéeCalendrier,7,5),1),"jjj")</f>
        <v>mar</v>
      </c>
      <c r="H6" s="2" t="str">
        <f>TEXT(WEEKDAY(DATE(AnnéeCalendrier,7,6),1),"jjj")</f>
        <v>mer</v>
      </c>
      <c r="I6" s="2" t="str">
        <f>TEXT(WEEKDAY(DATE(AnnéeCalendrier,7,7),1),"jjj")</f>
        <v>jeu</v>
      </c>
      <c r="J6" s="2" t="str">
        <f>TEXT(WEEKDAY(DATE(AnnéeCalendrier,7,8),1),"jjj")</f>
        <v>ven</v>
      </c>
      <c r="K6" s="2" t="str">
        <f>TEXT(WEEKDAY(DATE(AnnéeCalendrier,7,9),1),"jjj")</f>
        <v>sam</v>
      </c>
      <c r="L6" s="2" t="str">
        <f>TEXT(WEEKDAY(DATE(AnnéeCalendrier,7,10),1),"jjj")</f>
        <v>dim</v>
      </c>
      <c r="M6" s="2" t="str">
        <f>TEXT(WEEKDAY(DATE(AnnéeCalendrier,7,11),1),"jjj")</f>
        <v>lun</v>
      </c>
      <c r="N6" s="2" t="str">
        <f>TEXT(WEEKDAY(DATE(AnnéeCalendrier,7,12),1),"jjj")</f>
        <v>mar</v>
      </c>
      <c r="O6" s="2" t="str">
        <f>TEXT(WEEKDAY(DATE(AnnéeCalendrier,7,13),1),"jjj")</f>
        <v>mer</v>
      </c>
      <c r="P6" s="2" t="str">
        <f>TEXT(WEEKDAY(DATE(AnnéeCalendrier,7,14),1),"jjj")</f>
        <v>jeu</v>
      </c>
      <c r="Q6" s="2" t="str">
        <f>TEXT(WEEKDAY(DATE(AnnéeCalendrier,7,15),1),"jjj")</f>
        <v>ven</v>
      </c>
      <c r="R6" s="2" t="str">
        <f>TEXT(WEEKDAY(DATE(AnnéeCalendrier,7,16),1),"jjj")</f>
        <v>sam</v>
      </c>
      <c r="S6" s="2" t="str">
        <f>TEXT(WEEKDAY(DATE(AnnéeCalendrier,7,17),1),"jjj")</f>
        <v>dim</v>
      </c>
      <c r="T6" s="2" t="str">
        <f>TEXT(WEEKDAY(DATE(AnnéeCalendrier,7,18),1),"jjj")</f>
        <v>lun</v>
      </c>
      <c r="U6" s="2" t="str">
        <f>TEXT(WEEKDAY(DATE(AnnéeCalendrier,7,19),1),"jjj")</f>
        <v>mar</v>
      </c>
      <c r="V6" s="2" t="str">
        <f>TEXT(WEEKDAY(DATE(AnnéeCalendrier,7,20),1),"jjj")</f>
        <v>mer</v>
      </c>
      <c r="W6" s="2" t="str">
        <f>TEXT(WEEKDAY(DATE(AnnéeCalendrier,7,21),1),"jjj")</f>
        <v>jeu</v>
      </c>
      <c r="X6" s="2" t="str">
        <f>TEXT(WEEKDAY(DATE(AnnéeCalendrier,7,22),1),"jjj")</f>
        <v>ven</v>
      </c>
      <c r="Y6" s="2" t="str">
        <f>TEXT(WEEKDAY(DATE(AnnéeCalendrier,7,23),1),"jjj")</f>
        <v>sam</v>
      </c>
      <c r="Z6" s="2" t="str">
        <f>TEXT(WEEKDAY(DATE(AnnéeCalendrier,7,24),1),"jjj")</f>
        <v>dim</v>
      </c>
      <c r="AA6" s="2" t="str">
        <f>TEXT(WEEKDAY(DATE(AnnéeCalendrier,7,25),1),"jjj")</f>
        <v>lun</v>
      </c>
      <c r="AB6" s="2" t="str">
        <f>TEXT(WEEKDAY(DATE(AnnéeCalendrier,7,26),1),"jjj")</f>
        <v>mar</v>
      </c>
      <c r="AC6" s="2" t="str">
        <f>TEXT(WEEKDAY(DATE(AnnéeCalendrier,7,27),1),"jjj")</f>
        <v>mer</v>
      </c>
      <c r="AD6" s="2" t="str">
        <f>TEXT(WEEKDAY(DATE(AnnéeCalendrier,7,28),1),"jjj")</f>
        <v>jeu</v>
      </c>
      <c r="AE6" s="2" t="str">
        <f>TEXT(WEEKDAY(DATE(AnnéeCalendrier,7,29),1),"jjj")</f>
        <v>ven</v>
      </c>
      <c r="AF6" s="2" t="str">
        <f>TEXT(WEEKDAY(DATE(AnnéeCalendrier,7,30),1),"jjj")</f>
        <v>sam</v>
      </c>
      <c r="AG6" s="2" t="str">
        <f>TEXT(WEEKDAY(DATE(AnnéeCalendrier,7,31),1),"jjj")</f>
        <v>dim</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
      <c r="D8" s="3"/>
      <c r="E8" s="29"/>
      <c r="F8" s="3"/>
      <c r="G8" s="3"/>
      <c r="H8" s="3"/>
      <c r="I8" s="3"/>
      <c r="J8" s="3"/>
      <c r="K8" s="3"/>
      <c r="L8" s="29"/>
      <c r="M8" s="3"/>
      <c r="N8" s="3"/>
      <c r="O8" s="3"/>
      <c r="P8" s="26"/>
      <c r="Q8" s="3"/>
      <c r="R8" s="3"/>
      <c r="S8" s="29"/>
      <c r="T8" s="3"/>
      <c r="U8" s="37"/>
      <c r="V8" s="37"/>
      <c r="W8" s="37"/>
      <c r="X8" s="37"/>
      <c r="Y8" s="37"/>
      <c r="Z8" s="37"/>
      <c r="AA8" s="37"/>
      <c r="AB8" s="37"/>
      <c r="AC8" s="37"/>
      <c r="AD8" s="37"/>
      <c r="AE8" s="37"/>
      <c r="AF8" s="37"/>
      <c r="AG8" s="29"/>
      <c r="AH8" s="9">
        <f>COUNTA(Juillet[[#This Row],[1]:[31]])</f>
        <v>0</v>
      </c>
    </row>
    <row r="9" spans="2:34" ht="30" customHeight="1" x14ac:dyDescent="0.25">
      <c r="B9" s="15" t="str">
        <f>'Noms des employés'!B5</f>
        <v xml:space="preserve">2 - Laïla </v>
      </c>
      <c r="C9" s="3" t="s">
        <v>12</v>
      </c>
      <c r="D9" s="3" t="s">
        <v>12</v>
      </c>
      <c r="E9" s="29"/>
      <c r="F9" s="3" t="s">
        <v>12</v>
      </c>
      <c r="G9" s="3" t="s">
        <v>12</v>
      </c>
      <c r="H9" s="3" t="s">
        <v>12</v>
      </c>
      <c r="I9" s="3" t="s">
        <v>12</v>
      </c>
      <c r="J9" s="3" t="s">
        <v>12</v>
      </c>
      <c r="K9" s="3" t="s">
        <v>12</v>
      </c>
      <c r="L9" s="29"/>
      <c r="M9" s="3" t="s">
        <v>12</v>
      </c>
      <c r="N9" s="3" t="s">
        <v>12</v>
      </c>
      <c r="O9" s="3" t="s">
        <v>12</v>
      </c>
      <c r="P9" s="26"/>
      <c r="Q9" s="3" t="s">
        <v>12</v>
      </c>
      <c r="R9" s="3" t="s">
        <v>12</v>
      </c>
      <c r="S9" s="29"/>
      <c r="T9" s="3" t="s">
        <v>12</v>
      </c>
      <c r="U9" s="3"/>
      <c r="V9" s="3"/>
      <c r="W9" s="3"/>
      <c r="X9" s="3"/>
      <c r="Y9" s="3"/>
      <c r="Z9" s="29"/>
      <c r="AA9" s="3"/>
      <c r="AB9" s="3"/>
      <c r="AC9" s="3"/>
      <c r="AD9" s="3"/>
      <c r="AE9" s="3"/>
      <c r="AF9" s="3"/>
      <c r="AG9" s="29"/>
      <c r="AH9" s="9">
        <f>COUNTA(Juillet[[#This Row],[1]:[31]])</f>
        <v>14</v>
      </c>
    </row>
    <row r="10" spans="2:34" ht="30" customHeight="1" x14ac:dyDescent="0.25">
      <c r="B10" s="15" t="str">
        <f>'Noms des employés'!B6</f>
        <v>3 - Jean-Claude</v>
      </c>
      <c r="C10" s="3"/>
      <c r="D10" s="3"/>
      <c r="E10" s="29"/>
      <c r="F10" s="3"/>
      <c r="G10" s="3"/>
      <c r="H10" s="3"/>
      <c r="I10" s="3"/>
      <c r="J10" s="3"/>
      <c r="K10" s="3"/>
      <c r="L10" s="29"/>
      <c r="M10" s="3"/>
      <c r="N10" s="3"/>
      <c r="O10" s="3"/>
      <c r="P10" s="26"/>
      <c r="Q10" s="3" t="s">
        <v>4</v>
      </c>
      <c r="R10" s="3"/>
      <c r="S10" s="29"/>
      <c r="T10" s="3"/>
      <c r="U10" s="3"/>
      <c r="V10" s="3" t="s">
        <v>4</v>
      </c>
      <c r="W10" s="3"/>
      <c r="X10" s="3"/>
      <c r="Y10" s="3"/>
      <c r="Z10" s="29"/>
      <c r="AA10" s="3" t="s">
        <v>4</v>
      </c>
      <c r="AB10" s="3" t="s">
        <v>4</v>
      </c>
      <c r="AC10" s="3" t="s">
        <v>4</v>
      </c>
      <c r="AD10" s="3" t="s">
        <v>4</v>
      </c>
      <c r="AE10" s="3" t="s">
        <v>4</v>
      </c>
      <c r="AF10" s="3" t="s">
        <v>4</v>
      </c>
      <c r="AG10" s="29"/>
      <c r="AH10" s="9">
        <f>COUNTA(Juillet[[#This Row],[1]:[31]])</f>
        <v>8</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COUNTA(Juillet[[#This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COUNTA(Juillet[[#This Row],[1]:[31]])</f>
        <v>0</v>
      </c>
    </row>
    <row r="13" spans="2:34" ht="30" customHeight="1" x14ac:dyDescent="0.25">
      <c r="B13" s="22" t="str">
        <f>NomMois&amp;" Total"</f>
        <v>Juillet Total</v>
      </c>
      <c r="C13" s="23">
        <f>SUBTOTAL(103,Juillet[1])</f>
        <v>1</v>
      </c>
      <c r="D13" s="23">
        <f>SUBTOTAL(103,Juillet[2])</f>
        <v>1</v>
      </c>
      <c r="E13" s="23">
        <f>SUBTOTAL(103,Juillet[3])</f>
        <v>0</v>
      </c>
      <c r="F13" s="23">
        <f>SUBTOTAL(103,Juillet[4])</f>
        <v>1</v>
      </c>
      <c r="G13" s="23">
        <f>SUBTOTAL(103,Juillet[5])</f>
        <v>1</v>
      </c>
      <c r="H13" s="23">
        <f>SUBTOTAL(103,Juillet[6])</f>
        <v>1</v>
      </c>
      <c r="I13" s="23">
        <f>SUBTOTAL(103,Juillet[7])</f>
        <v>1</v>
      </c>
      <c r="J13" s="23">
        <f>SUBTOTAL(103,Juillet[8])</f>
        <v>1</v>
      </c>
      <c r="K13" s="23">
        <f>SUBTOTAL(103,Juillet[9])</f>
        <v>1</v>
      </c>
      <c r="L13" s="23">
        <f>SUBTOTAL(103,Juillet[10])</f>
        <v>0</v>
      </c>
      <c r="M13" s="23">
        <f>SUBTOTAL(103,Juillet[11])</f>
        <v>1</v>
      </c>
      <c r="N13" s="23">
        <f>SUBTOTAL(103,Juillet[12])</f>
        <v>1</v>
      </c>
      <c r="O13" s="23">
        <f>SUBTOTAL(103,Juillet[13])</f>
        <v>1</v>
      </c>
      <c r="P13" s="23">
        <f>SUBTOTAL(103,Juillet[14])</f>
        <v>0</v>
      </c>
      <c r="Q13" s="23">
        <f>SUBTOTAL(103,Juillet[15])</f>
        <v>2</v>
      </c>
      <c r="R13" s="23">
        <f>SUBTOTAL(103,Juillet[16])</f>
        <v>1</v>
      </c>
      <c r="S13" s="23">
        <f>SUBTOTAL(103,Juillet[17])</f>
        <v>0</v>
      </c>
      <c r="T13" s="23">
        <f>SUBTOTAL(103,Juillet[18])</f>
        <v>1</v>
      </c>
      <c r="U13" s="23">
        <f>SUBTOTAL(103,Juillet[19])</f>
        <v>0</v>
      </c>
      <c r="V13" s="23">
        <f>SUBTOTAL(103,Juillet[20])</f>
        <v>1</v>
      </c>
      <c r="W13" s="23">
        <f>SUBTOTAL(103,Juillet[21])</f>
        <v>0</v>
      </c>
      <c r="X13" s="23">
        <f>SUBTOTAL(103,Juillet[22])</f>
        <v>0</v>
      </c>
      <c r="Y13" s="23">
        <f>SUBTOTAL(103,Juillet[23])</f>
        <v>0</v>
      </c>
      <c r="Z13" s="23">
        <f>SUBTOTAL(103,Juillet[24])</f>
        <v>0</v>
      </c>
      <c r="AA13" s="23">
        <f>SUBTOTAL(103,Juillet[25])</f>
        <v>1</v>
      </c>
      <c r="AB13" s="23">
        <f>SUBTOTAL(103,Juillet[26])</f>
        <v>1</v>
      </c>
      <c r="AC13" s="23">
        <f>SUBTOTAL(103,Juillet[27])</f>
        <v>1</v>
      </c>
      <c r="AD13" s="23">
        <f>SUBTOTAL(103,Juillet[28])</f>
        <v>1</v>
      </c>
      <c r="AE13" s="23">
        <f>SUBTOTAL(103,Juillet[29])</f>
        <v>1</v>
      </c>
      <c r="AF13" s="23">
        <f>SUBTOTAL(109,Juillet[30])</f>
        <v>0</v>
      </c>
      <c r="AG13" s="23">
        <f>SUBTOTAL(109,Juillet[31])</f>
        <v>0</v>
      </c>
      <c r="AH13" s="23">
        <f>SUBTOTAL(109,Juillet[Total des jours])</f>
        <v>22</v>
      </c>
    </row>
  </sheetData>
  <mergeCells count="6">
    <mergeCell ref="C5:AG5"/>
    <mergeCell ref="D3:E3"/>
    <mergeCell ref="G3:I3"/>
    <mergeCell ref="K3:L3"/>
    <mergeCell ref="N3:Q3"/>
    <mergeCell ref="S3:V3"/>
  </mergeCells>
  <conditionalFormatting sqref="C11:AG12 C8:O10 Q8:AG10">
    <cfRule type="expression" priority="37" stopIfTrue="1">
      <formula>C8=""</formula>
    </cfRule>
  </conditionalFormatting>
  <conditionalFormatting sqref="C11:AG12 C8:O10 Q8:AG10">
    <cfRule type="expression" dxfId="468" priority="38" stopIfTrue="1">
      <formula>C8=CléPersonnalisée2</formula>
    </cfRule>
    <cfRule type="expression" dxfId="467" priority="39" stopIfTrue="1">
      <formula>C8=CléPersonnalisée1</formula>
    </cfRule>
    <cfRule type="expression" dxfId="466" priority="40" stopIfTrue="1">
      <formula>C8=CléMaladie</formula>
    </cfRule>
    <cfRule type="expression" dxfId="465" priority="41" stopIfTrue="1">
      <formula>C8=CléPersonnel</formula>
    </cfRule>
    <cfRule type="expression" dxfId="464" priority="42" stopIfTrue="1">
      <formula>C8=CléCongé</formula>
    </cfRule>
  </conditionalFormatting>
  <conditionalFormatting sqref="AH8:AH12">
    <cfRule type="dataBar" priority="43">
      <dataBar>
        <cfvo type="min"/>
        <cfvo type="formula" val="DATEDIF(DATE(CalendarYear,2,1),DATE(CalendarYear,3,1),&quot;d&quot;)"/>
        <color theme="2" tint="-0.249977111117893"/>
      </dataBar>
      <extLst>
        <ext xmlns:x14="http://schemas.microsoft.com/office/spreadsheetml/2009/9/main" uri="{B025F937-C7B1-47D3-B67F-A62EFF666E3E}">
          <x14:id>{E0DCF129-9B2A-4CEB-9E56-27607F4BED20}</x14:id>
        </ext>
      </extLst>
    </cfRule>
  </conditionalFormatting>
  <conditionalFormatting sqref="R3">
    <cfRule type="expression" priority="7" stopIfTrue="1">
      <formula>R3=""</formula>
    </cfRule>
    <cfRule type="expression" dxfId="463" priority="8" stopIfTrue="1">
      <formula>R3=CléPersonnalisée2</formula>
    </cfRule>
    <cfRule type="expression" dxfId="462" priority="9" stopIfTrue="1">
      <formula>R3=CléPersonnalisée1</formula>
    </cfRule>
    <cfRule type="expression" dxfId="461" priority="10" stopIfTrue="1">
      <formula>R3=CléMaladie</formula>
    </cfRule>
    <cfRule type="expression" dxfId="460" priority="11" stopIfTrue="1">
      <formula>R3=CléPersonnel</formula>
    </cfRule>
    <cfRule type="expression" dxfId="459" priority="12" stopIfTrue="1">
      <formula>R3=CléCongé</formula>
    </cfRule>
  </conditionalFormatting>
  <conditionalFormatting sqref="P8:P10">
    <cfRule type="expression" priority="1" stopIfTrue="1">
      <formula>P8=""</formula>
    </cfRule>
    <cfRule type="expression" dxfId="458" priority="2" stopIfTrue="1">
      <formula>P8=CléPersonnalisée2</formula>
    </cfRule>
    <cfRule type="expression" dxfId="457" priority="3" stopIfTrue="1">
      <formula>P8=CléPersonnalisée1</formula>
    </cfRule>
    <cfRule type="expression" dxfId="456" priority="4" stopIfTrue="1">
      <formula>P8=CléMaladie</formula>
    </cfRule>
    <cfRule type="expression" dxfId="455" priority="5" stopIfTrue="1">
      <formula>P8=CléPersonnel</formula>
    </cfRule>
    <cfRule type="expression" dxfId="454" priority="6" stopIfTrue="1">
      <formula>P8=CléCongé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N3 S3"/>
    <dataValidation allowBlank="1" showInputMessage="1" showErrorMessage="1" prompt="Entrez une lettre et personnalisez l’étiquette à droite pour ajouter un élément de clé" sqref="M3 R3 P8:P10"/>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 titre mis à jour automatiquement figure dans cette cellule. Pour modifier le titre, mettez à jour la cellule B1 de la feuille de calcul Janvier" sqref="B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Suivez les absences du mois de juillet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Année mise à jour automatiquement en fonction de l’année entrée dans la feuille de calcul Janvier" sqref="AH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pageSetUpPr fitToPage="1"/>
  </sheetPr>
  <dimension ref="A1:AH13"/>
  <sheetViews>
    <sheetView showGridLines="0" zoomScaleNormal="100" workbookViewId="0">
      <selection activeCell="J8" sqref="J8"/>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41" t="s">
        <v>7</v>
      </c>
      <c r="E3" s="41"/>
      <c r="F3" s="5" t="s">
        <v>10</v>
      </c>
      <c r="G3" s="41" t="s">
        <v>14</v>
      </c>
      <c r="H3" s="41"/>
      <c r="I3" s="41"/>
      <c r="J3" s="6" t="s">
        <v>12</v>
      </c>
      <c r="K3" s="41" t="s">
        <v>19</v>
      </c>
      <c r="L3" s="41"/>
      <c r="M3" s="7"/>
      <c r="N3" s="42"/>
      <c r="O3" s="41"/>
      <c r="P3" s="41"/>
      <c r="Q3" s="41"/>
      <c r="R3" s="26"/>
      <c r="S3" s="42" t="s">
        <v>60</v>
      </c>
      <c r="T3" s="41"/>
      <c r="U3" s="41"/>
      <c r="V3" s="41"/>
    </row>
    <row r="4" spans="2:34" ht="15" customHeight="1" x14ac:dyDescent="0.25">
      <c r="B4" s="12"/>
    </row>
    <row r="5" spans="2:34" ht="30" customHeight="1" x14ac:dyDescent="0.25">
      <c r="B5" s="11" t="s">
        <v>54</v>
      </c>
      <c r="C5" s="40" t="s">
        <v>5</v>
      </c>
      <c r="D5" s="40"/>
      <c r="E5" s="40"/>
      <c r="F5" s="40"/>
      <c r="G5" s="40"/>
      <c r="H5" s="40"/>
      <c r="I5" s="40"/>
      <c r="J5" s="40"/>
      <c r="K5" s="40"/>
      <c r="L5" s="40"/>
      <c r="M5" s="40"/>
      <c r="N5" s="40"/>
      <c r="O5" s="40"/>
      <c r="P5" s="40"/>
      <c r="Q5" s="40"/>
      <c r="R5" s="40"/>
      <c r="S5" s="40"/>
      <c r="T5" s="40"/>
      <c r="U5" s="40"/>
      <c r="V5" s="40"/>
      <c r="W5" s="40"/>
      <c r="X5" s="40"/>
      <c r="Y5" s="40"/>
      <c r="Z5" s="40"/>
      <c r="AA5" s="40"/>
      <c r="AB5" s="40"/>
      <c r="AC5" s="40"/>
      <c r="AD5" s="40"/>
      <c r="AE5" s="40"/>
      <c r="AF5" s="40"/>
      <c r="AG5" s="40"/>
      <c r="AH5" s="11">
        <f>AnnéeCalendrier</f>
        <v>2022</v>
      </c>
    </row>
    <row r="6" spans="2:34" ht="15" customHeight="1" x14ac:dyDescent="0.25">
      <c r="B6" s="11"/>
      <c r="C6" s="2" t="str">
        <f>TEXT(WEEKDAY(DATE(AnnéeCalendrier,8,1),1),"jjj")</f>
        <v>lun</v>
      </c>
      <c r="D6" s="2" t="str">
        <f>TEXT(WEEKDAY(DATE(AnnéeCalendrier,8,2),1),"jjj")</f>
        <v>mar</v>
      </c>
      <c r="E6" s="2" t="str">
        <f>TEXT(WEEKDAY(DATE(AnnéeCalendrier,8,3),1),"jjj")</f>
        <v>mer</v>
      </c>
      <c r="F6" s="2" t="str">
        <f>TEXT(WEEKDAY(DATE(AnnéeCalendrier,8,4),1),"jjj")</f>
        <v>jeu</v>
      </c>
      <c r="G6" s="2" t="str">
        <f>TEXT(WEEKDAY(DATE(AnnéeCalendrier,8,5),1),"jjj")</f>
        <v>ven</v>
      </c>
      <c r="H6" s="2" t="str">
        <f>TEXT(WEEKDAY(DATE(AnnéeCalendrier,8,6),1),"jjj")</f>
        <v>sam</v>
      </c>
      <c r="I6" s="2" t="str">
        <f>TEXT(WEEKDAY(DATE(AnnéeCalendrier,8,7),1),"jjj")</f>
        <v>dim</v>
      </c>
      <c r="J6" s="2" t="str">
        <f>TEXT(WEEKDAY(DATE(AnnéeCalendrier,8,8),1),"jjj")</f>
        <v>lun</v>
      </c>
      <c r="K6" s="2" t="str">
        <f>TEXT(WEEKDAY(DATE(AnnéeCalendrier,8,9),1),"jjj")</f>
        <v>mar</v>
      </c>
      <c r="L6" s="2" t="str">
        <f>TEXT(WEEKDAY(DATE(AnnéeCalendrier,8,10),1),"jjj")</f>
        <v>mer</v>
      </c>
      <c r="M6" s="2" t="str">
        <f>TEXT(WEEKDAY(DATE(AnnéeCalendrier,8,11),1),"jjj")</f>
        <v>jeu</v>
      </c>
      <c r="N6" s="2" t="str">
        <f>TEXT(WEEKDAY(DATE(AnnéeCalendrier,8,12),1),"jjj")</f>
        <v>ven</v>
      </c>
      <c r="O6" s="2" t="str">
        <f>TEXT(WEEKDAY(DATE(AnnéeCalendrier,8,13),1),"jjj")</f>
        <v>sam</v>
      </c>
      <c r="P6" s="2" t="str">
        <f>TEXT(WEEKDAY(DATE(AnnéeCalendrier,8,14),1),"jjj")</f>
        <v>dim</v>
      </c>
      <c r="Q6" s="2" t="str">
        <f>TEXT(WEEKDAY(DATE(AnnéeCalendrier,8,15),1),"jjj")</f>
        <v>lun</v>
      </c>
      <c r="R6" s="2" t="str">
        <f>TEXT(WEEKDAY(DATE(AnnéeCalendrier,8,16),1),"jjj")</f>
        <v>mar</v>
      </c>
      <c r="S6" s="2" t="str">
        <f>TEXT(WEEKDAY(DATE(AnnéeCalendrier,8,17),1),"jjj")</f>
        <v>mer</v>
      </c>
      <c r="T6" s="2" t="str">
        <f>TEXT(WEEKDAY(DATE(AnnéeCalendrier,8,18),1),"jjj")</f>
        <v>jeu</v>
      </c>
      <c r="U6" s="2" t="str">
        <f>TEXT(WEEKDAY(DATE(AnnéeCalendrier,8,19),1),"jjj")</f>
        <v>ven</v>
      </c>
      <c r="V6" s="2" t="str">
        <f>TEXT(WEEKDAY(DATE(AnnéeCalendrier,8,20),1),"jjj")</f>
        <v>sam</v>
      </c>
      <c r="W6" s="2" t="str">
        <f>TEXT(WEEKDAY(DATE(AnnéeCalendrier,8,21),1),"jjj")</f>
        <v>dim</v>
      </c>
      <c r="X6" s="2" t="str">
        <f>TEXT(WEEKDAY(DATE(AnnéeCalendrier,8,22),1),"jjj")</f>
        <v>lun</v>
      </c>
      <c r="Y6" s="2" t="str">
        <f>TEXT(WEEKDAY(DATE(AnnéeCalendrier,8,23),1),"jjj")</f>
        <v>mar</v>
      </c>
      <c r="Z6" s="2" t="str">
        <f>TEXT(WEEKDAY(DATE(AnnéeCalendrier,8,24),1),"jjj")</f>
        <v>mer</v>
      </c>
      <c r="AA6" s="2" t="str">
        <f>TEXT(WEEKDAY(DATE(AnnéeCalendrier,8,25),1),"jjj")</f>
        <v>jeu</v>
      </c>
      <c r="AB6" s="2" t="str">
        <f>TEXT(WEEKDAY(DATE(AnnéeCalendrier,8,26),1),"jjj")</f>
        <v>ven</v>
      </c>
      <c r="AC6" s="2" t="str">
        <f>TEXT(WEEKDAY(DATE(AnnéeCalendrier,8,27),1),"jjj")</f>
        <v>sam</v>
      </c>
      <c r="AD6" s="2" t="str">
        <f>TEXT(WEEKDAY(DATE(AnnéeCalendrier,8,28),1),"jjj")</f>
        <v>dim</v>
      </c>
      <c r="AE6" s="2" t="str">
        <f>TEXT(WEEKDAY(DATE(AnnéeCalendrier,8,29),1),"jjj")</f>
        <v>lun</v>
      </c>
      <c r="AF6" s="2" t="str">
        <f>TEXT(WEEKDAY(DATE(AnnéeCalendrier,8,30),1),"jjj")</f>
        <v>mar</v>
      </c>
      <c r="AG6" s="2" t="str">
        <f>TEXT(WEEKDAY(DATE(AnnéeCalendrier,8,31),1),"jjj")</f>
        <v>mer</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7"/>
      <c r="D8" s="37"/>
      <c r="E8" s="37"/>
      <c r="F8" s="37"/>
      <c r="G8" s="37"/>
      <c r="H8" s="37"/>
      <c r="I8" s="37"/>
      <c r="J8" s="37"/>
      <c r="K8" s="37"/>
      <c r="L8" s="37"/>
      <c r="M8" s="37"/>
      <c r="N8" s="37"/>
      <c r="O8" s="37"/>
      <c r="P8" s="37"/>
      <c r="Q8" s="38"/>
      <c r="R8" s="37"/>
      <c r="S8" s="37"/>
      <c r="T8" s="37"/>
      <c r="U8" s="37"/>
      <c r="V8" s="37"/>
      <c r="W8" s="37"/>
      <c r="X8" s="37"/>
      <c r="Y8" s="37"/>
      <c r="Z8" s="37"/>
      <c r="AA8" s="37"/>
      <c r="AB8" s="37"/>
      <c r="AC8" s="37"/>
      <c r="AD8" s="37"/>
      <c r="AE8" s="37"/>
      <c r="AF8" s="37"/>
      <c r="AG8" s="37"/>
      <c r="AH8" s="9">
        <f>COUNTA(Août[[#This Row],[1]:[31]])-COUNTIF(Août[[#This Row],[1]:[31]],"F")</f>
        <v>0</v>
      </c>
    </row>
    <row r="9" spans="2:34" ht="30" customHeight="1" x14ac:dyDescent="0.25">
      <c r="B9" s="15" t="str">
        <f>'Noms des employés'!B5</f>
        <v xml:space="preserve">2 - Laïla </v>
      </c>
      <c r="C9" s="3"/>
      <c r="D9" s="3"/>
      <c r="E9" s="3"/>
      <c r="F9" s="3"/>
      <c r="G9" s="3"/>
      <c r="H9" s="3"/>
      <c r="I9" s="29"/>
      <c r="J9" s="3"/>
      <c r="K9" s="3"/>
      <c r="L9" s="3"/>
      <c r="M9" s="3"/>
      <c r="N9" s="3"/>
      <c r="O9" s="3"/>
      <c r="P9" s="29"/>
      <c r="Q9" s="26"/>
      <c r="R9" s="3"/>
      <c r="S9" s="3"/>
      <c r="T9" s="3"/>
      <c r="U9" s="3"/>
      <c r="V9" s="3"/>
      <c r="W9" s="29"/>
      <c r="X9" s="3"/>
      <c r="Y9" s="3"/>
      <c r="Z9" s="3"/>
      <c r="AA9" s="3"/>
      <c r="AB9" s="3"/>
      <c r="AC9" s="3"/>
      <c r="AD9" s="29"/>
      <c r="AE9" s="3"/>
      <c r="AF9" s="3"/>
      <c r="AG9" s="3"/>
      <c r="AH9" s="9">
        <f>COUNTA(Août[[#This Row],[1]:[31]])-COUNTIF(Août[[#This Row],[1]:[31]],"F")</f>
        <v>0</v>
      </c>
    </row>
    <row r="10" spans="2:34" ht="30" customHeight="1" x14ac:dyDescent="0.25">
      <c r="B10" s="15" t="str">
        <f>'Noms des employés'!B6</f>
        <v>3 - Jean-Claude</v>
      </c>
      <c r="C10" s="3" t="s">
        <v>4</v>
      </c>
      <c r="D10" s="3" t="s">
        <v>4</v>
      </c>
      <c r="E10" s="3" t="s">
        <v>4</v>
      </c>
      <c r="F10" s="3" t="s">
        <v>4</v>
      </c>
      <c r="G10" s="3" t="s">
        <v>4</v>
      </c>
      <c r="H10" s="3" t="s">
        <v>4</v>
      </c>
      <c r="I10" s="29"/>
      <c r="J10" s="3" t="s">
        <v>4</v>
      </c>
      <c r="K10" s="3" t="s">
        <v>4</v>
      </c>
      <c r="L10" s="3" t="s">
        <v>4</v>
      </c>
      <c r="M10" s="3" t="s">
        <v>4</v>
      </c>
      <c r="N10" s="3" t="s">
        <v>4</v>
      </c>
      <c r="O10" s="3" t="s">
        <v>4</v>
      </c>
      <c r="P10" s="29"/>
      <c r="Q10" s="26"/>
      <c r="R10" s="3"/>
      <c r="S10" s="3"/>
      <c r="T10" s="3"/>
      <c r="U10" s="3"/>
      <c r="V10" s="3"/>
      <c r="W10" s="29"/>
      <c r="X10" s="3"/>
      <c r="Y10" s="3"/>
      <c r="Z10" s="3"/>
      <c r="AA10" s="3"/>
      <c r="AB10" s="3"/>
      <c r="AC10" s="3"/>
      <c r="AD10" s="29"/>
      <c r="AE10" s="3"/>
      <c r="AF10" s="3"/>
      <c r="AG10" s="3"/>
      <c r="AH10" s="9">
        <f>COUNTA(Août[[#This Row],[1]:[31]])-COUNTIF(Août[[#This Row],[1]:[31]],"F")</f>
        <v>12</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COUNTA(Août[[#This Row],[1]:[31]])-COUNTIF(Août[[#This Row],[1]:[31]],"F")</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COUNTA(Août[[#This Row],[1]:[31]])-COUNTIF(Août[[#This Row],[1]:[31]],"F")</f>
        <v>0</v>
      </c>
    </row>
    <row r="13" spans="2:34" ht="30" customHeight="1" x14ac:dyDescent="0.25">
      <c r="B13" s="22" t="str">
        <f>NomMois&amp;" Total"</f>
        <v>Août Total</v>
      </c>
      <c r="C13" s="23">
        <f>SUBTOTAL(103,Août[1])</f>
        <v>1</v>
      </c>
      <c r="D13" s="23">
        <f>SUBTOTAL(103,Août[2])</f>
        <v>1</v>
      </c>
      <c r="E13" s="23">
        <f>SUBTOTAL(103,Août[3])</f>
        <v>1</v>
      </c>
      <c r="F13" s="23">
        <f>SUBTOTAL(103,Août[4])</f>
        <v>1</v>
      </c>
      <c r="G13" s="23">
        <f>SUBTOTAL(103,Août[5])</f>
        <v>1</v>
      </c>
      <c r="H13" s="23">
        <f>SUBTOTAL(103,Août[6])</f>
        <v>1</v>
      </c>
      <c r="I13" s="23">
        <f>SUBTOTAL(103,Août[7])</f>
        <v>0</v>
      </c>
      <c r="J13" s="23">
        <f>SUBTOTAL(103,Août[8])</f>
        <v>1</v>
      </c>
      <c r="K13" s="23">
        <f>SUBTOTAL(103,Août[9])</f>
        <v>1</v>
      </c>
      <c r="L13" s="23">
        <f>SUBTOTAL(103,Août[10])</f>
        <v>1</v>
      </c>
      <c r="M13" s="23">
        <f>SUBTOTAL(103,Août[11])</f>
        <v>1</v>
      </c>
      <c r="N13" s="23">
        <f>SUBTOTAL(103,Août[12])</f>
        <v>1</v>
      </c>
      <c r="O13" s="23">
        <f>SUBTOTAL(103,Août[13])</f>
        <v>1</v>
      </c>
      <c r="P13" s="23">
        <f>SUBTOTAL(103,Août[14])</f>
        <v>0</v>
      </c>
      <c r="Q13" s="23">
        <f>SUBTOTAL(103,Août[15])</f>
        <v>0</v>
      </c>
      <c r="R13" s="23">
        <f>SUBTOTAL(103,Août[16])</f>
        <v>0</v>
      </c>
      <c r="S13" s="23">
        <f>SUBTOTAL(103,Août[17])</f>
        <v>0</v>
      </c>
      <c r="T13" s="23">
        <f>SUBTOTAL(103,Août[18])</f>
        <v>0</v>
      </c>
      <c r="U13" s="23">
        <f>SUBTOTAL(103,Août[19])</f>
        <v>0</v>
      </c>
      <c r="V13" s="23">
        <f>SUBTOTAL(103,Août[20])</f>
        <v>0</v>
      </c>
      <c r="W13" s="23">
        <f>SUBTOTAL(103,Août[21])</f>
        <v>0</v>
      </c>
      <c r="X13" s="23">
        <f>SUBTOTAL(103,Août[22])</f>
        <v>0</v>
      </c>
      <c r="Y13" s="23">
        <f>SUBTOTAL(103,Août[23])</f>
        <v>0</v>
      </c>
      <c r="Z13" s="23">
        <f>SUBTOTAL(103,Août[24])</f>
        <v>0</v>
      </c>
      <c r="AA13" s="23">
        <f>SUBTOTAL(103,Août[25])</f>
        <v>0</v>
      </c>
      <c r="AB13" s="23">
        <f>SUBTOTAL(103,Août[26])</f>
        <v>0</v>
      </c>
      <c r="AC13" s="23">
        <f>SUBTOTAL(103,Août[27])</f>
        <v>0</v>
      </c>
      <c r="AD13" s="23">
        <f>SUBTOTAL(103,Août[28])</f>
        <v>0</v>
      </c>
      <c r="AE13" s="23">
        <f>SUBTOTAL(103,Août[29])</f>
        <v>0</v>
      </c>
      <c r="AF13" s="23">
        <f>SUBTOTAL(109,Août[30])</f>
        <v>0</v>
      </c>
      <c r="AG13" s="23">
        <f>SUBTOTAL(109,Août[31])</f>
        <v>0</v>
      </c>
      <c r="AH13" s="23">
        <f>SUBTOTAL(109,Août[Total des jours])</f>
        <v>12</v>
      </c>
    </row>
  </sheetData>
  <mergeCells count="6">
    <mergeCell ref="C5:AG5"/>
    <mergeCell ref="D3:E3"/>
    <mergeCell ref="G3:I3"/>
    <mergeCell ref="K3:L3"/>
    <mergeCell ref="N3:Q3"/>
    <mergeCell ref="S3:V3"/>
  </mergeCells>
  <conditionalFormatting sqref="C8:P8 C11:AG12 R10:AG10 R8:AG8 C10:P10">
    <cfRule type="expression" priority="61" stopIfTrue="1">
      <formula>C8=""</formula>
    </cfRule>
  </conditionalFormatting>
  <conditionalFormatting sqref="C8:P8 C11:AG12 R10:AG10 R8:AG8 C10:P10">
    <cfRule type="expression" dxfId="417" priority="62" stopIfTrue="1">
      <formula>C8=CléPersonnalisée2</formula>
    </cfRule>
    <cfRule type="expression" dxfId="416" priority="63" stopIfTrue="1">
      <formula>C8=CléPersonnalisée1</formula>
    </cfRule>
    <cfRule type="expression" dxfId="415" priority="64" stopIfTrue="1">
      <formula>C8=CléMaladie</formula>
    </cfRule>
    <cfRule type="expression" dxfId="414" priority="65" stopIfTrue="1">
      <formula>C8=CléPersonnel</formula>
    </cfRule>
    <cfRule type="expression" dxfId="413" priority="66" stopIfTrue="1">
      <formula>C8=CléCongé</formula>
    </cfRule>
  </conditionalFormatting>
  <conditionalFormatting sqref="AH8:AH12">
    <cfRule type="dataBar" priority="67">
      <dataBar>
        <cfvo type="min"/>
        <cfvo type="formula" val="DATEDIF(DATE(CalendarYear,2,1),DATE(CalendarYear,3,1),&quot;d&quot;)"/>
        <color theme="2" tint="-0.249977111117893"/>
      </dataBar>
      <extLst>
        <ext xmlns:x14="http://schemas.microsoft.com/office/spreadsheetml/2009/9/main" uri="{B025F937-C7B1-47D3-B67F-A62EFF666E3E}">
          <x14:id>{09900229-9536-43AB-AAE0-FC121BDECD61}</x14:id>
        </ext>
      </extLst>
    </cfRule>
  </conditionalFormatting>
  <conditionalFormatting sqref="R3">
    <cfRule type="expression" priority="49" stopIfTrue="1">
      <formula>R3=""</formula>
    </cfRule>
  </conditionalFormatting>
  <conditionalFormatting sqref="R3">
    <cfRule type="expression" dxfId="412" priority="50" stopIfTrue="1">
      <formula>R3=CléPersonnalisée2</formula>
    </cfRule>
    <cfRule type="expression" dxfId="411" priority="51" stopIfTrue="1">
      <formula>R3=CléPersonnalisée1</formula>
    </cfRule>
    <cfRule type="expression" dxfId="410" priority="52" stopIfTrue="1">
      <formula>R3=CléMaladie</formula>
    </cfRule>
    <cfRule type="expression" dxfId="409" priority="53" stopIfTrue="1">
      <formula>R3=CléPersonnel</formula>
    </cfRule>
    <cfRule type="expression" dxfId="408" priority="54" stopIfTrue="1">
      <formula>R3=CléCongé</formula>
    </cfRule>
  </conditionalFormatting>
  <conditionalFormatting sqref="C9:P9 R9:AG9">
    <cfRule type="expression" priority="7" stopIfTrue="1">
      <formula>C9=""</formula>
    </cfRule>
  </conditionalFormatting>
  <conditionalFormatting sqref="C9:P9 R9:AG9">
    <cfRule type="expression" dxfId="407" priority="8" stopIfTrue="1">
      <formula>C9=CléPersonnalisée2</formula>
    </cfRule>
    <cfRule type="expression" dxfId="406" priority="9" stopIfTrue="1">
      <formula>C9=CléPersonnalisée1</formula>
    </cfRule>
    <cfRule type="expression" dxfId="405" priority="10" stopIfTrue="1">
      <formula>C9=CléMaladie</formula>
    </cfRule>
    <cfRule type="expression" dxfId="404" priority="11" stopIfTrue="1">
      <formula>C9=CléPersonnel</formula>
    </cfRule>
    <cfRule type="expression" dxfId="403" priority="12" stopIfTrue="1">
      <formula>C9=CléCongé</formula>
    </cfRule>
  </conditionalFormatting>
  <conditionalFormatting sqref="Q8:Q10">
    <cfRule type="expression" priority="1" stopIfTrue="1">
      <formula>Q8=""</formula>
    </cfRule>
    <cfRule type="expression" dxfId="402" priority="2" stopIfTrue="1">
      <formula>Q8=CléPersonnalisée2</formula>
    </cfRule>
    <cfRule type="expression" dxfId="401" priority="3" stopIfTrue="1">
      <formula>Q8=CléPersonnalisée1</formula>
    </cfRule>
    <cfRule type="expression" dxfId="400" priority="4" stopIfTrue="1">
      <formula>Q8=CléMaladie</formula>
    </cfRule>
    <cfRule type="expression" dxfId="399" priority="5" stopIfTrue="1">
      <formula>Q8=CléPersonnel</formula>
    </cfRule>
    <cfRule type="expression" dxfId="398" priority="6" stopIfTrue="1">
      <formula>Q8=CléCongé</formula>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Année mise à jour automatiquement en fonction de l’année entrée dans la feuille de calcul Janvier" sqref="AH5"/>
    <dataValidation allowBlank="1" showInputMessage="1" showErrorMessage="1" prompt="Calcule automatiquement le nombre total de jours d’absence d’un employé durant ce mois dans cette colonne" sqref="AH7"/>
    <dataValidation allowBlank="1" showInputMessage="1" showErrorMessage="1" prompt="Suivez les absences du mois d’août dans cette feuille de calcul" sqref="A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M3 R3 Q8:Q10"/>
    <dataValidation allowBlank="1" showInputMessage="1" showErrorMessage="1" prompt="Entrez une étiquette pour décrire la clé personnalisée à gauche" sqref="N3 S3"/>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pageSetUpPr fitToPage="1"/>
  </sheetPr>
  <dimension ref="A1:AH14"/>
  <sheetViews>
    <sheetView showGridLines="0" zoomScaleNormal="100" workbookViewId="0">
      <selection activeCell="C9" sqref="C9:AG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28.5" customHeight="1" x14ac:dyDescent="0.25"/>
    <row r="3" spans="2:34" ht="50.1" customHeight="1" x14ac:dyDescent="0.25">
      <c r="B3" s="12" t="str">
        <f>Titre_Absence_Employé</f>
        <v>Calendrier des absences des employés</v>
      </c>
    </row>
    <row r="4" spans="2:34" ht="15" customHeight="1" x14ac:dyDescent="0.25">
      <c r="B4" s="17" t="s">
        <v>1</v>
      </c>
      <c r="C4" s="4" t="s">
        <v>4</v>
      </c>
      <c r="D4" s="41" t="s">
        <v>7</v>
      </c>
      <c r="E4" s="41"/>
      <c r="F4" s="5" t="s">
        <v>10</v>
      </c>
      <c r="G4" s="41" t="s">
        <v>14</v>
      </c>
      <c r="H4" s="41"/>
      <c r="I4" s="41"/>
      <c r="J4" s="6" t="s">
        <v>12</v>
      </c>
      <c r="K4" s="41" t="s">
        <v>19</v>
      </c>
      <c r="L4" s="41"/>
      <c r="M4" s="7"/>
      <c r="N4" s="41" t="s">
        <v>23</v>
      </c>
      <c r="O4" s="41"/>
      <c r="P4" s="41"/>
      <c r="Q4" s="41"/>
      <c r="R4" s="8"/>
      <c r="S4" s="42"/>
      <c r="T4" s="41"/>
      <c r="U4" s="41"/>
      <c r="V4" s="41"/>
    </row>
    <row r="5" spans="2:34" ht="15" customHeight="1" x14ac:dyDescent="0.25">
      <c r="B5" s="12"/>
    </row>
    <row r="6" spans="2:34" ht="30" customHeight="1" x14ac:dyDescent="0.25">
      <c r="B6" s="11" t="s">
        <v>55</v>
      </c>
      <c r="C6" s="40" t="s">
        <v>5</v>
      </c>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11">
        <f>AnnéeCalendrier</f>
        <v>2022</v>
      </c>
    </row>
    <row r="7" spans="2:34" ht="15" customHeight="1" x14ac:dyDescent="0.25">
      <c r="B7" s="11"/>
      <c r="C7" s="2" t="str">
        <f>TEXT(WEEKDAY(DATE(AnnéeCalendrier,9,1),1),"jjj")</f>
        <v>jeu</v>
      </c>
      <c r="D7" s="2" t="str">
        <f>TEXT(WEEKDAY(DATE(AnnéeCalendrier,9,2),1),"jjj")</f>
        <v>ven</v>
      </c>
      <c r="E7" s="2" t="str">
        <f>TEXT(WEEKDAY(DATE(AnnéeCalendrier,9,3),1),"jjj")</f>
        <v>sam</v>
      </c>
      <c r="F7" s="2" t="str">
        <f>TEXT(WEEKDAY(DATE(AnnéeCalendrier,9,4),1),"jjj")</f>
        <v>dim</v>
      </c>
      <c r="G7" s="2" t="str">
        <f>TEXT(WEEKDAY(DATE(AnnéeCalendrier,9,5),1),"jjj")</f>
        <v>lun</v>
      </c>
      <c r="H7" s="2" t="str">
        <f>TEXT(WEEKDAY(DATE(AnnéeCalendrier,9,6),1),"jjj")</f>
        <v>mar</v>
      </c>
      <c r="I7" s="2" t="str">
        <f>TEXT(WEEKDAY(DATE(AnnéeCalendrier,9,7),1),"jjj")</f>
        <v>mer</v>
      </c>
      <c r="J7" s="2" t="str">
        <f>TEXT(WEEKDAY(DATE(AnnéeCalendrier,9,8),1),"jjj")</f>
        <v>jeu</v>
      </c>
      <c r="K7" s="2" t="str">
        <f>TEXT(WEEKDAY(DATE(AnnéeCalendrier,9,9),1),"jjj")</f>
        <v>ven</v>
      </c>
      <c r="L7" s="2" t="str">
        <f>TEXT(WEEKDAY(DATE(AnnéeCalendrier,9,10),1),"jjj")</f>
        <v>sam</v>
      </c>
      <c r="M7" s="2" t="str">
        <f>TEXT(WEEKDAY(DATE(AnnéeCalendrier,9,11),1),"jjj")</f>
        <v>dim</v>
      </c>
      <c r="N7" s="2" t="str">
        <f>TEXT(WEEKDAY(DATE(AnnéeCalendrier,9,12),1),"jjj")</f>
        <v>lun</v>
      </c>
      <c r="O7" s="2" t="str">
        <f>TEXT(WEEKDAY(DATE(AnnéeCalendrier,9,13),1),"jjj")</f>
        <v>mar</v>
      </c>
      <c r="P7" s="2" t="str">
        <f>TEXT(WEEKDAY(DATE(AnnéeCalendrier,9,14),1),"jjj")</f>
        <v>mer</v>
      </c>
      <c r="Q7" s="2" t="str">
        <f>TEXT(WEEKDAY(DATE(AnnéeCalendrier,9,15),1),"jjj")</f>
        <v>jeu</v>
      </c>
      <c r="R7" s="2" t="str">
        <f>TEXT(WEEKDAY(DATE(AnnéeCalendrier,9,16),1),"jjj")</f>
        <v>ven</v>
      </c>
      <c r="S7" s="2" t="str">
        <f>TEXT(WEEKDAY(DATE(AnnéeCalendrier,9,17),1),"jjj")</f>
        <v>sam</v>
      </c>
      <c r="T7" s="2" t="str">
        <f>TEXT(WEEKDAY(DATE(AnnéeCalendrier,9,18),1),"jjj")</f>
        <v>dim</v>
      </c>
      <c r="U7" s="2" t="str">
        <f>TEXT(WEEKDAY(DATE(AnnéeCalendrier,9,19),1),"jjj")</f>
        <v>lun</v>
      </c>
      <c r="V7" s="2" t="str">
        <f>TEXT(WEEKDAY(DATE(AnnéeCalendrier,9,20),1),"jjj")</f>
        <v>mar</v>
      </c>
      <c r="W7" s="2" t="str">
        <f>TEXT(WEEKDAY(DATE(AnnéeCalendrier,9,21),1),"jjj")</f>
        <v>mer</v>
      </c>
      <c r="X7" s="2" t="str">
        <f>TEXT(WEEKDAY(DATE(AnnéeCalendrier,9,22),1),"jjj")</f>
        <v>jeu</v>
      </c>
      <c r="Y7" s="2" t="str">
        <f>TEXT(WEEKDAY(DATE(AnnéeCalendrier,9,23),1),"jjj")</f>
        <v>ven</v>
      </c>
      <c r="Z7" s="2" t="str">
        <f>TEXT(WEEKDAY(DATE(AnnéeCalendrier,9,24),1),"jjj")</f>
        <v>sam</v>
      </c>
      <c r="AA7" s="2" t="str">
        <f>TEXT(WEEKDAY(DATE(AnnéeCalendrier,9,25),1),"jjj")</f>
        <v>dim</v>
      </c>
      <c r="AB7" s="2" t="str">
        <f>TEXT(WEEKDAY(DATE(AnnéeCalendrier,9,26),1),"jjj")</f>
        <v>lun</v>
      </c>
      <c r="AC7" s="2" t="str">
        <f>TEXT(WEEKDAY(DATE(AnnéeCalendrier,9,27),1),"jjj")</f>
        <v>mar</v>
      </c>
      <c r="AD7" s="2" t="str">
        <f>TEXT(WEEKDAY(DATE(AnnéeCalendrier,9,28),1),"jjj")</f>
        <v>mer</v>
      </c>
      <c r="AE7" s="2" t="str">
        <f>TEXT(WEEKDAY(DATE(AnnéeCalendrier,9,29),1),"jjj")</f>
        <v>jeu</v>
      </c>
      <c r="AF7" s="2" t="str">
        <f>TEXT(WEEKDAY(DATE(AnnéeCalendrier,9,30),1),"jjj")</f>
        <v>ven</v>
      </c>
      <c r="AG7" s="2"/>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37"/>
      <c r="D9" s="37"/>
      <c r="E9" s="37"/>
      <c r="F9" s="37"/>
      <c r="G9" s="37"/>
      <c r="H9" s="37"/>
      <c r="I9" s="37"/>
      <c r="J9" s="37"/>
      <c r="K9" s="37"/>
      <c r="L9" s="37"/>
      <c r="M9" s="37"/>
      <c r="N9" s="37"/>
      <c r="O9" s="37"/>
      <c r="P9" s="37"/>
      <c r="Q9" s="37"/>
      <c r="R9" s="37"/>
      <c r="S9" s="37"/>
      <c r="T9" s="37"/>
      <c r="U9" s="37"/>
      <c r="V9" s="37"/>
      <c r="W9" s="37"/>
      <c r="X9" s="37"/>
      <c r="Y9" s="37"/>
      <c r="Z9" s="37"/>
      <c r="AA9" s="37"/>
      <c r="AB9" s="37"/>
      <c r="AC9" s="37"/>
      <c r="AD9" s="37"/>
      <c r="AE9" s="37"/>
      <c r="AF9" s="37"/>
      <c r="AG9" s="37"/>
      <c r="AH9" s="9">
        <f>COUNTA(Septembre[[#This Row],[1]:[31]])</f>
        <v>0</v>
      </c>
    </row>
    <row r="10" spans="2:34" ht="30" customHeight="1" x14ac:dyDescent="0.25">
      <c r="B10" s="15" t="str">
        <f>'Noms des employés'!B5</f>
        <v xml:space="preserve">2 - Laïla </v>
      </c>
      <c r="C10" s="3"/>
      <c r="D10" s="3"/>
      <c r="E10" s="3"/>
      <c r="F10" s="29"/>
      <c r="G10" s="3"/>
      <c r="H10" s="3"/>
      <c r="I10" s="3"/>
      <c r="J10" s="3"/>
      <c r="K10" s="3"/>
      <c r="L10" s="3"/>
      <c r="M10" s="29"/>
      <c r="N10" s="3"/>
      <c r="O10" s="3"/>
      <c r="P10" s="3"/>
      <c r="Q10" s="3"/>
      <c r="R10" s="3"/>
      <c r="S10" s="3"/>
      <c r="T10" s="29"/>
      <c r="U10" s="3"/>
      <c r="V10" s="3"/>
      <c r="W10" s="3"/>
      <c r="X10" s="3"/>
      <c r="Y10" s="3"/>
      <c r="Z10" s="3"/>
      <c r="AA10" s="29"/>
      <c r="AB10" s="3"/>
      <c r="AC10" s="3"/>
      <c r="AD10" s="3"/>
      <c r="AE10" s="3"/>
      <c r="AF10" s="3"/>
      <c r="AG10" s="3"/>
      <c r="AH10" s="9">
        <f>COUNTA(Septembre[[#This Row],[1]:[31]])</f>
        <v>0</v>
      </c>
    </row>
    <row r="11" spans="2:34" ht="30" customHeight="1" x14ac:dyDescent="0.25">
      <c r="B11" s="15" t="str">
        <f>'Noms des employés'!B6</f>
        <v>3 - Jean-Claude</v>
      </c>
      <c r="C11" s="3"/>
      <c r="D11" s="3"/>
      <c r="E11" s="3"/>
      <c r="F11" s="29"/>
      <c r="G11" s="3"/>
      <c r="H11" s="3"/>
      <c r="I11" s="3"/>
      <c r="J11" s="3"/>
      <c r="K11" s="3"/>
      <c r="L11" s="3"/>
      <c r="M11" s="29"/>
      <c r="N11" s="3"/>
      <c r="O11" s="3"/>
      <c r="P11" s="3"/>
      <c r="Q11" s="3"/>
      <c r="R11" s="3"/>
      <c r="S11" s="3"/>
      <c r="T11" s="29"/>
      <c r="U11" s="3"/>
      <c r="V11" s="3"/>
      <c r="W11" s="3"/>
      <c r="X11" s="3"/>
      <c r="Y11" s="3"/>
      <c r="Z11" s="3"/>
      <c r="AA11" s="29"/>
      <c r="AB11" s="3"/>
      <c r="AC11" s="3"/>
      <c r="AD11" s="3"/>
      <c r="AE11" s="3"/>
      <c r="AF11" s="3"/>
      <c r="AG11" s="3"/>
      <c r="AH11" s="9">
        <f>COUNTA(Septembre[[#This Row],[1]:[31]])</f>
        <v>0</v>
      </c>
    </row>
    <row r="12" spans="2:34" ht="30" hidden="1" customHeight="1" x14ac:dyDescent="0.25">
      <c r="B12" s="15">
        <f>'Noms des employés'!B7</f>
        <v>0</v>
      </c>
      <c r="C12" s="25"/>
      <c r="D12" s="3"/>
      <c r="E12" s="3"/>
      <c r="F12" s="3"/>
      <c r="G12" s="3"/>
      <c r="H12" s="3"/>
      <c r="I12" s="3"/>
      <c r="J12" s="25"/>
      <c r="K12" s="3"/>
      <c r="L12" s="3"/>
      <c r="M12" s="3"/>
      <c r="N12" s="3"/>
      <c r="O12" s="3"/>
      <c r="P12" s="3"/>
      <c r="Q12" s="25"/>
      <c r="R12" s="3"/>
      <c r="S12" s="3"/>
      <c r="T12" s="3"/>
      <c r="U12" s="3"/>
      <c r="V12" s="3"/>
      <c r="W12" s="3"/>
      <c r="X12" s="25"/>
      <c r="Y12" s="3"/>
      <c r="Z12" s="3"/>
      <c r="AA12" s="3"/>
      <c r="AB12" s="3"/>
      <c r="AC12" s="3"/>
      <c r="AD12" s="3"/>
      <c r="AE12" s="25"/>
      <c r="AF12" s="3"/>
      <c r="AG12" s="3"/>
      <c r="AH12" s="9">
        <f>COUNTA(Septembre[[#This Row],[1]:[31]])</f>
        <v>0</v>
      </c>
    </row>
    <row r="13" spans="2:34" ht="30" hidden="1" customHeight="1" x14ac:dyDescent="0.25">
      <c r="B13" s="15">
        <f>'Noms des employés'!B8</f>
        <v>0</v>
      </c>
      <c r="C13" s="25"/>
      <c r="D13" s="3"/>
      <c r="E13" s="3"/>
      <c r="F13" s="3"/>
      <c r="G13" s="3"/>
      <c r="H13" s="3"/>
      <c r="I13" s="3"/>
      <c r="J13" s="25"/>
      <c r="K13" s="3"/>
      <c r="L13" s="3"/>
      <c r="M13" s="3"/>
      <c r="N13" s="3"/>
      <c r="O13" s="3"/>
      <c r="P13" s="3"/>
      <c r="Q13" s="25"/>
      <c r="R13" s="3"/>
      <c r="S13" s="3"/>
      <c r="T13" s="3"/>
      <c r="U13" s="3"/>
      <c r="V13" s="3"/>
      <c r="W13" s="3"/>
      <c r="X13" s="25"/>
      <c r="Y13" s="3"/>
      <c r="Z13" s="3"/>
      <c r="AA13" s="3"/>
      <c r="AB13" s="3"/>
      <c r="AC13" s="3"/>
      <c r="AD13" s="3"/>
      <c r="AE13" s="25"/>
      <c r="AF13" s="3"/>
      <c r="AG13" s="3"/>
      <c r="AH13" s="9">
        <f>COUNTA(Septembre[[#This Row],[1]:[31]])</f>
        <v>0</v>
      </c>
    </row>
    <row r="14" spans="2:34" ht="30" customHeight="1" x14ac:dyDescent="0.25">
      <c r="B14" s="22" t="str">
        <f>NomMois&amp;" Total"</f>
        <v>Septembre Total</v>
      </c>
      <c r="C14" s="23">
        <f>SUBTOTAL(103,Septembre[1])</f>
        <v>0</v>
      </c>
      <c r="D14" s="23">
        <f>SUBTOTAL(103,Septembre[2])</f>
        <v>0</v>
      </c>
      <c r="E14" s="23">
        <f>SUBTOTAL(103,Septembre[3])</f>
        <v>0</v>
      </c>
      <c r="F14" s="23">
        <f>SUBTOTAL(103,Septembre[4])</f>
        <v>0</v>
      </c>
      <c r="G14" s="23">
        <f>SUBTOTAL(103,Septembre[5])</f>
        <v>0</v>
      </c>
      <c r="H14" s="23">
        <f>SUBTOTAL(103,Septembre[6])</f>
        <v>0</v>
      </c>
      <c r="I14" s="23">
        <f>SUBTOTAL(103,Septembre[7])</f>
        <v>0</v>
      </c>
      <c r="J14" s="23">
        <f>SUBTOTAL(103,Septembre[8])</f>
        <v>0</v>
      </c>
      <c r="K14" s="23">
        <f>SUBTOTAL(103,Septembre[9])</f>
        <v>0</v>
      </c>
      <c r="L14" s="23">
        <f>SUBTOTAL(103,Septembre[10])</f>
        <v>0</v>
      </c>
      <c r="M14" s="23">
        <f>SUBTOTAL(103,Septembre[11])</f>
        <v>0</v>
      </c>
      <c r="N14" s="23">
        <f>SUBTOTAL(103,Septembre[12])</f>
        <v>0</v>
      </c>
      <c r="O14" s="23">
        <f>SUBTOTAL(103,Septembre[13])</f>
        <v>0</v>
      </c>
      <c r="P14" s="23">
        <f>SUBTOTAL(103,Septembre[14])</f>
        <v>0</v>
      </c>
      <c r="Q14" s="23">
        <f>SUBTOTAL(103,Septembre[15])</f>
        <v>0</v>
      </c>
      <c r="R14" s="23">
        <f>SUBTOTAL(103,Septembre[16])</f>
        <v>0</v>
      </c>
      <c r="S14" s="23">
        <f>SUBTOTAL(103,Septembre[17])</f>
        <v>0</v>
      </c>
      <c r="T14" s="23">
        <f>SUBTOTAL(103,Septembre[18])</f>
        <v>0</v>
      </c>
      <c r="U14" s="23">
        <f>SUBTOTAL(103,Septembre[19])</f>
        <v>0</v>
      </c>
      <c r="V14" s="23">
        <f>SUBTOTAL(103,Septembre[20])</f>
        <v>0</v>
      </c>
      <c r="W14" s="23">
        <f>SUBTOTAL(103,Septembre[21])</f>
        <v>0</v>
      </c>
      <c r="X14" s="23">
        <f>SUBTOTAL(103,Septembre[22])</f>
        <v>0</v>
      </c>
      <c r="Y14" s="23">
        <f>SUBTOTAL(103,Septembre[23])</f>
        <v>0</v>
      </c>
      <c r="Z14" s="23">
        <f>SUBTOTAL(103,Septembre[24])</f>
        <v>0</v>
      </c>
      <c r="AA14" s="23">
        <f>SUBTOTAL(103,Septembre[25])</f>
        <v>0</v>
      </c>
      <c r="AB14" s="23">
        <f>SUBTOTAL(103,Septembre[26])</f>
        <v>0</v>
      </c>
      <c r="AC14" s="23">
        <f>SUBTOTAL(103,Septembre[27])</f>
        <v>0</v>
      </c>
      <c r="AD14" s="23">
        <f>SUBTOTAL(103,Septembre[28])</f>
        <v>0</v>
      </c>
      <c r="AE14" s="23">
        <f>SUBTOTAL(103,Septembre[29])</f>
        <v>0</v>
      </c>
      <c r="AF14" s="23">
        <f>SUBTOTAL(103,Septembre[30])</f>
        <v>0</v>
      </c>
      <c r="AG14" s="23">
        <f>SUBTOTAL(109,Septembre[31])</f>
        <v>0</v>
      </c>
      <c r="AH14" s="23">
        <f>SUBTOTAL(109,Septembre[Total des jours])</f>
        <v>0</v>
      </c>
    </row>
  </sheetData>
  <mergeCells count="6">
    <mergeCell ref="C6:AG6"/>
    <mergeCell ref="D4:E4"/>
    <mergeCell ref="G4:I4"/>
    <mergeCell ref="K4:L4"/>
    <mergeCell ref="N4:Q4"/>
    <mergeCell ref="S4:V4"/>
  </mergeCells>
  <conditionalFormatting sqref="C9:AG13">
    <cfRule type="expression" priority="1" stopIfTrue="1">
      <formula>C9=""</formula>
    </cfRule>
  </conditionalFormatting>
  <conditionalFormatting sqref="C9:AG13">
    <cfRule type="expression" dxfId="328" priority="2" stopIfTrue="1">
      <formula>C9=CléPersonnalisée2</formula>
    </cfRule>
    <cfRule type="expression" dxfId="327" priority="3" stopIfTrue="1">
      <formula>C9=CléPersonnalisée1</formula>
    </cfRule>
    <cfRule type="expression" dxfId="326" priority="4" stopIfTrue="1">
      <formula>C9=CléMaladie</formula>
    </cfRule>
    <cfRule type="expression" dxfId="325" priority="5" stopIfTrue="1">
      <formula>C9=CléPersonnel</formula>
    </cfRule>
    <cfRule type="expression" dxfId="324"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Entrez une étiquette pour décrire la clé personnalisée à gauche" sqref="N4 S4"/>
    <dataValidation allowBlank="1" showInputMessage="1" showErrorMessage="1" prompt="Entrez une lettre et personnalisez l’étiquette à droite pour ajouter un élément de clé" sqref="M4 R4"/>
    <dataValidation allowBlank="1" showInputMessage="1" showErrorMessage="1" prompt="La lettre « M » indique une absence pour cause de maladie" sqref="J4"/>
    <dataValidation allowBlank="1" showInputMessage="1" showErrorMessage="1" prompt="La lettre « P » indique une absence pour motifs personnels" sqref="F4"/>
    <dataValidation allowBlank="1" showInputMessage="1" showErrorMessage="1" prompt="La lettre « C » indique une absence pour cause de congé" sqref="C4"/>
    <dataValidation allowBlank="1" showInputMessage="1" showErrorMessage="1" prompt="Le titre mis à jour automatiquement figure dans cette cellule. Pour modifier le titre, mettez à jour la cellule B1 de la feuille de calcul Janvier" sqref="B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Suivez les absences du mois de septembre dans cette feuille de calcul" sqref="A3"/>
    <dataValidation allowBlank="1" showInputMessage="1" showErrorMessage="1" prompt="Calcule automatiquement le nombre total de jours d’absence d’un employé durant ce mois dans cette colonne" sqref="AH8"/>
    <dataValidation allowBlank="1" showInputMessage="1" showErrorMessage="1" prompt="Année mise à jour automatiquement en fonction de l’année entrée dans la feuille de calcul Janvier" sqref="AH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s>
  <printOptions horizontalCentered="1"/>
  <pageMargins left="0.23622047244094491" right="0.23622047244094491" top="0.3" bottom="0.74803149606299213" header="0.15748031496062992" footer="0.31496062992125984"/>
  <pageSetup paperSize="9" scale="75" fitToHeight="0" orientation="landscape" r:id="rId1"/>
  <headerFooter differentFirst="1">
    <oddHeader xml:space="preserve">&amp;LIN CONCEPT
</oddHeader>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4"/>
  <sheetViews>
    <sheetView showGridLines="0" zoomScaleNormal="100" workbookViewId="0">
      <selection activeCell="C9" sqref="C9:AG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36.75" customHeight="1" x14ac:dyDescent="0.25"/>
    <row r="3" spans="2:34" ht="50.1" customHeight="1" x14ac:dyDescent="0.25">
      <c r="B3" s="12" t="str">
        <f>Titre_Absence_Employé</f>
        <v>Calendrier des absences des employés</v>
      </c>
    </row>
    <row r="4" spans="2:34" ht="15" customHeight="1" x14ac:dyDescent="0.25">
      <c r="B4" s="17" t="s">
        <v>1</v>
      </c>
      <c r="C4" s="4" t="s">
        <v>4</v>
      </c>
      <c r="D4" s="41" t="s">
        <v>7</v>
      </c>
      <c r="E4" s="41"/>
      <c r="F4" s="5" t="s">
        <v>10</v>
      </c>
      <c r="G4" s="41" t="s">
        <v>14</v>
      </c>
      <c r="H4" s="41"/>
      <c r="I4" s="41"/>
      <c r="J4" s="6" t="s">
        <v>12</v>
      </c>
      <c r="K4" s="41" t="s">
        <v>19</v>
      </c>
      <c r="L4" s="41"/>
      <c r="M4" s="7"/>
      <c r="N4" s="41" t="s">
        <v>23</v>
      </c>
      <c r="O4" s="41"/>
      <c r="P4" s="41"/>
      <c r="Q4" s="41"/>
      <c r="R4" s="8"/>
      <c r="S4" s="42"/>
      <c r="T4" s="41"/>
      <c r="U4" s="41"/>
      <c r="V4" s="41"/>
    </row>
    <row r="5" spans="2:34" ht="15" customHeight="1" x14ac:dyDescent="0.25">
      <c r="B5" s="12"/>
    </row>
    <row r="6" spans="2:34" ht="30" customHeight="1" x14ac:dyDescent="0.25">
      <c r="B6" s="11" t="s">
        <v>56</v>
      </c>
      <c r="C6" s="40" t="s">
        <v>5</v>
      </c>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11">
        <f>AnnéeCalendrier</f>
        <v>2022</v>
      </c>
    </row>
    <row r="7" spans="2:34" ht="15" customHeight="1" x14ac:dyDescent="0.25">
      <c r="B7" s="11"/>
      <c r="C7" s="2" t="str">
        <f>TEXT(WEEKDAY(DATE(AnnéeCalendrier,10,1),1),"jjj")</f>
        <v>sam</v>
      </c>
      <c r="D7" s="2" t="str">
        <f>TEXT(WEEKDAY(DATE(AnnéeCalendrier,10,2),1),"jjj")</f>
        <v>dim</v>
      </c>
      <c r="E7" s="2" t="str">
        <f>TEXT(WEEKDAY(DATE(AnnéeCalendrier,10,3),1),"jjj")</f>
        <v>lun</v>
      </c>
      <c r="F7" s="2" t="str">
        <f>TEXT(WEEKDAY(DATE(AnnéeCalendrier,10,4),1),"jjj")</f>
        <v>mar</v>
      </c>
      <c r="G7" s="2" t="str">
        <f>TEXT(WEEKDAY(DATE(AnnéeCalendrier,10,5),1),"jjj")</f>
        <v>mer</v>
      </c>
      <c r="H7" s="2" t="str">
        <f>TEXT(WEEKDAY(DATE(AnnéeCalendrier,10,6),1),"jjj")</f>
        <v>jeu</v>
      </c>
      <c r="I7" s="2" t="str">
        <f>TEXT(WEEKDAY(DATE(AnnéeCalendrier,10,7),1),"jjj")</f>
        <v>ven</v>
      </c>
      <c r="J7" s="2" t="str">
        <f>TEXT(WEEKDAY(DATE(AnnéeCalendrier,10,8),1),"jjj")</f>
        <v>sam</v>
      </c>
      <c r="K7" s="2" t="str">
        <f>TEXT(WEEKDAY(DATE(AnnéeCalendrier,10,9),1),"jjj")</f>
        <v>dim</v>
      </c>
      <c r="L7" s="2" t="str">
        <f>TEXT(WEEKDAY(DATE(AnnéeCalendrier,10,10),1),"jjj")</f>
        <v>lun</v>
      </c>
      <c r="M7" s="2" t="str">
        <f>TEXT(WEEKDAY(DATE(AnnéeCalendrier,10,11),1),"jjj")</f>
        <v>mar</v>
      </c>
      <c r="N7" s="2" t="str">
        <f>TEXT(WEEKDAY(DATE(AnnéeCalendrier,10,12),1),"jjj")</f>
        <v>mer</v>
      </c>
      <c r="O7" s="2" t="str">
        <f>TEXT(WEEKDAY(DATE(AnnéeCalendrier,10,13),1),"jjj")</f>
        <v>jeu</v>
      </c>
      <c r="P7" s="2" t="str">
        <f>TEXT(WEEKDAY(DATE(AnnéeCalendrier,10,14),1),"jjj")</f>
        <v>ven</v>
      </c>
      <c r="Q7" s="2" t="str">
        <f>TEXT(WEEKDAY(DATE(AnnéeCalendrier,10,15),1),"jjj")</f>
        <v>sam</v>
      </c>
      <c r="R7" s="2" t="str">
        <f>TEXT(WEEKDAY(DATE(AnnéeCalendrier,10,16),1),"jjj")</f>
        <v>dim</v>
      </c>
      <c r="S7" s="2" t="str">
        <f>TEXT(WEEKDAY(DATE(AnnéeCalendrier,10,17),1),"jjj")</f>
        <v>lun</v>
      </c>
      <c r="T7" s="2" t="str">
        <f>TEXT(WEEKDAY(DATE(AnnéeCalendrier,10,18),1),"jjj")</f>
        <v>mar</v>
      </c>
      <c r="U7" s="2" t="str">
        <f>TEXT(WEEKDAY(DATE(AnnéeCalendrier,10,19),1),"jjj")</f>
        <v>mer</v>
      </c>
      <c r="V7" s="2" t="str">
        <f>TEXT(WEEKDAY(DATE(AnnéeCalendrier,10,20),1),"jjj")</f>
        <v>jeu</v>
      </c>
      <c r="W7" s="2" t="str">
        <f>TEXT(WEEKDAY(DATE(AnnéeCalendrier,10,21),1),"jjj")</f>
        <v>ven</v>
      </c>
      <c r="X7" s="2" t="str">
        <f>TEXT(WEEKDAY(DATE(AnnéeCalendrier,10,22),1),"jjj")</f>
        <v>sam</v>
      </c>
      <c r="Y7" s="2" t="str">
        <f>TEXT(WEEKDAY(DATE(AnnéeCalendrier,10,23),1),"jjj")</f>
        <v>dim</v>
      </c>
      <c r="Z7" s="2" t="str">
        <f>TEXT(WEEKDAY(DATE(AnnéeCalendrier,10,24),1),"jjj")</f>
        <v>lun</v>
      </c>
      <c r="AA7" s="2" t="str">
        <f>TEXT(WEEKDAY(DATE(AnnéeCalendrier,10,25),1),"jjj")</f>
        <v>mar</v>
      </c>
      <c r="AB7" s="2" t="str">
        <f>TEXT(WEEKDAY(DATE(AnnéeCalendrier,10,26),1),"jjj")</f>
        <v>mer</v>
      </c>
      <c r="AC7" s="2" t="str">
        <f>TEXT(WEEKDAY(DATE(AnnéeCalendrier,10,27),1),"jjj")</f>
        <v>jeu</v>
      </c>
      <c r="AD7" s="2" t="str">
        <f>TEXT(WEEKDAY(DATE(AnnéeCalendrier,10,28),1),"jjj")</f>
        <v>ven</v>
      </c>
      <c r="AE7" s="2" t="str">
        <f>TEXT(WEEKDAY(DATE(AnnéeCalendrier,10,29),1),"jjj")</f>
        <v>sam</v>
      </c>
      <c r="AF7" s="2" t="str">
        <f>TEXT(WEEKDAY(DATE(AnnéeCalendrier,10,30),1),"jjj")</f>
        <v>dim</v>
      </c>
      <c r="AG7" s="2" t="str">
        <f>TEXT(WEEKDAY(DATE(AnnéeCalendrier,10,31),1),"jjj")</f>
        <v>lun</v>
      </c>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37"/>
      <c r="D9" s="37"/>
      <c r="E9" s="37"/>
      <c r="F9" s="37"/>
      <c r="G9" s="37"/>
      <c r="H9" s="37"/>
      <c r="I9" s="37"/>
      <c r="J9" s="37"/>
      <c r="K9" s="37"/>
      <c r="L9" s="37"/>
      <c r="M9" s="37"/>
      <c r="N9" s="37"/>
      <c r="O9" s="37"/>
      <c r="P9" s="37"/>
      <c r="Q9" s="37"/>
      <c r="R9" s="37"/>
      <c r="S9" s="37"/>
      <c r="T9" s="37"/>
      <c r="U9" s="37"/>
      <c r="V9" s="37"/>
      <c r="W9" s="37"/>
      <c r="X9" s="37"/>
      <c r="Y9" s="37"/>
      <c r="Z9" s="37"/>
      <c r="AA9" s="37"/>
      <c r="AB9" s="37"/>
      <c r="AC9" s="37"/>
      <c r="AD9" s="37"/>
      <c r="AE9" s="37"/>
      <c r="AF9" s="37"/>
      <c r="AG9" s="37"/>
      <c r="AH9" s="9">
        <f>COUNTA(Octobre[[#This Row],[1]:[31]])</f>
        <v>0</v>
      </c>
    </row>
    <row r="10" spans="2:34" ht="30" customHeight="1" x14ac:dyDescent="0.25">
      <c r="B10" s="15" t="str">
        <f>'Noms des employés'!B5</f>
        <v xml:space="preserve">2 - Laïla </v>
      </c>
      <c r="C10" s="3"/>
      <c r="D10" s="29"/>
      <c r="E10" s="3"/>
      <c r="F10" s="3"/>
      <c r="G10" s="3"/>
      <c r="H10" s="3"/>
      <c r="I10" s="3"/>
      <c r="J10" s="3"/>
      <c r="K10" s="29"/>
      <c r="L10" s="3"/>
      <c r="M10" s="3"/>
      <c r="N10" s="3"/>
      <c r="O10" s="3"/>
      <c r="P10" s="3"/>
      <c r="Q10" s="3"/>
      <c r="R10" s="29"/>
      <c r="S10" s="3"/>
      <c r="T10" s="3"/>
      <c r="U10" s="3"/>
      <c r="V10" s="3"/>
      <c r="W10" s="3"/>
      <c r="X10" s="3"/>
      <c r="Y10" s="29"/>
      <c r="Z10" s="3"/>
      <c r="AA10" s="3"/>
      <c r="AB10" s="3"/>
      <c r="AC10" s="3"/>
      <c r="AD10" s="3"/>
      <c r="AE10" s="3"/>
      <c r="AF10" s="29"/>
      <c r="AG10" s="3"/>
      <c r="AH10" s="9">
        <f>COUNTA(Octobre[[#This Row],[1]:[31]])</f>
        <v>0</v>
      </c>
    </row>
    <row r="11" spans="2:34" ht="30" customHeight="1" x14ac:dyDescent="0.25">
      <c r="B11" s="15" t="str">
        <f>'Noms des employés'!B6</f>
        <v>3 - Jean-Claude</v>
      </c>
      <c r="C11" s="3"/>
      <c r="D11" s="29"/>
      <c r="E11" s="3"/>
      <c r="F11" s="3"/>
      <c r="G11" s="3"/>
      <c r="H11" s="3"/>
      <c r="I11" s="3"/>
      <c r="J11" s="3"/>
      <c r="K11" s="29"/>
      <c r="L11" s="3"/>
      <c r="M11" s="3"/>
      <c r="N11" s="3"/>
      <c r="O11" s="3"/>
      <c r="P11" s="3"/>
      <c r="Q11" s="3"/>
      <c r="R11" s="29"/>
      <c r="S11" s="3"/>
      <c r="T11" s="3"/>
      <c r="U11" s="3"/>
      <c r="V11" s="3"/>
      <c r="W11" s="3"/>
      <c r="X11" s="3"/>
      <c r="Y11" s="29"/>
      <c r="Z11" s="3"/>
      <c r="AA11" s="3"/>
      <c r="AB11" s="3"/>
      <c r="AC11" s="3"/>
      <c r="AD11" s="3"/>
      <c r="AE11" s="3"/>
      <c r="AF11" s="29"/>
      <c r="AG11" s="3"/>
      <c r="AH11" s="9">
        <f>COUNTA(Octobre[[#This Row],[1]:[31]])</f>
        <v>0</v>
      </c>
    </row>
    <row r="12" spans="2:34" ht="30" hidden="1" customHeight="1" x14ac:dyDescent="0.25">
      <c r="B12" s="15">
        <f>'Noms des employés'!B7</f>
        <v>0</v>
      </c>
      <c r="C12" s="3"/>
      <c r="D12" s="3"/>
      <c r="E12" s="3"/>
      <c r="F12" s="3"/>
      <c r="G12" s="3"/>
      <c r="H12" s="25"/>
      <c r="I12" s="3"/>
      <c r="J12" s="3"/>
      <c r="K12" s="3"/>
      <c r="L12" s="3"/>
      <c r="M12" s="3"/>
      <c r="N12" s="3"/>
      <c r="O12" s="25"/>
      <c r="P12" s="3"/>
      <c r="Q12" s="3"/>
      <c r="R12" s="3"/>
      <c r="S12" s="3"/>
      <c r="T12" s="3"/>
      <c r="U12" s="3"/>
      <c r="V12" s="25"/>
      <c r="W12" s="3"/>
      <c r="X12" s="3"/>
      <c r="Y12" s="3"/>
      <c r="Z12" s="3"/>
      <c r="AA12" s="3"/>
      <c r="AB12" s="3"/>
      <c r="AC12" s="25"/>
      <c r="AD12" s="3"/>
      <c r="AE12" s="3"/>
      <c r="AF12" s="3"/>
      <c r="AG12" s="3"/>
      <c r="AH12" s="9">
        <f>COUNTA(Octobre[[#This Row],[1]:[31]])</f>
        <v>0</v>
      </c>
    </row>
    <row r="13" spans="2:34" ht="30" hidden="1" customHeight="1" x14ac:dyDescent="0.25">
      <c r="B13" s="15">
        <f>'Noms des employés'!B8</f>
        <v>0</v>
      </c>
      <c r="C13" s="3"/>
      <c r="D13" s="3"/>
      <c r="E13" s="3"/>
      <c r="F13" s="3"/>
      <c r="G13" s="3"/>
      <c r="H13" s="25"/>
      <c r="I13" s="3"/>
      <c r="J13" s="3"/>
      <c r="K13" s="3"/>
      <c r="L13" s="3"/>
      <c r="M13" s="3"/>
      <c r="N13" s="3"/>
      <c r="O13" s="25"/>
      <c r="P13" s="3"/>
      <c r="Q13" s="3"/>
      <c r="R13" s="3"/>
      <c r="S13" s="3"/>
      <c r="T13" s="3"/>
      <c r="U13" s="3"/>
      <c r="V13" s="25"/>
      <c r="W13" s="3"/>
      <c r="X13" s="3"/>
      <c r="Y13" s="3"/>
      <c r="Z13" s="3"/>
      <c r="AA13" s="3"/>
      <c r="AB13" s="3"/>
      <c r="AC13" s="25"/>
      <c r="AD13" s="3"/>
      <c r="AE13" s="3"/>
      <c r="AF13" s="3"/>
      <c r="AG13" s="3"/>
      <c r="AH13" s="9">
        <f>COUNTA(Octobre[[#This Row],[1]:[31]])</f>
        <v>0</v>
      </c>
    </row>
    <row r="14" spans="2:34" ht="30" customHeight="1" x14ac:dyDescent="0.25">
      <c r="B14" s="22" t="str">
        <f>NomMois&amp;" Total"</f>
        <v>Octobre Total</v>
      </c>
      <c r="C14" s="23">
        <f>SUBTOTAL(103,Octobre[1])</f>
        <v>0</v>
      </c>
      <c r="D14" s="23">
        <f>SUBTOTAL(103,Octobre[2])</f>
        <v>0</v>
      </c>
      <c r="E14" s="23">
        <f>SUBTOTAL(103,Octobre[3])</f>
        <v>0</v>
      </c>
      <c r="F14" s="23">
        <f>SUBTOTAL(103,Octobre[4])</f>
        <v>0</v>
      </c>
      <c r="G14" s="23">
        <f>SUBTOTAL(103,Octobre[5])</f>
        <v>0</v>
      </c>
      <c r="H14" s="23">
        <f>SUBTOTAL(103,Octobre[6])</f>
        <v>0</v>
      </c>
      <c r="I14" s="23">
        <f>SUBTOTAL(103,Octobre[7])</f>
        <v>0</v>
      </c>
      <c r="J14" s="23">
        <f>SUBTOTAL(103,Octobre[8])</f>
        <v>0</v>
      </c>
      <c r="K14" s="23">
        <f>SUBTOTAL(103,Octobre[9])</f>
        <v>0</v>
      </c>
      <c r="L14" s="23">
        <f>SUBTOTAL(103,Octobre[10])</f>
        <v>0</v>
      </c>
      <c r="M14" s="23">
        <f>SUBTOTAL(103,Octobre[11])</f>
        <v>0</v>
      </c>
      <c r="N14" s="23">
        <f>SUBTOTAL(103,Octobre[12])</f>
        <v>0</v>
      </c>
      <c r="O14" s="23">
        <f>SUBTOTAL(103,Octobre[13])</f>
        <v>0</v>
      </c>
      <c r="P14" s="23">
        <f>SUBTOTAL(103,Octobre[14])</f>
        <v>0</v>
      </c>
      <c r="Q14" s="23">
        <f>SUBTOTAL(103,Octobre[15])</f>
        <v>0</v>
      </c>
      <c r="R14" s="23">
        <f>SUBTOTAL(103,Octobre[16])</f>
        <v>0</v>
      </c>
      <c r="S14" s="23">
        <f>SUBTOTAL(103,Octobre[17])</f>
        <v>0</v>
      </c>
      <c r="T14" s="23">
        <f>SUBTOTAL(103,Octobre[18])</f>
        <v>0</v>
      </c>
      <c r="U14" s="23">
        <f>SUBTOTAL(103,Octobre[19])</f>
        <v>0</v>
      </c>
      <c r="V14" s="23">
        <f>SUBTOTAL(103,Octobre[20])</f>
        <v>0</v>
      </c>
      <c r="W14" s="23">
        <f>SUBTOTAL(103,Octobre[21])</f>
        <v>0</v>
      </c>
      <c r="X14" s="23">
        <f>SUBTOTAL(103,Octobre[22])</f>
        <v>0</v>
      </c>
      <c r="Y14" s="23">
        <f>SUBTOTAL(103,Octobre[23])</f>
        <v>0</v>
      </c>
      <c r="Z14" s="23">
        <f>SUBTOTAL(103,Octobre[24])</f>
        <v>0</v>
      </c>
      <c r="AA14" s="23">
        <f>SUBTOTAL(103,Octobre[25])</f>
        <v>0</v>
      </c>
      <c r="AB14" s="23">
        <f>SUBTOTAL(103,Octobre[26])</f>
        <v>0</v>
      </c>
      <c r="AC14" s="23">
        <f>SUBTOTAL(103,Octobre[27])</f>
        <v>0</v>
      </c>
      <c r="AD14" s="23">
        <f>SUBTOTAL(103,Octobre[28])</f>
        <v>0</v>
      </c>
      <c r="AE14" s="23">
        <f>SUBTOTAL(103,Octobre[29])</f>
        <v>0</v>
      </c>
      <c r="AF14" s="23">
        <f>SUBTOTAL(109,Octobre[30])</f>
        <v>0</v>
      </c>
      <c r="AG14" s="23">
        <f>SUBTOTAL(109,Octobre[31])</f>
        <v>0</v>
      </c>
      <c r="AH14" s="23">
        <f>SUBTOTAL(109,Octobre[Total des jours])</f>
        <v>0</v>
      </c>
    </row>
  </sheetData>
  <mergeCells count="6">
    <mergeCell ref="C6:AG6"/>
    <mergeCell ref="D4:E4"/>
    <mergeCell ref="G4:I4"/>
    <mergeCell ref="K4:L4"/>
    <mergeCell ref="N4:Q4"/>
    <mergeCell ref="S4:V4"/>
  </mergeCells>
  <conditionalFormatting sqref="C9:AG13">
    <cfRule type="expression" priority="1" stopIfTrue="1">
      <formula>C9=""</formula>
    </cfRule>
  </conditionalFormatting>
  <conditionalFormatting sqref="C9:AG13">
    <cfRule type="expression" dxfId="254" priority="2" stopIfTrue="1">
      <formula>C9=CléPersonnalisée2</formula>
    </cfRule>
    <cfRule type="expression" dxfId="253" priority="3" stopIfTrue="1">
      <formula>C9=CléPersonnalisée1</formula>
    </cfRule>
    <cfRule type="expression" dxfId="252" priority="4" stopIfTrue="1">
      <formula>C9=CléMaladie</formula>
    </cfRule>
    <cfRule type="expression" dxfId="251" priority="5" stopIfTrue="1">
      <formula>C9=CléPersonnel</formula>
    </cfRule>
    <cfRule type="expression" dxfId="250"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 allowBlank="1" showInputMessage="1" showErrorMessage="1" prompt="Année mise à jour automatiquement en fonction de l’année entrée dans la feuille de calcul Janvier" sqref="AH6"/>
    <dataValidation allowBlank="1" showInputMessage="1" showErrorMessage="1" prompt="Calcule automatiquement le nombre total de jours d’absence d’un employé durant ce mois dans cette colonne" sqref="AH8"/>
    <dataValidation allowBlank="1" showInputMessage="1" showErrorMessage="1" prompt="Suivez les absences du mois d’octobre dans cette feuille de calcul" sqref="A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Le titre mis à jour automatiquement figure dans cette cellule. Pour modifier le titre, mettez à jour la cellule B1 de la feuille de calcul Janvier" sqref="B3"/>
    <dataValidation allowBlank="1" showInputMessage="1" showErrorMessage="1" prompt="La lettre « C » indique une absence pour cause de congé" sqref="C4"/>
    <dataValidation allowBlank="1" showInputMessage="1" showErrorMessage="1" prompt="La lettre « P » indique une absence pour motifs personnels" sqref="F4"/>
    <dataValidation allowBlank="1" showInputMessage="1" showErrorMessage="1" prompt="La lettre « M » indique une absence pour cause de maladie" sqref="J4"/>
    <dataValidation allowBlank="1" showInputMessage="1" showErrorMessage="1" prompt="Entrez une lettre et personnalisez l’étiquette à droite pour ajouter un élément de clé" sqref="M4 R4"/>
    <dataValidation allowBlank="1" showInputMessage="1" showErrorMessage="1" prompt="Entrez une étiquette pour décrire la clé personnalisée à gauche" sqref="N4 S4"/>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4"/>
  <sheetViews>
    <sheetView showGridLines="0" zoomScaleNormal="100" workbookViewId="0">
      <selection activeCell="D9" sqref="D9:AG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49.5" customHeight="1" x14ac:dyDescent="0.25"/>
    <row r="2" spans="2:34" ht="64.5" customHeight="1" x14ac:dyDescent="0.25"/>
    <row r="3" spans="2:34" ht="50.1" customHeight="1" x14ac:dyDescent="0.25">
      <c r="B3" s="12" t="str">
        <f>Titre_Absence_Employé</f>
        <v>Calendrier des absences des employés</v>
      </c>
    </row>
    <row r="4" spans="2:34" ht="15" customHeight="1" x14ac:dyDescent="0.25">
      <c r="B4" s="17" t="s">
        <v>1</v>
      </c>
      <c r="C4" s="4" t="s">
        <v>4</v>
      </c>
      <c r="D4" s="41" t="s">
        <v>7</v>
      </c>
      <c r="E4" s="41"/>
      <c r="F4" s="5" t="s">
        <v>10</v>
      </c>
      <c r="G4" s="41" t="s">
        <v>14</v>
      </c>
      <c r="H4" s="41"/>
      <c r="I4" s="41"/>
      <c r="J4" s="6" t="s">
        <v>12</v>
      </c>
      <c r="K4" s="41" t="s">
        <v>19</v>
      </c>
      <c r="L4" s="41"/>
      <c r="M4" s="7" t="s">
        <v>64</v>
      </c>
      <c r="N4" s="42" t="s">
        <v>63</v>
      </c>
      <c r="O4" s="41"/>
      <c r="P4" s="41"/>
      <c r="Q4" s="41"/>
      <c r="R4" s="27"/>
      <c r="S4" s="42" t="s">
        <v>60</v>
      </c>
      <c r="T4" s="41"/>
      <c r="U4" s="41"/>
      <c r="V4" s="41"/>
    </row>
    <row r="5" spans="2:34" ht="15" customHeight="1" x14ac:dyDescent="0.25">
      <c r="B5" s="12"/>
    </row>
    <row r="6" spans="2:34" ht="30" customHeight="1" x14ac:dyDescent="0.25">
      <c r="B6" s="11" t="s">
        <v>57</v>
      </c>
      <c r="C6" s="40" t="s">
        <v>5</v>
      </c>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11">
        <f>AnnéeCalendrier</f>
        <v>2022</v>
      </c>
    </row>
    <row r="7" spans="2:34" ht="15" customHeight="1" x14ac:dyDescent="0.25">
      <c r="B7" s="11"/>
      <c r="C7" s="2" t="str">
        <f>TEXT(WEEKDAY(DATE(AnnéeCalendrier,11,1),1),"jjj")</f>
        <v>mar</v>
      </c>
      <c r="D7" s="2" t="str">
        <f>TEXT(WEEKDAY(DATE(AnnéeCalendrier,11,2),1),"jjj")</f>
        <v>mer</v>
      </c>
      <c r="E7" s="2" t="str">
        <f>TEXT(WEEKDAY(DATE(AnnéeCalendrier,11,3),1),"jjj")</f>
        <v>jeu</v>
      </c>
      <c r="F7" s="2" t="str">
        <f>TEXT(WEEKDAY(DATE(AnnéeCalendrier,11,4),1),"jjj")</f>
        <v>ven</v>
      </c>
      <c r="G7" s="2" t="str">
        <f>TEXT(WEEKDAY(DATE(AnnéeCalendrier,11,5),1),"jjj")</f>
        <v>sam</v>
      </c>
      <c r="H7" s="2" t="str">
        <f>TEXT(WEEKDAY(DATE(AnnéeCalendrier,11,6),1),"jjj")</f>
        <v>dim</v>
      </c>
      <c r="I7" s="2" t="str">
        <f>TEXT(WEEKDAY(DATE(AnnéeCalendrier,11,7),1),"jjj")</f>
        <v>lun</v>
      </c>
      <c r="J7" s="2" t="str">
        <f>TEXT(WEEKDAY(DATE(AnnéeCalendrier,11,8),1),"jjj")</f>
        <v>mar</v>
      </c>
      <c r="K7" s="2" t="str">
        <f>TEXT(WEEKDAY(DATE(AnnéeCalendrier,11,9),1),"jjj")</f>
        <v>mer</v>
      </c>
      <c r="L7" s="2" t="str">
        <f>TEXT(WEEKDAY(DATE(AnnéeCalendrier,11,10),1),"jjj")</f>
        <v>jeu</v>
      </c>
      <c r="M7" s="2" t="str">
        <f>TEXT(WEEKDAY(DATE(AnnéeCalendrier,11,11),1),"jjj")</f>
        <v>ven</v>
      </c>
      <c r="N7" s="2" t="str">
        <f>TEXT(WEEKDAY(DATE(AnnéeCalendrier,11,12),1),"jjj")</f>
        <v>sam</v>
      </c>
      <c r="O7" s="2" t="str">
        <f>TEXT(WEEKDAY(DATE(AnnéeCalendrier,11,13),1),"jjj")</f>
        <v>dim</v>
      </c>
      <c r="P7" s="2" t="str">
        <f>TEXT(WEEKDAY(DATE(AnnéeCalendrier,11,14),1),"jjj")</f>
        <v>lun</v>
      </c>
      <c r="Q7" s="2" t="str">
        <f>TEXT(WEEKDAY(DATE(AnnéeCalendrier,11,15),1),"jjj")</f>
        <v>mar</v>
      </c>
      <c r="R7" s="2" t="str">
        <f>TEXT(WEEKDAY(DATE(AnnéeCalendrier,11,16),1),"jjj")</f>
        <v>mer</v>
      </c>
      <c r="S7" s="2" t="str">
        <f>TEXT(WEEKDAY(DATE(AnnéeCalendrier,11,17),1),"jjj")</f>
        <v>jeu</v>
      </c>
      <c r="T7" s="2" t="str">
        <f>TEXT(WEEKDAY(DATE(AnnéeCalendrier,11,18),1),"jjj")</f>
        <v>ven</v>
      </c>
      <c r="U7" s="2" t="str">
        <f>TEXT(WEEKDAY(DATE(AnnéeCalendrier,11,19),1),"jjj")</f>
        <v>sam</v>
      </c>
      <c r="V7" s="2" t="str">
        <f>TEXT(WEEKDAY(DATE(AnnéeCalendrier,11,20),1),"jjj")</f>
        <v>dim</v>
      </c>
      <c r="W7" s="2" t="str">
        <f>TEXT(WEEKDAY(DATE(AnnéeCalendrier,11,21),1),"jjj")</f>
        <v>lun</v>
      </c>
      <c r="X7" s="2" t="str">
        <f>TEXT(WEEKDAY(DATE(AnnéeCalendrier,11,22),1),"jjj")</f>
        <v>mar</v>
      </c>
      <c r="Y7" s="2" t="str">
        <f>TEXT(WEEKDAY(DATE(AnnéeCalendrier,11,23),1),"jjj")</f>
        <v>mer</v>
      </c>
      <c r="Z7" s="2" t="str">
        <f>TEXT(WEEKDAY(DATE(AnnéeCalendrier,11,24),1),"jjj")</f>
        <v>jeu</v>
      </c>
      <c r="AA7" s="2" t="str">
        <f>TEXT(WEEKDAY(DATE(AnnéeCalendrier,11,25),1),"jjj")</f>
        <v>ven</v>
      </c>
      <c r="AB7" s="2" t="str">
        <f>TEXT(WEEKDAY(DATE(AnnéeCalendrier,11,26),1),"jjj")</f>
        <v>sam</v>
      </c>
      <c r="AC7" s="2" t="str">
        <f>TEXT(WEEKDAY(DATE(AnnéeCalendrier,11,27),1),"jjj")</f>
        <v>dim</v>
      </c>
      <c r="AD7" s="2" t="str">
        <f>TEXT(WEEKDAY(DATE(AnnéeCalendrier,11,28),1),"jjj")</f>
        <v>lun</v>
      </c>
      <c r="AE7" s="2" t="str">
        <f>TEXT(WEEKDAY(DATE(AnnéeCalendrier,11,29),1),"jjj")</f>
        <v>mar</v>
      </c>
      <c r="AF7" s="2" t="str">
        <f>TEXT(WEEKDAY(DATE(AnnéeCalendrier,11,30),1),"jjj")</f>
        <v>mer</v>
      </c>
      <c r="AG7" s="2"/>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27"/>
      <c r="D9" s="37"/>
      <c r="E9" s="37"/>
      <c r="F9" s="37"/>
      <c r="G9" s="37"/>
      <c r="H9" s="37"/>
      <c r="I9" s="37"/>
      <c r="J9" s="37"/>
      <c r="K9" s="37"/>
      <c r="L9" s="37"/>
      <c r="M9" s="39"/>
      <c r="N9" s="37"/>
      <c r="O9" s="37"/>
      <c r="P9" s="37"/>
      <c r="Q9" s="37"/>
      <c r="R9" s="37"/>
      <c r="S9" s="37"/>
      <c r="T9" s="37"/>
      <c r="U9" s="37"/>
      <c r="V9" s="37"/>
      <c r="W9" s="37"/>
      <c r="X9" s="37"/>
      <c r="Y9" s="37"/>
      <c r="Z9" s="37"/>
      <c r="AA9" s="37"/>
      <c r="AB9" s="37"/>
      <c r="AC9" s="37"/>
      <c r="AD9" s="37"/>
      <c r="AE9" s="37"/>
      <c r="AF9" s="37"/>
      <c r="AG9" s="37"/>
      <c r="AH9" s="9">
        <f>COUNTA(Novembre[[#This Row],[1]:[31]])</f>
        <v>0</v>
      </c>
    </row>
    <row r="10" spans="2:34" ht="30" customHeight="1" x14ac:dyDescent="0.25">
      <c r="B10" s="15" t="str">
        <f>'Noms des employés'!B5</f>
        <v xml:space="preserve">2 - Laïla </v>
      </c>
      <c r="C10" s="27"/>
      <c r="D10" s="3"/>
      <c r="E10" s="3"/>
      <c r="F10" s="3"/>
      <c r="G10" s="3"/>
      <c r="H10" s="29"/>
      <c r="I10" s="3"/>
      <c r="J10" s="3"/>
      <c r="K10" s="3"/>
      <c r="L10" s="3"/>
      <c r="M10" s="27"/>
      <c r="N10" s="3"/>
      <c r="O10" s="29"/>
      <c r="P10" s="3"/>
      <c r="Q10" s="3"/>
      <c r="R10" s="3"/>
      <c r="S10" s="3"/>
      <c r="T10" s="3"/>
      <c r="U10" s="3"/>
      <c r="V10" s="29"/>
      <c r="W10" s="3"/>
      <c r="X10" s="3"/>
      <c r="Y10" s="3"/>
      <c r="Z10" s="3"/>
      <c r="AA10" s="3"/>
      <c r="AB10" s="3"/>
      <c r="AC10" s="29"/>
      <c r="AD10" s="3"/>
      <c r="AE10" s="3"/>
      <c r="AF10" s="3"/>
      <c r="AG10" s="3"/>
      <c r="AH10" s="9">
        <f>COUNTA(Novembre[[#This Row],[1]:[31]])</f>
        <v>0</v>
      </c>
    </row>
    <row r="11" spans="2:34" ht="30" customHeight="1" x14ac:dyDescent="0.25">
      <c r="B11" s="15" t="str">
        <f>'Noms des employés'!B6</f>
        <v>3 - Jean-Claude</v>
      </c>
      <c r="C11" s="27"/>
      <c r="D11" s="3"/>
      <c r="E11" s="3"/>
      <c r="F11" s="3"/>
      <c r="G11" s="3"/>
      <c r="H11" s="29"/>
      <c r="I11" s="3"/>
      <c r="J11" s="3"/>
      <c r="K11" s="3"/>
      <c r="L11" s="3"/>
      <c r="M11" s="27"/>
      <c r="N11" s="3"/>
      <c r="O11" s="29"/>
      <c r="P11" s="3"/>
      <c r="Q11" s="3"/>
      <c r="R11" s="3"/>
      <c r="S11" s="3"/>
      <c r="T11" s="3"/>
      <c r="U11" s="3"/>
      <c r="V11" s="29"/>
      <c r="W11" s="3"/>
      <c r="X11" s="3"/>
      <c r="Y11" s="3"/>
      <c r="Z11" s="3"/>
      <c r="AA11" s="3"/>
      <c r="AB11" s="3"/>
      <c r="AC11" s="29"/>
      <c r="AD11" s="3"/>
      <c r="AE11" s="3"/>
      <c r="AF11" s="3"/>
      <c r="AG11" s="3"/>
      <c r="AH11" s="9">
        <f>COUNTA(Novembre[[#This Row],[1]:[31]])</f>
        <v>0</v>
      </c>
    </row>
    <row r="12" spans="2:34" ht="30" hidden="1" customHeight="1" x14ac:dyDescent="0.25">
      <c r="B12" s="15">
        <f>'Noms des employés'!B7</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COUNTA(Novembre[[#This Row],[1]:[31]])</f>
        <v>0</v>
      </c>
    </row>
    <row r="13" spans="2:34" ht="30" hidden="1" customHeight="1" x14ac:dyDescent="0.25">
      <c r="B13" s="15">
        <f>'Noms des employés'!B8</f>
        <v>0</v>
      </c>
      <c r="C13" s="3"/>
      <c r="D13" s="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9">
        <f>COUNTA(Novembre[[#This Row],[1]:[31]])</f>
        <v>0</v>
      </c>
    </row>
    <row r="14" spans="2:34" ht="30" customHeight="1" x14ac:dyDescent="0.25">
      <c r="B14" s="22" t="str">
        <f>NomMois&amp;" Total"</f>
        <v>Novembre Total</v>
      </c>
      <c r="C14" s="23">
        <f>SUBTOTAL(103,Novembre[1])</f>
        <v>0</v>
      </c>
      <c r="D14" s="23">
        <f>SUBTOTAL(103,Novembre[2])</f>
        <v>0</v>
      </c>
      <c r="E14" s="23">
        <f>SUBTOTAL(103,Novembre[3])</f>
        <v>0</v>
      </c>
      <c r="F14" s="23">
        <f>SUBTOTAL(103,Novembre[4])</f>
        <v>0</v>
      </c>
      <c r="G14" s="23">
        <f>SUBTOTAL(103,Novembre[5])</f>
        <v>0</v>
      </c>
      <c r="H14" s="23">
        <f>SUBTOTAL(103,Novembre[6])</f>
        <v>0</v>
      </c>
      <c r="I14" s="23">
        <f>SUBTOTAL(103,Novembre[7])</f>
        <v>0</v>
      </c>
      <c r="J14" s="23">
        <f>SUBTOTAL(103,Novembre[8])</f>
        <v>0</v>
      </c>
      <c r="K14" s="23">
        <f>SUBTOTAL(103,Novembre[9])</f>
        <v>0</v>
      </c>
      <c r="L14" s="23">
        <f>SUBTOTAL(103,Novembre[10])</f>
        <v>0</v>
      </c>
      <c r="M14" s="23">
        <f>SUBTOTAL(103,Novembre[11])</f>
        <v>0</v>
      </c>
      <c r="N14" s="23">
        <f>SUBTOTAL(103,Novembre[12])</f>
        <v>0</v>
      </c>
      <c r="O14" s="23">
        <f>SUBTOTAL(103,Novembre[13])</f>
        <v>0</v>
      </c>
      <c r="P14" s="23">
        <f>SUBTOTAL(103,Novembre[14])</f>
        <v>0</v>
      </c>
      <c r="Q14" s="23">
        <f>SUBTOTAL(103,Novembre[15])</f>
        <v>0</v>
      </c>
      <c r="R14" s="23">
        <f>SUBTOTAL(103,Novembre[16])</f>
        <v>0</v>
      </c>
      <c r="S14" s="23">
        <f>SUBTOTAL(103,Novembre[17])</f>
        <v>0</v>
      </c>
      <c r="T14" s="23">
        <f>SUBTOTAL(103,Novembre[18])</f>
        <v>0</v>
      </c>
      <c r="U14" s="23">
        <f>SUBTOTAL(103,Novembre[19])</f>
        <v>0</v>
      </c>
      <c r="V14" s="23">
        <f>SUBTOTAL(103,Novembre[20])</f>
        <v>0</v>
      </c>
      <c r="W14" s="23">
        <f>SUBTOTAL(103,Novembre[21])</f>
        <v>0</v>
      </c>
      <c r="X14" s="23">
        <f>SUBTOTAL(103,Novembre[22])</f>
        <v>0</v>
      </c>
      <c r="Y14" s="23">
        <f>SUBTOTAL(103,Novembre[23])</f>
        <v>0</v>
      </c>
      <c r="Z14" s="23">
        <f>SUBTOTAL(103,Novembre[24])</f>
        <v>0</v>
      </c>
      <c r="AA14" s="23">
        <f>SUBTOTAL(103,Novembre[25])</f>
        <v>0</v>
      </c>
      <c r="AB14" s="23">
        <f>SUBTOTAL(103,Novembre[26])</f>
        <v>0</v>
      </c>
      <c r="AC14" s="23">
        <f>SUBTOTAL(103,Novembre[27])</f>
        <v>0</v>
      </c>
      <c r="AD14" s="23">
        <f>SUBTOTAL(103,Novembre[28])</f>
        <v>0</v>
      </c>
      <c r="AE14" s="23">
        <f>SUBTOTAL(103,Novembre[29])</f>
        <v>0</v>
      </c>
      <c r="AF14" s="23">
        <f>SUBTOTAL(109,Novembre[30])</f>
        <v>0</v>
      </c>
      <c r="AG14" s="23">
        <f>SUBTOTAL(109,Novembre[31])</f>
        <v>0</v>
      </c>
      <c r="AH14" s="23">
        <f>SUBTOTAL(109,Novembre[Total des jours])</f>
        <v>0</v>
      </c>
    </row>
  </sheetData>
  <mergeCells count="6">
    <mergeCell ref="C6:AG6"/>
    <mergeCell ref="D4:E4"/>
    <mergeCell ref="G4:I4"/>
    <mergeCell ref="K4:L4"/>
    <mergeCell ref="N4:Q4"/>
    <mergeCell ref="S4:V4"/>
  </mergeCells>
  <conditionalFormatting sqref="C12:AG13 D9:L11 N9:AG11">
    <cfRule type="expression" priority="19" stopIfTrue="1">
      <formula>C9=""</formula>
    </cfRule>
  </conditionalFormatting>
  <conditionalFormatting sqref="C12:AG13 D9:L11 N9:AG11">
    <cfRule type="expression" dxfId="213" priority="20" stopIfTrue="1">
      <formula>C9=CléPersonnalisée2</formula>
    </cfRule>
    <cfRule type="expression" dxfId="212" priority="21" stopIfTrue="1">
      <formula>C9=CléPersonnalisée1</formula>
    </cfRule>
    <cfRule type="expression" dxfId="211" priority="22" stopIfTrue="1">
      <formula>C9=CléMaladie</formula>
    </cfRule>
    <cfRule type="expression" dxfId="210" priority="23" stopIfTrue="1">
      <formula>C9=CléPersonnel</formula>
    </cfRule>
    <cfRule type="expression" dxfId="209" priority="24" stopIfTrue="1">
      <formula>C9=CléCongé</formula>
    </cfRule>
  </conditionalFormatting>
  <conditionalFormatting sqref="AH9:AH13">
    <cfRule type="dataBar" priority="25">
      <dataBar>
        <cfvo type="min"/>
        <cfvo type="formula" val="DATEDIF(DATE(CalendarYear,2,1),DATE(CalendarYea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Entrez une étiquette pour décrire la clé personnalisée à gauche" sqref="N4 S4"/>
    <dataValidation allowBlank="1" showInputMessage="1" showErrorMessage="1" prompt="Entrez une lettre et personnalisez l’étiquette à droite pour ajouter un élément de clé" sqref="M4 R4 C9:C11 M9:M11"/>
    <dataValidation allowBlank="1" showInputMessage="1" showErrorMessage="1" prompt="La lettre « M » indique une absence pour cause de maladie" sqref="J4"/>
    <dataValidation allowBlank="1" showInputMessage="1" showErrorMessage="1" prompt="La lettre « P » indique une absence pour motifs personnels" sqref="F4"/>
    <dataValidation allowBlank="1" showInputMessage="1" showErrorMessage="1" prompt="La lettre « C » indique une absence pour cause de congé" sqref="C4"/>
    <dataValidation allowBlank="1" showInputMessage="1" showErrorMessage="1" prompt="Le titre mis à jour automatiquement figure dans cette cellule. Pour modifier le titre, mettez à jour la cellule B1 de la feuille de calcul Janvier" sqref="B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Suivez les absences du mois de novembre dans cette feuille de calcul" sqref="A3"/>
    <dataValidation allowBlank="1" showInputMessage="1" showErrorMessage="1" prompt="Calcule automatiquement le nombre total de jours d’absence d’un employé durant ce mois dans cette colonne" sqref="AH8"/>
    <dataValidation allowBlank="1" showInputMessage="1" showErrorMessage="1" prompt="Année mise à jour automatiquement en fonction de l’année entrée dans la feuille de calcul Janvier" sqref="AH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pageSetUpPr fitToPage="1"/>
  </sheetPr>
  <dimension ref="A1:AH14"/>
  <sheetViews>
    <sheetView showGridLines="0" zoomScaleNormal="100" workbookViewId="0">
      <selection activeCell="O19" sqref="O1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3" spans="2:34" ht="50.1" customHeight="1" x14ac:dyDescent="0.25">
      <c r="B3" s="12" t="str">
        <f>Titre_Absence_Employé</f>
        <v>Calendrier des absences des employés</v>
      </c>
    </row>
    <row r="4" spans="2:34" ht="15" customHeight="1" x14ac:dyDescent="0.25">
      <c r="B4" s="17" t="s">
        <v>1</v>
      </c>
      <c r="C4" s="4" t="s">
        <v>4</v>
      </c>
      <c r="D4" s="41" t="s">
        <v>7</v>
      </c>
      <c r="E4" s="41"/>
      <c r="F4" s="5" t="s">
        <v>10</v>
      </c>
      <c r="G4" s="41" t="s">
        <v>14</v>
      </c>
      <c r="H4" s="41"/>
      <c r="I4" s="41"/>
      <c r="J4" s="6" t="s">
        <v>12</v>
      </c>
      <c r="K4" s="41" t="s">
        <v>19</v>
      </c>
      <c r="L4" s="41"/>
      <c r="M4" s="7"/>
      <c r="N4" s="42" t="s">
        <v>23</v>
      </c>
      <c r="O4" s="41"/>
      <c r="P4" s="41"/>
      <c r="Q4" s="41"/>
      <c r="R4" s="27"/>
      <c r="S4" s="42" t="s">
        <v>60</v>
      </c>
      <c r="T4" s="41"/>
      <c r="U4" s="41"/>
      <c r="V4" s="41"/>
    </row>
    <row r="5" spans="2:34" ht="15" customHeight="1" x14ac:dyDescent="0.25">
      <c r="B5" s="12"/>
    </row>
    <row r="6" spans="2:34" ht="30" customHeight="1" x14ac:dyDescent="0.25">
      <c r="B6" s="11" t="s">
        <v>58</v>
      </c>
      <c r="C6" s="40" t="s">
        <v>5</v>
      </c>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11">
        <f>AnnéeCalendrier</f>
        <v>2022</v>
      </c>
    </row>
    <row r="7" spans="2:34" ht="15" customHeight="1" x14ac:dyDescent="0.25">
      <c r="B7" s="11"/>
      <c r="C7" s="2" t="str">
        <f>TEXT(WEEKDAY(DATE(AnnéeCalendrier,12,1),1),"jjj")</f>
        <v>jeu</v>
      </c>
      <c r="D7" s="2" t="str">
        <f>TEXT(WEEKDAY(DATE(AnnéeCalendrier,12,2),1),"jjj")</f>
        <v>ven</v>
      </c>
      <c r="E7" s="2" t="str">
        <f>TEXT(WEEKDAY(DATE(AnnéeCalendrier,12,3),1),"jjj")</f>
        <v>sam</v>
      </c>
      <c r="F7" s="2" t="str">
        <f>TEXT(WEEKDAY(DATE(AnnéeCalendrier,12,4),1),"jjj")</f>
        <v>dim</v>
      </c>
      <c r="G7" s="2" t="str">
        <f>TEXT(WEEKDAY(DATE(AnnéeCalendrier,12,5),1),"jjj")</f>
        <v>lun</v>
      </c>
      <c r="H7" s="2" t="str">
        <f>TEXT(WEEKDAY(DATE(AnnéeCalendrier,12,6),1),"jjj")</f>
        <v>mar</v>
      </c>
      <c r="I7" s="2" t="str">
        <f>TEXT(WEEKDAY(DATE(AnnéeCalendrier,12,7),1),"jjj")</f>
        <v>mer</v>
      </c>
      <c r="J7" s="2" t="str">
        <f>TEXT(WEEKDAY(DATE(AnnéeCalendrier,12,8),1),"jjj")</f>
        <v>jeu</v>
      </c>
      <c r="K7" s="2" t="str">
        <f>TEXT(WEEKDAY(DATE(AnnéeCalendrier,12,9),1),"jjj")</f>
        <v>ven</v>
      </c>
      <c r="L7" s="2" t="str">
        <f>TEXT(WEEKDAY(DATE(AnnéeCalendrier,12,10),1),"jjj")</f>
        <v>sam</v>
      </c>
      <c r="M7" s="2" t="str">
        <f>TEXT(WEEKDAY(DATE(AnnéeCalendrier,12,11),1),"jjj")</f>
        <v>dim</v>
      </c>
      <c r="N7" s="2" t="str">
        <f>TEXT(WEEKDAY(DATE(AnnéeCalendrier,12,12),1),"jjj")</f>
        <v>lun</v>
      </c>
      <c r="O7" s="2" t="str">
        <f>TEXT(WEEKDAY(DATE(AnnéeCalendrier,12,13),1),"jjj")</f>
        <v>mar</v>
      </c>
      <c r="P7" s="2" t="str">
        <f>TEXT(WEEKDAY(DATE(AnnéeCalendrier,12,14),1),"jjj")</f>
        <v>mer</v>
      </c>
      <c r="Q7" s="2" t="str">
        <f>TEXT(WEEKDAY(DATE(AnnéeCalendrier,12,15),1),"jjj")</f>
        <v>jeu</v>
      </c>
      <c r="R7" s="2" t="str">
        <f>TEXT(WEEKDAY(DATE(AnnéeCalendrier,12,16),1),"jjj")</f>
        <v>ven</v>
      </c>
      <c r="S7" s="2" t="str">
        <f>TEXT(WEEKDAY(DATE(AnnéeCalendrier,12,17),1),"jjj")</f>
        <v>sam</v>
      </c>
      <c r="T7" s="2" t="str">
        <f>TEXT(WEEKDAY(DATE(AnnéeCalendrier,12,18),1),"jjj")</f>
        <v>dim</v>
      </c>
      <c r="U7" s="2" t="str">
        <f>TEXT(WEEKDAY(DATE(AnnéeCalendrier,12,19),1),"jjj")</f>
        <v>lun</v>
      </c>
      <c r="V7" s="2" t="str">
        <f>TEXT(WEEKDAY(DATE(AnnéeCalendrier,12,20),1),"jjj")</f>
        <v>mar</v>
      </c>
      <c r="W7" s="2" t="str">
        <f>TEXT(WEEKDAY(DATE(AnnéeCalendrier,12,21),1),"jjj")</f>
        <v>mer</v>
      </c>
      <c r="X7" s="2" t="str">
        <f>TEXT(WEEKDAY(DATE(AnnéeCalendrier,12,22),1),"jjj")</f>
        <v>jeu</v>
      </c>
      <c r="Y7" s="2" t="str">
        <f>TEXT(WEEKDAY(DATE(AnnéeCalendrier,12,23),1),"jjj")</f>
        <v>ven</v>
      </c>
      <c r="Z7" s="2" t="str">
        <f>TEXT(WEEKDAY(DATE(AnnéeCalendrier,12,24),1),"jjj")</f>
        <v>sam</v>
      </c>
      <c r="AA7" s="2" t="str">
        <f>TEXT(WEEKDAY(DATE(AnnéeCalendrier,12,25),1),"jjj")</f>
        <v>dim</v>
      </c>
      <c r="AB7" s="2" t="str">
        <f>TEXT(WEEKDAY(DATE(AnnéeCalendrier,12,26),1),"jjj")</f>
        <v>lun</v>
      </c>
      <c r="AC7" s="2" t="str">
        <f>TEXT(WEEKDAY(DATE(AnnéeCalendrier,12,27),1),"jjj")</f>
        <v>mar</v>
      </c>
      <c r="AD7" s="2" t="str">
        <f>TEXT(WEEKDAY(DATE(AnnéeCalendrier,12,28),1),"jjj")</f>
        <v>mer</v>
      </c>
      <c r="AE7" s="2" t="str">
        <f>TEXT(WEEKDAY(DATE(AnnéeCalendrier,12,29),1),"jjj")</f>
        <v>jeu</v>
      </c>
      <c r="AF7" s="2" t="str">
        <f>TEXT(WEEKDAY(DATE(AnnéeCalendrier,12,30),1),"jjj")</f>
        <v>ven</v>
      </c>
      <c r="AG7" s="2" t="str">
        <f>TEXT(WEEKDAY(DATE(AnnéeCalendrier,12,31),1),"jjj")</f>
        <v>sam</v>
      </c>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37"/>
      <c r="D9" s="37"/>
      <c r="E9" s="37"/>
      <c r="F9" s="37"/>
      <c r="G9" s="37"/>
      <c r="H9" s="37"/>
      <c r="I9" s="37"/>
      <c r="J9" s="37"/>
      <c r="K9" s="37"/>
      <c r="L9" s="37"/>
      <c r="M9" s="37"/>
      <c r="N9" s="37"/>
      <c r="O9" s="37"/>
      <c r="P9" s="37"/>
      <c r="Q9" s="37"/>
      <c r="R9" s="37"/>
      <c r="S9" s="37"/>
      <c r="T9" s="37"/>
      <c r="U9" s="37"/>
      <c r="V9" s="37"/>
      <c r="W9" s="37"/>
      <c r="X9" s="37"/>
      <c r="Y9" s="37"/>
      <c r="Z9" s="37"/>
      <c r="AA9" s="37"/>
      <c r="AB9" s="37"/>
      <c r="AC9" s="37"/>
      <c r="AD9" s="37"/>
      <c r="AE9" s="37"/>
      <c r="AF9" s="37"/>
      <c r="AG9" s="37"/>
      <c r="AH9" s="9">
        <f>COUNTA(Décembre[[#This Row],[1]:[31]])</f>
        <v>0</v>
      </c>
    </row>
    <row r="10" spans="2:34" ht="30" customHeight="1" x14ac:dyDescent="0.25">
      <c r="B10" s="15" t="str">
        <f>'Noms des employés'!B5</f>
        <v xml:space="preserve">2 - Laïla </v>
      </c>
      <c r="C10" s="3"/>
      <c r="D10" s="3"/>
      <c r="E10" s="3"/>
      <c r="F10" s="29"/>
      <c r="G10" s="3"/>
      <c r="H10" s="3"/>
      <c r="I10" s="3"/>
      <c r="J10" s="3"/>
      <c r="K10" s="3"/>
      <c r="L10" s="3"/>
      <c r="M10" s="29"/>
      <c r="N10" s="3"/>
      <c r="O10" s="3"/>
      <c r="P10" s="3"/>
      <c r="Q10" s="3"/>
      <c r="R10" s="3"/>
      <c r="S10" s="3"/>
      <c r="T10" s="29"/>
      <c r="U10" s="3"/>
      <c r="V10" s="3"/>
      <c r="W10" s="3"/>
      <c r="X10" s="3"/>
      <c r="Y10" s="3"/>
      <c r="Z10" s="3"/>
      <c r="AA10" s="29"/>
      <c r="AB10" s="3"/>
      <c r="AC10" s="3"/>
      <c r="AD10" s="3"/>
      <c r="AE10" s="3"/>
      <c r="AF10" s="3"/>
      <c r="AG10" s="3"/>
      <c r="AH10" s="9">
        <f>COUNTA(Décembre[[#This Row],[1]:[31]])</f>
        <v>0</v>
      </c>
    </row>
    <row r="11" spans="2:34" ht="30" customHeight="1" x14ac:dyDescent="0.25">
      <c r="B11" s="15" t="str">
        <f>'Noms des employés'!B6</f>
        <v>3 - Jean-Claude</v>
      </c>
      <c r="C11" s="3"/>
      <c r="D11" s="3"/>
      <c r="E11" s="3"/>
      <c r="F11" s="29"/>
      <c r="G11" s="3"/>
      <c r="H11" s="3"/>
      <c r="I11" s="3"/>
      <c r="J11" s="3"/>
      <c r="K11" s="3"/>
      <c r="L11" s="3"/>
      <c r="M11" s="29"/>
      <c r="N11" s="3"/>
      <c r="O11" s="3"/>
      <c r="P11" s="3"/>
      <c r="Q11" s="3"/>
      <c r="R11" s="3"/>
      <c r="S11" s="3"/>
      <c r="T11" s="29"/>
      <c r="U11" s="3"/>
      <c r="V11" s="3"/>
      <c r="W11" s="3"/>
      <c r="X11" s="3"/>
      <c r="Y11" s="3"/>
      <c r="Z11" s="3"/>
      <c r="AA11" s="29"/>
      <c r="AB11" s="3"/>
      <c r="AC11" s="3"/>
      <c r="AD11" s="3"/>
      <c r="AE11" s="3"/>
      <c r="AF11" s="3"/>
      <c r="AG11" s="3"/>
      <c r="AH11" s="9">
        <f>COUNTA(Décembre[[#This Row],[1]:[31]])</f>
        <v>0</v>
      </c>
    </row>
    <row r="12" spans="2:34" ht="30" hidden="1" customHeight="1" x14ac:dyDescent="0.25">
      <c r="B12" s="15">
        <f>'Noms des employés'!B7</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COUNTA(Décembre[[#This Row],[1]:[31]])</f>
        <v>0</v>
      </c>
    </row>
    <row r="13" spans="2:34" ht="30" hidden="1" customHeight="1" x14ac:dyDescent="0.25">
      <c r="B13" s="15">
        <f>'Noms des employés'!B8</f>
        <v>0</v>
      </c>
      <c r="C13" s="3"/>
      <c r="D13" s="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9">
        <f>COUNTA(Décembre[[#This Row],[1]:[31]])</f>
        <v>0</v>
      </c>
    </row>
    <row r="14" spans="2:34" ht="30" customHeight="1" x14ac:dyDescent="0.25">
      <c r="B14" s="22" t="str">
        <f>NomMois&amp;" Total"</f>
        <v>Décembre Total</v>
      </c>
      <c r="C14" s="23">
        <f>SUBTOTAL(103,Décembre[1])</f>
        <v>0</v>
      </c>
      <c r="D14" s="23">
        <f>SUBTOTAL(103,Décembre[2])</f>
        <v>0</v>
      </c>
      <c r="E14" s="23">
        <f>SUBTOTAL(103,Décembre[3])</f>
        <v>0</v>
      </c>
      <c r="F14" s="23">
        <f>SUBTOTAL(103,Décembre[4])</f>
        <v>0</v>
      </c>
      <c r="G14" s="23">
        <f>SUBTOTAL(103,Décembre[5])</f>
        <v>0</v>
      </c>
      <c r="H14" s="23">
        <f>SUBTOTAL(103,Décembre[6])</f>
        <v>0</v>
      </c>
      <c r="I14" s="23">
        <f>SUBTOTAL(103,Décembre[7])</f>
        <v>0</v>
      </c>
      <c r="J14" s="23">
        <f>SUBTOTAL(103,Décembre[8])</f>
        <v>0</v>
      </c>
      <c r="K14" s="23">
        <f>SUBTOTAL(103,Décembre[9])</f>
        <v>0</v>
      </c>
      <c r="L14" s="23">
        <f>SUBTOTAL(103,Décembre[10])</f>
        <v>0</v>
      </c>
      <c r="M14" s="23">
        <f>SUBTOTAL(103,Décembre[11])</f>
        <v>0</v>
      </c>
      <c r="N14" s="23">
        <f>SUBTOTAL(103,Décembre[12])</f>
        <v>0</v>
      </c>
      <c r="O14" s="23">
        <f>SUBTOTAL(103,Décembre[13])</f>
        <v>0</v>
      </c>
      <c r="P14" s="23">
        <f>SUBTOTAL(103,Décembre[14])</f>
        <v>0</v>
      </c>
      <c r="Q14" s="23">
        <f>SUBTOTAL(103,Décembre[15])</f>
        <v>0</v>
      </c>
      <c r="R14" s="23">
        <f>SUBTOTAL(103,Décembre[16])</f>
        <v>0</v>
      </c>
      <c r="S14" s="23">
        <f>SUBTOTAL(103,Décembre[17])</f>
        <v>0</v>
      </c>
      <c r="T14" s="23">
        <f>SUBTOTAL(103,Décembre[18])</f>
        <v>0</v>
      </c>
      <c r="U14" s="23">
        <f>SUBTOTAL(103,Décembre[19])</f>
        <v>0</v>
      </c>
      <c r="V14" s="23">
        <f>SUBTOTAL(103,Décembre[20])</f>
        <v>0</v>
      </c>
      <c r="W14" s="23">
        <f>SUBTOTAL(103,Décembre[21])</f>
        <v>0</v>
      </c>
      <c r="X14" s="23">
        <f>SUBTOTAL(103,Décembre[22])</f>
        <v>0</v>
      </c>
      <c r="Y14" s="23">
        <f>SUBTOTAL(103,Décembre[23])</f>
        <v>0</v>
      </c>
      <c r="Z14" s="23">
        <f>SUBTOTAL(103,Décembre[24])</f>
        <v>0</v>
      </c>
      <c r="AA14" s="23">
        <f>SUBTOTAL(103,Décembre[25])</f>
        <v>0</v>
      </c>
      <c r="AB14" s="23">
        <f>SUBTOTAL(103,Décembre[26])</f>
        <v>0</v>
      </c>
      <c r="AC14" s="23">
        <f>SUBTOTAL(103,Décembre[27])</f>
        <v>0</v>
      </c>
      <c r="AD14" s="23">
        <f>SUBTOTAL(103,Décembre[28])</f>
        <v>0</v>
      </c>
      <c r="AE14" s="23">
        <f>SUBTOTAL(103,Décembre[29])</f>
        <v>0</v>
      </c>
      <c r="AF14" s="23">
        <f>SUBTOTAL(109,Décembre[30])</f>
        <v>0</v>
      </c>
      <c r="AG14" s="23">
        <f>SUBTOTAL(109,Décembre[31])</f>
        <v>0</v>
      </c>
      <c r="AH14" s="23">
        <f>SUBTOTAL(109,Décembre[Total des jours])</f>
        <v>0</v>
      </c>
    </row>
  </sheetData>
  <mergeCells count="6">
    <mergeCell ref="C6:AG6"/>
    <mergeCell ref="D4:E4"/>
    <mergeCell ref="G4:I4"/>
    <mergeCell ref="K4:L4"/>
    <mergeCell ref="N4:Q4"/>
    <mergeCell ref="S4:V4"/>
  </mergeCells>
  <conditionalFormatting sqref="C9:AG13">
    <cfRule type="expression" priority="25" stopIfTrue="1">
      <formula>C9=""</formula>
    </cfRule>
  </conditionalFormatting>
  <conditionalFormatting sqref="C9:AG13">
    <cfRule type="expression" dxfId="139" priority="26" stopIfTrue="1">
      <formula>C9=CléPersonnalisée2</formula>
    </cfRule>
    <cfRule type="expression" dxfId="138" priority="27" stopIfTrue="1">
      <formula>C9=CléPersonnalisée1</formula>
    </cfRule>
    <cfRule type="expression" dxfId="137" priority="28" stopIfTrue="1">
      <formula>C9=CléMaladie</formula>
    </cfRule>
    <cfRule type="expression" dxfId="136" priority="29" stopIfTrue="1">
      <formula>C9=CléPersonnel</formula>
    </cfRule>
    <cfRule type="expression" dxfId="135" priority="30" stopIfTrue="1">
      <formula>C9=CléCongé</formula>
    </cfRule>
  </conditionalFormatting>
  <conditionalFormatting sqref="AH9:AH13">
    <cfRule type="dataBar" priority="54">
      <dataBar>
        <cfvo type="min"/>
        <cfvo type="formula" val="DATEDIF(DATE(CalendarYear,2,1),DATE(CalendarYea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6"/>
    <dataValidation allowBlank="1" showInputMessage="1" showErrorMessage="1" prompt="Calcule automatiquement le nombre total de jours d’absence d’un employé durant ce mois dans cette colonne" sqref="AH8"/>
    <dataValidation allowBlank="1" showInputMessage="1" showErrorMessage="1" prompt="Suivez les absences du mois de décembre dans cette feuille de calcul" sqref="A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Le titre mis à jour automatiquement figure dans cette cellule. Pour modifier le titre, mettez à jour la cellule B1 de la feuille de calcul Janvier" sqref="B3"/>
    <dataValidation allowBlank="1" showInputMessage="1" showErrorMessage="1" prompt="La lettre « C » indique une absence pour cause de congé" sqref="C4"/>
    <dataValidation allowBlank="1" showInputMessage="1" showErrorMessage="1" prompt="La lettre « P » indique une absence pour motifs personnels" sqref="F4"/>
    <dataValidation allowBlank="1" showInputMessage="1" showErrorMessage="1" prompt="La lettre « M » indique une absence pour cause de maladie" sqref="J4"/>
    <dataValidation allowBlank="1" showInputMessage="1" showErrorMessage="1" prompt="Entrez une lettre et personnalisez l’étiquette à droite pour ajouter un élément de clé" sqref="R4 M4"/>
    <dataValidation allowBlank="1" showInputMessage="1" showErrorMessage="1" prompt="Entrez une étiquette pour décrire la clé personnalisée à gauche" sqref="S4 N4"/>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pageSetUpPr fitToPage="1"/>
  </sheetPr>
  <dimension ref="B1:B8"/>
  <sheetViews>
    <sheetView showGridLines="0" tabSelected="1" workbookViewId="0">
      <selection activeCell="K5" sqref="K5"/>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19" t="s">
        <v>59</v>
      </c>
    </row>
    <row r="2" spans="2:2" ht="15" customHeight="1" x14ac:dyDescent="0.25"/>
    <row r="3" spans="2:2" ht="30" customHeight="1" x14ac:dyDescent="0.25">
      <c r="B3" t="s">
        <v>59</v>
      </c>
    </row>
    <row r="4" spans="2:2" ht="30" customHeight="1" x14ac:dyDescent="0.25">
      <c r="B4" s="21" t="s">
        <v>68</v>
      </c>
    </row>
    <row r="5" spans="2:2" ht="30" customHeight="1" x14ac:dyDescent="0.25">
      <c r="B5" s="21" t="s">
        <v>69</v>
      </c>
    </row>
    <row r="6" spans="2:2" ht="30" customHeight="1" x14ac:dyDescent="0.25">
      <c r="B6" s="21" t="s">
        <v>70</v>
      </c>
    </row>
    <row r="7" spans="2:2" ht="30" customHeight="1" x14ac:dyDescent="0.25">
      <c r="B7" s="21"/>
    </row>
    <row r="8" spans="2:2" ht="30" customHeight="1" x14ac:dyDescent="0.25">
      <c r="B8" s="1"/>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Admin</dc:creator>
  <cp:lastModifiedBy>Admin</cp:lastModifiedBy>
  <cp:lastPrinted>2021-05-17T12:44:25Z</cp:lastPrinted>
  <dcterms:created xsi:type="dcterms:W3CDTF">2016-12-06T04:52:27Z</dcterms:created>
  <dcterms:modified xsi:type="dcterms:W3CDTF">2022-08-19T14:31:33Z</dcterms:modified>
</cp:coreProperties>
</file>